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60" windowWidth="20730" windowHeight="8445" tabRatio="637" firstSheet="1" activeTab="12"/>
  </bookViews>
  <sheets>
    <sheet name="SEPT (2)" sheetId="32" state="hidden" r:id="rId1"/>
    <sheet name="ENE" sheetId="173" r:id="rId2"/>
    <sheet name="FEB" sheetId="174" r:id="rId3"/>
    <sheet name="MAR" sheetId="176" r:id="rId4"/>
    <sheet name="ABR" sheetId="175" r:id="rId5"/>
    <sheet name="MAY" sheetId="177" r:id="rId6"/>
    <sheet name="JUN" sheetId="178" r:id="rId7"/>
    <sheet name="JUL" sheetId="179" r:id="rId8"/>
    <sheet name="AGO" sheetId="180" r:id="rId9"/>
    <sheet name="SEP" sheetId="181" r:id="rId10"/>
    <sheet name="OCT" sheetId="183" r:id="rId11"/>
    <sheet name="NOV" sheetId="184" r:id="rId12"/>
    <sheet name="DIC" sheetId="185" r:id="rId13"/>
    <sheet name="TARIFAS" sheetId="3" r:id="rId14"/>
    <sheet name="EDOFIN TOY" sheetId="9" r:id="rId15"/>
  </sheets>
  <definedNames>
    <definedName name="_xlnm._FilterDatabase" localSheetId="4" hidden="1">ABR!$A$5:$AJ$279</definedName>
    <definedName name="_xlnm._FilterDatabase" localSheetId="8" hidden="1">AGO!$A$5:$AH$285</definedName>
    <definedName name="_xlnm._FilterDatabase" localSheetId="12" hidden="1">DIC!$A$5:$T$342</definedName>
    <definedName name="_xlnm._FilterDatabase" localSheetId="1" hidden="1">ENE!$A$5:$AG$275</definedName>
    <definedName name="_xlnm._FilterDatabase" localSheetId="2" hidden="1">FEB!$B$5:$T$248</definedName>
    <definedName name="_xlnm._FilterDatabase" localSheetId="7" hidden="1">JUL!$A$5:$T$226</definedName>
    <definedName name="_xlnm._FilterDatabase" localSheetId="5" hidden="1">MAY!$A$5:$T$274</definedName>
    <definedName name="_xlnm._FilterDatabase" localSheetId="11" hidden="1">NOV!$A$5:$T$339</definedName>
    <definedName name="_xlnm._FilterDatabase" localSheetId="10" hidden="1">OCT!$A$5:$T$289</definedName>
    <definedName name="_xlnm._FilterDatabase" localSheetId="9" hidden="1">SEP!$A$5:$T$258</definedName>
    <definedName name="_xlnm.Print_Area" localSheetId="14">'EDOFIN TOY'!#REF!</definedName>
    <definedName name="_xlnm.Print_Area" localSheetId="1">ENE!$A$1:$AH$70</definedName>
    <definedName name="_xlnm.Print_Area" localSheetId="0">'SEPT (2)'!$Q$1:$AB$116</definedName>
    <definedName name="CF">TARIFAS!$C$9:$C$13</definedName>
    <definedName name="LI">TARIFAS!$A$9:$A$13</definedName>
    <definedName name="LS">TARIFAS!$B$9:$B$13</definedName>
    <definedName name="SUBTOTAL" localSheetId="1">TARIFAS!#REF!</definedName>
    <definedName name="SUBTOTAL">TARIFAS!#REF!</definedName>
    <definedName name="TARIFA">TARIFAS!$A$9:$D$13</definedName>
    <definedName name="TARIFA1" localSheetId="1">TARIFAS!#REF!</definedName>
    <definedName name="TARIFA1">TARIFAS!#REF!</definedName>
    <definedName name="TASA">TARIFAS!$D$9:$D$13</definedName>
    <definedName name="_xlnm.Print_Titles" localSheetId="1">ENE!$1:$5</definedName>
    <definedName name="_xlnm.Print_Titles" localSheetId="0">'SEPT (2)'!$1:$5</definedName>
  </definedNames>
  <calcPr calcId="144525"/>
</workbook>
</file>

<file path=xl/calcChain.xml><?xml version="1.0" encoding="utf-8"?>
<calcChain xmlns="http://schemas.openxmlformats.org/spreadsheetml/2006/main">
  <c r="Z126" i="185" l="1"/>
  <c r="AB120" i="185"/>
  <c r="Z125" i="185"/>
  <c r="Z124" i="185"/>
  <c r="AA127" i="185"/>
  <c r="Z127" i="185"/>
  <c r="AA126" i="185"/>
  <c r="AA125" i="185"/>
  <c r="AF57" i="185"/>
  <c r="AE57" i="185"/>
  <c r="AD57" i="185"/>
  <c r="AC57" i="185"/>
  <c r="AA124" i="185"/>
  <c r="AF121" i="185"/>
  <c r="AF101" i="183"/>
  <c r="AF120" i="185"/>
  <c r="AF56" i="185"/>
  <c r="AF55" i="185"/>
  <c r="AF52" i="185"/>
  <c r="AF51" i="185"/>
  <c r="AF50" i="185"/>
  <c r="AF45" i="185"/>
  <c r="AF115" i="185"/>
  <c r="AF40" i="185"/>
  <c r="AF32" i="185"/>
  <c r="AF24" i="185"/>
  <c r="AE21" i="185"/>
  <c r="AD21" i="185"/>
  <c r="AC21" i="185"/>
  <c r="AF11" i="185"/>
  <c r="AF14" i="185"/>
  <c r="AE14" i="185"/>
  <c r="AD14" i="185"/>
  <c r="AC14" i="185"/>
  <c r="AF13" i="185"/>
  <c r="AA120" i="185"/>
  <c r="Z120" i="185"/>
  <c r="AA115" i="185"/>
  <c r="AA114" i="185"/>
  <c r="AA110" i="185"/>
  <c r="AA109" i="185"/>
  <c r="AA106" i="185"/>
  <c r="AA105" i="185"/>
  <c r="AA103" i="185"/>
  <c r="AA102" i="185"/>
  <c r="AA97" i="185"/>
  <c r="AA95" i="185"/>
  <c r="AA93" i="185"/>
  <c r="AA85" i="185"/>
  <c r="AA80" i="185"/>
  <c r="AA77" i="185"/>
  <c r="AA73" i="185"/>
  <c r="AA71" i="185"/>
  <c r="AA70" i="185"/>
  <c r="AA63" i="185"/>
  <c r="AA61" i="185"/>
  <c r="AA59" i="185"/>
  <c r="AA57" i="185"/>
  <c r="AA41" i="185"/>
  <c r="AA40" i="185"/>
  <c r="AA37" i="185"/>
  <c r="AA34" i="185"/>
  <c r="Z32" i="185"/>
  <c r="V94" i="185"/>
  <c r="W94" i="185"/>
  <c r="X94" i="185"/>
  <c r="Y94" i="185"/>
  <c r="Z94" i="185"/>
  <c r="AC94" i="185" s="1"/>
  <c r="AF94" i="185"/>
  <c r="AG94" i="185"/>
  <c r="V95" i="185"/>
  <c r="W95" i="185"/>
  <c r="X95" i="185"/>
  <c r="Y95" i="185"/>
  <c r="Z95" i="185"/>
  <c r="AC95" i="185" s="1"/>
  <c r="AD95" i="185"/>
  <c r="AF95" i="185"/>
  <c r="AG95" i="185" s="1"/>
  <c r="V96" i="185"/>
  <c r="W96" i="185"/>
  <c r="X96" i="185"/>
  <c r="Y96" i="185"/>
  <c r="Z96" i="185"/>
  <c r="AC96" i="185" s="1"/>
  <c r="AF96" i="185"/>
  <c r="AG96" i="185" s="1"/>
  <c r="V97" i="185"/>
  <c r="W97" i="185"/>
  <c r="X97" i="185"/>
  <c r="Y97" i="185"/>
  <c r="Z97" i="185"/>
  <c r="AC97" i="185" s="1"/>
  <c r="AF97" i="185"/>
  <c r="AG97" i="185" s="1"/>
  <c r="V98" i="185"/>
  <c r="W98" i="185"/>
  <c r="X98" i="185"/>
  <c r="Y98" i="185"/>
  <c r="Z98" i="185"/>
  <c r="AC98" i="185" s="1"/>
  <c r="AF98" i="185"/>
  <c r="AG98" i="185" s="1"/>
  <c r="V99" i="185"/>
  <c r="W99" i="185"/>
  <c r="X99" i="185"/>
  <c r="Y99" i="185"/>
  <c r="Z99" i="185"/>
  <c r="AC99" i="185" s="1"/>
  <c r="AF99" i="185"/>
  <c r="AG99" i="185" s="1"/>
  <c r="V100" i="185"/>
  <c r="W100" i="185"/>
  <c r="X100" i="185"/>
  <c r="Y100" i="185"/>
  <c r="Z100" i="185"/>
  <c r="AC100" i="185" s="1"/>
  <c r="AF100" i="185"/>
  <c r="AG100" i="185" s="1"/>
  <c r="V101" i="185"/>
  <c r="W101" i="185"/>
  <c r="X101" i="185"/>
  <c r="Y101" i="185"/>
  <c r="Z101" i="185"/>
  <c r="AC101" i="185" s="1"/>
  <c r="AF101" i="185"/>
  <c r="AG101" i="185" s="1"/>
  <c r="V102" i="185"/>
  <c r="W102" i="185"/>
  <c r="X102" i="185"/>
  <c r="Y102" i="185"/>
  <c r="Z102" i="185"/>
  <c r="AC102" i="185" s="1"/>
  <c r="AF102" i="185"/>
  <c r="AG102" i="185" s="1"/>
  <c r="V103" i="185"/>
  <c r="W103" i="185"/>
  <c r="X103" i="185"/>
  <c r="Y103" i="185"/>
  <c r="Z103" i="185"/>
  <c r="AC103" i="185" s="1"/>
  <c r="AF103" i="185"/>
  <c r="AG103" i="185" s="1"/>
  <c r="V104" i="185"/>
  <c r="W104" i="185"/>
  <c r="X104" i="185"/>
  <c r="Y104" i="185"/>
  <c r="Z104" i="185"/>
  <c r="AC104" i="185" s="1"/>
  <c r="AF104" i="185"/>
  <c r="AG104" i="185" s="1"/>
  <c r="V105" i="185"/>
  <c r="W105" i="185"/>
  <c r="X105" i="185"/>
  <c r="Y105" i="185"/>
  <c r="Z105" i="185"/>
  <c r="AC105" i="185" s="1"/>
  <c r="AF105" i="185"/>
  <c r="AG105" i="185" s="1"/>
  <c r="V106" i="185"/>
  <c r="W106" i="185"/>
  <c r="X106" i="185"/>
  <c r="Y106" i="185"/>
  <c r="Z106" i="185"/>
  <c r="AD106" i="185" s="1"/>
  <c r="AF106" i="185"/>
  <c r="AG106" i="185" s="1"/>
  <c r="V107" i="185"/>
  <c r="W107" i="185"/>
  <c r="X107" i="185"/>
  <c r="Y107" i="185"/>
  <c r="Z107" i="185"/>
  <c r="AC107" i="185" s="1"/>
  <c r="AF107" i="185"/>
  <c r="AG107" i="185" s="1"/>
  <c r="V108" i="185"/>
  <c r="W108" i="185"/>
  <c r="X108" i="185"/>
  <c r="Y108" i="185"/>
  <c r="Z108" i="185"/>
  <c r="AD108" i="185" s="1"/>
  <c r="AF108" i="185"/>
  <c r="AG108" i="185" s="1"/>
  <c r="V109" i="185"/>
  <c r="W109" i="185"/>
  <c r="X109" i="185"/>
  <c r="Y109" i="185"/>
  <c r="Z109" i="185"/>
  <c r="AC109" i="185" s="1"/>
  <c r="AF109" i="185"/>
  <c r="AG109" i="185" s="1"/>
  <c r="V110" i="185"/>
  <c r="W110" i="185"/>
  <c r="X110" i="185"/>
  <c r="Y110" i="185"/>
  <c r="Z110" i="185"/>
  <c r="AD110" i="185" s="1"/>
  <c r="AF110" i="185"/>
  <c r="AG110" i="185"/>
  <c r="V111" i="185"/>
  <c r="W111" i="185"/>
  <c r="X111" i="185"/>
  <c r="Y111" i="185"/>
  <c r="Z111" i="185"/>
  <c r="AC111" i="185" s="1"/>
  <c r="AF111" i="185"/>
  <c r="AG111" i="185" s="1"/>
  <c r="V112" i="185"/>
  <c r="W112" i="185"/>
  <c r="X112" i="185"/>
  <c r="Y112" i="185"/>
  <c r="Z112" i="185"/>
  <c r="AD112" i="185" s="1"/>
  <c r="AF112" i="185"/>
  <c r="AG112" i="185" s="1"/>
  <c r="V113" i="185"/>
  <c r="W113" i="185"/>
  <c r="X113" i="185"/>
  <c r="Y113" i="185"/>
  <c r="Z113" i="185"/>
  <c r="AC113" i="185" s="1"/>
  <c r="AF113" i="185"/>
  <c r="AG113" i="185" s="1"/>
  <c r="V114" i="185"/>
  <c r="W114" i="185"/>
  <c r="X114" i="185"/>
  <c r="Y114" i="185"/>
  <c r="Z114" i="185"/>
  <c r="AD114" i="185" s="1"/>
  <c r="AF114" i="185"/>
  <c r="AG114" i="185" s="1"/>
  <c r="V115" i="185"/>
  <c r="W115" i="185"/>
  <c r="X115" i="185"/>
  <c r="Y115" i="185"/>
  <c r="Z115" i="185"/>
  <c r="AC115" i="185" s="1"/>
  <c r="AG115" i="185"/>
  <c r="U94" i="185"/>
  <c r="U95" i="185"/>
  <c r="U96" i="185"/>
  <c r="U97" i="185"/>
  <c r="U98" i="185"/>
  <c r="U99" i="185"/>
  <c r="U100" i="185"/>
  <c r="U101" i="185"/>
  <c r="U102" i="185"/>
  <c r="U103" i="185"/>
  <c r="U104" i="185"/>
  <c r="U105" i="185"/>
  <c r="U106" i="185"/>
  <c r="U107" i="185"/>
  <c r="U108" i="185"/>
  <c r="U109" i="185"/>
  <c r="U110" i="185"/>
  <c r="U111" i="185"/>
  <c r="U112" i="185"/>
  <c r="U113" i="185"/>
  <c r="U114" i="185"/>
  <c r="U115" i="185"/>
  <c r="A83" i="185"/>
  <c r="A84" i="185"/>
  <c r="A85" i="185" s="1"/>
  <c r="A86" i="185" s="1"/>
  <c r="A87" i="185" s="1"/>
  <c r="A88" i="185" s="1"/>
  <c r="A89" i="185" s="1"/>
  <c r="A90" i="185" s="1"/>
  <c r="A91" i="185" s="1"/>
  <c r="A92" i="185" s="1"/>
  <c r="A93" i="185" s="1"/>
  <c r="A94" i="185" s="1"/>
  <c r="A95" i="185" s="1"/>
  <c r="A96" i="185" s="1"/>
  <c r="A97" i="185" s="1"/>
  <c r="A98" i="185" s="1"/>
  <c r="A99" i="185" s="1"/>
  <c r="A100" i="185" s="1"/>
  <c r="A101" i="185" s="1"/>
  <c r="A102" i="185" s="1"/>
  <c r="A103" i="185" s="1"/>
  <c r="A104" i="185" s="1"/>
  <c r="A105" i="185" s="1"/>
  <c r="A106" i="185" s="1"/>
  <c r="A107" i="185" s="1"/>
  <c r="A108" i="185" s="1"/>
  <c r="A109" i="185" s="1"/>
  <c r="A110" i="185" s="1"/>
  <c r="A111" i="185" s="1"/>
  <c r="A112" i="185" s="1"/>
  <c r="A113" i="185" s="1"/>
  <c r="A114" i="185" s="1"/>
  <c r="A115" i="185" s="1"/>
  <c r="A116" i="185" s="1"/>
  <c r="A117" i="185" s="1"/>
  <c r="A118" i="185" s="1"/>
  <c r="A119" i="185" s="1"/>
  <c r="A120" i="185" s="1"/>
  <c r="A121" i="185" s="1"/>
  <c r="A122" i="185" s="1"/>
  <c r="A123" i="185" s="1"/>
  <c r="A124" i="185" s="1"/>
  <c r="A125" i="185" s="1"/>
  <c r="A126" i="185" s="1"/>
  <c r="A127" i="185" s="1"/>
  <c r="A128" i="185" s="1"/>
  <c r="A129" i="185" s="1"/>
  <c r="A130" i="185" s="1"/>
  <c r="A131" i="185" s="1"/>
  <c r="A132" i="185" s="1"/>
  <c r="A133" i="185" s="1"/>
  <c r="A134" i="185" s="1"/>
  <c r="A135" i="185" s="1"/>
  <c r="A136" i="185" s="1"/>
  <c r="A137" i="185" s="1"/>
  <c r="A138" i="185" s="1"/>
  <c r="A139" i="185" s="1"/>
  <c r="A140" i="185" s="1"/>
  <c r="A141" i="185" s="1"/>
  <c r="A142" i="185" s="1"/>
  <c r="A143" i="185" s="1"/>
  <c r="A144" i="185" s="1"/>
  <c r="A145" i="185" s="1"/>
  <c r="A146" i="185" s="1"/>
  <c r="A147" i="185" s="1"/>
  <c r="A148" i="185" s="1"/>
  <c r="A149" i="185" s="1"/>
  <c r="A150" i="185" s="1"/>
  <c r="A151" i="185" s="1"/>
  <c r="A152" i="185" s="1"/>
  <c r="A153" i="185" s="1"/>
  <c r="A154" i="185" s="1"/>
  <c r="A155" i="185" s="1"/>
  <c r="A156" i="185" s="1"/>
  <c r="A157" i="185" s="1"/>
  <c r="A158" i="185" s="1"/>
  <c r="A159" i="185" s="1"/>
  <c r="A160" i="185" s="1"/>
  <c r="A161" i="185" s="1"/>
  <c r="A162" i="185" s="1"/>
  <c r="A163" i="185" s="1"/>
  <c r="A164" i="185" s="1"/>
  <c r="A165" i="185" s="1"/>
  <c r="A166" i="185" s="1"/>
  <c r="A167" i="185" s="1"/>
  <c r="A168" i="185" s="1"/>
  <c r="A169" i="185" s="1"/>
  <c r="A170" i="185" s="1"/>
  <c r="A171" i="185" s="1"/>
  <c r="A172" i="185" s="1"/>
  <c r="A173" i="185" s="1"/>
  <c r="A174" i="185" s="1"/>
  <c r="A175" i="185" s="1"/>
  <c r="A176" i="185" s="1"/>
  <c r="A177" i="185" s="1"/>
  <c r="A178" i="185" s="1"/>
  <c r="A179" i="185" s="1"/>
  <c r="A180" i="185" s="1"/>
  <c r="A181" i="185" s="1"/>
  <c r="A182" i="185" s="1"/>
  <c r="A183" i="185" s="1"/>
  <c r="A184" i="185" s="1"/>
  <c r="A185" i="185" s="1"/>
  <c r="A186" i="185" s="1"/>
  <c r="A187" i="185" s="1"/>
  <c r="A188" i="185" s="1"/>
  <c r="A189" i="185" s="1"/>
  <c r="A190" i="185" s="1"/>
  <c r="A191" i="185" s="1"/>
  <c r="A192" i="185" s="1"/>
  <c r="A193" i="185" s="1"/>
  <c r="A194" i="185" s="1"/>
  <c r="A195" i="185" s="1"/>
  <c r="A196" i="185" s="1"/>
  <c r="A197" i="185" s="1"/>
  <c r="A198" i="185" s="1"/>
  <c r="A199" i="185" s="1"/>
  <c r="A200" i="185" s="1"/>
  <c r="A201" i="185" s="1"/>
  <c r="A202" i="185" s="1"/>
  <c r="A203" i="185" s="1"/>
  <c r="A204" i="185" s="1"/>
  <c r="A205" i="185" s="1"/>
  <c r="A206" i="185" s="1"/>
  <c r="A207" i="185" s="1"/>
  <c r="A208" i="185" s="1"/>
  <c r="A209" i="185" s="1"/>
  <c r="A210" i="185" s="1"/>
  <c r="A211" i="185" s="1"/>
  <c r="A212" i="185" s="1"/>
  <c r="A213" i="185" s="1"/>
  <c r="A214" i="185" s="1"/>
  <c r="A215" i="185" s="1"/>
  <c r="A216" i="185" s="1"/>
  <c r="A217" i="185" s="1"/>
  <c r="A218" i="185" s="1"/>
  <c r="A219" i="185" s="1"/>
  <c r="A220" i="185" s="1"/>
  <c r="A221" i="185" s="1"/>
  <c r="A222" i="185" s="1"/>
  <c r="A223" i="185" s="1"/>
  <c r="A224" i="185" s="1"/>
  <c r="A225" i="185" s="1"/>
  <c r="A226" i="185" s="1"/>
  <c r="A227" i="185" s="1"/>
  <c r="A228" i="185" s="1"/>
  <c r="A229" i="185" s="1"/>
  <c r="A230" i="185" s="1"/>
  <c r="A231" i="185" s="1"/>
  <c r="A232" i="185" s="1"/>
  <c r="A233" i="185" s="1"/>
  <c r="A234" i="185" s="1"/>
  <c r="A235" i="185" s="1"/>
  <c r="A236" i="185" s="1"/>
  <c r="A237" i="185" s="1"/>
  <c r="A238" i="185" s="1"/>
  <c r="A239" i="185" s="1"/>
  <c r="A240" i="185" s="1"/>
  <c r="A241" i="185" s="1"/>
  <c r="A242" i="185" s="1"/>
  <c r="A243" i="185" s="1"/>
  <c r="A244" i="185" s="1"/>
  <c r="A245" i="185" s="1"/>
  <c r="A246" i="185" s="1"/>
  <c r="A247" i="185" s="1"/>
  <c r="A248" i="185" s="1"/>
  <c r="A249" i="185" s="1"/>
  <c r="A250" i="185" s="1"/>
  <c r="A251" i="185" s="1"/>
  <c r="A252" i="185" s="1"/>
  <c r="A253" i="185" s="1"/>
  <c r="A254" i="185" s="1"/>
  <c r="A255" i="185" s="1"/>
  <c r="A256" i="185" s="1"/>
  <c r="A257" i="185" s="1"/>
  <c r="A258" i="185" s="1"/>
  <c r="A259" i="185" s="1"/>
  <c r="A260" i="185" s="1"/>
  <c r="A261" i="185" s="1"/>
  <c r="A262" i="185" s="1"/>
  <c r="A263" i="185" s="1"/>
  <c r="A264" i="185" s="1"/>
  <c r="A265" i="185" s="1"/>
  <c r="A266" i="185" s="1"/>
  <c r="A267" i="185" s="1"/>
  <c r="A268" i="185" s="1"/>
  <c r="A269" i="185" s="1"/>
  <c r="A270" i="185" s="1"/>
  <c r="A271" i="185" s="1"/>
  <c r="A272" i="185" s="1"/>
  <c r="A273" i="185" s="1"/>
  <c r="A274" i="185" s="1"/>
  <c r="A275" i="185" s="1"/>
  <c r="A276" i="185" s="1"/>
  <c r="A277" i="185" s="1"/>
  <c r="A278" i="185" s="1"/>
  <c r="A279" i="185" s="1"/>
  <c r="A280" i="185" s="1"/>
  <c r="A281" i="185" s="1"/>
  <c r="A282" i="185" s="1"/>
  <c r="A283" i="185" s="1"/>
  <c r="A284" i="185" s="1"/>
  <c r="A285" i="185" s="1"/>
  <c r="A286" i="185" s="1"/>
  <c r="A287" i="185" s="1"/>
  <c r="A288" i="185" s="1"/>
  <c r="A289" i="185" s="1"/>
  <c r="A290" i="185" s="1"/>
  <c r="A291" i="185" s="1"/>
  <c r="A292" i="185" s="1"/>
  <c r="A293" i="185" s="1"/>
  <c r="A294" i="185" s="1"/>
  <c r="A295" i="185" s="1"/>
  <c r="A296" i="185" s="1"/>
  <c r="A297" i="185" s="1"/>
  <c r="A298" i="185" s="1"/>
  <c r="A299" i="185" s="1"/>
  <c r="A300" i="185" s="1"/>
  <c r="A301" i="185" s="1"/>
  <c r="A302" i="185" s="1"/>
  <c r="A303" i="185" s="1"/>
  <c r="A304" i="185" s="1"/>
  <c r="A305" i="185" s="1"/>
  <c r="A306" i="185" s="1"/>
  <c r="A307" i="185" s="1"/>
  <c r="A308" i="185" s="1"/>
  <c r="A309" i="185" s="1"/>
  <c r="A310" i="185" s="1"/>
  <c r="A311" i="185" s="1"/>
  <c r="A312" i="185" s="1"/>
  <c r="A313" i="185" s="1"/>
  <c r="A314" i="185" s="1"/>
  <c r="A315" i="185" s="1"/>
  <c r="A316" i="185" s="1"/>
  <c r="A317" i="185" s="1"/>
  <c r="A318" i="185" s="1"/>
  <c r="A319" i="185" s="1"/>
  <c r="A320" i="185" s="1"/>
  <c r="A321" i="185" s="1"/>
  <c r="A322" i="185" s="1"/>
  <c r="A323" i="185" s="1"/>
  <c r="A324" i="185" s="1"/>
  <c r="A325" i="185" s="1"/>
  <c r="A326" i="185" s="1"/>
  <c r="A327" i="185" s="1"/>
  <c r="A328" i="185" s="1"/>
  <c r="A329" i="185" s="1"/>
  <c r="A330" i="185" s="1"/>
  <c r="A331" i="185" s="1"/>
  <c r="A332" i="185" s="1"/>
  <c r="A333" i="185" s="1"/>
  <c r="A334" i="185" s="1"/>
  <c r="A335" i="185" s="1"/>
  <c r="A336" i="185" s="1"/>
  <c r="A337" i="185" s="1"/>
  <c r="A338" i="185" s="1"/>
  <c r="A339" i="185" s="1"/>
  <c r="A340" i="185" s="1"/>
  <c r="A341" i="185" s="1"/>
  <c r="A342" i="185" s="1"/>
  <c r="AE99" i="185" l="1"/>
  <c r="AE103" i="185"/>
  <c r="AE95" i="185"/>
  <c r="AD103" i="185"/>
  <c r="AD99" i="185"/>
  <c r="AE115" i="185"/>
  <c r="AE113" i="185"/>
  <c r="AE111" i="185"/>
  <c r="AE109" i="185"/>
  <c r="AE107" i="185"/>
  <c r="AE105" i="185"/>
  <c r="AE101" i="185"/>
  <c r="AE97" i="185"/>
  <c r="AD115" i="185"/>
  <c r="AC114" i="185"/>
  <c r="AD113" i="185"/>
  <c r="AC112" i="185"/>
  <c r="AD111" i="185"/>
  <c r="AC110" i="185"/>
  <c r="AD109" i="185"/>
  <c r="AC108" i="185"/>
  <c r="AD107" i="185"/>
  <c r="AC106" i="185"/>
  <c r="AD105" i="185"/>
  <c r="AD101" i="185"/>
  <c r="AD97" i="185"/>
  <c r="AE114" i="185"/>
  <c r="AE112" i="185"/>
  <c r="AE110" i="185"/>
  <c r="AE108" i="185"/>
  <c r="AE106" i="185"/>
  <c r="AE104" i="185"/>
  <c r="AE102" i="185"/>
  <c r="AE100" i="185"/>
  <c r="AE98" i="185"/>
  <c r="AE96" i="185"/>
  <c r="AE94" i="185"/>
  <c r="AD104" i="185"/>
  <c r="AD102" i="185"/>
  <c r="AD100" i="185"/>
  <c r="AD98" i="185"/>
  <c r="AD96" i="185"/>
  <c r="AD94" i="185"/>
  <c r="M353" i="185"/>
  <c r="M346" i="185"/>
  <c r="M355" i="185" s="1"/>
  <c r="S332" i="185"/>
  <c r="S333" i="185"/>
  <c r="S334" i="185"/>
  <c r="S335" i="185"/>
  <c r="S336" i="185"/>
  <c r="S337" i="185"/>
  <c r="S338" i="185"/>
  <c r="S339" i="185"/>
  <c r="S340" i="185"/>
  <c r="S341" i="185"/>
  <c r="S342" i="185"/>
  <c r="R353" i="185"/>
  <c r="S350" i="185"/>
  <c r="Q350" i="185"/>
  <c r="R346" i="185"/>
  <c r="Q346" i="185"/>
  <c r="Q353" i="185" s="1"/>
  <c r="P346" i="185"/>
  <c r="O346" i="185"/>
  <c r="N346" i="185"/>
  <c r="N348" i="185" s="1"/>
  <c r="N353" i="185" s="1"/>
  <c r="S331" i="185"/>
  <c r="S330" i="185"/>
  <c r="S329" i="185"/>
  <c r="S328" i="185"/>
  <c r="S327" i="185"/>
  <c r="S326" i="185"/>
  <c r="S325" i="185"/>
  <c r="S324" i="185"/>
  <c r="S323" i="185"/>
  <c r="S322" i="185"/>
  <c r="S321" i="185"/>
  <c r="S320" i="185"/>
  <c r="S319" i="185"/>
  <c r="S318" i="185"/>
  <c r="S317" i="185"/>
  <c r="S316" i="185"/>
  <c r="S315" i="185"/>
  <c r="S314" i="185"/>
  <c r="S313" i="185"/>
  <c r="S312" i="185"/>
  <c r="S311" i="185"/>
  <c r="S310" i="185"/>
  <c r="S309" i="185"/>
  <c r="S308" i="185"/>
  <c r="S307" i="185"/>
  <c r="S306" i="185"/>
  <c r="S305" i="185"/>
  <c r="S304" i="185"/>
  <c r="S34" i="185"/>
  <c r="S303" i="185"/>
  <c r="S302" i="185"/>
  <c r="S301" i="185"/>
  <c r="S300" i="185"/>
  <c r="S299" i="185"/>
  <c r="S298" i="185"/>
  <c r="S108" i="185"/>
  <c r="S93" i="185"/>
  <c r="S297" i="185"/>
  <c r="S107" i="185"/>
  <c r="S87" i="185"/>
  <c r="S296" i="185"/>
  <c r="S295" i="185"/>
  <c r="S294" i="185"/>
  <c r="S92" i="185"/>
  <c r="S80" i="185"/>
  <c r="S86" i="185"/>
  <c r="S145" i="185"/>
  <c r="S144" i="185"/>
  <c r="S109" i="185"/>
  <c r="S88" i="185"/>
  <c r="S91" i="185"/>
  <c r="S293" i="185"/>
  <c r="S90" i="185"/>
  <c r="S159" i="185"/>
  <c r="S89" i="185"/>
  <c r="S158" i="185"/>
  <c r="S292" i="185"/>
  <c r="S79" i="185"/>
  <c r="S85" i="185"/>
  <c r="S84" i="185"/>
  <c r="S83" i="185"/>
  <c r="S199" i="185"/>
  <c r="S198" i="185"/>
  <c r="S291" i="185"/>
  <c r="S82" i="185"/>
  <c r="S185" i="185"/>
  <c r="S184" i="185"/>
  <c r="S81" i="185"/>
  <c r="S78" i="185"/>
  <c r="S290" i="185"/>
  <c r="S113" i="185"/>
  <c r="S110" i="185"/>
  <c r="S197" i="185"/>
  <c r="S196" i="185"/>
  <c r="S195" i="185"/>
  <c r="S194" i="185"/>
  <c r="S114" i="185"/>
  <c r="S181" i="185"/>
  <c r="S180" i="185"/>
  <c r="S179" i="185"/>
  <c r="S178" i="185"/>
  <c r="S177" i="185"/>
  <c r="S176" i="185"/>
  <c r="S111" i="185"/>
  <c r="S289" i="185"/>
  <c r="S288" i="185"/>
  <c r="S112" i="185"/>
  <c r="S163" i="185"/>
  <c r="S162" i="185"/>
  <c r="S161" i="185"/>
  <c r="S160" i="185"/>
  <c r="S99" i="185"/>
  <c r="S101" i="185"/>
  <c r="S100" i="185"/>
  <c r="S105" i="185"/>
  <c r="S104" i="185"/>
  <c r="S102" i="185"/>
  <c r="S219" i="185"/>
  <c r="S218" i="185"/>
  <c r="S153" i="185"/>
  <c r="S152" i="185"/>
  <c r="S98" i="185"/>
  <c r="S106" i="185"/>
  <c r="S14" i="185"/>
  <c r="S103" i="185"/>
  <c r="S13" i="185"/>
  <c r="S287" i="185"/>
  <c r="S286" i="185"/>
  <c r="S285" i="185"/>
  <c r="S284" i="185"/>
  <c r="S283" i="185"/>
  <c r="S77" i="185"/>
  <c r="S137" i="185"/>
  <c r="S136" i="185"/>
  <c r="S135" i="185"/>
  <c r="S134" i="185"/>
  <c r="S74" i="185"/>
  <c r="S76" i="185"/>
  <c r="S75" i="185"/>
  <c r="S167" i="185"/>
  <c r="S166" i="185"/>
  <c r="S165" i="185"/>
  <c r="S164" i="185"/>
  <c r="S71" i="185"/>
  <c r="S72" i="185"/>
  <c r="S73" i="185"/>
  <c r="S40" i="185"/>
  <c r="S189" i="185"/>
  <c r="S188" i="185"/>
  <c r="S39" i="185"/>
  <c r="S94" i="185"/>
  <c r="S151" i="185"/>
  <c r="S150" i="185"/>
  <c r="S38" i="185"/>
  <c r="S149" i="185"/>
  <c r="S282" i="185"/>
  <c r="S95" i="185"/>
  <c r="S148" i="185"/>
  <c r="S147" i="185"/>
  <c r="S146" i="185"/>
  <c r="S281" i="185"/>
  <c r="S97" i="185"/>
  <c r="S96" i="185"/>
  <c r="S117" i="185"/>
  <c r="S116" i="185"/>
  <c r="S280" i="185"/>
  <c r="S20" i="185"/>
  <c r="S279" i="185"/>
  <c r="S19" i="185"/>
  <c r="S191" i="185"/>
  <c r="S190" i="185"/>
  <c r="S18" i="185"/>
  <c r="S169" i="185"/>
  <c r="S168" i="185"/>
  <c r="S278" i="185"/>
  <c r="S17" i="185"/>
  <c r="S16" i="185"/>
  <c r="S193" i="185"/>
  <c r="S192" i="185"/>
  <c r="S15" i="185"/>
  <c r="S30" i="185"/>
  <c r="S119" i="185"/>
  <c r="S118" i="185"/>
  <c r="S277" i="185"/>
  <c r="S276" i="185"/>
  <c r="S275" i="185"/>
  <c r="S29" i="185"/>
  <c r="S22" i="185"/>
  <c r="S23" i="185"/>
  <c r="S143" i="185"/>
  <c r="S142" i="185"/>
  <c r="S141" i="185"/>
  <c r="S25" i="185"/>
  <c r="S274" i="185"/>
  <c r="S139" i="185"/>
  <c r="S140" i="185"/>
  <c r="S27" i="185"/>
  <c r="S26" i="185"/>
  <c r="S138" i="185"/>
  <c r="S28" i="185"/>
  <c r="S24" i="185"/>
  <c r="S273" i="185"/>
  <c r="S272" i="185"/>
  <c r="S271" i="185"/>
  <c r="S270" i="185"/>
  <c r="S269" i="185"/>
  <c r="S268" i="185"/>
  <c r="S60" i="185"/>
  <c r="S133" i="185"/>
  <c r="S66" i="185"/>
  <c r="S187" i="185"/>
  <c r="S186" i="185"/>
  <c r="S61" i="185"/>
  <c r="S157" i="185"/>
  <c r="S156" i="185"/>
  <c r="S155" i="185"/>
  <c r="S68" i="185"/>
  <c r="S154" i="185"/>
  <c r="S65" i="185"/>
  <c r="S183" i="185"/>
  <c r="S182" i="185"/>
  <c r="S132" i="185"/>
  <c r="S64" i="185"/>
  <c r="S175" i="185"/>
  <c r="S174" i="185"/>
  <c r="S69" i="185"/>
  <c r="S70" i="185"/>
  <c r="S115" i="185"/>
  <c r="S267" i="185"/>
  <c r="S67" i="185"/>
  <c r="S63" i="185"/>
  <c r="S173" i="185"/>
  <c r="S171" i="185"/>
  <c r="S172" i="185"/>
  <c r="S170" i="185"/>
  <c r="S62" i="185"/>
  <c r="S266" i="185"/>
  <c r="S265" i="185"/>
  <c r="S59" i="185"/>
  <c r="S58" i="185"/>
  <c r="S264" i="185"/>
  <c r="S203" i="185"/>
  <c r="S202" i="185"/>
  <c r="S263" i="185"/>
  <c r="S31" i="185"/>
  <c r="S262" i="185"/>
  <c r="S261" i="185"/>
  <c r="S260" i="185"/>
  <c r="S259" i="185"/>
  <c r="S32" i="185"/>
  <c r="S207" i="185"/>
  <c r="S206" i="185"/>
  <c r="S258" i="185"/>
  <c r="S33" i="185"/>
  <c r="S223" i="185"/>
  <c r="S257" i="185"/>
  <c r="S256" i="185"/>
  <c r="AF93" i="185"/>
  <c r="AG93" i="185" s="1"/>
  <c r="Z93" i="185"/>
  <c r="AE93" i="185" s="1"/>
  <c r="Y93" i="185"/>
  <c r="X93" i="185"/>
  <c r="W93" i="185"/>
  <c r="V93" i="185"/>
  <c r="U93" i="185"/>
  <c r="S222" i="185"/>
  <c r="AF92" i="185"/>
  <c r="AG92" i="185" s="1"/>
  <c r="Z92" i="185"/>
  <c r="Y92" i="185"/>
  <c r="X92" i="185"/>
  <c r="W92" i="185"/>
  <c r="V92" i="185"/>
  <c r="U92" i="185"/>
  <c r="S209" i="185"/>
  <c r="AF91" i="185"/>
  <c r="AG91" i="185" s="1"/>
  <c r="Z91" i="185"/>
  <c r="AD91" i="185" s="1"/>
  <c r="Y91" i="185"/>
  <c r="X91" i="185"/>
  <c r="W91" i="185"/>
  <c r="V91" i="185"/>
  <c r="U91" i="185"/>
  <c r="S208" i="185"/>
  <c r="AF90" i="185"/>
  <c r="AG90" i="185" s="1"/>
  <c r="Z90" i="185"/>
  <c r="AD90" i="185" s="1"/>
  <c r="Y90" i="185"/>
  <c r="X90" i="185"/>
  <c r="W90" i="185"/>
  <c r="V90" i="185"/>
  <c r="U90" i="185"/>
  <c r="S255" i="185"/>
  <c r="AF89" i="185"/>
  <c r="AG89" i="185" s="1"/>
  <c r="Z89" i="185"/>
  <c r="AC89" i="185" s="1"/>
  <c r="Y89" i="185"/>
  <c r="X89" i="185"/>
  <c r="W89" i="185"/>
  <c r="V89" i="185"/>
  <c r="U89" i="185"/>
  <c r="S254" i="185"/>
  <c r="AF88" i="185"/>
  <c r="AG88" i="185" s="1"/>
  <c r="Z88" i="185"/>
  <c r="AD88" i="185" s="1"/>
  <c r="Y88" i="185"/>
  <c r="X88" i="185"/>
  <c r="W88" i="185"/>
  <c r="V88" i="185"/>
  <c r="U88" i="185"/>
  <c r="S253" i="185"/>
  <c r="AF87" i="185"/>
  <c r="AG87" i="185" s="1"/>
  <c r="Z87" i="185"/>
  <c r="AE87" i="185" s="1"/>
  <c r="Y87" i="185"/>
  <c r="X87" i="185"/>
  <c r="W87" i="185"/>
  <c r="V87" i="185"/>
  <c r="U87" i="185"/>
  <c r="S252" i="185"/>
  <c r="AF86" i="185"/>
  <c r="AG86" i="185" s="1"/>
  <c r="Z86" i="185"/>
  <c r="AC86" i="185" s="1"/>
  <c r="Y86" i="185"/>
  <c r="X86" i="185"/>
  <c r="W86" i="185"/>
  <c r="V86" i="185"/>
  <c r="U86" i="185"/>
  <c r="S56" i="185"/>
  <c r="AF85" i="185"/>
  <c r="AG85" i="185" s="1"/>
  <c r="Z85" i="185"/>
  <c r="AE85" i="185" s="1"/>
  <c r="Y85" i="185"/>
  <c r="X85" i="185"/>
  <c r="W85" i="185"/>
  <c r="V85" i="185"/>
  <c r="U85" i="185"/>
  <c r="S217" i="185"/>
  <c r="AF84" i="185"/>
  <c r="AG84" i="185" s="1"/>
  <c r="Z84" i="185"/>
  <c r="AD84" i="185" s="1"/>
  <c r="Y84" i="185"/>
  <c r="X84" i="185"/>
  <c r="W84" i="185"/>
  <c r="V84" i="185"/>
  <c r="U84" i="185"/>
  <c r="S216" i="185"/>
  <c r="AF83" i="185"/>
  <c r="AG83" i="185" s="1"/>
  <c r="Z83" i="185"/>
  <c r="AE83" i="185" s="1"/>
  <c r="Y83" i="185"/>
  <c r="X83" i="185"/>
  <c r="W83" i="185"/>
  <c r="V83" i="185"/>
  <c r="U83" i="185"/>
  <c r="S41" i="185"/>
  <c r="S215" i="185"/>
  <c r="AF82" i="185"/>
  <c r="AG82" i="185" s="1"/>
  <c r="Z82" i="185"/>
  <c r="Y82" i="185"/>
  <c r="X82" i="185"/>
  <c r="W82" i="185"/>
  <c r="V82" i="185"/>
  <c r="U82" i="185"/>
  <c r="S214" i="185"/>
  <c r="AF81" i="185"/>
  <c r="AG81" i="185" s="1"/>
  <c r="Z81" i="185"/>
  <c r="AD81" i="185" s="1"/>
  <c r="Y81" i="185"/>
  <c r="X81" i="185"/>
  <c r="W81" i="185"/>
  <c r="V81" i="185"/>
  <c r="U81" i="185"/>
  <c r="S251" i="185"/>
  <c r="AF80" i="185"/>
  <c r="AG80" i="185" s="1"/>
  <c r="Z80" i="185"/>
  <c r="AD80" i="185" s="1"/>
  <c r="Y80" i="185"/>
  <c r="X80" i="185"/>
  <c r="W80" i="185"/>
  <c r="V80" i="185"/>
  <c r="U80" i="185"/>
  <c r="S57" i="185"/>
  <c r="AF79" i="185"/>
  <c r="AG79" i="185" s="1"/>
  <c r="Z79" i="185"/>
  <c r="AC79" i="185" s="1"/>
  <c r="Y79" i="185"/>
  <c r="X79" i="185"/>
  <c r="W79" i="185"/>
  <c r="V79" i="185"/>
  <c r="U79" i="185"/>
  <c r="S225" i="185"/>
  <c r="AF78" i="185"/>
  <c r="AG78" i="185" s="1"/>
  <c r="Z78" i="185"/>
  <c r="AE78" i="185" s="1"/>
  <c r="Y78" i="185"/>
  <c r="X78" i="185"/>
  <c r="W78" i="185"/>
  <c r="V78" i="185"/>
  <c r="U78" i="185"/>
  <c r="S43" i="185"/>
  <c r="AF77" i="185"/>
  <c r="AG77" i="185" s="1"/>
  <c r="Z77" i="185"/>
  <c r="Y77" i="185"/>
  <c r="X77" i="185"/>
  <c r="W77" i="185"/>
  <c r="V77" i="185"/>
  <c r="U77" i="185"/>
  <c r="S42" i="185"/>
  <c r="AF76" i="185"/>
  <c r="AG76" i="185" s="1"/>
  <c r="Z76" i="185"/>
  <c r="AD76" i="185" s="1"/>
  <c r="Y76" i="185"/>
  <c r="X76" i="185"/>
  <c r="W76" i="185"/>
  <c r="V76" i="185"/>
  <c r="U76" i="185"/>
  <c r="S224" i="185"/>
  <c r="AF75" i="185"/>
  <c r="AG75" i="185" s="1"/>
  <c r="Z75" i="185"/>
  <c r="AE75" i="185" s="1"/>
  <c r="Y75" i="185"/>
  <c r="X75" i="185"/>
  <c r="W75" i="185"/>
  <c r="V75" i="185"/>
  <c r="U75" i="185"/>
  <c r="S250" i="185"/>
  <c r="AF74" i="185"/>
  <c r="AG74" i="185" s="1"/>
  <c r="Z74" i="185"/>
  <c r="AC74" i="185" s="1"/>
  <c r="Y74" i="185"/>
  <c r="X74" i="185"/>
  <c r="W74" i="185"/>
  <c r="V74" i="185"/>
  <c r="U74" i="185"/>
  <c r="S249" i="185"/>
  <c r="AF73" i="185"/>
  <c r="AG73" i="185" s="1"/>
  <c r="Z73" i="185"/>
  <c r="AD73" i="185" s="1"/>
  <c r="Y73" i="185"/>
  <c r="X73" i="185"/>
  <c r="W73" i="185"/>
  <c r="V73" i="185"/>
  <c r="U73" i="185"/>
  <c r="S55" i="185"/>
  <c r="AF72" i="185"/>
  <c r="AG72" i="185" s="1"/>
  <c r="Z72" i="185"/>
  <c r="AD72" i="185" s="1"/>
  <c r="Y72" i="185"/>
  <c r="X72" i="185"/>
  <c r="W72" i="185"/>
  <c r="V72" i="185"/>
  <c r="U72" i="185"/>
  <c r="S21" i="185"/>
  <c r="AF71" i="185"/>
  <c r="AG71" i="185" s="1"/>
  <c r="Z71" i="185"/>
  <c r="AD71" i="185" s="1"/>
  <c r="Y71" i="185"/>
  <c r="X71" i="185"/>
  <c r="W71" i="185"/>
  <c r="V71" i="185"/>
  <c r="U71" i="185"/>
  <c r="S52" i="185"/>
  <c r="AF70" i="185"/>
  <c r="AG70" i="185" s="1"/>
  <c r="Z70" i="185"/>
  <c r="AE70" i="185" s="1"/>
  <c r="Y70" i="185"/>
  <c r="X70" i="185"/>
  <c r="W70" i="185"/>
  <c r="V70" i="185"/>
  <c r="U70" i="185"/>
  <c r="S50" i="185"/>
  <c r="AF69" i="185"/>
  <c r="AG69" i="185" s="1"/>
  <c r="Z69" i="185"/>
  <c r="AD69" i="185" s="1"/>
  <c r="Y69" i="185"/>
  <c r="X69" i="185"/>
  <c r="W69" i="185"/>
  <c r="V69" i="185"/>
  <c r="U69" i="185"/>
  <c r="S48" i="185"/>
  <c r="AF68" i="185"/>
  <c r="AG68" i="185" s="1"/>
  <c r="Z68" i="185"/>
  <c r="AC68" i="185" s="1"/>
  <c r="Y68" i="185"/>
  <c r="X68" i="185"/>
  <c r="W68" i="185"/>
  <c r="V68" i="185"/>
  <c r="U68" i="185"/>
  <c r="S47" i="185"/>
  <c r="AF67" i="185"/>
  <c r="AG67" i="185" s="1"/>
  <c r="Z67" i="185"/>
  <c r="AD67" i="185" s="1"/>
  <c r="Y67" i="185"/>
  <c r="X67" i="185"/>
  <c r="W67" i="185"/>
  <c r="V67" i="185"/>
  <c r="U67" i="185"/>
  <c r="S46" i="185"/>
  <c r="Z66" i="185"/>
  <c r="Y66" i="185"/>
  <c r="X66" i="185"/>
  <c r="W66" i="185"/>
  <c r="V66" i="185"/>
  <c r="U66" i="185"/>
  <c r="S45" i="185"/>
  <c r="Z65" i="185"/>
  <c r="AC65" i="185" s="1"/>
  <c r="Y65" i="185"/>
  <c r="X65" i="185"/>
  <c r="W65" i="185"/>
  <c r="V65" i="185"/>
  <c r="U65" i="185"/>
  <c r="S248" i="185"/>
  <c r="AF64" i="185"/>
  <c r="AG64" i="185" s="1"/>
  <c r="Z64" i="185"/>
  <c r="AE64" i="185" s="1"/>
  <c r="Y64" i="185"/>
  <c r="X64" i="185"/>
  <c r="W64" i="185"/>
  <c r="V64" i="185"/>
  <c r="U64" i="185"/>
  <c r="S44" i="185"/>
  <c r="AF63" i="185"/>
  <c r="AG63" i="185" s="1"/>
  <c r="Z63" i="185"/>
  <c r="AE63" i="185" s="1"/>
  <c r="Y63" i="185"/>
  <c r="X63" i="185"/>
  <c r="W63" i="185"/>
  <c r="V63" i="185"/>
  <c r="U63" i="185"/>
  <c r="S201" i="185"/>
  <c r="AF62" i="185"/>
  <c r="AG62" i="185" s="1"/>
  <c r="Z62" i="185"/>
  <c r="AC62" i="185" s="1"/>
  <c r="Y62" i="185"/>
  <c r="X62" i="185"/>
  <c r="W62" i="185"/>
  <c r="V62" i="185"/>
  <c r="U62" i="185"/>
  <c r="S53" i="185"/>
  <c r="AF61" i="185"/>
  <c r="AG61" i="185" s="1"/>
  <c r="Z61" i="185"/>
  <c r="Y61" i="185"/>
  <c r="X61" i="185"/>
  <c r="W61" i="185"/>
  <c r="V61" i="185"/>
  <c r="U61" i="185"/>
  <c r="S51" i="185"/>
  <c r="AF60" i="185"/>
  <c r="AG60" i="185" s="1"/>
  <c r="Z60" i="185"/>
  <c r="AE60" i="185" s="1"/>
  <c r="Y60" i="185"/>
  <c r="X60" i="185"/>
  <c r="W60" i="185"/>
  <c r="V60" i="185"/>
  <c r="U60" i="185"/>
  <c r="S247" i="185"/>
  <c r="AF59" i="185"/>
  <c r="AG59" i="185" s="1"/>
  <c r="Z59" i="185"/>
  <c r="AE59" i="185" s="1"/>
  <c r="Y59" i="185"/>
  <c r="X59" i="185"/>
  <c r="W59" i="185"/>
  <c r="V59" i="185"/>
  <c r="U59" i="185"/>
  <c r="S205" i="185"/>
  <c r="AF58" i="185"/>
  <c r="AG58" i="185" s="1"/>
  <c r="Z58" i="185"/>
  <c r="AE58" i="185" s="1"/>
  <c r="Y58" i="185"/>
  <c r="X58" i="185"/>
  <c r="W58" i="185"/>
  <c r="V58" i="185"/>
  <c r="U58" i="185"/>
  <c r="S204" i="185"/>
  <c r="AG57" i="185"/>
  <c r="Z57" i="185"/>
  <c r="Y57" i="185"/>
  <c r="X57" i="185"/>
  <c r="W57" i="185"/>
  <c r="V57" i="185"/>
  <c r="U57" i="185"/>
  <c r="S200" i="185"/>
  <c r="Z56" i="185"/>
  <c r="AC56" i="185" s="1"/>
  <c r="Y56" i="185"/>
  <c r="X56" i="185"/>
  <c r="W56" i="185"/>
  <c r="V56" i="185"/>
  <c r="U56" i="185"/>
  <c r="S49" i="185"/>
  <c r="Z55" i="185"/>
  <c r="Y55" i="185"/>
  <c r="X55" i="185"/>
  <c r="W55" i="185"/>
  <c r="V55" i="185"/>
  <c r="U55" i="185"/>
  <c r="S211" i="185"/>
  <c r="AF54" i="185"/>
  <c r="AG54" i="185" s="1"/>
  <c r="Z54" i="185"/>
  <c r="AE54" i="185" s="1"/>
  <c r="Y54" i="185"/>
  <c r="X54" i="185"/>
  <c r="W54" i="185"/>
  <c r="V54" i="185"/>
  <c r="U54" i="185"/>
  <c r="S210" i="185"/>
  <c r="AF53" i="185"/>
  <c r="AG53" i="185" s="1"/>
  <c r="Z53" i="185"/>
  <c r="AE53" i="185" s="1"/>
  <c r="Y53" i="185"/>
  <c r="X53" i="185"/>
  <c r="W53" i="185"/>
  <c r="V53" i="185"/>
  <c r="U53" i="185"/>
  <c r="S54" i="185"/>
  <c r="Z52" i="185"/>
  <c r="Y52" i="185"/>
  <c r="X52" i="185"/>
  <c r="W52" i="185"/>
  <c r="V52" i="185"/>
  <c r="U52" i="185"/>
  <c r="S213" i="185"/>
  <c r="AG51" i="185"/>
  <c r="Z51" i="185"/>
  <c r="AC51" i="185" s="1"/>
  <c r="Y51" i="185"/>
  <c r="X51" i="185"/>
  <c r="W51" i="185"/>
  <c r="V51" i="185"/>
  <c r="U51" i="185"/>
  <c r="S212" i="185"/>
  <c r="Z50" i="185"/>
  <c r="AE50" i="185" s="1"/>
  <c r="Y50" i="185"/>
  <c r="X50" i="185"/>
  <c r="W50" i="185"/>
  <c r="V50" i="185"/>
  <c r="U50" i="185"/>
  <c r="S246" i="185"/>
  <c r="AF49" i="185"/>
  <c r="AG49" i="185" s="1"/>
  <c r="Z49" i="185"/>
  <c r="AD49" i="185" s="1"/>
  <c r="Y49" i="185"/>
  <c r="X49" i="185"/>
  <c r="W49" i="185"/>
  <c r="V49" i="185"/>
  <c r="U49" i="185"/>
  <c r="S7" i="185"/>
  <c r="AG48" i="185"/>
  <c r="Z48" i="185"/>
  <c r="AE48" i="185" s="1"/>
  <c r="Y48" i="185"/>
  <c r="X48" i="185"/>
  <c r="W48" i="185"/>
  <c r="V48" i="185"/>
  <c r="U48" i="185"/>
  <c r="S121" i="185"/>
  <c r="AG47" i="185"/>
  <c r="Z47" i="185"/>
  <c r="Y47" i="185"/>
  <c r="X47" i="185"/>
  <c r="W47" i="185"/>
  <c r="V47" i="185"/>
  <c r="U47" i="185"/>
  <c r="S120" i="185"/>
  <c r="AG46" i="185"/>
  <c r="Z46" i="185"/>
  <c r="AD46" i="185" s="1"/>
  <c r="Y46" i="185"/>
  <c r="X46" i="185"/>
  <c r="W46" i="185"/>
  <c r="V46" i="185"/>
  <c r="U46" i="185"/>
  <c r="S8" i="185"/>
  <c r="Z45" i="185"/>
  <c r="AC45" i="185" s="1"/>
  <c r="Y45" i="185"/>
  <c r="X45" i="185"/>
  <c r="W45" i="185"/>
  <c r="V45" i="185"/>
  <c r="U45" i="185"/>
  <c r="S6" i="185"/>
  <c r="AG44" i="185"/>
  <c r="Z44" i="185"/>
  <c r="Y44" i="185"/>
  <c r="X44" i="185"/>
  <c r="W44" i="185"/>
  <c r="V44" i="185"/>
  <c r="U44" i="185"/>
  <c r="S9" i="185"/>
  <c r="AG43" i="185"/>
  <c r="Z43" i="185"/>
  <c r="AE43" i="185" s="1"/>
  <c r="Y43" i="185"/>
  <c r="X43" i="185"/>
  <c r="W43" i="185"/>
  <c r="V43" i="185"/>
  <c r="U43" i="185"/>
  <c r="S10" i="185"/>
  <c r="AG42" i="185"/>
  <c r="Z42" i="185"/>
  <c r="AE42" i="185" s="1"/>
  <c r="Y42" i="185"/>
  <c r="X42" i="185"/>
  <c r="W42" i="185"/>
  <c r="V42" i="185"/>
  <c r="U42" i="185"/>
  <c r="S125" i="185"/>
  <c r="AG41" i="185"/>
  <c r="Z41" i="185"/>
  <c r="AD41" i="185" s="1"/>
  <c r="Y41" i="185"/>
  <c r="X41" i="185"/>
  <c r="W41" i="185"/>
  <c r="V41" i="185"/>
  <c r="U41" i="185"/>
  <c r="S124" i="185"/>
  <c r="AG40" i="185"/>
  <c r="Z40" i="185"/>
  <c r="AC40" i="185" s="1"/>
  <c r="Y40" i="185"/>
  <c r="X40" i="185"/>
  <c r="W40" i="185"/>
  <c r="V40" i="185"/>
  <c r="U40" i="185"/>
  <c r="S123" i="185"/>
  <c r="AF39" i="185"/>
  <c r="AG39" i="185" s="1"/>
  <c r="Z39" i="185"/>
  <c r="AC39" i="185" s="1"/>
  <c r="Y39" i="185"/>
  <c r="X39" i="185"/>
  <c r="W39" i="185"/>
  <c r="V39" i="185"/>
  <c r="U39" i="185"/>
  <c r="S122" i="185"/>
  <c r="AF38" i="185"/>
  <c r="AG38" i="185" s="1"/>
  <c r="Z38" i="185"/>
  <c r="AC38" i="185" s="1"/>
  <c r="Y38" i="185"/>
  <c r="X38" i="185"/>
  <c r="W38" i="185"/>
  <c r="V38" i="185"/>
  <c r="U38" i="185"/>
  <c r="S245" i="185"/>
  <c r="AF37" i="185"/>
  <c r="AG37" i="185" s="1"/>
  <c r="Z37" i="185"/>
  <c r="AE37" i="185" s="1"/>
  <c r="Y37" i="185"/>
  <c r="X37" i="185"/>
  <c r="W37" i="185"/>
  <c r="V37" i="185"/>
  <c r="U37" i="185"/>
  <c r="S244" i="185"/>
  <c r="AF36" i="185"/>
  <c r="AG36" i="185" s="1"/>
  <c r="Z36" i="185"/>
  <c r="AE36" i="185" s="1"/>
  <c r="Y36" i="185"/>
  <c r="X36" i="185"/>
  <c r="W36" i="185"/>
  <c r="V36" i="185"/>
  <c r="U36" i="185"/>
  <c r="S243" i="185"/>
  <c r="AF35" i="185"/>
  <c r="AG35" i="185" s="1"/>
  <c r="Z35" i="185"/>
  <c r="AC35" i="185" s="1"/>
  <c r="Y35" i="185"/>
  <c r="X35" i="185"/>
  <c r="W35" i="185"/>
  <c r="V35" i="185"/>
  <c r="U35" i="185"/>
  <c r="S242" i="185"/>
  <c r="AF34" i="185"/>
  <c r="AG34" i="185" s="1"/>
  <c r="Z34" i="185"/>
  <c r="Y34" i="185"/>
  <c r="X34" i="185"/>
  <c r="W34" i="185"/>
  <c r="V34" i="185"/>
  <c r="U34" i="185"/>
  <c r="S241" i="185"/>
  <c r="AF33" i="185"/>
  <c r="AG33" i="185" s="1"/>
  <c r="Z33" i="185"/>
  <c r="Y33" i="185"/>
  <c r="X33" i="185"/>
  <c r="W33" i="185"/>
  <c r="V33" i="185"/>
  <c r="U33" i="185"/>
  <c r="S12" i="185"/>
  <c r="AG32" i="185"/>
  <c r="Y32" i="185"/>
  <c r="X32" i="185"/>
  <c r="W32" i="185"/>
  <c r="V32" i="185"/>
  <c r="U32" i="185"/>
  <c r="S131" i="185"/>
  <c r="AF31" i="185"/>
  <c r="AG31" i="185" s="1"/>
  <c r="Z31" i="185"/>
  <c r="Y31" i="185"/>
  <c r="X31" i="185"/>
  <c r="W31" i="185"/>
  <c r="V31" i="185"/>
  <c r="U31" i="185"/>
  <c r="S130" i="185"/>
  <c r="AF30" i="185"/>
  <c r="AG30" i="185" s="1"/>
  <c r="Z30" i="185"/>
  <c r="AA30" i="185" s="1"/>
  <c r="Y30" i="185"/>
  <c r="X30" i="185"/>
  <c r="W30" i="185"/>
  <c r="V30" i="185"/>
  <c r="U30" i="185"/>
  <c r="S129" i="185"/>
  <c r="AF29" i="185"/>
  <c r="AG29" i="185" s="1"/>
  <c r="Z29" i="185"/>
  <c r="Y29" i="185"/>
  <c r="X29" i="185"/>
  <c r="W29" i="185"/>
  <c r="V29" i="185"/>
  <c r="U29" i="185"/>
  <c r="S128" i="185"/>
  <c r="AF28" i="185"/>
  <c r="AG28" i="185" s="1"/>
  <c r="Z28" i="185"/>
  <c r="AC28" i="185" s="1"/>
  <c r="Y28" i="185"/>
  <c r="X28" i="185"/>
  <c r="W28" i="185"/>
  <c r="V28" i="185"/>
  <c r="U28" i="185"/>
  <c r="S127" i="185"/>
  <c r="Z27" i="185"/>
  <c r="AD27" i="185" s="1"/>
  <c r="Y27" i="185"/>
  <c r="X27" i="185"/>
  <c r="W27" i="185"/>
  <c r="V27" i="185"/>
  <c r="U27" i="185"/>
  <c r="S126" i="185"/>
  <c r="Z26" i="185"/>
  <c r="AC26" i="185" s="1"/>
  <c r="Y26" i="185"/>
  <c r="X26" i="185"/>
  <c r="W26" i="185"/>
  <c r="V26" i="185"/>
  <c r="U26" i="185"/>
  <c r="S11" i="185"/>
  <c r="Z25" i="185"/>
  <c r="AC25" i="185" s="1"/>
  <c r="Y25" i="185"/>
  <c r="X25" i="185"/>
  <c r="W25" i="185"/>
  <c r="V25" i="185"/>
  <c r="U25" i="185"/>
  <c r="S240" i="185"/>
  <c r="Z24" i="185"/>
  <c r="Y24" i="185"/>
  <c r="X24" i="185"/>
  <c r="W24" i="185"/>
  <c r="V24" i="185"/>
  <c r="U24" i="185"/>
  <c r="S37" i="185"/>
  <c r="Z23" i="185"/>
  <c r="AA23" i="185" s="1"/>
  <c r="Y23" i="185"/>
  <c r="X23" i="185"/>
  <c r="W23" i="185"/>
  <c r="V23" i="185"/>
  <c r="U23" i="185"/>
  <c r="S239" i="185"/>
  <c r="Z22" i="185"/>
  <c r="Y22" i="185"/>
  <c r="X22" i="185"/>
  <c r="W22" i="185"/>
  <c r="V22" i="185"/>
  <c r="U22" i="185"/>
  <c r="S35" i="185"/>
  <c r="Z21" i="185"/>
  <c r="Y21" i="185"/>
  <c r="X21" i="185"/>
  <c r="W21" i="185"/>
  <c r="V21" i="185"/>
  <c r="U21" i="185"/>
  <c r="S238" i="185"/>
  <c r="Z20" i="185"/>
  <c r="Y20" i="185"/>
  <c r="X20" i="185"/>
  <c r="W20" i="185"/>
  <c r="V20" i="185"/>
  <c r="U20" i="185"/>
  <c r="S36" i="185"/>
  <c r="Z19" i="185"/>
  <c r="AE19" i="185" s="1"/>
  <c r="Y19" i="185"/>
  <c r="X19" i="185"/>
  <c r="W19" i="185"/>
  <c r="V19" i="185"/>
  <c r="U19" i="185"/>
  <c r="S237" i="185"/>
  <c r="Z18" i="185"/>
  <c r="Y18" i="185"/>
  <c r="X18" i="185"/>
  <c r="W18" i="185"/>
  <c r="V18" i="185"/>
  <c r="U18" i="185"/>
  <c r="S236" i="185"/>
  <c r="AF17" i="185"/>
  <c r="AG17" i="185" s="1"/>
  <c r="Z17" i="185"/>
  <c r="AA17" i="185" s="1"/>
  <c r="Y17" i="185"/>
  <c r="X17" i="185"/>
  <c r="W17" i="185"/>
  <c r="V17" i="185"/>
  <c r="U17" i="185"/>
  <c r="S235" i="185"/>
  <c r="Z16" i="185"/>
  <c r="Y16" i="185"/>
  <c r="X16" i="185"/>
  <c r="W16" i="185"/>
  <c r="V16" i="185"/>
  <c r="U16" i="185"/>
  <c r="S234" i="185"/>
  <c r="Z15" i="185"/>
  <c r="AD15" i="185" s="1"/>
  <c r="Y15" i="185"/>
  <c r="X15" i="185"/>
  <c r="W15" i="185"/>
  <c r="V15" i="185"/>
  <c r="U15" i="185"/>
  <c r="S233" i="185"/>
  <c r="AG14" i="185"/>
  <c r="Z14" i="185"/>
  <c r="Y14" i="185"/>
  <c r="X14" i="185"/>
  <c r="W14" i="185"/>
  <c r="V14" i="185"/>
  <c r="U14" i="185"/>
  <c r="S232" i="185"/>
  <c r="Z13" i="185"/>
  <c r="Y13" i="185"/>
  <c r="X13" i="185"/>
  <c r="W13" i="185"/>
  <c r="V13" i="185"/>
  <c r="U13" i="185"/>
  <c r="S231" i="185"/>
  <c r="Z12" i="185"/>
  <c r="Y12" i="185"/>
  <c r="X12" i="185"/>
  <c r="W12" i="185"/>
  <c r="V12" i="185"/>
  <c r="U12" i="185"/>
  <c r="S221" i="185"/>
  <c r="Z11" i="185"/>
  <c r="Y11" i="185"/>
  <c r="X11" i="185"/>
  <c r="W11" i="185"/>
  <c r="V11" i="185"/>
  <c r="U11" i="185"/>
  <c r="S230" i="185"/>
  <c r="Z10" i="185"/>
  <c r="Y10" i="185"/>
  <c r="X10" i="185"/>
  <c r="W10" i="185"/>
  <c r="V10" i="185"/>
  <c r="U10" i="185"/>
  <c r="S229" i="185"/>
  <c r="Z9" i="185"/>
  <c r="Y9" i="185"/>
  <c r="X9" i="185"/>
  <c r="W9" i="185"/>
  <c r="V9" i="185"/>
  <c r="U9" i="185"/>
  <c r="S228" i="185"/>
  <c r="Z8" i="185"/>
  <c r="Y8" i="185"/>
  <c r="X8" i="185"/>
  <c r="W8" i="185"/>
  <c r="V8" i="185"/>
  <c r="U8" i="185"/>
  <c r="S220" i="185"/>
  <c r="Z7" i="185"/>
  <c r="Y7" i="185"/>
  <c r="X7" i="185"/>
  <c r="W7" i="185"/>
  <c r="V7" i="185"/>
  <c r="U7" i="185"/>
  <c r="S227" i="185"/>
  <c r="A7" i="185"/>
  <c r="A8" i="185" s="1"/>
  <c r="A9" i="185" s="1"/>
  <c r="A10" i="185" s="1"/>
  <c r="A11" i="185" s="1"/>
  <c r="A12" i="185" s="1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A45" i="185" s="1"/>
  <c r="A46" i="185" s="1"/>
  <c r="A47" i="185" s="1"/>
  <c r="A48" i="185" s="1"/>
  <c r="A49" i="185" s="1"/>
  <c r="A50" i="185" s="1"/>
  <c r="A51" i="185" s="1"/>
  <c r="A52" i="185" s="1"/>
  <c r="A53" i="185" s="1"/>
  <c r="A54" i="185" s="1"/>
  <c r="A55" i="185" s="1"/>
  <c r="A56" i="185" s="1"/>
  <c r="A57" i="185" s="1"/>
  <c r="A58" i="185" s="1"/>
  <c r="A59" i="185" s="1"/>
  <c r="A60" i="185" s="1"/>
  <c r="A61" i="185" s="1"/>
  <c r="A62" i="185" s="1"/>
  <c r="A63" i="185" s="1"/>
  <c r="A64" i="185" s="1"/>
  <c r="A65" i="185" s="1"/>
  <c r="A66" i="185" s="1"/>
  <c r="A67" i="185" s="1"/>
  <c r="A68" i="185" s="1"/>
  <c r="A69" i="185" s="1"/>
  <c r="A70" i="185" s="1"/>
  <c r="A71" i="185" s="1"/>
  <c r="A72" i="185" s="1"/>
  <c r="A73" i="185" s="1"/>
  <c r="A74" i="185" s="1"/>
  <c r="A75" i="185" s="1"/>
  <c r="A76" i="185" s="1"/>
  <c r="A77" i="185" s="1"/>
  <c r="A78" i="185" s="1"/>
  <c r="A79" i="185" s="1"/>
  <c r="A80" i="185" s="1"/>
  <c r="A81" i="185" s="1"/>
  <c r="A82" i="185" s="1"/>
  <c r="AF6" i="185"/>
  <c r="AG6" i="185" s="1"/>
  <c r="Z6" i="185"/>
  <c r="AA6" i="185" s="1"/>
  <c r="Y6" i="185"/>
  <c r="X6" i="185"/>
  <c r="W6" i="185"/>
  <c r="V6" i="185"/>
  <c r="U6" i="185"/>
  <c r="S226" i="185"/>
  <c r="Q1" i="185"/>
  <c r="S348" i="185" s="1"/>
  <c r="AC18" i="185" l="1"/>
  <c r="AA19" i="185"/>
  <c r="AE22" i="185"/>
  <c r="AA22" i="185"/>
  <c r="AE16" i="185"/>
  <c r="AA16" i="185"/>
  <c r="AA21" i="185"/>
  <c r="AC33" i="185"/>
  <c r="AA33" i="185"/>
  <c r="AD20" i="185"/>
  <c r="AA20" i="185"/>
  <c r="AA28" i="185"/>
  <c r="AE29" i="185"/>
  <c r="AA29" i="185"/>
  <c r="AC31" i="185"/>
  <c r="AE9" i="185"/>
  <c r="AA9" i="185"/>
  <c r="AC12" i="185"/>
  <c r="AA12" i="185"/>
  <c r="AD7" i="185"/>
  <c r="AA7" i="185"/>
  <c r="AC11" i="185"/>
  <c r="AA11" i="185"/>
  <c r="AC10" i="185"/>
  <c r="AA10" i="185"/>
  <c r="AD33" i="185"/>
  <c r="AC93" i="185"/>
  <c r="AC60" i="185"/>
  <c r="AE39" i="185"/>
  <c r="AE86" i="185"/>
  <c r="Z128" i="185"/>
  <c r="AD17" i="185"/>
  <c r="AE33" i="185"/>
  <c r="AD60" i="185"/>
  <c r="AE15" i="185"/>
  <c r="AC43" i="185"/>
  <c r="AC58" i="185"/>
  <c r="AE7" i="185"/>
  <c r="AD39" i="185"/>
  <c r="AD86" i="185"/>
  <c r="AD56" i="185"/>
  <c r="AC71" i="185"/>
  <c r="AD10" i="185"/>
  <c r="AE25" i="185"/>
  <c r="AD43" i="185"/>
  <c r="AC49" i="185"/>
  <c r="AD58" i="185"/>
  <c r="AD75" i="185"/>
  <c r="AD89" i="185"/>
  <c r="AD31" i="185"/>
  <c r="AE12" i="185"/>
  <c r="AD25" i="185"/>
  <c r="AE31" i="185"/>
  <c r="AE41" i="185"/>
  <c r="AC46" i="185"/>
  <c r="AC54" i="185"/>
  <c r="AC64" i="185"/>
  <c r="AD66" i="185"/>
  <c r="AD74" i="185"/>
  <c r="AD93" i="185"/>
  <c r="AD54" i="185"/>
  <c r="AC41" i="185"/>
  <c r="AD52" i="185"/>
  <c r="AC8" i="185"/>
  <c r="AD8" i="185"/>
  <c r="AD12" i="185"/>
  <c r="AG13" i="185"/>
  <c r="AC17" i="185"/>
  <c r="AE28" i="185"/>
  <c r="AC36" i="185"/>
  <c r="AD36" i="185"/>
  <c r="AE40" i="185"/>
  <c r="AD42" i="185"/>
  <c r="AC48" i="185"/>
  <c r="AD63" i="185"/>
  <c r="AE69" i="185"/>
  <c r="AC75" i="185"/>
  <c r="AE84" i="185"/>
  <c r="AC92" i="185"/>
  <c r="AD92" i="185"/>
  <c r="AE47" i="185"/>
  <c r="AC47" i="185"/>
  <c r="AC20" i="185"/>
  <c r="AD22" i="185"/>
  <c r="AE26" i="185"/>
  <c r="AD26" i="185"/>
  <c r="AC37" i="185"/>
  <c r="AD51" i="185"/>
  <c r="AD68" i="185"/>
  <c r="AC70" i="185"/>
  <c r="AC72" i="185"/>
  <c r="AC80" i="185"/>
  <c r="AC90" i="185"/>
  <c r="AE23" i="185"/>
  <c r="AC23" i="185"/>
  <c r="AD61" i="185"/>
  <c r="AC61" i="185"/>
  <c r="AD82" i="185"/>
  <c r="AE82" i="185"/>
  <c r="AD23" i="185"/>
  <c r="AC15" i="185"/>
  <c r="AD28" i="185"/>
  <c r="AD37" i="185"/>
  <c r="AD40" i="185"/>
  <c r="AC42" i="185"/>
  <c r="AD44" i="185"/>
  <c r="AC44" i="185"/>
  <c r="AD47" i="185"/>
  <c r="AE51" i="185"/>
  <c r="AE52" i="185"/>
  <c r="AC52" i="185"/>
  <c r="AE56" i="185"/>
  <c r="AC63" i="185"/>
  <c r="AE66" i="185"/>
  <c r="AC66" i="185"/>
  <c r="AC69" i="185"/>
  <c r="AE72" i="185"/>
  <c r="AC77" i="185"/>
  <c r="AE80" i="185"/>
  <c r="AD83" i="185"/>
  <c r="AE90" i="185"/>
  <c r="AC29" i="185"/>
  <c r="S346" i="185"/>
  <c r="AC9" i="185"/>
  <c r="AE10" i="185"/>
  <c r="AC16" i="185"/>
  <c r="AE17" i="185"/>
  <c r="AD18" i="185"/>
  <c r="AC19" i="185"/>
  <c r="AE20" i="185"/>
  <c r="AF20" i="185" s="1"/>
  <c r="AG20" i="185" s="1"/>
  <c r="AD29" i="185"/>
  <c r="AE46" i="185"/>
  <c r="AD48" i="185"/>
  <c r="AC59" i="185"/>
  <c r="AC7" i="185"/>
  <c r="AF7" i="185" s="1"/>
  <c r="AG7" i="185" s="1"/>
  <c r="AE8" i="185"/>
  <c r="AD9" i="185"/>
  <c r="AD11" i="185"/>
  <c r="AD16" i="185"/>
  <c r="AE18" i="185"/>
  <c r="AD19" i="185"/>
  <c r="AC22" i="185"/>
  <c r="AC27" i="185"/>
  <c r="AC30" i="185"/>
  <c r="AD35" i="185"/>
  <c r="AD38" i="185"/>
  <c r="AE44" i="185"/>
  <c r="AD45" i="185"/>
  <c r="AE49" i="185"/>
  <c r="AC50" i="185"/>
  <c r="AC53" i="185"/>
  <c r="AC55" i="185"/>
  <c r="AD59" i="185"/>
  <c r="AE61" i="185"/>
  <c r="AD62" i="185"/>
  <c r="AE65" i="185"/>
  <c r="AE67" i="185"/>
  <c r="AE73" i="185"/>
  <c r="AE76" i="185"/>
  <c r="AE77" i="185"/>
  <c r="AD78" i="185"/>
  <c r="AD79" i="185"/>
  <c r="AC81" i="185"/>
  <c r="AC82" i="185"/>
  <c r="AC83" i="185"/>
  <c r="AC84" i="185"/>
  <c r="AD87" i="185"/>
  <c r="AE88" i="185"/>
  <c r="AE91" i="185"/>
  <c r="AE11" i="185"/>
  <c r="AD30" i="185"/>
  <c r="AE35" i="185"/>
  <c r="AE38" i="185"/>
  <c r="AE45" i="185"/>
  <c r="AD50" i="185"/>
  <c r="AD53" i="185"/>
  <c r="AD55" i="185"/>
  <c r="AE62" i="185"/>
  <c r="AE79" i="185"/>
  <c r="AE27" i="185"/>
  <c r="AE30" i="185"/>
  <c r="AE55" i="185"/>
  <c r="AC85" i="185"/>
  <c r="AD64" i="185"/>
  <c r="AD65" i="185"/>
  <c r="AC67" i="185"/>
  <c r="AE68" i="185"/>
  <c r="AD70" i="185"/>
  <c r="AE71" i="185"/>
  <c r="AC73" i="185"/>
  <c r="AE74" i="185"/>
  <c r="AC76" i="185"/>
  <c r="AD77" i="185"/>
  <c r="AC78" i="185"/>
  <c r="AE81" i="185"/>
  <c r="AD85" i="185"/>
  <c r="AC87" i="185"/>
  <c r="AC88" i="185"/>
  <c r="AE89" i="185"/>
  <c r="AC91" i="185"/>
  <c r="AE92" i="185"/>
  <c r="I23" i="9"/>
  <c r="I17" i="9"/>
  <c r="I16" i="9"/>
  <c r="I10" i="9"/>
  <c r="M10" i="9" s="1"/>
  <c r="I7" i="9"/>
  <c r="E21" i="9"/>
  <c r="M21" i="9"/>
  <c r="E19" i="9"/>
  <c r="E18" i="9"/>
  <c r="E17" i="9"/>
  <c r="E20" i="9"/>
  <c r="E23" i="9"/>
  <c r="E16" i="9"/>
  <c r="F16" i="9" s="1"/>
  <c r="E14" i="9"/>
  <c r="F14" i="9" s="1"/>
  <c r="E10" i="9"/>
  <c r="E8" i="9"/>
  <c r="M8" i="9" s="1"/>
  <c r="D33" i="9"/>
  <c r="D32" i="9"/>
  <c r="H17" i="9"/>
  <c r="L17" i="9" s="1"/>
  <c r="H23" i="9"/>
  <c r="H16" i="9"/>
  <c r="H10" i="9"/>
  <c r="H7" i="9"/>
  <c r="D16" i="9"/>
  <c r="D14" i="9"/>
  <c r="D10" i="9"/>
  <c r="D8" i="9"/>
  <c r="L8" i="9" s="1"/>
  <c r="D21" i="9"/>
  <c r="D27" i="9" s="1"/>
  <c r="D19" i="9"/>
  <c r="D18" i="9"/>
  <c r="D17" i="9"/>
  <c r="D23" i="9"/>
  <c r="F18" i="9"/>
  <c r="D20" i="9"/>
  <c r="F32" i="9"/>
  <c r="F35" i="9"/>
  <c r="C34" i="9"/>
  <c r="F33" i="9"/>
  <c r="G27" i="9"/>
  <c r="C27" i="9"/>
  <c r="M26" i="9"/>
  <c r="K26" i="9"/>
  <c r="F26" i="9"/>
  <c r="M25" i="9"/>
  <c r="L25" i="9"/>
  <c r="N25" i="9" s="1"/>
  <c r="K25" i="9"/>
  <c r="J25" i="9"/>
  <c r="F25" i="9"/>
  <c r="M24" i="9"/>
  <c r="L24" i="9"/>
  <c r="K24" i="9"/>
  <c r="J24" i="9"/>
  <c r="F24" i="9"/>
  <c r="K23" i="9"/>
  <c r="L23" i="9"/>
  <c r="K22" i="9"/>
  <c r="M22" i="9"/>
  <c r="L22" i="9"/>
  <c r="F22" i="9"/>
  <c r="K21" i="9"/>
  <c r="J21" i="9"/>
  <c r="K20" i="9"/>
  <c r="J20" i="9"/>
  <c r="M20" i="9"/>
  <c r="L20" i="9"/>
  <c r="K19" i="9"/>
  <c r="J19" i="9"/>
  <c r="M19" i="9"/>
  <c r="L19" i="9"/>
  <c r="K18" i="9"/>
  <c r="K17" i="9"/>
  <c r="K16" i="9"/>
  <c r="M16" i="9"/>
  <c r="M15" i="9"/>
  <c r="L15" i="9"/>
  <c r="K15" i="9"/>
  <c r="J15" i="9"/>
  <c r="F15" i="9"/>
  <c r="K14" i="9"/>
  <c r="M14" i="9"/>
  <c r="L14" i="9"/>
  <c r="N14" i="9" s="1"/>
  <c r="M13" i="9"/>
  <c r="L13" i="9"/>
  <c r="N13" i="9" s="1"/>
  <c r="K13" i="9"/>
  <c r="J13" i="9"/>
  <c r="F13" i="9"/>
  <c r="M12" i="9"/>
  <c r="L12" i="9"/>
  <c r="K12" i="9"/>
  <c r="J12" i="9"/>
  <c r="F12" i="9"/>
  <c r="M11" i="9"/>
  <c r="L11" i="9"/>
  <c r="K11" i="9"/>
  <c r="J11" i="9"/>
  <c r="F11" i="9"/>
  <c r="K10" i="9"/>
  <c r="J10" i="9"/>
  <c r="M9" i="9"/>
  <c r="L9" i="9"/>
  <c r="K9" i="9"/>
  <c r="J9" i="9"/>
  <c r="F9" i="9"/>
  <c r="A9" i="9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K8" i="9"/>
  <c r="F8" i="9"/>
  <c r="K7" i="9"/>
  <c r="J7" i="9"/>
  <c r="M7" i="9"/>
  <c r="AF10" i="185" l="1"/>
  <c r="AG10" i="185" s="1"/>
  <c r="AF25" i="185"/>
  <c r="AG25" i="185" s="1"/>
  <c r="AG21" i="185"/>
  <c r="AG24" i="185"/>
  <c r="AF12" i="185"/>
  <c r="AG12" i="185" s="1"/>
  <c r="AF15" i="185"/>
  <c r="AG15" i="185" s="1"/>
  <c r="AF22" i="185"/>
  <c r="AG22" i="185" s="1"/>
  <c r="AF18" i="185"/>
  <c r="AG18" i="185" s="1"/>
  <c r="AF8" i="185"/>
  <c r="AG8" i="185" s="1"/>
  <c r="AG56" i="185"/>
  <c r="AG52" i="185"/>
  <c r="AF16" i="185"/>
  <c r="AG16" i="185" s="1"/>
  <c r="AF65" i="185"/>
  <c r="AG65" i="185" s="1"/>
  <c r="AG55" i="185"/>
  <c r="AG45" i="185"/>
  <c r="AF9" i="185"/>
  <c r="AG9" i="185" s="1"/>
  <c r="AF66" i="185"/>
  <c r="AG66" i="185" s="1"/>
  <c r="AG50" i="185"/>
  <c r="AF27" i="185"/>
  <c r="AG27" i="185" s="1"/>
  <c r="AG11" i="185"/>
  <c r="AF26" i="185"/>
  <c r="AG26" i="185" s="1"/>
  <c r="AF19" i="185"/>
  <c r="AG19" i="185" s="1"/>
  <c r="AF23" i="185"/>
  <c r="AG23" i="185" s="1"/>
  <c r="J23" i="9"/>
  <c r="M23" i="9"/>
  <c r="N19" i="9"/>
  <c r="N22" i="9"/>
  <c r="F20" i="9"/>
  <c r="N23" i="9"/>
  <c r="F10" i="9"/>
  <c r="L21" i="9"/>
  <c r="N21" i="9" s="1"/>
  <c r="D29" i="9"/>
  <c r="F34" i="9"/>
  <c r="K27" i="9"/>
  <c r="N8" i="9"/>
  <c r="N11" i="9"/>
  <c r="J17" i="9"/>
  <c r="N12" i="9"/>
  <c r="N15" i="9"/>
  <c r="F17" i="9"/>
  <c r="J18" i="9"/>
  <c r="N9" i="9"/>
  <c r="M18" i="9"/>
  <c r="N24" i="9"/>
  <c r="C36" i="9"/>
  <c r="F7" i="9"/>
  <c r="N20" i="9"/>
  <c r="D34" i="9"/>
  <c r="D36" i="9" s="1"/>
  <c r="L10" i="9"/>
  <c r="N10" i="9" s="1"/>
  <c r="J16" i="9"/>
  <c r="L18" i="9"/>
  <c r="F21" i="9"/>
  <c r="L7" i="9"/>
  <c r="J8" i="9"/>
  <c r="J14" i="9"/>
  <c r="L16" i="9"/>
  <c r="N16" i="9" s="1"/>
  <c r="M17" i="9"/>
  <c r="F19" i="9"/>
  <c r="J22" i="9"/>
  <c r="F23" i="9"/>
  <c r="E34" i="9"/>
  <c r="H27" i="9"/>
  <c r="H29" i="9" s="1"/>
  <c r="E27" i="9"/>
  <c r="I27" i="9"/>
  <c r="I29" i="9" s="1"/>
  <c r="AB341" i="184"/>
  <c r="Z347" i="184"/>
  <c r="Z349" i="184" s="1"/>
  <c r="Z346" i="184"/>
  <c r="Z345" i="184"/>
  <c r="Z348" i="184"/>
  <c r="AA128" i="185" l="1"/>
  <c r="M27" i="9"/>
  <c r="F27" i="9"/>
  <c r="F36" i="9" s="1"/>
  <c r="G34" i="9" s="1"/>
  <c r="N18" i="9"/>
  <c r="J27" i="9"/>
  <c r="E36" i="9"/>
  <c r="E29" i="9"/>
  <c r="L27" i="9"/>
  <c r="N7" i="9"/>
  <c r="N17" i="9"/>
  <c r="AF60" i="184"/>
  <c r="AF53" i="184"/>
  <c r="AD291" i="184"/>
  <c r="AD285" i="184"/>
  <c r="AD276" i="184"/>
  <c r="AD272" i="184"/>
  <c r="AD268" i="184"/>
  <c r="AD247" i="184"/>
  <c r="AD232" i="184"/>
  <c r="AD221" i="184"/>
  <c r="AD216" i="184"/>
  <c r="AD210" i="184"/>
  <c r="AD202" i="184"/>
  <c r="AD198" i="184"/>
  <c r="AD185" i="184"/>
  <c r="AD169" i="184"/>
  <c r="AD142" i="184"/>
  <c r="AD127" i="184"/>
  <c r="AD115" i="184"/>
  <c r="AD107" i="184"/>
  <c r="AD101" i="184"/>
  <c r="AC185" i="184"/>
  <c r="AC169" i="184"/>
  <c r="AC142" i="184"/>
  <c r="AC127" i="184"/>
  <c r="AC115" i="184"/>
  <c r="AC107" i="184"/>
  <c r="AC101" i="184"/>
  <c r="AF308" i="184"/>
  <c r="AG308" i="184" s="1"/>
  <c r="AF304" i="184"/>
  <c r="AG304" i="184" s="1"/>
  <c r="AF301" i="184"/>
  <c r="AG301" i="184" s="1"/>
  <c r="AF299" i="184"/>
  <c r="AG299" i="184" s="1"/>
  <c r="AF295" i="184"/>
  <c r="AG295" i="184" s="1"/>
  <c r="AF294" i="184"/>
  <c r="AG294" i="184" s="1"/>
  <c r="AF293" i="184"/>
  <c r="AG293" i="184" s="1"/>
  <c r="AF292" i="184"/>
  <c r="AG292" i="184" s="1"/>
  <c r="AG291" i="184"/>
  <c r="AF291" i="184"/>
  <c r="AF288" i="184"/>
  <c r="AG288" i="184" s="1"/>
  <c r="AF287" i="184"/>
  <c r="AG287" i="184" s="1"/>
  <c r="AF286" i="184"/>
  <c r="AG286" i="184" s="1"/>
  <c r="AF285" i="184"/>
  <c r="AG285" i="184" s="1"/>
  <c r="AF284" i="184"/>
  <c r="AG284" i="184" s="1"/>
  <c r="AF283" i="184"/>
  <c r="AG283" i="184" s="1"/>
  <c r="AF282" i="184"/>
  <c r="AG282" i="184" s="1"/>
  <c r="AF276" i="184"/>
  <c r="AG276" i="184" s="1"/>
  <c r="AF275" i="184"/>
  <c r="AG275" i="184" s="1"/>
  <c r="AF274" i="184"/>
  <c r="AG274" i="184" s="1"/>
  <c r="AF273" i="184"/>
  <c r="AG273" i="184" s="1"/>
  <c r="AF272" i="184"/>
  <c r="AG272" i="184" s="1"/>
  <c r="AF271" i="184"/>
  <c r="AG271" i="184" s="1"/>
  <c r="AF270" i="184"/>
  <c r="AG270" i="184" s="1"/>
  <c r="AF269" i="184"/>
  <c r="AG269" i="184" s="1"/>
  <c r="AG268" i="184"/>
  <c r="AF268" i="184"/>
  <c r="AF264" i="184"/>
  <c r="AG264" i="184" s="1"/>
  <c r="AF256" i="184"/>
  <c r="AG256" i="184" s="1"/>
  <c r="AF248" i="184"/>
  <c r="AG248" i="184" s="1"/>
  <c r="AF247" i="184"/>
  <c r="AG247" i="184" s="1"/>
  <c r="AF242" i="184"/>
  <c r="AG242" i="184" s="1"/>
  <c r="AF241" i="184"/>
  <c r="AG241" i="184" s="1"/>
  <c r="AF235" i="184"/>
  <c r="AG235" i="184" s="1"/>
  <c r="AF232" i="184"/>
  <c r="AG232" i="184" s="1"/>
  <c r="AF227" i="184"/>
  <c r="AG227" i="184" s="1"/>
  <c r="AF225" i="184"/>
  <c r="AG225" i="184" s="1"/>
  <c r="AF222" i="184"/>
  <c r="AG222" i="184" s="1"/>
  <c r="AF221" i="184"/>
  <c r="AG221" i="184" s="1"/>
  <c r="AF220" i="184"/>
  <c r="AG220" i="184" s="1"/>
  <c r="AF219" i="184"/>
  <c r="AG219" i="184" s="1"/>
  <c r="AF217" i="184"/>
  <c r="AG217" i="184" s="1"/>
  <c r="AF216" i="184"/>
  <c r="AG216" i="184" s="1"/>
  <c r="AF215" i="184"/>
  <c r="AG215" i="184" s="1"/>
  <c r="AF213" i="184"/>
  <c r="AG213" i="184" s="1"/>
  <c r="AF212" i="184"/>
  <c r="AG212" i="184" s="1"/>
  <c r="AF210" i="184"/>
  <c r="AG210" i="184" s="1"/>
  <c r="AF207" i="184"/>
  <c r="AG207" i="184" s="1"/>
  <c r="AF206" i="184"/>
  <c r="AG206" i="184" s="1"/>
  <c r="AF203" i="184"/>
  <c r="AG203" i="184" s="1"/>
  <c r="AF202" i="184"/>
  <c r="AG202" i="184" s="1"/>
  <c r="AF201" i="184"/>
  <c r="AG201" i="184" s="1"/>
  <c r="AF200" i="184"/>
  <c r="AG200" i="184" s="1"/>
  <c r="AF199" i="184"/>
  <c r="AG199" i="184" s="1"/>
  <c r="AF198" i="184"/>
  <c r="AG198" i="184" s="1"/>
  <c r="AF193" i="184"/>
  <c r="AG193" i="184" s="1"/>
  <c r="AF189" i="184"/>
  <c r="AG189" i="184" s="1"/>
  <c r="AF186" i="184"/>
  <c r="AG186" i="184" s="1"/>
  <c r="AG185" i="184"/>
  <c r="AF185" i="184"/>
  <c r="AF179" i="184"/>
  <c r="AG179" i="184" s="1"/>
  <c r="AF176" i="184"/>
  <c r="AG176" i="184" s="1"/>
  <c r="AF172" i="184"/>
  <c r="AG172" i="184" s="1"/>
  <c r="AF169" i="184"/>
  <c r="AG169" i="184" s="1"/>
  <c r="AF164" i="184"/>
  <c r="AG164" i="184" s="1"/>
  <c r="AF149" i="184"/>
  <c r="AG149" i="184" s="1"/>
  <c r="AF143" i="184"/>
  <c r="AG143" i="184" s="1"/>
  <c r="AF142" i="184"/>
  <c r="AG142" i="184" s="1"/>
  <c r="AF139" i="184"/>
  <c r="AG139" i="184" s="1"/>
  <c r="AF138" i="184"/>
  <c r="AG138" i="184" s="1"/>
  <c r="AF137" i="184"/>
  <c r="AG137" i="184" s="1"/>
  <c r="AF127" i="184"/>
  <c r="AG127" i="184" s="1"/>
  <c r="AF124" i="184"/>
  <c r="AG124" i="184" s="1"/>
  <c r="AF121" i="184"/>
  <c r="AG121" i="184" s="1"/>
  <c r="AF116" i="184"/>
  <c r="AG116" i="184" s="1"/>
  <c r="AF115" i="184"/>
  <c r="AG115" i="184" s="1"/>
  <c r="AF110" i="184"/>
  <c r="AG110" i="184" s="1"/>
  <c r="AF109" i="184"/>
  <c r="AG109" i="184" s="1"/>
  <c r="AF108" i="184"/>
  <c r="AG108" i="184" s="1"/>
  <c r="AF107" i="184"/>
  <c r="AG107" i="184" s="1"/>
  <c r="AF106" i="184"/>
  <c r="AG106" i="184" s="1"/>
  <c r="AF105" i="184"/>
  <c r="AG105" i="184" s="1"/>
  <c r="AF102" i="184"/>
  <c r="AG102" i="184" s="1"/>
  <c r="AF101" i="184"/>
  <c r="AG101" i="184" s="1"/>
  <c r="AF100" i="184"/>
  <c r="AG100" i="184" s="1"/>
  <c r="AF98" i="184"/>
  <c r="AG98" i="184" s="1"/>
  <c r="AF97" i="184"/>
  <c r="AG97" i="184" s="1"/>
  <c r="Z308" i="184"/>
  <c r="Y308" i="184"/>
  <c r="X308" i="184"/>
  <c r="W308" i="184"/>
  <c r="V308" i="184"/>
  <c r="Z304" i="184"/>
  <c r="AE304" i="184" s="1"/>
  <c r="Y304" i="184"/>
  <c r="X304" i="184"/>
  <c r="W304" i="184"/>
  <c r="V304" i="184"/>
  <c r="Z301" i="184"/>
  <c r="Y301" i="184"/>
  <c r="X301" i="184"/>
  <c r="W301" i="184"/>
  <c r="V301" i="184"/>
  <c r="Z299" i="184"/>
  <c r="Y299" i="184"/>
  <c r="X299" i="184"/>
  <c r="W299" i="184"/>
  <c r="V299" i="184"/>
  <c r="Z295" i="184"/>
  <c r="Y295" i="184"/>
  <c r="X295" i="184"/>
  <c r="W295" i="184"/>
  <c r="V295" i="184"/>
  <c r="Z294" i="184"/>
  <c r="AC294" i="184" s="1"/>
  <c r="Y294" i="184"/>
  <c r="X294" i="184"/>
  <c r="W294" i="184"/>
  <c r="V294" i="184"/>
  <c r="Z293" i="184"/>
  <c r="AD293" i="184" s="1"/>
  <c r="Y293" i="184"/>
  <c r="X293" i="184"/>
  <c r="W293" i="184"/>
  <c r="V293" i="184"/>
  <c r="Z292" i="184"/>
  <c r="AC292" i="184" s="1"/>
  <c r="Y292" i="184"/>
  <c r="X292" i="184"/>
  <c r="W292" i="184"/>
  <c r="V292" i="184"/>
  <c r="Z291" i="184"/>
  <c r="Y291" i="184"/>
  <c r="X291" i="184"/>
  <c r="W291" i="184"/>
  <c r="V291" i="184"/>
  <c r="Z288" i="184"/>
  <c r="AD288" i="184" s="1"/>
  <c r="Y288" i="184"/>
  <c r="X288" i="184"/>
  <c r="W288" i="184"/>
  <c r="V288" i="184"/>
  <c r="Z287" i="184"/>
  <c r="AD287" i="184" s="1"/>
  <c r="Y287" i="184"/>
  <c r="X287" i="184"/>
  <c r="W287" i="184"/>
  <c r="V287" i="184"/>
  <c r="Z286" i="184"/>
  <c r="AD286" i="184" s="1"/>
  <c r="Y286" i="184"/>
  <c r="X286" i="184"/>
  <c r="W286" i="184"/>
  <c r="V286" i="184"/>
  <c r="Z285" i="184"/>
  <c r="Y285" i="184"/>
  <c r="X285" i="184"/>
  <c r="W285" i="184"/>
  <c r="V285" i="184"/>
  <c r="Z284" i="184"/>
  <c r="AD284" i="184" s="1"/>
  <c r="Y284" i="184"/>
  <c r="X284" i="184"/>
  <c r="W284" i="184"/>
  <c r="V284" i="184"/>
  <c r="Z283" i="184"/>
  <c r="AA283" i="184" s="1"/>
  <c r="Y283" i="184"/>
  <c r="X283" i="184"/>
  <c r="W283" i="184"/>
  <c r="V283" i="184"/>
  <c r="Z282" i="184"/>
  <c r="Y282" i="184"/>
  <c r="X282" i="184"/>
  <c r="W282" i="184"/>
  <c r="V282" i="184"/>
  <c r="Z276" i="184"/>
  <c r="AA276" i="184" s="1"/>
  <c r="Y276" i="184"/>
  <c r="X276" i="184"/>
  <c r="W276" i="184"/>
  <c r="V276" i="184"/>
  <c r="Z275" i="184"/>
  <c r="AE275" i="184" s="1"/>
  <c r="Y275" i="184"/>
  <c r="X275" i="184"/>
  <c r="W275" i="184"/>
  <c r="V275" i="184"/>
  <c r="Z274" i="184"/>
  <c r="AD274" i="184" s="1"/>
  <c r="Y274" i="184"/>
  <c r="X274" i="184"/>
  <c r="W274" i="184"/>
  <c r="V274" i="184"/>
  <c r="Z273" i="184"/>
  <c r="AD273" i="184" s="1"/>
  <c r="Y273" i="184"/>
  <c r="X273" i="184"/>
  <c r="W273" i="184"/>
  <c r="V273" i="184"/>
  <c r="Z272" i="184"/>
  <c r="Y272" i="184"/>
  <c r="X272" i="184"/>
  <c r="W272" i="184"/>
  <c r="V272" i="184"/>
  <c r="Z271" i="184"/>
  <c r="AD271" i="184" s="1"/>
  <c r="Y271" i="184"/>
  <c r="X271" i="184"/>
  <c r="W271" i="184"/>
  <c r="V271" i="184"/>
  <c r="Z270" i="184"/>
  <c r="AD270" i="184" s="1"/>
  <c r="Y270" i="184"/>
  <c r="X270" i="184"/>
  <c r="W270" i="184"/>
  <c r="V270" i="184"/>
  <c r="Z269" i="184"/>
  <c r="AC269" i="184" s="1"/>
  <c r="Y269" i="184"/>
  <c r="X269" i="184"/>
  <c r="W269" i="184"/>
  <c r="V269" i="184"/>
  <c r="Z268" i="184"/>
  <c r="Y268" i="184"/>
  <c r="X268" i="184"/>
  <c r="W268" i="184"/>
  <c r="V268" i="184"/>
  <c r="Z264" i="184"/>
  <c r="AD264" i="184" s="1"/>
  <c r="Y264" i="184"/>
  <c r="X264" i="184"/>
  <c r="W264" i="184"/>
  <c r="V264" i="184"/>
  <c r="Z256" i="184"/>
  <c r="AD256" i="184" s="1"/>
  <c r="Y256" i="184"/>
  <c r="X256" i="184"/>
  <c r="W256" i="184"/>
  <c r="V256" i="184"/>
  <c r="Z248" i="184"/>
  <c r="AD248" i="184" s="1"/>
  <c r="Y248" i="184"/>
  <c r="X248" i="184"/>
  <c r="W248" i="184"/>
  <c r="V248" i="184"/>
  <c r="Z247" i="184"/>
  <c r="Y247" i="184"/>
  <c r="X247" i="184"/>
  <c r="W247" i="184"/>
  <c r="V247" i="184"/>
  <c r="Z242" i="184"/>
  <c r="AD242" i="184" s="1"/>
  <c r="Y242" i="184"/>
  <c r="X242" i="184"/>
  <c r="W242" i="184"/>
  <c r="V242" i="184"/>
  <c r="Z241" i="184"/>
  <c r="AD241" i="184" s="1"/>
  <c r="Y241" i="184"/>
  <c r="X241" i="184"/>
  <c r="W241" i="184"/>
  <c r="V241" i="184"/>
  <c r="Z235" i="184"/>
  <c r="Y235" i="184"/>
  <c r="X235" i="184"/>
  <c r="W235" i="184"/>
  <c r="V235" i="184"/>
  <c r="Z232" i="184"/>
  <c r="Y232" i="184"/>
  <c r="X232" i="184"/>
  <c r="W232" i="184"/>
  <c r="V232" i="184"/>
  <c r="Z227" i="184"/>
  <c r="AE227" i="184" s="1"/>
  <c r="Y227" i="184"/>
  <c r="X227" i="184"/>
  <c r="W227" i="184"/>
  <c r="V227" i="184"/>
  <c r="Z225" i="184"/>
  <c r="AD225" i="184" s="1"/>
  <c r="Y225" i="184"/>
  <c r="X225" i="184"/>
  <c r="W225" i="184"/>
  <c r="V225" i="184"/>
  <c r="Z222" i="184"/>
  <c r="AD222" i="184" s="1"/>
  <c r="Y222" i="184"/>
  <c r="X222" i="184"/>
  <c r="W222" i="184"/>
  <c r="V222" i="184"/>
  <c r="Z221" i="184"/>
  <c r="Y221" i="184"/>
  <c r="X221" i="184"/>
  <c r="W221" i="184"/>
  <c r="V221" i="184"/>
  <c r="Z220" i="184"/>
  <c r="AC220" i="184" s="1"/>
  <c r="Y220" i="184"/>
  <c r="X220" i="184"/>
  <c r="W220" i="184"/>
  <c r="V220" i="184"/>
  <c r="Z219" i="184"/>
  <c r="AD219" i="184" s="1"/>
  <c r="Y219" i="184"/>
  <c r="X219" i="184"/>
  <c r="W219" i="184"/>
  <c r="V219" i="184"/>
  <c r="Z217" i="184"/>
  <c r="Y217" i="184"/>
  <c r="X217" i="184"/>
  <c r="W217" i="184"/>
  <c r="V217" i="184"/>
  <c r="Z216" i="184"/>
  <c r="Y216" i="184"/>
  <c r="X216" i="184"/>
  <c r="W216" i="184"/>
  <c r="V216" i="184"/>
  <c r="Z215" i="184"/>
  <c r="AD215" i="184" s="1"/>
  <c r="Y215" i="184"/>
  <c r="X215" i="184"/>
  <c r="W215" i="184"/>
  <c r="V215" i="184"/>
  <c r="Z213" i="184"/>
  <c r="AD213" i="184" s="1"/>
  <c r="Y213" i="184"/>
  <c r="X213" i="184"/>
  <c r="W213" i="184"/>
  <c r="V213" i="184"/>
  <c r="Z212" i="184"/>
  <c r="Y212" i="184"/>
  <c r="X212" i="184"/>
  <c r="W212" i="184"/>
  <c r="V212" i="184"/>
  <c r="Z210" i="184"/>
  <c r="Y210" i="184"/>
  <c r="X210" i="184"/>
  <c r="W210" i="184"/>
  <c r="V210" i="184"/>
  <c r="Z207" i="184"/>
  <c r="AD207" i="184" s="1"/>
  <c r="Y207" i="184"/>
  <c r="X207" i="184"/>
  <c r="W207" i="184"/>
  <c r="V207" i="184"/>
  <c r="Z206" i="184"/>
  <c r="AD206" i="184" s="1"/>
  <c r="Y206" i="184"/>
  <c r="X206" i="184"/>
  <c r="W206" i="184"/>
  <c r="V206" i="184"/>
  <c r="Z203" i="184"/>
  <c r="AD203" i="184" s="1"/>
  <c r="Y203" i="184"/>
  <c r="X203" i="184"/>
  <c r="W203" i="184"/>
  <c r="V203" i="184"/>
  <c r="Z202" i="184"/>
  <c r="Y202" i="184"/>
  <c r="X202" i="184"/>
  <c r="W202" i="184"/>
  <c r="V202" i="184"/>
  <c r="Z201" i="184"/>
  <c r="AD201" i="184" s="1"/>
  <c r="Y201" i="184"/>
  <c r="X201" i="184"/>
  <c r="W201" i="184"/>
  <c r="V201" i="184"/>
  <c r="Z200" i="184"/>
  <c r="AD200" i="184" s="1"/>
  <c r="Y200" i="184"/>
  <c r="X200" i="184"/>
  <c r="W200" i="184"/>
  <c r="V200" i="184"/>
  <c r="Z199" i="184"/>
  <c r="AD199" i="184" s="1"/>
  <c r="Y199" i="184"/>
  <c r="X199" i="184"/>
  <c r="W199" i="184"/>
  <c r="V199" i="184"/>
  <c r="Z198" i="184"/>
  <c r="Y198" i="184"/>
  <c r="X198" i="184"/>
  <c r="W198" i="184"/>
  <c r="V198" i="184"/>
  <c r="Z193" i="184"/>
  <c r="AD193" i="184" s="1"/>
  <c r="Y193" i="184"/>
  <c r="X193" i="184"/>
  <c r="W193" i="184"/>
  <c r="V193" i="184"/>
  <c r="Z189" i="184"/>
  <c r="AA210" i="184" s="1"/>
  <c r="Y189" i="184"/>
  <c r="X189" i="184"/>
  <c r="W189" i="184"/>
  <c r="V189" i="184"/>
  <c r="Z186" i="184"/>
  <c r="AD186" i="184" s="1"/>
  <c r="Y186" i="184"/>
  <c r="X186" i="184"/>
  <c r="W186" i="184"/>
  <c r="V186" i="184"/>
  <c r="Z185" i="184"/>
  <c r="Y185" i="184"/>
  <c r="X185" i="184"/>
  <c r="W185" i="184"/>
  <c r="V185" i="184"/>
  <c r="Z179" i="184"/>
  <c r="AD179" i="184" s="1"/>
  <c r="Y179" i="184"/>
  <c r="X179" i="184"/>
  <c r="W179" i="184"/>
  <c r="V179" i="184"/>
  <c r="Z176" i="184"/>
  <c r="AD176" i="184" s="1"/>
  <c r="Y176" i="184"/>
  <c r="X176" i="184"/>
  <c r="W176" i="184"/>
  <c r="V176" i="184"/>
  <c r="Z172" i="184"/>
  <c r="AD172" i="184" s="1"/>
  <c r="Y172" i="184"/>
  <c r="X172" i="184"/>
  <c r="W172" i="184"/>
  <c r="V172" i="184"/>
  <c r="Z169" i="184"/>
  <c r="Y169" i="184"/>
  <c r="X169" i="184"/>
  <c r="W169" i="184"/>
  <c r="V169" i="184"/>
  <c r="Z164" i="184"/>
  <c r="AD164" i="184" s="1"/>
  <c r="Y164" i="184"/>
  <c r="X164" i="184"/>
  <c r="W164" i="184"/>
  <c r="V164" i="184"/>
  <c r="Z149" i="184"/>
  <c r="AD149" i="184" s="1"/>
  <c r="Y149" i="184"/>
  <c r="X149" i="184"/>
  <c r="W149" i="184"/>
  <c r="V149" i="184"/>
  <c r="Z143" i="184"/>
  <c r="AD143" i="184" s="1"/>
  <c r="Y143" i="184"/>
  <c r="X143" i="184"/>
  <c r="W143" i="184"/>
  <c r="V143" i="184"/>
  <c r="Z142" i="184"/>
  <c r="Y142" i="184"/>
  <c r="X142" i="184"/>
  <c r="W142" i="184"/>
  <c r="V142" i="184"/>
  <c r="Z139" i="184"/>
  <c r="AD139" i="184" s="1"/>
  <c r="Y139" i="184"/>
  <c r="X139" i="184"/>
  <c r="W139" i="184"/>
  <c r="V139" i="184"/>
  <c r="Z138" i="184"/>
  <c r="AD138" i="184" s="1"/>
  <c r="Y138" i="184"/>
  <c r="X138" i="184"/>
  <c r="W138" i="184"/>
  <c r="V138" i="184"/>
  <c r="Z137" i="184"/>
  <c r="Y137" i="184"/>
  <c r="X137" i="184"/>
  <c r="W137" i="184"/>
  <c r="V137" i="184"/>
  <c r="Z127" i="184"/>
  <c r="AA127" i="184" s="1"/>
  <c r="Y127" i="184"/>
  <c r="X127" i="184"/>
  <c r="W127" i="184"/>
  <c r="V127" i="184"/>
  <c r="Z124" i="184"/>
  <c r="AD124" i="184" s="1"/>
  <c r="Y124" i="184"/>
  <c r="X124" i="184"/>
  <c r="W124" i="184"/>
  <c r="V124" i="184"/>
  <c r="Z121" i="184"/>
  <c r="AD121" i="184" s="1"/>
  <c r="Y121" i="184"/>
  <c r="X121" i="184"/>
  <c r="W121" i="184"/>
  <c r="V121" i="184"/>
  <c r="Z116" i="184"/>
  <c r="AD116" i="184" s="1"/>
  <c r="Y116" i="184"/>
  <c r="X116" i="184"/>
  <c r="W116" i="184"/>
  <c r="V116" i="184"/>
  <c r="Z115" i="184"/>
  <c r="Y115" i="184"/>
  <c r="X115" i="184"/>
  <c r="W115" i="184"/>
  <c r="V115" i="184"/>
  <c r="Z110" i="184"/>
  <c r="AD110" i="184" s="1"/>
  <c r="Y110" i="184"/>
  <c r="X110" i="184"/>
  <c r="W110" i="184"/>
  <c r="V110" i="184"/>
  <c r="Z109" i="184"/>
  <c r="AD109" i="184" s="1"/>
  <c r="Y109" i="184"/>
  <c r="X109" i="184"/>
  <c r="W109" i="184"/>
  <c r="V109" i="184"/>
  <c r="Z108" i="184"/>
  <c r="AD108" i="184" s="1"/>
  <c r="Y108" i="184"/>
  <c r="X108" i="184"/>
  <c r="W108" i="184"/>
  <c r="V108" i="184"/>
  <c r="Z107" i="184"/>
  <c r="Y107" i="184"/>
  <c r="X107" i="184"/>
  <c r="W107" i="184"/>
  <c r="V107" i="184"/>
  <c r="Z106" i="184"/>
  <c r="AD106" i="184" s="1"/>
  <c r="Y106" i="184"/>
  <c r="X106" i="184"/>
  <c r="W106" i="184"/>
  <c r="V106" i="184"/>
  <c r="Z105" i="184"/>
  <c r="AD105" i="184" s="1"/>
  <c r="Y105" i="184"/>
  <c r="X105" i="184"/>
  <c r="W105" i="184"/>
  <c r="V105" i="184"/>
  <c r="Z102" i="184"/>
  <c r="AA102" i="184" s="1"/>
  <c r="Y102" i="184"/>
  <c r="X102" i="184"/>
  <c r="W102" i="184"/>
  <c r="V102" i="184"/>
  <c r="Z101" i="184"/>
  <c r="Y101" i="184"/>
  <c r="X101" i="184"/>
  <c r="W101" i="184"/>
  <c r="V101" i="184"/>
  <c r="Z100" i="184"/>
  <c r="AA100" i="184" s="1"/>
  <c r="Y100" i="184"/>
  <c r="X100" i="184"/>
  <c r="W100" i="184"/>
  <c r="V100" i="184"/>
  <c r="Z98" i="184"/>
  <c r="AD98" i="184" s="1"/>
  <c r="Y98" i="184"/>
  <c r="X98" i="184"/>
  <c r="W98" i="184"/>
  <c r="V98" i="184"/>
  <c r="Z97" i="184"/>
  <c r="AD97" i="184" s="1"/>
  <c r="Y97" i="184"/>
  <c r="X97" i="184"/>
  <c r="W97" i="184"/>
  <c r="V97" i="184"/>
  <c r="U308" i="184"/>
  <c r="U304" i="184"/>
  <c r="U301" i="184"/>
  <c r="U299" i="184"/>
  <c r="U295" i="184"/>
  <c r="U294" i="184"/>
  <c r="U293" i="184"/>
  <c r="U292" i="184"/>
  <c r="U291" i="184"/>
  <c r="U288" i="184"/>
  <c r="U287" i="184"/>
  <c r="U286" i="184"/>
  <c r="U285" i="184"/>
  <c r="U284" i="184"/>
  <c r="U283" i="184"/>
  <c r="U282" i="184"/>
  <c r="U276" i="184"/>
  <c r="U275" i="184"/>
  <c r="U274" i="184"/>
  <c r="U273" i="184"/>
  <c r="U272" i="184"/>
  <c r="U271" i="184"/>
  <c r="U270" i="184"/>
  <c r="U269" i="184"/>
  <c r="U268" i="184"/>
  <c r="U264" i="184"/>
  <c r="U256" i="184"/>
  <c r="U248" i="184"/>
  <c r="U247" i="184"/>
  <c r="U242" i="184"/>
  <c r="U241" i="184"/>
  <c r="U235" i="184"/>
  <c r="U232" i="184"/>
  <c r="U227" i="184"/>
  <c r="U225" i="184"/>
  <c r="U222" i="184"/>
  <c r="U221" i="184"/>
  <c r="U220" i="184"/>
  <c r="U219" i="184"/>
  <c r="U217" i="184"/>
  <c r="U216" i="184"/>
  <c r="U215" i="184"/>
  <c r="U213" i="184"/>
  <c r="U212" i="184"/>
  <c r="U210" i="184"/>
  <c r="U207" i="184"/>
  <c r="U206" i="184"/>
  <c r="U203" i="184"/>
  <c r="U202" i="184"/>
  <c r="U201" i="184"/>
  <c r="U200" i="184"/>
  <c r="U199" i="184"/>
  <c r="U198" i="184"/>
  <c r="U193" i="184"/>
  <c r="U189" i="184"/>
  <c r="U186" i="184"/>
  <c r="U185" i="184"/>
  <c r="U179" i="184"/>
  <c r="U176" i="184"/>
  <c r="U172" i="184"/>
  <c r="U169" i="184"/>
  <c r="U164" i="184"/>
  <c r="U149" i="184"/>
  <c r="U143" i="184"/>
  <c r="U142" i="184"/>
  <c r="U139" i="184"/>
  <c r="U138" i="184"/>
  <c r="U137" i="184"/>
  <c r="U127" i="184"/>
  <c r="U124" i="184"/>
  <c r="U121" i="184"/>
  <c r="U116" i="184"/>
  <c r="U115" i="184"/>
  <c r="U110" i="184"/>
  <c r="U109" i="184"/>
  <c r="U108" i="184"/>
  <c r="U107" i="184"/>
  <c r="U106" i="184"/>
  <c r="U105" i="184"/>
  <c r="U102" i="184"/>
  <c r="U101" i="184"/>
  <c r="U100" i="184"/>
  <c r="U98" i="184"/>
  <c r="U97" i="184"/>
  <c r="AA139" i="184" l="1"/>
  <c r="AA348" i="184" s="1"/>
  <c r="AA216" i="184"/>
  <c r="AA220" i="184"/>
  <c r="AE235" i="184"/>
  <c r="AA241" i="184"/>
  <c r="AE282" i="184"/>
  <c r="AA282" i="184"/>
  <c r="AC100" i="184"/>
  <c r="AC106" i="184"/>
  <c r="AC110" i="184"/>
  <c r="AC124" i="184"/>
  <c r="AC139" i="184"/>
  <c r="AC164" i="184"/>
  <c r="AC179" i="184"/>
  <c r="AC193" i="184"/>
  <c r="AD100" i="184"/>
  <c r="AD220" i="184"/>
  <c r="AD227" i="184"/>
  <c r="AD275" i="184"/>
  <c r="AD294" i="184"/>
  <c r="AA106" i="184"/>
  <c r="AA186" i="184"/>
  <c r="AC271" i="184"/>
  <c r="AA275" i="184"/>
  <c r="AE284" i="184"/>
  <c r="AA299" i="184"/>
  <c r="AC97" i="184"/>
  <c r="AC102" i="184"/>
  <c r="AC108" i="184"/>
  <c r="AC116" i="184"/>
  <c r="AC137" i="184"/>
  <c r="AC143" i="184"/>
  <c r="AC172" i="184"/>
  <c r="AC186" i="184"/>
  <c r="AD102" i="184"/>
  <c r="AD137" i="184"/>
  <c r="AD212" i="184"/>
  <c r="AD217" i="184"/>
  <c r="AD235" i="184"/>
  <c r="AD269" i="184"/>
  <c r="AD282" i="184"/>
  <c r="AD292" i="184"/>
  <c r="AE242" i="184"/>
  <c r="AA248" i="184"/>
  <c r="AA264" i="184"/>
  <c r="AA124" i="184"/>
  <c r="AA149" i="184"/>
  <c r="AA225" i="184"/>
  <c r="AA232" i="184"/>
  <c r="AA270" i="184"/>
  <c r="AA308" i="184"/>
  <c r="AC98" i="184"/>
  <c r="AC105" i="184"/>
  <c r="AC109" i="184"/>
  <c r="AC121" i="184"/>
  <c r="AC138" i="184"/>
  <c r="AC149" i="184"/>
  <c r="AC176" i="184"/>
  <c r="AC189" i="184"/>
  <c r="AD189" i="184"/>
  <c r="AD283" i="184"/>
  <c r="N27" i="9"/>
  <c r="AE108" i="184"/>
  <c r="AE109" i="184"/>
  <c r="AE110" i="184"/>
  <c r="AE115" i="184"/>
  <c r="AE172" i="184"/>
  <c r="AE176" i="184"/>
  <c r="AE179" i="184"/>
  <c r="AE185" i="184"/>
  <c r="AC199" i="184"/>
  <c r="AC200" i="184"/>
  <c r="AC201" i="184"/>
  <c r="AC202" i="184"/>
  <c r="AE212" i="184"/>
  <c r="AE213" i="184"/>
  <c r="AE215" i="184"/>
  <c r="AE216" i="184"/>
  <c r="AC222" i="184"/>
  <c r="AC225" i="184"/>
  <c r="AC227" i="184"/>
  <c r="AC232" i="184"/>
  <c r="AE248" i="184"/>
  <c r="AE256" i="184"/>
  <c r="AE264" i="184"/>
  <c r="AE268" i="184"/>
  <c r="AC273" i="184"/>
  <c r="AC274" i="184"/>
  <c r="AC275" i="184"/>
  <c r="AC276" i="184"/>
  <c r="AE286" i="184"/>
  <c r="AE287" i="184"/>
  <c r="AE288" i="184"/>
  <c r="AE291" i="184"/>
  <c r="AD295" i="184"/>
  <c r="AC299" i="184"/>
  <c r="AC301" i="184"/>
  <c r="AC304" i="184"/>
  <c r="AC308" i="184"/>
  <c r="AE116" i="184"/>
  <c r="AE121" i="184"/>
  <c r="AE124" i="184"/>
  <c r="AE127" i="184"/>
  <c r="AE186" i="184"/>
  <c r="AE189" i="184"/>
  <c r="AE193" i="184"/>
  <c r="AE198" i="184"/>
  <c r="AC203" i="184"/>
  <c r="AC206" i="184"/>
  <c r="AC207" i="184"/>
  <c r="AC210" i="184"/>
  <c r="AE217" i="184"/>
  <c r="AE219" i="184"/>
  <c r="AE220" i="184"/>
  <c r="AE221" i="184"/>
  <c r="AC235" i="184"/>
  <c r="AC241" i="184"/>
  <c r="AC242" i="184"/>
  <c r="AC247" i="184"/>
  <c r="AE269" i="184"/>
  <c r="AE270" i="184"/>
  <c r="AE271" i="184"/>
  <c r="AE272" i="184"/>
  <c r="AC282" i="184"/>
  <c r="AC283" i="184"/>
  <c r="AC284" i="184"/>
  <c r="AC285" i="184"/>
  <c r="AE292" i="184"/>
  <c r="AE293" i="184"/>
  <c r="AE294" i="184"/>
  <c r="AE295" i="184"/>
  <c r="AD299" i="184"/>
  <c r="AD301" i="184"/>
  <c r="AD304" i="184"/>
  <c r="AD308" i="184"/>
  <c r="AE97" i="184"/>
  <c r="AE98" i="184"/>
  <c r="AE100" i="184"/>
  <c r="AE101" i="184"/>
  <c r="AE137" i="184"/>
  <c r="AE138" i="184"/>
  <c r="AE139" i="184"/>
  <c r="AE142" i="184"/>
  <c r="AE199" i="184"/>
  <c r="AE200" i="184"/>
  <c r="AE201" i="184"/>
  <c r="AE202" i="184"/>
  <c r="AC212" i="184"/>
  <c r="AC213" i="184"/>
  <c r="AC215" i="184"/>
  <c r="AC216" i="184"/>
  <c r="AE222" i="184"/>
  <c r="AE225" i="184"/>
  <c r="AE232" i="184"/>
  <c r="AC248" i="184"/>
  <c r="AC256" i="184"/>
  <c r="AC264" i="184"/>
  <c r="AC268" i="184"/>
  <c r="AE273" i="184"/>
  <c r="AE274" i="184"/>
  <c r="AE276" i="184"/>
  <c r="AC286" i="184"/>
  <c r="AC287" i="184"/>
  <c r="AC288" i="184"/>
  <c r="AC291" i="184"/>
  <c r="AE299" i="184"/>
  <c r="AE301" i="184"/>
  <c r="AE308" i="184"/>
  <c r="AE102" i="184"/>
  <c r="AE105" i="184"/>
  <c r="AE106" i="184"/>
  <c r="AE107" i="184"/>
  <c r="AE143" i="184"/>
  <c r="AE149" i="184"/>
  <c r="AE164" i="184"/>
  <c r="AE169" i="184"/>
  <c r="AC198" i="184"/>
  <c r="AE203" i="184"/>
  <c r="AE206" i="184"/>
  <c r="AE207" i="184"/>
  <c r="AE210" i="184"/>
  <c r="AC217" i="184"/>
  <c r="AC219" i="184"/>
  <c r="AC221" i="184"/>
  <c r="AE241" i="184"/>
  <c r="AE247" i="184"/>
  <c r="AC270" i="184"/>
  <c r="AC272" i="184"/>
  <c r="AE283" i="184"/>
  <c r="AE285" i="184"/>
  <c r="AC293" i="184"/>
  <c r="AC295" i="184"/>
  <c r="AA345" i="184" l="1"/>
  <c r="AA346" i="184"/>
  <c r="S224" i="184"/>
  <c r="S288" i="184"/>
  <c r="S285" i="184"/>
  <c r="S40" i="184"/>
  <c r="S26" i="184"/>
  <c r="S287" i="184"/>
  <c r="S295" i="184"/>
  <c r="S293" i="184"/>
  <c r="S255" i="184"/>
  <c r="S249" i="184"/>
  <c r="S292" i="184"/>
  <c r="S286" i="184"/>
  <c r="S268" i="184"/>
  <c r="S49" i="184"/>
  <c r="S48" i="184"/>
  <c r="S47" i="184"/>
  <c r="S223" i="184"/>
  <c r="S284" i="184"/>
  <c r="S294" i="184"/>
  <c r="S46" i="184"/>
  <c r="S269" i="184"/>
  <c r="S264" i="184"/>
  <c r="S123" i="184"/>
  <c r="S122" i="184"/>
  <c r="S256" i="184"/>
  <c r="S58" i="184"/>
  <c r="S57" i="184"/>
  <c r="S104" i="184"/>
  <c r="S103" i="184"/>
  <c r="S242" i="184"/>
  <c r="S248" i="184"/>
  <c r="S247" i="184"/>
  <c r="S88" i="184"/>
  <c r="S87" i="184"/>
  <c r="S301" i="184"/>
  <c r="S308" i="184"/>
  <c r="S64" i="184"/>
  <c r="S61" i="184"/>
  <c r="S304" i="184"/>
  <c r="S55" i="184"/>
  <c r="S54" i="184"/>
  <c r="S20" i="184"/>
  <c r="S19" i="184"/>
  <c r="S17" i="184"/>
  <c r="S16" i="184"/>
  <c r="S15" i="184"/>
  <c r="S14" i="184"/>
  <c r="S13" i="184"/>
  <c r="S11" i="184"/>
  <c r="S258" i="184"/>
  <c r="S276" i="184"/>
  <c r="S257" i="184"/>
  <c r="S231" i="184"/>
  <c r="S230" i="184"/>
  <c r="S229" i="184"/>
  <c r="S228" i="184"/>
  <c r="S60" i="184"/>
  <c r="S232" i="184"/>
  <c r="S234" i="184"/>
  <c r="S233" i="184"/>
  <c r="S227" i="184"/>
  <c r="S221" i="184"/>
  <c r="S225" i="184"/>
  <c r="S222" i="184"/>
  <c r="S246" i="184"/>
  <c r="S243" i="184"/>
  <c r="S149" i="184"/>
  <c r="S143" i="184"/>
  <c r="S142" i="184"/>
  <c r="S114" i="184"/>
  <c r="S111" i="184"/>
  <c r="S275" i="184"/>
  <c r="S274" i="184"/>
  <c r="S92" i="184"/>
  <c r="S273" i="184"/>
  <c r="S85" i="184"/>
  <c r="S91" i="184"/>
  <c r="S84" i="184"/>
  <c r="S272" i="184"/>
  <c r="S271" i="184"/>
  <c r="S81" i="184"/>
  <c r="S83" i="184"/>
  <c r="S82" i="184"/>
  <c r="S73" i="184"/>
  <c r="S171" i="184"/>
  <c r="S170" i="184"/>
  <c r="S70" i="184"/>
  <c r="S69" i="184"/>
  <c r="S66" i="184"/>
  <c r="S298" i="184"/>
  <c r="S297" i="184"/>
  <c r="S56" i="184"/>
  <c r="S65" i="184"/>
  <c r="S303" i="184"/>
  <c r="S302" i="184"/>
  <c r="S100" i="184"/>
  <c r="S89" i="184"/>
  <c r="S97" i="184"/>
  <c r="S167" i="184"/>
  <c r="S166" i="184"/>
  <c r="S307" i="184"/>
  <c r="S306" i="184"/>
  <c r="S305" i="184"/>
  <c r="S300" i="184"/>
  <c r="S296" i="184"/>
  <c r="S279" i="184"/>
  <c r="S278" i="184"/>
  <c r="S277" i="184"/>
  <c r="S267" i="184"/>
  <c r="S266" i="184"/>
  <c r="S265" i="184"/>
  <c r="S262" i="184"/>
  <c r="S261" i="184"/>
  <c r="S260" i="184"/>
  <c r="S254" i="184"/>
  <c r="S253" i="184"/>
  <c r="S252" i="184"/>
  <c r="S251" i="184"/>
  <c r="S250" i="184"/>
  <c r="S245" i="184"/>
  <c r="S244" i="184"/>
  <c r="S240" i="184"/>
  <c r="S239" i="184"/>
  <c r="S238" i="184"/>
  <c r="S237" i="184"/>
  <c r="S236" i="184"/>
  <c r="S226" i="184"/>
  <c r="S218" i="184"/>
  <c r="S214" i="184"/>
  <c r="S211" i="184"/>
  <c r="S209" i="184"/>
  <c r="S208" i="184"/>
  <c r="S190" i="184"/>
  <c r="S184" i="184"/>
  <c r="S183" i="184"/>
  <c r="S182" i="184"/>
  <c r="S175" i="184"/>
  <c r="S174" i="184"/>
  <c r="S173" i="184"/>
  <c r="S168" i="184"/>
  <c r="S165" i="184"/>
  <c r="S163" i="184"/>
  <c r="S162" i="184"/>
  <c r="S161" i="184"/>
  <c r="S160" i="184"/>
  <c r="S159" i="184"/>
  <c r="S158" i="184"/>
  <c r="S157" i="184"/>
  <c r="S156" i="184"/>
  <c r="S155" i="184"/>
  <c r="S154" i="184"/>
  <c r="S153" i="184"/>
  <c r="S152" i="184"/>
  <c r="S151" i="184"/>
  <c r="S150" i="184"/>
  <c r="S145" i="184"/>
  <c r="S141" i="184"/>
  <c r="S140" i="184"/>
  <c r="S136" i="184"/>
  <c r="S135" i="184"/>
  <c r="S133" i="184"/>
  <c r="S132" i="184"/>
  <c r="S131" i="184"/>
  <c r="S130" i="184"/>
  <c r="S128" i="184"/>
  <c r="R350" i="184"/>
  <c r="M350" i="184"/>
  <c r="S347" i="184"/>
  <c r="Q347" i="184"/>
  <c r="R343" i="184"/>
  <c r="Q343" i="184"/>
  <c r="Q350" i="184" s="1"/>
  <c r="P343" i="184"/>
  <c r="O343" i="184"/>
  <c r="N343" i="184"/>
  <c r="N345" i="184" s="1"/>
  <c r="M343" i="184"/>
  <c r="M352" i="184" s="1"/>
  <c r="S339" i="184"/>
  <c r="S338" i="184"/>
  <c r="S337" i="184"/>
  <c r="S336" i="184"/>
  <c r="S335" i="184"/>
  <c r="S334" i="184"/>
  <c r="S333" i="184"/>
  <c r="S332" i="184"/>
  <c r="S331" i="184"/>
  <c r="S330" i="184"/>
  <c r="S329" i="184"/>
  <c r="S328" i="184"/>
  <c r="S327" i="184"/>
  <c r="S326" i="184"/>
  <c r="S325" i="184"/>
  <c r="S324" i="184"/>
  <c r="S323" i="184"/>
  <c r="S322" i="184"/>
  <c r="S321" i="184"/>
  <c r="S320" i="184"/>
  <c r="S319" i="184"/>
  <c r="S318" i="184"/>
  <c r="S317" i="184"/>
  <c r="S316" i="184"/>
  <c r="S315" i="184"/>
  <c r="S314" i="184"/>
  <c r="S313" i="184"/>
  <c r="S312" i="184"/>
  <c r="S311" i="184"/>
  <c r="S310" i="184"/>
  <c r="S309" i="184"/>
  <c r="S282" i="184"/>
  <c r="S127" i="184"/>
  <c r="S283" i="184"/>
  <c r="S270" i="184"/>
  <c r="S299" i="184"/>
  <c r="S291" i="184"/>
  <c r="S126" i="184"/>
  <c r="S125" i="184"/>
  <c r="S94" i="184"/>
  <c r="S120" i="184"/>
  <c r="S119" i="184"/>
  <c r="S93" i="184"/>
  <c r="S90" i="184"/>
  <c r="S86" i="184"/>
  <c r="S98" i="184"/>
  <c r="S21" i="184"/>
  <c r="S9" i="184"/>
  <c r="S134" i="184"/>
  <c r="S129" i="184"/>
  <c r="S10" i="184"/>
  <c r="S148" i="184"/>
  <c r="S147" i="184"/>
  <c r="S146" i="184"/>
  <c r="S144" i="184"/>
  <c r="S8" i="184"/>
  <c r="S118" i="184"/>
  <c r="S117" i="184"/>
  <c r="S42" i="184"/>
  <c r="S41" i="184"/>
  <c r="S219" i="184"/>
  <c r="S113" i="184"/>
  <c r="S112" i="184"/>
  <c r="S217" i="184"/>
  <c r="S220" i="184"/>
  <c r="S192" i="184"/>
  <c r="S191" i="184"/>
  <c r="S197" i="184"/>
  <c r="S196" i="184"/>
  <c r="S216" i="184"/>
  <c r="S79" i="184"/>
  <c r="S75" i="184"/>
  <c r="S215" i="184"/>
  <c r="S72" i="184"/>
  <c r="S71" i="184"/>
  <c r="S99" i="184"/>
  <c r="S212" i="184"/>
  <c r="S44" i="184"/>
  <c r="S213" i="184"/>
  <c r="S195" i="184"/>
  <c r="AF94" i="184"/>
  <c r="AG94" i="184" s="1"/>
  <c r="Z94" i="184"/>
  <c r="Y94" i="184"/>
  <c r="X94" i="184"/>
  <c r="W94" i="184"/>
  <c r="V94" i="184"/>
  <c r="U94" i="184"/>
  <c r="S43" i="184"/>
  <c r="AF93" i="184"/>
  <c r="AG93" i="184" s="1"/>
  <c r="Z93" i="184"/>
  <c r="Y93" i="184"/>
  <c r="X93" i="184"/>
  <c r="W93" i="184"/>
  <c r="V93" i="184"/>
  <c r="U93" i="184"/>
  <c r="S194" i="184"/>
  <c r="AF92" i="184"/>
  <c r="AG92" i="184" s="1"/>
  <c r="Z92" i="184"/>
  <c r="AE92" i="184" s="1"/>
  <c r="Y92" i="184"/>
  <c r="X92" i="184"/>
  <c r="W92" i="184"/>
  <c r="V92" i="184"/>
  <c r="U92" i="184"/>
  <c r="S109" i="184"/>
  <c r="AF91" i="184"/>
  <c r="AG91" i="184" s="1"/>
  <c r="Z91" i="184"/>
  <c r="AE91" i="184" s="1"/>
  <c r="Y91" i="184"/>
  <c r="X91" i="184"/>
  <c r="W91" i="184"/>
  <c r="V91" i="184"/>
  <c r="U91" i="184"/>
  <c r="S102" i="184"/>
  <c r="AF90" i="184"/>
  <c r="AG90" i="184" s="1"/>
  <c r="Z90" i="184"/>
  <c r="AE90" i="184" s="1"/>
  <c r="Y90" i="184"/>
  <c r="X90" i="184"/>
  <c r="W90" i="184"/>
  <c r="V90" i="184"/>
  <c r="U90" i="184"/>
  <c r="S110" i="184"/>
  <c r="AF89" i="184"/>
  <c r="AG89" i="184" s="1"/>
  <c r="Z89" i="184"/>
  <c r="AC89" i="184" s="1"/>
  <c r="Y89" i="184"/>
  <c r="X89" i="184"/>
  <c r="W89" i="184"/>
  <c r="V89" i="184"/>
  <c r="U89" i="184"/>
  <c r="S107" i="184"/>
  <c r="AF88" i="184"/>
  <c r="AG88" i="184" s="1"/>
  <c r="Z88" i="184"/>
  <c r="AC88" i="184" s="1"/>
  <c r="Y88" i="184"/>
  <c r="X88" i="184"/>
  <c r="W88" i="184"/>
  <c r="V88" i="184"/>
  <c r="U88" i="184"/>
  <c r="S124" i="184"/>
  <c r="AF87" i="184"/>
  <c r="AG87" i="184" s="1"/>
  <c r="Z87" i="184"/>
  <c r="AE87" i="184" s="1"/>
  <c r="Y87" i="184"/>
  <c r="X87" i="184"/>
  <c r="W87" i="184"/>
  <c r="V87" i="184"/>
  <c r="U87" i="184"/>
  <c r="S121" i="184"/>
  <c r="AF86" i="184"/>
  <c r="AG86" i="184" s="1"/>
  <c r="Z86" i="184"/>
  <c r="Y86" i="184"/>
  <c r="X86" i="184"/>
  <c r="W86" i="184"/>
  <c r="V86" i="184"/>
  <c r="U86" i="184"/>
  <c r="S101" i="184"/>
  <c r="AF85" i="184"/>
  <c r="AG85" i="184" s="1"/>
  <c r="Z85" i="184"/>
  <c r="AC85" i="184" s="1"/>
  <c r="Y85" i="184"/>
  <c r="X85" i="184"/>
  <c r="W85" i="184"/>
  <c r="V85" i="184"/>
  <c r="U85" i="184"/>
  <c r="S281" i="184"/>
  <c r="AF84" i="184"/>
  <c r="AG84" i="184" s="1"/>
  <c r="Z84" i="184"/>
  <c r="AC84" i="184" s="1"/>
  <c r="Y84" i="184"/>
  <c r="X84" i="184"/>
  <c r="W84" i="184"/>
  <c r="V84" i="184"/>
  <c r="U84" i="184"/>
  <c r="S280" i="184"/>
  <c r="AF83" i="184"/>
  <c r="AG83" i="184" s="1"/>
  <c r="Z83" i="184"/>
  <c r="AE83" i="184" s="1"/>
  <c r="Y83" i="184"/>
  <c r="X83" i="184"/>
  <c r="W83" i="184"/>
  <c r="V83" i="184"/>
  <c r="U83" i="184"/>
  <c r="S116" i="184"/>
  <c r="AF82" i="184"/>
  <c r="AG82" i="184" s="1"/>
  <c r="Z82" i="184"/>
  <c r="AD82" i="184" s="1"/>
  <c r="Y82" i="184"/>
  <c r="X82" i="184"/>
  <c r="W82" i="184"/>
  <c r="V82" i="184"/>
  <c r="U82" i="184"/>
  <c r="S108" i="184"/>
  <c r="AF81" i="184"/>
  <c r="AG81" i="184" s="1"/>
  <c r="Z81" i="184"/>
  <c r="Y81" i="184"/>
  <c r="X81" i="184"/>
  <c r="W81" i="184"/>
  <c r="V81" i="184"/>
  <c r="U81" i="184"/>
  <c r="S115" i="184"/>
  <c r="AF80" i="184"/>
  <c r="AG80" i="184" s="1"/>
  <c r="Z80" i="184"/>
  <c r="AE80" i="184" s="1"/>
  <c r="Y80" i="184"/>
  <c r="X80" i="184"/>
  <c r="W80" i="184"/>
  <c r="V80" i="184"/>
  <c r="U80" i="184"/>
  <c r="S80" i="184"/>
  <c r="AF79" i="184"/>
  <c r="AG79" i="184" s="1"/>
  <c r="Z79" i="184"/>
  <c r="AE79" i="184" s="1"/>
  <c r="Y79" i="184"/>
  <c r="X79" i="184"/>
  <c r="W79" i="184"/>
  <c r="V79" i="184"/>
  <c r="U79" i="184"/>
  <c r="S105" i="184"/>
  <c r="AF78" i="184"/>
  <c r="AG78" i="184" s="1"/>
  <c r="AE78" i="184"/>
  <c r="Z78" i="184"/>
  <c r="AC78" i="184" s="1"/>
  <c r="Y78" i="184"/>
  <c r="X78" i="184"/>
  <c r="W78" i="184"/>
  <c r="V78" i="184"/>
  <c r="U78" i="184"/>
  <c r="S78" i="184"/>
  <c r="AF77" i="184"/>
  <c r="AG77" i="184" s="1"/>
  <c r="Z77" i="184"/>
  <c r="AC77" i="184" s="1"/>
  <c r="Y77" i="184"/>
  <c r="X77" i="184"/>
  <c r="W77" i="184"/>
  <c r="V77" i="184"/>
  <c r="U77" i="184"/>
  <c r="S77" i="184"/>
  <c r="AF76" i="184"/>
  <c r="AG76" i="184" s="1"/>
  <c r="Z76" i="184"/>
  <c r="AE76" i="184" s="1"/>
  <c r="Y76" i="184"/>
  <c r="X76" i="184"/>
  <c r="W76" i="184"/>
  <c r="V76" i="184"/>
  <c r="U76" i="184"/>
  <c r="S76" i="184"/>
  <c r="AF75" i="184"/>
  <c r="AG75" i="184" s="1"/>
  <c r="Z75" i="184"/>
  <c r="AC75" i="184" s="1"/>
  <c r="Y75" i="184"/>
  <c r="X75" i="184"/>
  <c r="W75" i="184"/>
  <c r="V75" i="184"/>
  <c r="U75" i="184"/>
  <c r="S106" i="184"/>
  <c r="AF74" i="184"/>
  <c r="AG74" i="184" s="1"/>
  <c r="Z74" i="184"/>
  <c r="AD74" i="184" s="1"/>
  <c r="Y74" i="184"/>
  <c r="X74" i="184"/>
  <c r="W74" i="184"/>
  <c r="V74" i="184"/>
  <c r="U74" i="184"/>
  <c r="S74" i="184"/>
  <c r="AF73" i="184"/>
  <c r="AG73" i="184" s="1"/>
  <c r="Z73" i="184"/>
  <c r="Y73" i="184"/>
  <c r="X73" i="184"/>
  <c r="W73" i="184"/>
  <c r="V73" i="184"/>
  <c r="U73" i="184"/>
  <c r="S189" i="184"/>
  <c r="AF72" i="184"/>
  <c r="AG72" i="184" s="1"/>
  <c r="Z72" i="184"/>
  <c r="Y72" i="184"/>
  <c r="X72" i="184"/>
  <c r="W72" i="184"/>
  <c r="V72" i="184"/>
  <c r="U72" i="184"/>
  <c r="S181" i="184"/>
  <c r="AF71" i="184"/>
  <c r="AG71" i="184" s="1"/>
  <c r="Z71" i="184"/>
  <c r="AD71" i="184" s="1"/>
  <c r="Y71" i="184"/>
  <c r="X71" i="184"/>
  <c r="W71" i="184"/>
  <c r="V71" i="184"/>
  <c r="U71" i="184"/>
  <c r="S180" i="184"/>
  <c r="AF70" i="184"/>
  <c r="AG70" i="184" s="1"/>
  <c r="Z70" i="184"/>
  <c r="AE70" i="184" s="1"/>
  <c r="Y70" i="184"/>
  <c r="X70" i="184"/>
  <c r="W70" i="184"/>
  <c r="V70" i="184"/>
  <c r="U70" i="184"/>
  <c r="S207" i="184"/>
  <c r="AF69" i="184"/>
  <c r="AG69" i="184" s="1"/>
  <c r="Z69" i="184"/>
  <c r="AE69" i="184" s="1"/>
  <c r="Y69" i="184"/>
  <c r="X69" i="184"/>
  <c r="W69" i="184"/>
  <c r="V69" i="184"/>
  <c r="U69" i="184"/>
  <c r="S203" i="184"/>
  <c r="AF68" i="184"/>
  <c r="AG68" i="184" s="1"/>
  <c r="Z68" i="184"/>
  <c r="AE68" i="184" s="1"/>
  <c r="Y68" i="184"/>
  <c r="X68" i="184"/>
  <c r="W68" i="184"/>
  <c r="V68" i="184"/>
  <c r="U68" i="184"/>
  <c r="S68" i="184"/>
  <c r="AF67" i="184"/>
  <c r="AG67" i="184" s="1"/>
  <c r="Z67" i="184"/>
  <c r="AC67" i="184" s="1"/>
  <c r="Y67" i="184"/>
  <c r="X67" i="184"/>
  <c r="W67" i="184"/>
  <c r="V67" i="184"/>
  <c r="U67" i="184"/>
  <c r="S67" i="184"/>
  <c r="Z66" i="184"/>
  <c r="Y66" i="184"/>
  <c r="X66" i="184"/>
  <c r="W66" i="184"/>
  <c r="V66" i="184"/>
  <c r="U66" i="184"/>
  <c r="S206" i="184"/>
  <c r="Z65" i="184"/>
  <c r="Y65" i="184"/>
  <c r="X65" i="184"/>
  <c r="W65" i="184"/>
  <c r="V65" i="184"/>
  <c r="U65" i="184"/>
  <c r="S202" i="184"/>
  <c r="AF64" i="184"/>
  <c r="AG64" i="184" s="1"/>
  <c r="Z64" i="184"/>
  <c r="AD64" i="184" s="1"/>
  <c r="Y64" i="184"/>
  <c r="X64" i="184"/>
  <c r="W64" i="184"/>
  <c r="V64" i="184"/>
  <c r="U64" i="184"/>
  <c r="S200" i="184"/>
  <c r="AF63" i="184"/>
  <c r="AG63" i="184" s="1"/>
  <c r="Z63" i="184"/>
  <c r="AE63" i="184" s="1"/>
  <c r="Y63" i="184"/>
  <c r="X63" i="184"/>
  <c r="W63" i="184"/>
  <c r="V63" i="184"/>
  <c r="U63" i="184"/>
  <c r="S63" i="184"/>
  <c r="AF62" i="184"/>
  <c r="AG62" i="184" s="1"/>
  <c r="Z62" i="184"/>
  <c r="AE62" i="184" s="1"/>
  <c r="Y62" i="184"/>
  <c r="X62" i="184"/>
  <c r="W62" i="184"/>
  <c r="V62" i="184"/>
  <c r="U62" i="184"/>
  <c r="S62" i="184"/>
  <c r="AF61" i="184"/>
  <c r="AG61" i="184" s="1"/>
  <c r="AD61" i="184"/>
  <c r="Z61" i="184"/>
  <c r="AE61" i="184" s="1"/>
  <c r="Y61" i="184"/>
  <c r="X61" i="184"/>
  <c r="W61" i="184"/>
  <c r="V61" i="184"/>
  <c r="U61" i="184"/>
  <c r="S201" i="184"/>
  <c r="AG60" i="184"/>
  <c r="Z60" i="184"/>
  <c r="Y60" i="184"/>
  <c r="X60" i="184"/>
  <c r="W60" i="184"/>
  <c r="V60" i="184"/>
  <c r="U60" i="184"/>
  <c r="S193" i="184"/>
  <c r="AF59" i="184"/>
  <c r="AG59" i="184" s="1"/>
  <c r="Z59" i="184"/>
  <c r="Y59" i="184"/>
  <c r="X59" i="184"/>
  <c r="W59" i="184"/>
  <c r="V59" i="184"/>
  <c r="U59" i="184"/>
  <c r="S59" i="184"/>
  <c r="AF58" i="184"/>
  <c r="AG58" i="184" s="1"/>
  <c r="Z58" i="184"/>
  <c r="AE58" i="184" s="1"/>
  <c r="Y58" i="184"/>
  <c r="X58" i="184"/>
  <c r="W58" i="184"/>
  <c r="V58" i="184"/>
  <c r="U58" i="184"/>
  <c r="S199" i="184"/>
  <c r="AF57" i="184"/>
  <c r="AG57" i="184" s="1"/>
  <c r="Z57" i="184"/>
  <c r="Y57" i="184"/>
  <c r="X57" i="184"/>
  <c r="W57" i="184"/>
  <c r="V57" i="184"/>
  <c r="U57" i="184"/>
  <c r="S198" i="184"/>
  <c r="Z56" i="184"/>
  <c r="Y56" i="184"/>
  <c r="X56" i="184"/>
  <c r="W56" i="184"/>
  <c r="V56" i="184"/>
  <c r="U56" i="184"/>
  <c r="S210" i="184"/>
  <c r="Z55" i="184"/>
  <c r="AE55" i="184" s="1"/>
  <c r="Y55" i="184"/>
  <c r="X55" i="184"/>
  <c r="W55" i="184"/>
  <c r="V55" i="184"/>
  <c r="U55" i="184"/>
  <c r="S186" i="184"/>
  <c r="AF54" i="184"/>
  <c r="AG54" i="184" s="1"/>
  <c r="Z54" i="184"/>
  <c r="AE54" i="184" s="1"/>
  <c r="Y54" i="184"/>
  <c r="X54" i="184"/>
  <c r="W54" i="184"/>
  <c r="V54" i="184"/>
  <c r="U54" i="184"/>
  <c r="S290" i="184"/>
  <c r="AG53" i="184"/>
  <c r="Z53" i="184"/>
  <c r="Y53" i="184"/>
  <c r="X53" i="184"/>
  <c r="W53" i="184"/>
  <c r="V53" i="184"/>
  <c r="U53" i="184"/>
  <c r="S289" i="184"/>
  <c r="Z52" i="184"/>
  <c r="Y52" i="184"/>
  <c r="X52" i="184"/>
  <c r="W52" i="184"/>
  <c r="V52" i="184"/>
  <c r="U52" i="184"/>
  <c r="S185" i="184"/>
  <c r="AG51" i="184"/>
  <c r="Z51" i="184"/>
  <c r="AE51" i="184" s="1"/>
  <c r="Y51" i="184"/>
  <c r="X51" i="184"/>
  <c r="W51" i="184"/>
  <c r="V51" i="184"/>
  <c r="U51" i="184"/>
  <c r="S51" i="184"/>
  <c r="Z50" i="184"/>
  <c r="Y50" i="184"/>
  <c r="X50" i="184"/>
  <c r="W50" i="184"/>
  <c r="V50" i="184"/>
  <c r="U50" i="184"/>
  <c r="S179" i="184"/>
  <c r="AF49" i="184"/>
  <c r="AG49" i="184" s="1"/>
  <c r="Z49" i="184"/>
  <c r="AE49" i="184" s="1"/>
  <c r="Y49" i="184"/>
  <c r="X49" i="184"/>
  <c r="W49" i="184"/>
  <c r="V49" i="184"/>
  <c r="U49" i="184"/>
  <c r="S164" i="184"/>
  <c r="AG48" i="184"/>
  <c r="Z48" i="184"/>
  <c r="AE48" i="184" s="1"/>
  <c r="Y48" i="184"/>
  <c r="X48" i="184"/>
  <c r="W48" i="184"/>
  <c r="V48" i="184"/>
  <c r="U48" i="184"/>
  <c r="S263" i="184"/>
  <c r="AG47" i="184"/>
  <c r="Z47" i="184"/>
  <c r="AE47" i="184" s="1"/>
  <c r="Y47" i="184"/>
  <c r="X47" i="184"/>
  <c r="W47" i="184"/>
  <c r="V47" i="184"/>
  <c r="U47" i="184"/>
  <c r="S259" i="184"/>
  <c r="AG46" i="184"/>
  <c r="Z46" i="184"/>
  <c r="AE46" i="184" s="1"/>
  <c r="Y46" i="184"/>
  <c r="X46" i="184"/>
  <c r="W46" i="184"/>
  <c r="V46" i="184"/>
  <c r="U46" i="184"/>
  <c r="S176" i="184"/>
  <c r="Z45" i="184"/>
  <c r="Y45" i="184"/>
  <c r="X45" i="184"/>
  <c r="W45" i="184"/>
  <c r="V45" i="184"/>
  <c r="U45" i="184"/>
  <c r="S172" i="184"/>
  <c r="AG44" i="184"/>
  <c r="Z44" i="184"/>
  <c r="AD44" i="184" s="1"/>
  <c r="Y44" i="184"/>
  <c r="X44" i="184"/>
  <c r="W44" i="184"/>
  <c r="V44" i="184"/>
  <c r="U44" i="184"/>
  <c r="S169" i="184"/>
  <c r="AG43" i="184"/>
  <c r="Z43" i="184"/>
  <c r="AE43" i="184" s="1"/>
  <c r="Y43" i="184"/>
  <c r="X43" i="184"/>
  <c r="W43" i="184"/>
  <c r="V43" i="184"/>
  <c r="U43" i="184"/>
  <c r="S45" i="184"/>
  <c r="AG42" i="184"/>
  <c r="Z42" i="184"/>
  <c r="AC42" i="184" s="1"/>
  <c r="Y42" i="184"/>
  <c r="X42" i="184"/>
  <c r="W42" i="184"/>
  <c r="V42" i="184"/>
  <c r="U42" i="184"/>
  <c r="S96" i="184"/>
  <c r="AG41" i="184"/>
  <c r="Z41" i="184"/>
  <c r="AC41" i="184" s="1"/>
  <c r="Y41" i="184"/>
  <c r="X41" i="184"/>
  <c r="W41" i="184"/>
  <c r="V41" i="184"/>
  <c r="U41" i="184"/>
  <c r="S95" i="184"/>
  <c r="AG40" i="184"/>
  <c r="Z40" i="184"/>
  <c r="AC40" i="184" s="1"/>
  <c r="Y40" i="184"/>
  <c r="X40" i="184"/>
  <c r="W40" i="184"/>
  <c r="V40" i="184"/>
  <c r="U40" i="184"/>
  <c r="S50" i="184"/>
  <c r="AF39" i="184"/>
  <c r="AG39" i="184" s="1"/>
  <c r="Z39" i="184"/>
  <c r="AE39" i="184" s="1"/>
  <c r="Y39" i="184"/>
  <c r="X39" i="184"/>
  <c r="W39" i="184"/>
  <c r="V39" i="184"/>
  <c r="U39" i="184"/>
  <c r="S39" i="184"/>
  <c r="AF38" i="184"/>
  <c r="AG38" i="184" s="1"/>
  <c r="Z38" i="184"/>
  <c r="AE38" i="184" s="1"/>
  <c r="Y38" i="184"/>
  <c r="X38" i="184"/>
  <c r="W38" i="184"/>
  <c r="V38" i="184"/>
  <c r="U38" i="184"/>
  <c r="S38" i="184"/>
  <c r="AF37" i="184"/>
  <c r="AG37" i="184" s="1"/>
  <c r="Z37" i="184"/>
  <c r="AC37" i="184" s="1"/>
  <c r="Y37" i="184"/>
  <c r="X37" i="184"/>
  <c r="W37" i="184"/>
  <c r="V37" i="184"/>
  <c r="U37" i="184"/>
  <c r="S37" i="184"/>
  <c r="AF36" i="184"/>
  <c r="AG36" i="184" s="1"/>
  <c r="Z36" i="184"/>
  <c r="AE36" i="184" s="1"/>
  <c r="Y36" i="184"/>
  <c r="X36" i="184"/>
  <c r="W36" i="184"/>
  <c r="V36" i="184"/>
  <c r="U36" i="184"/>
  <c r="S36" i="184"/>
  <c r="AF35" i="184"/>
  <c r="AG35" i="184" s="1"/>
  <c r="AC35" i="184"/>
  <c r="Z35" i="184"/>
  <c r="AE35" i="184" s="1"/>
  <c r="Y35" i="184"/>
  <c r="X35" i="184"/>
  <c r="W35" i="184"/>
  <c r="V35" i="184"/>
  <c r="U35" i="184"/>
  <c r="S35" i="184"/>
  <c r="AF34" i="184"/>
  <c r="AG34" i="184" s="1"/>
  <c r="Z34" i="184"/>
  <c r="Y34" i="184"/>
  <c r="X34" i="184"/>
  <c r="W34" i="184"/>
  <c r="V34" i="184"/>
  <c r="U34" i="184"/>
  <c r="S34" i="184"/>
  <c r="AF33" i="184"/>
  <c r="AG33" i="184" s="1"/>
  <c r="Z33" i="184"/>
  <c r="AD33" i="184" s="1"/>
  <c r="Y33" i="184"/>
  <c r="X33" i="184"/>
  <c r="W33" i="184"/>
  <c r="V33" i="184"/>
  <c r="U33" i="184"/>
  <c r="S33" i="184"/>
  <c r="AF32" i="184"/>
  <c r="AG32" i="184" s="1"/>
  <c r="Z32" i="184"/>
  <c r="AE32" i="184" s="1"/>
  <c r="Y32" i="184"/>
  <c r="X32" i="184"/>
  <c r="W32" i="184"/>
  <c r="V32" i="184"/>
  <c r="U32" i="184"/>
  <c r="S32" i="184"/>
  <c r="AF31" i="184"/>
  <c r="AG31" i="184" s="1"/>
  <c r="Z31" i="184"/>
  <c r="AC31" i="184" s="1"/>
  <c r="Y31" i="184"/>
  <c r="X31" i="184"/>
  <c r="W31" i="184"/>
  <c r="V31" i="184"/>
  <c r="U31" i="184"/>
  <c r="S31" i="184"/>
  <c r="AF30" i="184"/>
  <c r="AG30" i="184" s="1"/>
  <c r="Z30" i="184"/>
  <c r="AD30" i="184" s="1"/>
  <c r="Y30" i="184"/>
  <c r="X30" i="184"/>
  <c r="W30" i="184"/>
  <c r="V30" i="184"/>
  <c r="U30" i="184"/>
  <c r="S30" i="184"/>
  <c r="AF29" i="184"/>
  <c r="AG29" i="184" s="1"/>
  <c r="Z29" i="184"/>
  <c r="AD29" i="184" s="1"/>
  <c r="Y29" i="184"/>
  <c r="X29" i="184"/>
  <c r="W29" i="184"/>
  <c r="V29" i="184"/>
  <c r="U29" i="184"/>
  <c r="S29" i="184"/>
  <c r="AF28" i="184"/>
  <c r="AG28" i="184" s="1"/>
  <c r="Z28" i="184"/>
  <c r="AC28" i="184" s="1"/>
  <c r="Y28" i="184"/>
  <c r="X28" i="184"/>
  <c r="W28" i="184"/>
  <c r="V28" i="184"/>
  <c r="U28" i="184"/>
  <c r="S28" i="184"/>
  <c r="Z27" i="184"/>
  <c r="AD27" i="184" s="1"/>
  <c r="Y27" i="184"/>
  <c r="X27" i="184"/>
  <c r="W27" i="184"/>
  <c r="V27" i="184"/>
  <c r="U27" i="184"/>
  <c r="S27" i="184"/>
  <c r="Z26" i="184"/>
  <c r="AC26" i="184" s="1"/>
  <c r="Y26" i="184"/>
  <c r="X26" i="184"/>
  <c r="W26" i="184"/>
  <c r="V26" i="184"/>
  <c r="U26" i="184"/>
  <c r="S53" i="184"/>
  <c r="Z25" i="184"/>
  <c r="AD25" i="184" s="1"/>
  <c r="Y25" i="184"/>
  <c r="X25" i="184"/>
  <c r="W25" i="184"/>
  <c r="V25" i="184"/>
  <c r="U25" i="184"/>
  <c r="S25" i="184"/>
  <c r="Z24" i="184"/>
  <c r="AE24" i="184" s="1"/>
  <c r="Y24" i="184"/>
  <c r="X24" i="184"/>
  <c r="W24" i="184"/>
  <c r="V24" i="184"/>
  <c r="U24" i="184"/>
  <c r="S24" i="184"/>
  <c r="Z23" i="184"/>
  <c r="AE23" i="184" s="1"/>
  <c r="Y23" i="184"/>
  <c r="X23" i="184"/>
  <c r="W23" i="184"/>
  <c r="V23" i="184"/>
  <c r="U23" i="184"/>
  <c r="S23" i="184"/>
  <c r="Z22" i="184"/>
  <c r="AD22" i="184" s="1"/>
  <c r="Y22" i="184"/>
  <c r="X22" i="184"/>
  <c r="W22" i="184"/>
  <c r="V22" i="184"/>
  <c r="U22" i="184"/>
  <c r="S22" i="184"/>
  <c r="Z21" i="184"/>
  <c r="Y21" i="184"/>
  <c r="X21" i="184"/>
  <c r="W21" i="184"/>
  <c r="V21" i="184"/>
  <c r="U21" i="184"/>
  <c r="S52" i="184"/>
  <c r="Z20" i="184"/>
  <c r="AE20" i="184" s="1"/>
  <c r="Y20" i="184"/>
  <c r="X20" i="184"/>
  <c r="W20" i="184"/>
  <c r="V20" i="184"/>
  <c r="U20" i="184"/>
  <c r="S205" i="184"/>
  <c r="Z19" i="184"/>
  <c r="AD19" i="184" s="1"/>
  <c r="Y19" i="184"/>
  <c r="X19" i="184"/>
  <c r="W19" i="184"/>
  <c r="V19" i="184"/>
  <c r="U19" i="184"/>
  <c r="S204" i="184"/>
  <c r="Z18" i="184"/>
  <c r="AE18" i="184" s="1"/>
  <c r="Y18" i="184"/>
  <c r="X18" i="184"/>
  <c r="W18" i="184"/>
  <c r="V18" i="184"/>
  <c r="U18" i="184"/>
  <c r="S18" i="184"/>
  <c r="AF17" i="184"/>
  <c r="AG17" i="184" s="1"/>
  <c r="Z17" i="184"/>
  <c r="AA17" i="184" s="1"/>
  <c r="Y17" i="184"/>
  <c r="X17" i="184"/>
  <c r="W17" i="184"/>
  <c r="V17" i="184"/>
  <c r="U17" i="184"/>
  <c r="S138" i="184"/>
  <c r="Z16" i="184"/>
  <c r="AD16" i="184" s="1"/>
  <c r="Y16" i="184"/>
  <c r="X16" i="184"/>
  <c r="W16" i="184"/>
  <c r="V16" i="184"/>
  <c r="U16" i="184"/>
  <c r="S188" i="184"/>
  <c r="Z15" i="184"/>
  <c r="AC15" i="184" s="1"/>
  <c r="Y15" i="184"/>
  <c r="X15" i="184"/>
  <c r="W15" i="184"/>
  <c r="V15" i="184"/>
  <c r="U15" i="184"/>
  <c r="S187" i="184"/>
  <c r="AF14" i="184"/>
  <c r="AG14" i="184" s="1"/>
  <c r="Z14" i="184"/>
  <c r="Y14" i="184"/>
  <c r="X14" i="184"/>
  <c r="W14" i="184"/>
  <c r="V14" i="184"/>
  <c r="U14" i="184"/>
  <c r="S137" i="184"/>
  <c r="Z13" i="184"/>
  <c r="AE13" i="184" s="1"/>
  <c r="Y13" i="184"/>
  <c r="X13" i="184"/>
  <c r="W13" i="184"/>
  <c r="V13" i="184"/>
  <c r="U13" i="184"/>
  <c r="S139" i="184"/>
  <c r="Z12" i="184"/>
  <c r="AC12" i="184" s="1"/>
  <c r="Y12" i="184"/>
  <c r="X12" i="184"/>
  <c r="W12" i="184"/>
  <c r="V12" i="184"/>
  <c r="U12" i="184"/>
  <c r="S12" i="184"/>
  <c r="Z11" i="184"/>
  <c r="AD11" i="184" s="1"/>
  <c r="Y11" i="184"/>
  <c r="X11" i="184"/>
  <c r="W11" i="184"/>
  <c r="V11" i="184"/>
  <c r="U11" i="184"/>
  <c r="S241" i="184"/>
  <c r="Z10" i="184"/>
  <c r="Y10" i="184"/>
  <c r="X10" i="184"/>
  <c r="W10" i="184"/>
  <c r="V10" i="184"/>
  <c r="U10" i="184"/>
  <c r="S178" i="184"/>
  <c r="Z9" i="184"/>
  <c r="AC9" i="184" s="1"/>
  <c r="Y9" i="184"/>
  <c r="X9" i="184"/>
  <c r="W9" i="184"/>
  <c r="V9" i="184"/>
  <c r="U9" i="184"/>
  <c r="S177" i="184"/>
  <c r="Z8" i="184"/>
  <c r="Y8" i="184"/>
  <c r="X8" i="184"/>
  <c r="W8" i="184"/>
  <c r="V8" i="184"/>
  <c r="U8" i="184"/>
  <c r="S235" i="184"/>
  <c r="Z7" i="184"/>
  <c r="AE7" i="184" s="1"/>
  <c r="Y7" i="184"/>
  <c r="X7" i="184"/>
  <c r="W7" i="184"/>
  <c r="V7" i="184"/>
  <c r="U7" i="184"/>
  <c r="S7" i="184"/>
  <c r="A7" i="184"/>
  <c r="A8" i="184" s="1"/>
  <c r="A9" i="184" s="1"/>
  <c r="A10" i="184" s="1"/>
  <c r="A11" i="184" s="1"/>
  <c r="A12" i="184" s="1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A45" i="184" s="1"/>
  <c r="A46" i="184" s="1"/>
  <c r="A47" i="184" s="1"/>
  <c r="A48" i="184" s="1"/>
  <c r="A49" i="184" s="1"/>
  <c r="A50" i="184" s="1"/>
  <c r="A51" i="184" s="1"/>
  <c r="A52" i="184" s="1"/>
  <c r="A53" i="184" s="1"/>
  <c r="A54" i="184" s="1"/>
  <c r="A55" i="184" s="1"/>
  <c r="A56" i="184" s="1"/>
  <c r="A57" i="184" s="1"/>
  <c r="A58" i="184" s="1"/>
  <c r="A59" i="184" s="1"/>
  <c r="A60" i="184" s="1"/>
  <c r="A61" i="184" s="1"/>
  <c r="A62" i="184" s="1"/>
  <c r="A63" i="184" s="1"/>
  <c r="A64" i="184" s="1"/>
  <c r="A65" i="184" s="1"/>
  <c r="A66" i="184" s="1"/>
  <c r="A67" i="184" s="1"/>
  <c r="A68" i="184" s="1"/>
  <c r="A69" i="184" s="1"/>
  <c r="A70" i="184" s="1"/>
  <c r="A71" i="184" s="1"/>
  <c r="A72" i="184" s="1"/>
  <c r="A73" i="184" s="1"/>
  <c r="A74" i="184" s="1"/>
  <c r="A75" i="184" s="1"/>
  <c r="A76" i="184" s="1"/>
  <c r="A77" i="184" s="1"/>
  <c r="A78" i="184" s="1"/>
  <c r="A79" i="184" s="1"/>
  <c r="A80" i="184" s="1"/>
  <c r="A81" i="184" s="1"/>
  <c r="A82" i="184" s="1"/>
  <c r="A83" i="184" s="1"/>
  <c r="A84" i="184" s="1"/>
  <c r="A85" i="184" s="1"/>
  <c r="A86" i="184" s="1"/>
  <c r="A87" i="184" s="1"/>
  <c r="A88" i="184" s="1"/>
  <c r="A89" i="184" s="1"/>
  <c r="A90" i="184" s="1"/>
  <c r="A91" i="184" s="1"/>
  <c r="A92" i="184" s="1"/>
  <c r="A93" i="184" s="1"/>
  <c r="A94" i="184" s="1"/>
  <c r="A95" i="184" s="1"/>
  <c r="A96" i="184" s="1"/>
  <c r="A97" i="184" s="1"/>
  <c r="A98" i="184" s="1"/>
  <c r="A99" i="184" s="1"/>
  <c r="A100" i="184" s="1"/>
  <c r="A101" i="184" s="1"/>
  <c r="A102" i="184" s="1"/>
  <c r="A103" i="184" s="1"/>
  <c r="A104" i="184" s="1"/>
  <c r="A105" i="184" s="1"/>
  <c r="A106" i="184" s="1"/>
  <c r="A107" i="184" s="1"/>
  <c r="A108" i="184" s="1"/>
  <c r="A109" i="184" s="1"/>
  <c r="A110" i="184" s="1"/>
  <c r="A111" i="184" s="1"/>
  <c r="A112" i="184" s="1"/>
  <c r="A113" i="184" s="1"/>
  <c r="A114" i="184" s="1"/>
  <c r="A115" i="184" s="1"/>
  <c r="A116" i="184" s="1"/>
  <c r="A117" i="184" s="1"/>
  <c r="A118" i="184" s="1"/>
  <c r="A119" i="184" s="1"/>
  <c r="A120" i="184" s="1"/>
  <c r="A121" i="184" s="1"/>
  <c r="A122" i="184" s="1"/>
  <c r="A123" i="184" s="1"/>
  <c r="A124" i="184" s="1"/>
  <c r="A125" i="184" s="1"/>
  <c r="A126" i="184" s="1"/>
  <c r="A127" i="184" s="1"/>
  <c r="A128" i="184" s="1"/>
  <c r="A129" i="184" s="1"/>
  <c r="A130" i="184" s="1"/>
  <c r="A131" i="184" s="1"/>
  <c r="A132" i="184" s="1"/>
  <c r="A133" i="184" s="1"/>
  <c r="A134" i="184" s="1"/>
  <c r="A135" i="184" s="1"/>
  <c r="A136" i="184" s="1"/>
  <c r="A137" i="184" s="1"/>
  <c r="A138" i="184" s="1"/>
  <c r="A139" i="184" s="1"/>
  <c r="A140" i="184" s="1"/>
  <c r="A141" i="184" s="1"/>
  <c r="A142" i="184" s="1"/>
  <c r="A143" i="184" s="1"/>
  <c r="A144" i="184" s="1"/>
  <c r="A145" i="184" s="1"/>
  <c r="A146" i="184" s="1"/>
  <c r="A147" i="184" s="1"/>
  <c r="A148" i="184" s="1"/>
  <c r="A149" i="184" s="1"/>
  <c r="A150" i="184" s="1"/>
  <c r="A151" i="184" s="1"/>
  <c r="A152" i="184" s="1"/>
  <c r="A153" i="184" s="1"/>
  <c r="A154" i="184" s="1"/>
  <c r="A155" i="184" s="1"/>
  <c r="A156" i="184" s="1"/>
  <c r="A157" i="184" s="1"/>
  <c r="A158" i="184" s="1"/>
  <c r="A159" i="184" s="1"/>
  <c r="A160" i="184" s="1"/>
  <c r="A161" i="184" s="1"/>
  <c r="A162" i="184" s="1"/>
  <c r="A163" i="184" s="1"/>
  <c r="A164" i="184" s="1"/>
  <c r="A165" i="184" s="1"/>
  <c r="A168" i="184" s="1"/>
  <c r="A169" i="184" s="1"/>
  <c r="A170" i="184" s="1"/>
  <c r="A171" i="184" s="1"/>
  <c r="A172" i="184" s="1"/>
  <c r="A173" i="184" s="1"/>
  <c r="A174" i="184" s="1"/>
  <c r="A175" i="184" s="1"/>
  <c r="A176" i="184" s="1"/>
  <c r="A177" i="184" s="1"/>
  <c r="A178" i="184" s="1"/>
  <c r="A179" i="184" s="1"/>
  <c r="A180" i="184" s="1"/>
  <c r="A181" i="184" s="1"/>
  <c r="A182" i="184" s="1"/>
  <c r="A183" i="184" s="1"/>
  <c r="A184" i="184" s="1"/>
  <c r="A185" i="184" s="1"/>
  <c r="A186" i="184" s="1"/>
  <c r="A187" i="184" s="1"/>
  <c r="A188" i="184" s="1"/>
  <c r="A189" i="184" s="1"/>
  <c r="A190" i="184" s="1"/>
  <c r="A191" i="184" s="1"/>
  <c r="A192" i="184" s="1"/>
  <c r="A193" i="184" s="1"/>
  <c r="A194" i="184" s="1"/>
  <c r="A195" i="184" s="1"/>
  <c r="A196" i="184" s="1"/>
  <c r="A197" i="184" s="1"/>
  <c r="A198" i="184" s="1"/>
  <c r="A199" i="184" s="1"/>
  <c r="A200" i="184" s="1"/>
  <c r="A201" i="184" s="1"/>
  <c r="A202" i="184" s="1"/>
  <c r="A203" i="184" s="1"/>
  <c r="A204" i="184" s="1"/>
  <c r="A205" i="184" s="1"/>
  <c r="A206" i="184" s="1"/>
  <c r="A207" i="184" s="1"/>
  <c r="A208" i="184" s="1"/>
  <c r="A209" i="184" s="1"/>
  <c r="A210" i="184" s="1"/>
  <c r="A211" i="184" s="1"/>
  <c r="A212" i="184" s="1"/>
  <c r="A213" i="184" s="1"/>
  <c r="A214" i="184" s="1"/>
  <c r="A215" i="184" s="1"/>
  <c r="A216" i="184" s="1"/>
  <c r="A217" i="184" s="1"/>
  <c r="A218" i="184" s="1"/>
  <c r="A219" i="184" s="1"/>
  <c r="A220" i="184" s="1"/>
  <c r="A221" i="184" s="1"/>
  <c r="A222" i="184" s="1"/>
  <c r="A223" i="184" s="1"/>
  <c r="A224" i="184" s="1"/>
  <c r="A225" i="184" s="1"/>
  <c r="A226" i="184" s="1"/>
  <c r="A227" i="184" s="1"/>
  <c r="A228" i="184" s="1"/>
  <c r="A229" i="184" s="1"/>
  <c r="A230" i="184" s="1"/>
  <c r="A231" i="184" s="1"/>
  <c r="A232" i="184" s="1"/>
  <c r="A233" i="184" s="1"/>
  <c r="A234" i="184" s="1"/>
  <c r="A235" i="184" s="1"/>
  <c r="A236" i="184" s="1"/>
  <c r="A237" i="184" s="1"/>
  <c r="A238" i="184" s="1"/>
  <c r="A239" i="184" s="1"/>
  <c r="A240" i="184" s="1"/>
  <c r="A241" i="184" s="1"/>
  <c r="A242" i="184" s="1"/>
  <c r="A243" i="184" s="1"/>
  <c r="A244" i="184" s="1"/>
  <c r="A245" i="184" s="1"/>
  <c r="A246" i="184" s="1"/>
  <c r="A247" i="184" s="1"/>
  <c r="A248" i="184" s="1"/>
  <c r="A249" i="184" s="1"/>
  <c r="A250" i="184" s="1"/>
  <c r="A251" i="184" s="1"/>
  <c r="A252" i="184" s="1"/>
  <c r="A253" i="184" s="1"/>
  <c r="A254" i="184" s="1"/>
  <c r="A255" i="184" s="1"/>
  <c r="A256" i="184" s="1"/>
  <c r="A257" i="184" s="1"/>
  <c r="A258" i="184" s="1"/>
  <c r="A259" i="184" s="1"/>
  <c r="A260" i="184" s="1"/>
  <c r="A261" i="184" s="1"/>
  <c r="A262" i="184" s="1"/>
  <c r="A263" i="184" s="1"/>
  <c r="A264" i="184" s="1"/>
  <c r="A265" i="184" s="1"/>
  <c r="A266" i="184" s="1"/>
  <c r="A267" i="184" s="1"/>
  <c r="A268" i="184" s="1"/>
  <c r="A269" i="184" s="1"/>
  <c r="A270" i="184" s="1"/>
  <c r="A271" i="184" s="1"/>
  <c r="A272" i="184" s="1"/>
  <c r="A273" i="184" s="1"/>
  <c r="A274" i="184" s="1"/>
  <c r="A275" i="184" s="1"/>
  <c r="A276" i="184" s="1"/>
  <c r="A277" i="184" s="1"/>
  <c r="A278" i="184" s="1"/>
  <c r="A279" i="184" s="1"/>
  <c r="A280" i="184" s="1"/>
  <c r="A281" i="184" s="1"/>
  <c r="A282" i="184" s="1"/>
  <c r="A283" i="184" s="1"/>
  <c r="A284" i="184" s="1"/>
  <c r="A285" i="184" s="1"/>
  <c r="A286" i="184" s="1"/>
  <c r="A287" i="184" s="1"/>
  <c r="A288" i="184" s="1"/>
  <c r="A289" i="184" s="1"/>
  <c r="A290" i="184" s="1"/>
  <c r="A291" i="184" s="1"/>
  <c r="A292" i="184" s="1"/>
  <c r="A293" i="184" s="1"/>
  <c r="A294" i="184" s="1"/>
  <c r="A295" i="184" s="1"/>
  <c r="A296" i="184" s="1"/>
  <c r="A297" i="184" s="1"/>
  <c r="A298" i="184" s="1"/>
  <c r="A299" i="184" s="1"/>
  <c r="A300" i="184" s="1"/>
  <c r="A301" i="184" s="1"/>
  <c r="A302" i="184" s="1"/>
  <c r="A303" i="184" s="1"/>
  <c r="A304" i="184" s="1"/>
  <c r="A305" i="184" s="1"/>
  <c r="A306" i="184" s="1"/>
  <c r="A307" i="184" s="1"/>
  <c r="A308" i="184" s="1"/>
  <c r="A309" i="184" s="1"/>
  <c r="A310" i="184" s="1"/>
  <c r="A311" i="184" s="1"/>
  <c r="A312" i="184" s="1"/>
  <c r="A313" i="184" s="1"/>
  <c r="A314" i="184" s="1"/>
  <c r="A315" i="184" s="1"/>
  <c r="A316" i="184" s="1"/>
  <c r="A317" i="184" s="1"/>
  <c r="A318" i="184" s="1"/>
  <c r="A319" i="184" s="1"/>
  <c r="A320" i="184" s="1"/>
  <c r="A321" i="184" s="1"/>
  <c r="A322" i="184" s="1"/>
  <c r="A323" i="184" s="1"/>
  <c r="A324" i="184" s="1"/>
  <c r="A325" i="184" s="1"/>
  <c r="A326" i="184" s="1"/>
  <c r="A327" i="184" s="1"/>
  <c r="A328" i="184" s="1"/>
  <c r="A329" i="184" s="1"/>
  <c r="A330" i="184" s="1"/>
  <c r="A331" i="184" s="1"/>
  <c r="A332" i="184" s="1"/>
  <c r="A333" i="184" s="1"/>
  <c r="A334" i="184" s="1"/>
  <c r="A335" i="184" s="1"/>
  <c r="A336" i="184" s="1"/>
  <c r="A337" i="184" s="1"/>
  <c r="A338" i="184" s="1"/>
  <c r="A339" i="184" s="1"/>
  <c r="AF6" i="184"/>
  <c r="AG6" i="184" s="1"/>
  <c r="Z6" i="184"/>
  <c r="Y6" i="184"/>
  <c r="X6" i="184"/>
  <c r="W6" i="184"/>
  <c r="V6" i="184"/>
  <c r="U6" i="184"/>
  <c r="S6" i="184"/>
  <c r="Q1" i="184"/>
  <c r="S345" i="184" s="1"/>
  <c r="AD45" i="184" l="1"/>
  <c r="AA45" i="184"/>
  <c r="AE45" i="184"/>
  <c r="AC45" i="184"/>
  <c r="AF45" i="184" s="1"/>
  <c r="AG45" i="184" s="1"/>
  <c r="AA50" i="184"/>
  <c r="AC50" i="184"/>
  <c r="AE50" i="184"/>
  <c r="AA52" i="184"/>
  <c r="AE52" i="184"/>
  <c r="AC52" i="184"/>
  <c r="AF52" i="184" s="1"/>
  <c r="AG52" i="184" s="1"/>
  <c r="AA53" i="184"/>
  <c r="AE53" i="184"/>
  <c r="AD53" i="184"/>
  <c r="AC53" i="184"/>
  <c r="AD65" i="184"/>
  <c r="AA65" i="184"/>
  <c r="AE65" i="184"/>
  <c r="AA66" i="184"/>
  <c r="AE66" i="184"/>
  <c r="AE73" i="184"/>
  <c r="AA73" i="184"/>
  <c r="AD8" i="184"/>
  <c r="Z341" i="184"/>
  <c r="AA8" i="184"/>
  <c r="AC81" i="184"/>
  <c r="AA83" i="184"/>
  <c r="AD86" i="184"/>
  <c r="AA98" i="184"/>
  <c r="AE93" i="184"/>
  <c r="AC93" i="184"/>
  <c r="AD94" i="184"/>
  <c r="AC94" i="184"/>
  <c r="AA21" i="184"/>
  <c r="AE21" i="184"/>
  <c r="AE10" i="184"/>
  <c r="AA10" i="184"/>
  <c r="AA56" i="184"/>
  <c r="AE56" i="184"/>
  <c r="AC56" i="184"/>
  <c r="AA60" i="184"/>
  <c r="AE60" i="184"/>
  <c r="AD60" i="184"/>
  <c r="AC60" i="184"/>
  <c r="AC87" i="184"/>
  <c r="AD32" i="184"/>
  <c r="AC44" i="184"/>
  <c r="AD91" i="184"/>
  <c r="AD37" i="184"/>
  <c r="AC43" i="184"/>
  <c r="AD90" i="184"/>
  <c r="AD35" i="184"/>
  <c r="AD43" i="184"/>
  <c r="AC71" i="184"/>
  <c r="AA72" i="184"/>
  <c r="AD40" i="184"/>
  <c r="AC46" i="184"/>
  <c r="AE67" i="184"/>
  <c r="AC86" i="184"/>
  <c r="AD46" i="184"/>
  <c r="AE86" i="184"/>
  <c r="AE15" i="184"/>
  <c r="AE37" i="184"/>
  <c r="AD42" i="184"/>
  <c r="AE44" i="184"/>
  <c r="AD51" i="184"/>
  <c r="AD67" i="184"/>
  <c r="AD78" i="184"/>
  <c r="AE82" i="184"/>
  <c r="AC90" i="184"/>
  <c r="AC91" i="184"/>
  <c r="AD15" i="184"/>
  <c r="AD26" i="184"/>
  <c r="AE28" i="184"/>
  <c r="AD41" i="184"/>
  <c r="AC55" i="184"/>
  <c r="AC76" i="184"/>
  <c r="AC82" i="184"/>
  <c r="AC83" i="184"/>
  <c r="AE26" i="184"/>
  <c r="AE41" i="184"/>
  <c r="AD55" i="184"/>
  <c r="AA76" i="184"/>
  <c r="AD76" i="184"/>
  <c r="AD93" i="184"/>
  <c r="AD10" i="184"/>
  <c r="AD12" i="184"/>
  <c r="AD13" i="184"/>
  <c r="AE25" i="184"/>
  <c r="AE27" i="184"/>
  <c r="AD28" i="184"/>
  <c r="AE29" i="184"/>
  <c r="AE30" i="184"/>
  <c r="AC32" i="184"/>
  <c r="AD38" i="184"/>
  <c r="AE40" i="184"/>
  <c r="AE42" i="184"/>
  <c r="AC51" i="184"/>
  <c r="AD52" i="184"/>
  <c r="AA54" i="184"/>
  <c r="AD58" i="184"/>
  <c r="AC61" i="184"/>
  <c r="AC62" i="184"/>
  <c r="AE64" i="184"/>
  <c r="AC68" i="184"/>
  <c r="AD73" i="184"/>
  <c r="AA77" i="184"/>
  <c r="AC79" i="184"/>
  <c r="AE81" i="184"/>
  <c r="AE85" i="184"/>
  <c r="AE89" i="184"/>
  <c r="AA46" i="184"/>
  <c r="AD79" i="184"/>
  <c r="AC10" i="184"/>
  <c r="AD18" i="184"/>
  <c r="AE19" i="184"/>
  <c r="AA27" i="184"/>
  <c r="AC29" i="184"/>
  <c r="AA30" i="184"/>
  <c r="AD31" i="184"/>
  <c r="AC33" i="184"/>
  <c r="AD50" i="184"/>
  <c r="AF50" i="184" s="1"/>
  <c r="AG50" i="184" s="1"/>
  <c r="AC64" i="184"/>
  <c r="AC65" i="184"/>
  <c r="AF65" i="184" s="1"/>
  <c r="AG65" i="184" s="1"/>
  <c r="AC70" i="184"/>
  <c r="AD7" i="184"/>
  <c r="AE8" i="184"/>
  <c r="AC13" i="184"/>
  <c r="AC23" i="184"/>
  <c r="AC24" i="184"/>
  <c r="AC25" i="184"/>
  <c r="AC27" i="184"/>
  <c r="AC30" i="184"/>
  <c r="AE31" i="184"/>
  <c r="AE33" i="184"/>
  <c r="AA38" i="184"/>
  <c r="AC38" i="184"/>
  <c r="AC58" i="184"/>
  <c r="AD70" i="184"/>
  <c r="AC73" i="184"/>
  <c r="AC74" i="184"/>
  <c r="AA79" i="184"/>
  <c r="AD81" i="184"/>
  <c r="AD85" i="184"/>
  <c r="AD89" i="184"/>
  <c r="AD9" i="184"/>
  <c r="AC11" i="184"/>
  <c r="AC17" i="184"/>
  <c r="AC21" i="184"/>
  <c r="AF21" i="184" s="1"/>
  <c r="AC22" i="184"/>
  <c r="AD23" i="184"/>
  <c r="AC7" i="184"/>
  <c r="AC8" i="184"/>
  <c r="AE9" i="184"/>
  <c r="AE11" i="184"/>
  <c r="AC16" i="184"/>
  <c r="AD17" i="184"/>
  <c r="AC18" i="184"/>
  <c r="AC19" i="184"/>
  <c r="AD20" i="184"/>
  <c r="AD21" i="184"/>
  <c r="AE22" i="184"/>
  <c r="AA26" i="184"/>
  <c r="AA32" i="184"/>
  <c r="AA47" i="184"/>
  <c r="AA63" i="184"/>
  <c r="AC59" i="184"/>
  <c r="AE59" i="184"/>
  <c r="AD59" i="184"/>
  <c r="AA13" i="184"/>
  <c r="AE16" i="184"/>
  <c r="AE17" i="184"/>
  <c r="AA23" i="184"/>
  <c r="AD36" i="184"/>
  <c r="AC36" i="184"/>
  <c r="AC39" i="184"/>
  <c r="AA43" i="184"/>
  <c r="AD39" i="184"/>
  <c r="AD48" i="184"/>
  <c r="AC48" i="184"/>
  <c r="AA58" i="184"/>
  <c r="AA11" i="184"/>
  <c r="AA20" i="184"/>
  <c r="AC49" i="184"/>
  <c r="AD49" i="184"/>
  <c r="AD54" i="184"/>
  <c r="AC54" i="184"/>
  <c r="S343" i="184"/>
  <c r="AE12" i="184"/>
  <c r="AF12" i="184" s="1"/>
  <c r="AG12" i="184" s="1"/>
  <c r="AA16" i="184"/>
  <c r="AC20" i="184"/>
  <c r="AD24" i="184"/>
  <c r="AC47" i="184"/>
  <c r="AD47" i="184"/>
  <c r="AD56" i="184"/>
  <c r="AF56" i="184" s="1"/>
  <c r="AG56" i="184" s="1"/>
  <c r="AD62" i="184"/>
  <c r="AD68" i="184"/>
  <c r="AC69" i="184"/>
  <c r="AC80" i="184"/>
  <c r="AD83" i="184"/>
  <c r="AD87" i="184"/>
  <c r="AA92" i="184"/>
  <c r="AA55" i="184"/>
  <c r="AF55" i="184"/>
  <c r="AG55" i="184" s="1"/>
  <c r="AC63" i="184"/>
  <c r="AC66" i="184"/>
  <c r="AF66" i="184" s="1"/>
  <c r="AG66" i="184" s="1"/>
  <c r="AD69" i="184"/>
  <c r="AE71" i="184"/>
  <c r="AC72" i="184"/>
  <c r="AE74" i="184"/>
  <c r="AD75" i="184"/>
  <c r="AD77" i="184"/>
  <c r="AD80" i="184"/>
  <c r="AD84" i="184"/>
  <c r="AD88" i="184"/>
  <c r="AC92" i="184"/>
  <c r="AD63" i="184"/>
  <c r="AD66" i="184"/>
  <c r="AD72" i="184"/>
  <c r="AE75" i="184"/>
  <c r="AE77" i="184"/>
  <c r="AE84" i="184"/>
  <c r="AE88" i="184"/>
  <c r="AD92" i="184"/>
  <c r="N350" i="184"/>
  <c r="AE72" i="184"/>
  <c r="AE94" i="184"/>
  <c r="E72" i="9"/>
  <c r="E71" i="9"/>
  <c r="H55" i="9"/>
  <c r="H57" i="9"/>
  <c r="D57" i="9"/>
  <c r="D55" i="9"/>
  <c r="AA347" i="184" l="1"/>
  <c r="AA341" i="184"/>
  <c r="AF19" i="184"/>
  <c r="AG19" i="184" s="1"/>
  <c r="AF24" i="184"/>
  <c r="AG24" i="184" s="1"/>
  <c r="AF22" i="184"/>
  <c r="AG22" i="184" s="1"/>
  <c r="AF16" i="184"/>
  <c r="AG16" i="184" s="1"/>
  <c r="AF25" i="184"/>
  <c r="AG25" i="184" s="1"/>
  <c r="AF10" i="184"/>
  <c r="AG10" i="184" s="1"/>
  <c r="AF18" i="184"/>
  <c r="AG18" i="184" s="1"/>
  <c r="AF27" i="184"/>
  <c r="AG27" i="184" s="1"/>
  <c r="AF15" i="184"/>
  <c r="AG15" i="184" s="1"/>
  <c r="AF20" i="184"/>
  <c r="AG20" i="184" s="1"/>
  <c r="AF11" i="184"/>
  <c r="AG11" i="184" s="1"/>
  <c r="AF26" i="184"/>
  <c r="AG26" i="184" s="1"/>
  <c r="AG21" i="184"/>
  <c r="AF23" i="184"/>
  <c r="AG23" i="184" s="1"/>
  <c r="AF13" i="184"/>
  <c r="AG13" i="184" s="1"/>
  <c r="AF7" i="184"/>
  <c r="AG7" i="184" s="1"/>
  <c r="AF8" i="184"/>
  <c r="AF9" i="184"/>
  <c r="I57" i="9"/>
  <c r="I56" i="9"/>
  <c r="I61" i="9"/>
  <c r="I55" i="9"/>
  <c r="M55" i="9" s="1"/>
  <c r="I53" i="9"/>
  <c r="I47" i="9"/>
  <c r="E62" i="9"/>
  <c r="M62" i="9" s="1"/>
  <c r="E58" i="9"/>
  <c r="E60" i="9"/>
  <c r="E57" i="9"/>
  <c r="E56" i="9"/>
  <c r="E59" i="9"/>
  <c r="E55" i="9"/>
  <c r="E53" i="9"/>
  <c r="E49" i="9"/>
  <c r="E47" i="9"/>
  <c r="E46" i="9"/>
  <c r="D72" i="9"/>
  <c r="D71" i="9"/>
  <c r="D73" i="9" s="1"/>
  <c r="L57" i="9"/>
  <c r="H56" i="9"/>
  <c r="H61" i="9"/>
  <c r="L61" i="9" s="1"/>
  <c r="J55" i="9"/>
  <c r="H53" i="9"/>
  <c r="L53" i="9" s="1"/>
  <c r="H47" i="9"/>
  <c r="J47" i="9" s="1"/>
  <c r="D53" i="9"/>
  <c r="D49" i="9"/>
  <c r="D46" i="9"/>
  <c r="D47" i="9"/>
  <c r="F47" i="9" s="1"/>
  <c r="D60" i="9"/>
  <c r="D58" i="9"/>
  <c r="F58" i="9" s="1"/>
  <c r="D56" i="9"/>
  <c r="F56" i="9" s="1"/>
  <c r="D59" i="9"/>
  <c r="D62" i="9"/>
  <c r="F74" i="9"/>
  <c r="C73" i="9"/>
  <c r="F72" i="9"/>
  <c r="F71" i="9"/>
  <c r="G66" i="9"/>
  <c r="C66" i="9"/>
  <c r="M65" i="9"/>
  <c r="K65" i="9"/>
  <c r="F65" i="9"/>
  <c r="M64" i="9"/>
  <c r="L64" i="9"/>
  <c r="K64" i="9"/>
  <c r="J64" i="9"/>
  <c r="F64" i="9"/>
  <c r="M63" i="9"/>
  <c r="L63" i="9"/>
  <c r="K63" i="9"/>
  <c r="J63" i="9"/>
  <c r="F63" i="9"/>
  <c r="L62" i="9"/>
  <c r="K62" i="9"/>
  <c r="J62" i="9"/>
  <c r="K61" i="9"/>
  <c r="M61" i="9"/>
  <c r="K60" i="9"/>
  <c r="J60" i="9"/>
  <c r="M60" i="9"/>
  <c r="L60" i="9"/>
  <c r="N60" i="9" s="1"/>
  <c r="K59" i="9"/>
  <c r="J59" i="9"/>
  <c r="M59" i="9"/>
  <c r="K58" i="9"/>
  <c r="J58" i="9"/>
  <c r="K57" i="9"/>
  <c r="M57" i="9"/>
  <c r="J57" i="9"/>
  <c r="K56" i="9"/>
  <c r="J56" i="9"/>
  <c r="K55" i="9"/>
  <c r="L55" i="9"/>
  <c r="M54" i="9"/>
  <c r="L54" i="9"/>
  <c r="K54" i="9"/>
  <c r="J54" i="9"/>
  <c r="F54" i="9"/>
  <c r="K53" i="9"/>
  <c r="J53" i="9"/>
  <c r="F53" i="9"/>
  <c r="M52" i="9"/>
  <c r="L52" i="9"/>
  <c r="K52" i="9"/>
  <c r="J52" i="9"/>
  <c r="F52" i="9"/>
  <c r="M51" i="9"/>
  <c r="L51" i="9"/>
  <c r="N51" i="9" s="1"/>
  <c r="K51" i="9"/>
  <c r="J51" i="9"/>
  <c r="F51" i="9"/>
  <c r="M50" i="9"/>
  <c r="L50" i="9"/>
  <c r="K50" i="9"/>
  <c r="J50" i="9"/>
  <c r="F50" i="9"/>
  <c r="K49" i="9"/>
  <c r="J49" i="9"/>
  <c r="I66" i="9"/>
  <c r="I68" i="9" s="1"/>
  <c r="H66" i="9"/>
  <c r="H68" i="9" s="1"/>
  <c r="M49" i="9"/>
  <c r="M48" i="9"/>
  <c r="L48" i="9"/>
  <c r="K48" i="9"/>
  <c r="J48" i="9"/>
  <c r="F48" i="9"/>
  <c r="A48" i="9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L47" i="9"/>
  <c r="K47" i="9"/>
  <c r="L46" i="9"/>
  <c r="K46" i="9"/>
  <c r="J46" i="9"/>
  <c r="AG8" i="184" l="1"/>
  <c r="AF341" i="184"/>
  <c r="AF342" i="184"/>
  <c r="AF344" i="184" s="1"/>
  <c r="N54" i="9"/>
  <c r="L56" i="9"/>
  <c r="M56" i="9"/>
  <c r="N50" i="9"/>
  <c r="F59" i="9"/>
  <c r="D66" i="9"/>
  <c r="D68" i="9" s="1"/>
  <c r="F46" i="9"/>
  <c r="J61" i="9"/>
  <c r="AA349" i="184"/>
  <c r="AG9" i="184"/>
  <c r="AG103" i="184" s="1"/>
  <c r="M58" i="9"/>
  <c r="N64" i="9"/>
  <c r="F73" i="9"/>
  <c r="N57" i="9"/>
  <c r="N55" i="9"/>
  <c r="C75" i="9"/>
  <c r="N52" i="9"/>
  <c r="J66" i="9"/>
  <c r="N63" i="9"/>
  <c r="N48" i="9"/>
  <c r="N61" i="9"/>
  <c r="N62" i="9"/>
  <c r="K66" i="9"/>
  <c r="N56" i="9"/>
  <c r="M46" i="9"/>
  <c r="N46" i="9" s="1"/>
  <c r="F49" i="9"/>
  <c r="L49" i="9"/>
  <c r="N49" i="9" s="1"/>
  <c r="M53" i="9"/>
  <c r="N53" i="9" s="1"/>
  <c r="F55" i="9"/>
  <c r="F57" i="9"/>
  <c r="F60" i="9"/>
  <c r="F61" i="9"/>
  <c r="F62" i="9"/>
  <c r="E73" i="9"/>
  <c r="L58" i="9"/>
  <c r="M47" i="9"/>
  <c r="N47" i="9" s="1"/>
  <c r="L59" i="9"/>
  <c r="N59" i="9" s="1"/>
  <c r="E66" i="9"/>
  <c r="E68" i="9" s="1"/>
  <c r="AA93" i="183"/>
  <c r="Z107" i="183"/>
  <c r="Z106" i="183"/>
  <c r="Z105" i="183"/>
  <c r="Z104" i="183"/>
  <c r="AA43" i="183"/>
  <c r="AF50" i="183"/>
  <c r="AF49" i="183"/>
  <c r="AF54" i="183"/>
  <c r="AF58" i="183"/>
  <c r="AF56" i="183"/>
  <c r="AF57" i="183"/>
  <c r="AG57" i="183" s="1"/>
  <c r="AF39" i="183"/>
  <c r="AG39" i="183" s="1"/>
  <c r="AF33" i="183"/>
  <c r="AF32" i="183"/>
  <c r="AF31" i="183"/>
  <c r="AF30" i="183"/>
  <c r="AF29" i="183"/>
  <c r="AF28" i="183"/>
  <c r="AF14" i="183"/>
  <c r="AG14" i="183" s="1"/>
  <c r="AF79" i="183"/>
  <c r="AG79" i="183" s="1"/>
  <c r="AF78" i="183"/>
  <c r="AG78" i="183" s="1"/>
  <c r="AC78" i="183"/>
  <c r="AF77" i="183"/>
  <c r="AF76" i="183"/>
  <c r="AG76" i="183" s="1"/>
  <c r="AC76" i="183"/>
  <c r="AF75" i="183"/>
  <c r="AF74" i="183"/>
  <c r="AF73" i="183"/>
  <c r="AF72" i="183"/>
  <c r="AF94" i="183"/>
  <c r="AF61" i="183"/>
  <c r="AG61" i="183" s="1"/>
  <c r="AF60" i="183"/>
  <c r="AF59" i="183"/>
  <c r="AG59" i="183" s="1"/>
  <c r="AF65" i="183"/>
  <c r="AF64" i="183"/>
  <c r="AF63" i="183"/>
  <c r="AF62" i="183"/>
  <c r="AG62" i="183" s="1"/>
  <c r="AG60" i="183"/>
  <c r="AG63" i="183"/>
  <c r="AG64" i="183"/>
  <c r="AF66" i="183"/>
  <c r="AG66" i="183" s="1"/>
  <c r="AG65" i="183"/>
  <c r="AG58" i="183"/>
  <c r="AF38" i="183"/>
  <c r="AF37" i="183"/>
  <c r="AF36" i="183"/>
  <c r="AF35" i="183"/>
  <c r="AF6" i="183"/>
  <c r="W15" i="183"/>
  <c r="S250" i="183"/>
  <c r="S251" i="183"/>
  <c r="S252" i="183"/>
  <c r="S253" i="183"/>
  <c r="S254" i="183"/>
  <c r="S255" i="183"/>
  <c r="S256" i="183"/>
  <c r="S257" i="183"/>
  <c r="S258" i="183"/>
  <c r="S259" i="183"/>
  <c r="S260" i="183"/>
  <c r="S261" i="183"/>
  <c r="S262" i="183"/>
  <c r="S263" i="183"/>
  <c r="S264" i="183"/>
  <c r="S265" i="183"/>
  <c r="S266" i="183"/>
  <c r="S267" i="183"/>
  <c r="S268" i="183"/>
  <c r="S269" i="183"/>
  <c r="S270" i="183"/>
  <c r="S271" i="183"/>
  <c r="S272" i="183"/>
  <c r="S273" i="183"/>
  <c r="S274" i="183"/>
  <c r="S275" i="183"/>
  <c r="S276" i="183"/>
  <c r="S277" i="183"/>
  <c r="S278" i="183"/>
  <c r="S279" i="183"/>
  <c r="S280" i="183"/>
  <c r="S281" i="183"/>
  <c r="S282" i="183"/>
  <c r="S283" i="183"/>
  <c r="S284" i="183"/>
  <c r="S285" i="183"/>
  <c r="S286" i="183"/>
  <c r="S287" i="183"/>
  <c r="S288" i="183"/>
  <c r="S289" i="183"/>
  <c r="R300" i="183"/>
  <c r="S297" i="183"/>
  <c r="Q297" i="183"/>
  <c r="M300" i="183"/>
  <c r="R293" i="183"/>
  <c r="Q293" i="183"/>
  <c r="Q300" i="183" s="1"/>
  <c r="P293" i="183"/>
  <c r="O293" i="183"/>
  <c r="N293" i="183"/>
  <c r="N295" i="183" s="1"/>
  <c r="M293" i="183"/>
  <c r="S249" i="183"/>
  <c r="S134" i="183"/>
  <c r="S133" i="183"/>
  <c r="S248" i="183"/>
  <c r="S79" i="183"/>
  <c r="S164" i="183"/>
  <c r="S163" i="183"/>
  <c r="S78" i="183"/>
  <c r="S162" i="183"/>
  <c r="S161" i="183"/>
  <c r="S247" i="183"/>
  <c r="S84" i="183"/>
  <c r="S166" i="183"/>
  <c r="S165" i="183"/>
  <c r="S66" i="183"/>
  <c r="S65" i="183"/>
  <c r="S174" i="183"/>
  <c r="S64" i="183"/>
  <c r="S173" i="183"/>
  <c r="S90" i="183"/>
  <c r="S172" i="183"/>
  <c r="S88" i="183"/>
  <c r="S91" i="183"/>
  <c r="S82" i="183"/>
  <c r="S246" i="183"/>
  <c r="S170" i="183"/>
  <c r="S171" i="183"/>
  <c r="S89" i="183"/>
  <c r="S81" i="183"/>
  <c r="S160" i="183"/>
  <c r="S86" i="183"/>
  <c r="S168" i="183"/>
  <c r="S245" i="183"/>
  <c r="S83" i="183"/>
  <c r="S92" i="183"/>
  <c r="S87" i="183"/>
  <c r="S80" i="183"/>
  <c r="S167" i="183"/>
  <c r="S244" i="183"/>
  <c r="S243" i="183"/>
  <c r="S242" i="183"/>
  <c r="S159" i="183"/>
  <c r="S85" i="183"/>
  <c r="S169" i="183"/>
  <c r="S241" i="183"/>
  <c r="S63" i="183"/>
  <c r="S60" i="183"/>
  <c r="S61" i="183"/>
  <c r="S59" i="183"/>
  <c r="S62" i="183"/>
  <c r="S240" i="183"/>
  <c r="S58" i="183"/>
  <c r="S158" i="183"/>
  <c r="S157" i="183"/>
  <c r="S239" i="183"/>
  <c r="S238" i="183"/>
  <c r="S237" i="183"/>
  <c r="S236" i="183"/>
  <c r="S235" i="183"/>
  <c r="S94" i="183"/>
  <c r="S93" i="183"/>
  <c r="S176" i="183"/>
  <c r="S175" i="183"/>
  <c r="S72" i="183"/>
  <c r="S234" i="183"/>
  <c r="S71" i="183"/>
  <c r="S100" i="183"/>
  <c r="S99" i="183"/>
  <c r="S106" i="183"/>
  <c r="S105" i="183"/>
  <c r="S104" i="183"/>
  <c r="S103" i="183"/>
  <c r="S102" i="183"/>
  <c r="S118" i="183"/>
  <c r="S117" i="183"/>
  <c r="S116" i="183"/>
  <c r="S115" i="183"/>
  <c r="S114" i="183"/>
  <c r="S113" i="183"/>
  <c r="S112" i="183"/>
  <c r="S111" i="183"/>
  <c r="S77" i="183"/>
  <c r="S110" i="183"/>
  <c r="S109" i="183"/>
  <c r="S108" i="183"/>
  <c r="S107" i="183"/>
  <c r="S101" i="183"/>
  <c r="S73" i="183"/>
  <c r="S76" i="183"/>
  <c r="S74" i="183"/>
  <c r="S75" i="183"/>
  <c r="S55" i="183"/>
  <c r="S233" i="183"/>
  <c r="S232" i="183"/>
  <c r="S67" i="183"/>
  <c r="S69" i="183"/>
  <c r="S70" i="183"/>
  <c r="S231" i="183"/>
  <c r="S230" i="183"/>
  <c r="S68" i="183"/>
  <c r="S229" i="183"/>
  <c r="S228" i="183"/>
  <c r="S227" i="183"/>
  <c r="S226" i="183"/>
  <c r="S22" i="183"/>
  <c r="S130" i="183"/>
  <c r="S129" i="183"/>
  <c r="S21" i="183"/>
  <c r="S23" i="183"/>
  <c r="S16" i="183"/>
  <c r="S225" i="183"/>
  <c r="S19" i="183"/>
  <c r="S132" i="183"/>
  <c r="S131" i="183"/>
  <c r="S18" i="183"/>
  <c r="S224" i="183"/>
  <c r="S20" i="183"/>
  <c r="S223" i="183"/>
  <c r="S17" i="183"/>
  <c r="S128" i="183"/>
  <c r="S127" i="183"/>
  <c r="S126" i="183"/>
  <c r="S125" i="183"/>
  <c r="S124" i="183"/>
  <c r="S123" i="183"/>
  <c r="S122" i="183"/>
  <c r="S121" i="183"/>
  <c r="S222" i="183"/>
  <c r="S221" i="183"/>
  <c r="S220" i="183"/>
  <c r="S219" i="183"/>
  <c r="S218" i="183"/>
  <c r="S217" i="183"/>
  <c r="S216" i="183"/>
  <c r="S27" i="183"/>
  <c r="S96" i="183"/>
  <c r="S95" i="183"/>
  <c r="S215" i="183"/>
  <c r="S214" i="183"/>
  <c r="S213" i="183"/>
  <c r="S212" i="183"/>
  <c r="S211" i="183"/>
  <c r="S26" i="183"/>
  <c r="S25" i="183"/>
  <c r="S98" i="183"/>
  <c r="AB100" i="183"/>
  <c r="S97" i="183"/>
  <c r="S24" i="183"/>
  <c r="S210" i="183"/>
  <c r="S209" i="183"/>
  <c r="S7" i="183"/>
  <c r="S120" i="183"/>
  <c r="S119" i="183"/>
  <c r="S6" i="183"/>
  <c r="S208" i="183"/>
  <c r="S54" i="183"/>
  <c r="AG94" i="183"/>
  <c r="Z94" i="183"/>
  <c r="AD94" i="183" s="1"/>
  <c r="Y94" i="183"/>
  <c r="X94" i="183"/>
  <c r="W94" i="183"/>
  <c r="V94" i="183"/>
  <c r="U94" i="183"/>
  <c r="S150" i="183"/>
  <c r="AF93" i="183"/>
  <c r="AG93" i="183" s="1"/>
  <c r="Z93" i="183"/>
  <c r="AE93" i="183" s="1"/>
  <c r="Y93" i="183"/>
  <c r="X93" i="183"/>
  <c r="W93" i="183"/>
  <c r="V93" i="183"/>
  <c r="U93" i="183"/>
  <c r="S149" i="183"/>
  <c r="AF92" i="183"/>
  <c r="AG92" i="183" s="1"/>
  <c r="Z92" i="183"/>
  <c r="AE92" i="183" s="1"/>
  <c r="Y92" i="183"/>
  <c r="X92" i="183"/>
  <c r="W92" i="183"/>
  <c r="V92" i="183"/>
  <c r="U92" i="183"/>
  <c r="S53" i="183"/>
  <c r="AF91" i="183"/>
  <c r="AG91" i="183" s="1"/>
  <c r="Z91" i="183"/>
  <c r="Y91" i="183"/>
  <c r="X91" i="183"/>
  <c r="W91" i="183"/>
  <c r="V91" i="183"/>
  <c r="U91" i="183"/>
  <c r="S156" i="183"/>
  <c r="AF90" i="183"/>
  <c r="AG90" i="183" s="1"/>
  <c r="Z90" i="183"/>
  <c r="AD90" i="183" s="1"/>
  <c r="Y90" i="183"/>
  <c r="X90" i="183"/>
  <c r="W90" i="183"/>
  <c r="V90" i="183"/>
  <c r="U90" i="183"/>
  <c r="S49" i="183"/>
  <c r="AF89" i="183"/>
  <c r="AG89" i="183" s="1"/>
  <c r="Z89" i="183"/>
  <c r="AE89" i="183" s="1"/>
  <c r="Y89" i="183"/>
  <c r="X89" i="183"/>
  <c r="W89" i="183"/>
  <c r="V89" i="183"/>
  <c r="U89" i="183"/>
  <c r="S155" i="183"/>
  <c r="AF88" i="183"/>
  <c r="AG88" i="183" s="1"/>
  <c r="Z88" i="183"/>
  <c r="AC88" i="183" s="1"/>
  <c r="Y88" i="183"/>
  <c r="X88" i="183"/>
  <c r="W88" i="183"/>
  <c r="V88" i="183"/>
  <c r="U88" i="183"/>
  <c r="S207" i="183"/>
  <c r="AF87" i="183"/>
  <c r="AG87" i="183" s="1"/>
  <c r="Z87" i="183"/>
  <c r="AD87" i="183" s="1"/>
  <c r="Y87" i="183"/>
  <c r="X87" i="183"/>
  <c r="W87" i="183"/>
  <c r="V87" i="183"/>
  <c r="U87" i="183"/>
  <c r="S206" i="183"/>
  <c r="AF86" i="183"/>
  <c r="AG86" i="183" s="1"/>
  <c r="Z86" i="183"/>
  <c r="AE86" i="183" s="1"/>
  <c r="Y86" i="183"/>
  <c r="X86" i="183"/>
  <c r="W86" i="183"/>
  <c r="V86" i="183"/>
  <c r="U86" i="183"/>
  <c r="S50" i="183"/>
  <c r="AF85" i="183"/>
  <c r="AG85" i="183" s="1"/>
  <c r="Z85" i="183"/>
  <c r="Y85" i="183"/>
  <c r="X85" i="183"/>
  <c r="W85" i="183"/>
  <c r="V85" i="183"/>
  <c r="U85" i="183"/>
  <c r="S148" i="183"/>
  <c r="AF84" i="183"/>
  <c r="AG84" i="183" s="1"/>
  <c r="Z84" i="183"/>
  <c r="AD84" i="183" s="1"/>
  <c r="Y84" i="183"/>
  <c r="X84" i="183"/>
  <c r="W84" i="183"/>
  <c r="V84" i="183"/>
  <c r="U84" i="183"/>
  <c r="S147" i="183"/>
  <c r="AF83" i="183"/>
  <c r="AG83" i="183" s="1"/>
  <c r="Z83" i="183"/>
  <c r="AC83" i="183" s="1"/>
  <c r="Y83" i="183"/>
  <c r="X83" i="183"/>
  <c r="W83" i="183"/>
  <c r="V83" i="183"/>
  <c r="U83" i="183"/>
  <c r="S52" i="183"/>
  <c r="AF82" i="183"/>
  <c r="AG82" i="183" s="1"/>
  <c r="Z82" i="183"/>
  <c r="AD82" i="183" s="1"/>
  <c r="Y82" i="183"/>
  <c r="X82" i="183"/>
  <c r="W82" i="183"/>
  <c r="V82" i="183"/>
  <c r="U82" i="183"/>
  <c r="S48" i="183"/>
  <c r="AF81" i="183"/>
  <c r="AG81" i="183" s="1"/>
  <c r="Z81" i="183"/>
  <c r="AE81" i="183" s="1"/>
  <c r="Y81" i="183"/>
  <c r="X81" i="183"/>
  <c r="W81" i="183"/>
  <c r="V81" i="183"/>
  <c r="U81" i="183"/>
  <c r="S51" i="183"/>
  <c r="AF80" i="183"/>
  <c r="AG80" i="183" s="1"/>
  <c r="Z80" i="183"/>
  <c r="AD80" i="183" s="1"/>
  <c r="Y80" i="183"/>
  <c r="X80" i="183"/>
  <c r="W80" i="183"/>
  <c r="V80" i="183"/>
  <c r="U80" i="183"/>
  <c r="S154" i="183"/>
  <c r="Z79" i="183"/>
  <c r="AC79" i="183" s="1"/>
  <c r="Y79" i="183"/>
  <c r="X79" i="183"/>
  <c r="W79" i="183"/>
  <c r="V79" i="183"/>
  <c r="U79" i="183"/>
  <c r="S153" i="183"/>
  <c r="Z78" i="183"/>
  <c r="AD78" i="183" s="1"/>
  <c r="Y78" i="183"/>
  <c r="X78" i="183"/>
  <c r="W78" i="183"/>
  <c r="V78" i="183"/>
  <c r="U78" i="183"/>
  <c r="S152" i="183"/>
  <c r="AG77" i="183"/>
  <c r="Z77" i="183"/>
  <c r="AD77" i="183" s="1"/>
  <c r="Y77" i="183"/>
  <c r="X77" i="183"/>
  <c r="W77" i="183"/>
  <c r="V77" i="183"/>
  <c r="U77" i="183"/>
  <c r="S151" i="183"/>
  <c r="Z76" i="183"/>
  <c r="AD76" i="183" s="1"/>
  <c r="Y76" i="183"/>
  <c r="X76" i="183"/>
  <c r="W76" i="183"/>
  <c r="V76" i="183"/>
  <c r="U76" i="183"/>
  <c r="S47" i="183"/>
  <c r="Z75" i="183"/>
  <c r="AE75" i="183" s="1"/>
  <c r="Y75" i="183"/>
  <c r="X75" i="183"/>
  <c r="W75" i="183"/>
  <c r="V75" i="183"/>
  <c r="U75" i="183"/>
  <c r="S146" i="183"/>
  <c r="Z74" i="183"/>
  <c r="AE74" i="183" s="1"/>
  <c r="Y74" i="183"/>
  <c r="X74" i="183"/>
  <c r="W74" i="183"/>
  <c r="V74" i="183"/>
  <c r="U74" i="183"/>
  <c r="S145" i="183"/>
  <c r="Z73" i="183"/>
  <c r="AA76" i="183" s="1"/>
  <c r="Y73" i="183"/>
  <c r="X73" i="183"/>
  <c r="W73" i="183"/>
  <c r="V73" i="183"/>
  <c r="U73" i="183"/>
  <c r="S186" i="183"/>
  <c r="Z72" i="183"/>
  <c r="Y72" i="183"/>
  <c r="X72" i="183"/>
  <c r="W72" i="183"/>
  <c r="V72" i="183"/>
  <c r="U72" i="183"/>
  <c r="S32" i="183"/>
  <c r="AF71" i="183"/>
  <c r="AG71" i="183" s="1"/>
  <c r="Z71" i="183"/>
  <c r="AE71" i="183" s="1"/>
  <c r="Y71" i="183"/>
  <c r="X71" i="183"/>
  <c r="W71" i="183"/>
  <c r="V71" i="183"/>
  <c r="U71" i="183"/>
  <c r="S185" i="183"/>
  <c r="AF70" i="183"/>
  <c r="AG70" i="183" s="1"/>
  <c r="Z70" i="183"/>
  <c r="AD70" i="183" s="1"/>
  <c r="Y70" i="183"/>
  <c r="X70" i="183"/>
  <c r="W70" i="183"/>
  <c r="V70" i="183"/>
  <c r="U70" i="183"/>
  <c r="S31" i="183"/>
  <c r="AF69" i="183"/>
  <c r="AG69" i="183" s="1"/>
  <c r="Z69" i="183"/>
  <c r="Y69" i="183"/>
  <c r="X69" i="183"/>
  <c r="W69" i="183"/>
  <c r="V69" i="183"/>
  <c r="U69" i="183"/>
  <c r="S182" i="183"/>
  <c r="AF68" i="183"/>
  <c r="AG68" i="183" s="1"/>
  <c r="Z68" i="183"/>
  <c r="AD68" i="183" s="1"/>
  <c r="Y68" i="183"/>
  <c r="X68" i="183"/>
  <c r="W68" i="183"/>
  <c r="V68" i="183"/>
  <c r="U68" i="183"/>
  <c r="S181" i="183"/>
  <c r="AF67" i="183"/>
  <c r="AG67" i="183" s="1"/>
  <c r="Z67" i="183"/>
  <c r="AE67" i="183" s="1"/>
  <c r="Y67" i="183"/>
  <c r="X67" i="183"/>
  <c r="W67" i="183"/>
  <c r="V67" i="183"/>
  <c r="U67" i="183"/>
  <c r="S30" i="183"/>
  <c r="Z66" i="183"/>
  <c r="AC66" i="183" s="1"/>
  <c r="Y66" i="183"/>
  <c r="X66" i="183"/>
  <c r="W66" i="183"/>
  <c r="V66" i="183"/>
  <c r="U66" i="183"/>
  <c r="S28" i="183"/>
  <c r="Z65" i="183"/>
  <c r="AE65" i="183" s="1"/>
  <c r="Y65" i="183"/>
  <c r="X65" i="183"/>
  <c r="W65" i="183"/>
  <c r="V65" i="183"/>
  <c r="U65" i="183"/>
  <c r="S29" i="183"/>
  <c r="Z64" i="183"/>
  <c r="AE64" i="183" s="1"/>
  <c r="Y64" i="183"/>
  <c r="X64" i="183"/>
  <c r="W64" i="183"/>
  <c r="V64" i="183"/>
  <c r="U64" i="183"/>
  <c r="S184" i="183"/>
  <c r="Z63" i="183"/>
  <c r="AE63" i="183" s="1"/>
  <c r="Y63" i="183"/>
  <c r="X63" i="183"/>
  <c r="W63" i="183"/>
  <c r="V63" i="183"/>
  <c r="U63" i="183"/>
  <c r="S183" i="183"/>
  <c r="Z62" i="183"/>
  <c r="AE62" i="183" s="1"/>
  <c r="Y62" i="183"/>
  <c r="X62" i="183"/>
  <c r="W62" i="183"/>
  <c r="V62" i="183"/>
  <c r="U62" i="183"/>
  <c r="S205" i="183"/>
  <c r="Z61" i="183"/>
  <c r="AE61" i="183" s="1"/>
  <c r="Y61" i="183"/>
  <c r="X61" i="183"/>
  <c r="W61" i="183"/>
  <c r="V61" i="183"/>
  <c r="U61" i="183"/>
  <c r="S180" i="183"/>
  <c r="Z60" i="183"/>
  <c r="AA63" i="183" s="1"/>
  <c r="Y60" i="183"/>
  <c r="X60" i="183"/>
  <c r="W60" i="183"/>
  <c r="V60" i="183"/>
  <c r="U60" i="183"/>
  <c r="S204" i="183"/>
  <c r="Z59" i="183"/>
  <c r="AD59" i="183" s="1"/>
  <c r="Y59" i="183"/>
  <c r="X59" i="183"/>
  <c r="W59" i="183"/>
  <c r="V59" i="183"/>
  <c r="U59" i="183"/>
  <c r="S203" i="183"/>
  <c r="Z58" i="183"/>
  <c r="AE58" i="183" s="1"/>
  <c r="Y58" i="183"/>
  <c r="X58" i="183"/>
  <c r="W58" i="183"/>
  <c r="V58" i="183"/>
  <c r="U58" i="183"/>
  <c r="S45" i="183"/>
  <c r="Z57" i="183"/>
  <c r="Y57" i="183"/>
  <c r="X57" i="183"/>
  <c r="W57" i="183"/>
  <c r="V57" i="183"/>
  <c r="U57" i="183"/>
  <c r="S44" i="183"/>
  <c r="Z56" i="183"/>
  <c r="AD56" i="183" s="1"/>
  <c r="Y56" i="183"/>
  <c r="X56" i="183"/>
  <c r="W56" i="183"/>
  <c r="V56" i="183"/>
  <c r="U56" i="183"/>
  <c r="S46" i="183"/>
  <c r="Z55" i="183"/>
  <c r="AA55" i="183" s="1"/>
  <c r="Y55" i="183"/>
  <c r="X55" i="183"/>
  <c r="W55" i="183"/>
  <c r="V55" i="183"/>
  <c r="U55" i="183"/>
  <c r="S179" i="183"/>
  <c r="AG54" i="183"/>
  <c r="Z54" i="183"/>
  <c r="AE54" i="183" s="1"/>
  <c r="Y54" i="183"/>
  <c r="X54" i="183"/>
  <c r="W54" i="183"/>
  <c r="V54" i="183"/>
  <c r="U54" i="183"/>
  <c r="S202" i="183"/>
  <c r="AG53" i="183"/>
  <c r="Z53" i="183"/>
  <c r="AD53" i="183" s="1"/>
  <c r="Y53" i="183"/>
  <c r="X53" i="183"/>
  <c r="W53" i="183"/>
  <c r="V53" i="183"/>
  <c r="U53" i="183"/>
  <c r="S201" i="183"/>
  <c r="AG52" i="183"/>
  <c r="Z52" i="183"/>
  <c r="AE52" i="183" s="1"/>
  <c r="Y52" i="183"/>
  <c r="X52" i="183"/>
  <c r="W52" i="183"/>
  <c r="V52" i="183"/>
  <c r="U52" i="183"/>
  <c r="S200" i="183"/>
  <c r="AG51" i="183"/>
  <c r="Z51" i="183"/>
  <c r="AE51" i="183" s="1"/>
  <c r="Y51" i="183"/>
  <c r="X51" i="183"/>
  <c r="W51" i="183"/>
  <c r="V51" i="183"/>
  <c r="U51" i="183"/>
  <c r="S199" i="183"/>
  <c r="Z50" i="183"/>
  <c r="AE50" i="183" s="1"/>
  <c r="Y50" i="183"/>
  <c r="X50" i="183"/>
  <c r="W50" i="183"/>
  <c r="V50" i="183"/>
  <c r="U50" i="183"/>
  <c r="S40" i="183"/>
  <c r="Z49" i="183"/>
  <c r="AC49" i="183" s="1"/>
  <c r="Y49" i="183"/>
  <c r="X49" i="183"/>
  <c r="W49" i="183"/>
  <c r="V49" i="183"/>
  <c r="U49" i="183"/>
  <c r="S41" i="183"/>
  <c r="Z48" i="183"/>
  <c r="AE48" i="183" s="1"/>
  <c r="Y48" i="183"/>
  <c r="X48" i="183"/>
  <c r="W48" i="183"/>
  <c r="V48" i="183"/>
  <c r="U48" i="183"/>
  <c r="S198" i="183"/>
  <c r="Z47" i="183"/>
  <c r="AD47" i="183" s="1"/>
  <c r="Y47" i="183"/>
  <c r="X47" i="183"/>
  <c r="W47" i="183"/>
  <c r="V47" i="183"/>
  <c r="U47" i="183"/>
  <c r="S42" i="183"/>
  <c r="Z46" i="183"/>
  <c r="AC46" i="183" s="1"/>
  <c r="Y46" i="183"/>
  <c r="X46" i="183"/>
  <c r="W46" i="183"/>
  <c r="V46" i="183"/>
  <c r="U46" i="183"/>
  <c r="S39" i="183"/>
  <c r="Z45" i="183"/>
  <c r="AE45" i="183" s="1"/>
  <c r="Y45" i="183"/>
  <c r="X45" i="183"/>
  <c r="W45" i="183"/>
  <c r="V45" i="183"/>
  <c r="U45" i="183"/>
  <c r="S197" i="183"/>
  <c r="Z44" i="183"/>
  <c r="AE44" i="183" s="1"/>
  <c r="Y44" i="183"/>
  <c r="X44" i="183"/>
  <c r="W44" i="183"/>
  <c r="V44" i="183"/>
  <c r="U44" i="183"/>
  <c r="S43" i="183"/>
  <c r="AG43" i="183"/>
  <c r="Z43" i="183"/>
  <c r="AE43" i="183" s="1"/>
  <c r="Y43" i="183"/>
  <c r="X43" i="183"/>
  <c r="W43" i="183"/>
  <c r="V43" i="183"/>
  <c r="U43" i="183"/>
  <c r="S178" i="183"/>
  <c r="AG42" i="183"/>
  <c r="Z42" i="183"/>
  <c r="AE42" i="183" s="1"/>
  <c r="Y42" i="183"/>
  <c r="X42" i="183"/>
  <c r="W42" i="183"/>
  <c r="V42" i="183"/>
  <c r="U42" i="183"/>
  <c r="S177" i="183"/>
  <c r="AG41" i="183"/>
  <c r="Z41" i="183"/>
  <c r="AD41" i="183" s="1"/>
  <c r="Y41" i="183"/>
  <c r="X41" i="183"/>
  <c r="W41" i="183"/>
  <c r="V41" i="183"/>
  <c r="U41" i="183"/>
  <c r="S12" i="183"/>
  <c r="AG40" i="183"/>
  <c r="Z40" i="183"/>
  <c r="AE40" i="183" s="1"/>
  <c r="Y40" i="183"/>
  <c r="X40" i="183"/>
  <c r="W40" i="183"/>
  <c r="V40" i="183"/>
  <c r="U40" i="183"/>
  <c r="S196" i="183"/>
  <c r="Z39" i="183"/>
  <c r="Y39" i="183"/>
  <c r="X39" i="183"/>
  <c r="W39" i="183"/>
  <c r="V39" i="183"/>
  <c r="U39" i="183"/>
  <c r="S195" i="183"/>
  <c r="Z38" i="183"/>
  <c r="AC38" i="183" s="1"/>
  <c r="Y38" i="183"/>
  <c r="X38" i="183"/>
  <c r="W38" i="183"/>
  <c r="V38" i="183"/>
  <c r="U38" i="183"/>
  <c r="S13" i="183"/>
  <c r="Z37" i="183"/>
  <c r="AE37" i="183" s="1"/>
  <c r="Y37" i="183"/>
  <c r="X37" i="183"/>
  <c r="W37" i="183"/>
  <c r="V37" i="183"/>
  <c r="U37" i="183"/>
  <c r="S11" i="183"/>
  <c r="Z36" i="183"/>
  <c r="AC36" i="183" s="1"/>
  <c r="Y36" i="183"/>
  <c r="X36" i="183"/>
  <c r="W36" i="183"/>
  <c r="V36" i="183"/>
  <c r="U36" i="183"/>
  <c r="S9" i="183"/>
  <c r="Z35" i="183"/>
  <c r="AC35" i="183" s="1"/>
  <c r="Y35" i="183"/>
  <c r="X35" i="183"/>
  <c r="W35" i="183"/>
  <c r="V35" i="183"/>
  <c r="U35" i="183"/>
  <c r="S138" i="183"/>
  <c r="AF34" i="183"/>
  <c r="AG34" i="183" s="1"/>
  <c r="Z34" i="183"/>
  <c r="Y34" i="183"/>
  <c r="X34" i="183"/>
  <c r="W34" i="183"/>
  <c r="V34" i="183"/>
  <c r="U34" i="183"/>
  <c r="S137" i="183"/>
  <c r="Z33" i="183"/>
  <c r="AC33" i="183" s="1"/>
  <c r="Y33" i="183"/>
  <c r="X33" i="183"/>
  <c r="W33" i="183"/>
  <c r="V33" i="183"/>
  <c r="U33" i="183"/>
  <c r="S10" i="183"/>
  <c r="Z32" i="183"/>
  <c r="AE32" i="183" s="1"/>
  <c r="Y32" i="183"/>
  <c r="X32" i="183"/>
  <c r="W32" i="183"/>
  <c r="V32" i="183"/>
  <c r="U32" i="183"/>
  <c r="S8" i="183"/>
  <c r="Z31" i="183"/>
  <c r="AE31" i="183" s="1"/>
  <c r="Y31" i="183"/>
  <c r="X31" i="183"/>
  <c r="W31" i="183"/>
  <c r="V31" i="183"/>
  <c r="U31" i="183"/>
  <c r="S194" i="183"/>
  <c r="Z30" i="183"/>
  <c r="AE30" i="183" s="1"/>
  <c r="Y30" i="183"/>
  <c r="X30" i="183"/>
  <c r="W30" i="183"/>
  <c r="V30" i="183"/>
  <c r="U30" i="183"/>
  <c r="S142" i="183"/>
  <c r="Z29" i="183"/>
  <c r="AE29" i="183" s="1"/>
  <c r="Y29" i="183"/>
  <c r="X29" i="183"/>
  <c r="W29" i="183"/>
  <c r="V29" i="183"/>
  <c r="U29" i="183"/>
  <c r="S141" i="183"/>
  <c r="Z28" i="183"/>
  <c r="AE28" i="183" s="1"/>
  <c r="Y28" i="183"/>
  <c r="X28" i="183"/>
  <c r="W28" i="183"/>
  <c r="V28" i="183"/>
  <c r="U28" i="183"/>
  <c r="S140" i="183"/>
  <c r="Z27" i="183"/>
  <c r="AD27" i="183" s="1"/>
  <c r="Y27" i="183"/>
  <c r="X27" i="183"/>
  <c r="W27" i="183"/>
  <c r="V27" i="183"/>
  <c r="U27" i="183"/>
  <c r="S139" i="183"/>
  <c r="Z26" i="183"/>
  <c r="Y26" i="183"/>
  <c r="X26" i="183"/>
  <c r="W26" i="183"/>
  <c r="V26" i="183"/>
  <c r="U26" i="183"/>
  <c r="S14" i="183"/>
  <c r="Z25" i="183"/>
  <c r="AD25" i="183" s="1"/>
  <c r="Y25" i="183"/>
  <c r="X25" i="183"/>
  <c r="W25" i="183"/>
  <c r="V25" i="183"/>
  <c r="U25" i="183"/>
  <c r="S15" i="183"/>
  <c r="Z24" i="183"/>
  <c r="AE24" i="183" s="1"/>
  <c r="Y24" i="183"/>
  <c r="X24" i="183"/>
  <c r="W24" i="183"/>
  <c r="V24" i="183"/>
  <c r="U24" i="183"/>
  <c r="S136" i="183"/>
  <c r="Z23" i="183"/>
  <c r="AE23" i="183" s="1"/>
  <c r="Y23" i="183"/>
  <c r="X23" i="183"/>
  <c r="W23" i="183"/>
  <c r="V23" i="183"/>
  <c r="U23" i="183"/>
  <c r="S135" i="183"/>
  <c r="Z22" i="183"/>
  <c r="AC22" i="183" s="1"/>
  <c r="Y22" i="183"/>
  <c r="X22" i="183"/>
  <c r="W22" i="183"/>
  <c r="V22" i="183"/>
  <c r="U22" i="183"/>
  <c r="S193" i="183"/>
  <c r="Z21" i="183"/>
  <c r="AE21" i="183" s="1"/>
  <c r="Y21" i="183"/>
  <c r="X21" i="183"/>
  <c r="W21" i="183"/>
  <c r="V21" i="183"/>
  <c r="U21" i="183"/>
  <c r="S34" i="183"/>
  <c r="Z20" i="183"/>
  <c r="AC20" i="183" s="1"/>
  <c r="Y20" i="183"/>
  <c r="X20" i="183"/>
  <c r="W20" i="183"/>
  <c r="V20" i="183"/>
  <c r="U20" i="183"/>
  <c r="S35" i="183"/>
  <c r="Z19" i="183"/>
  <c r="AD19" i="183" s="1"/>
  <c r="Y19" i="183"/>
  <c r="X19" i="183"/>
  <c r="W19" i="183"/>
  <c r="V19" i="183"/>
  <c r="U19" i="183"/>
  <c r="S38" i="183"/>
  <c r="Z18" i="183"/>
  <c r="AE18" i="183" s="1"/>
  <c r="Y18" i="183"/>
  <c r="X18" i="183"/>
  <c r="W18" i="183"/>
  <c r="V18" i="183"/>
  <c r="U18" i="183"/>
  <c r="S144" i="183"/>
  <c r="AF17" i="183"/>
  <c r="AG17" i="183" s="1"/>
  <c r="Z17" i="183"/>
  <c r="AA17" i="183" s="1"/>
  <c r="Y17" i="183"/>
  <c r="X17" i="183"/>
  <c r="W17" i="183"/>
  <c r="V17" i="183"/>
  <c r="U17" i="183"/>
  <c r="S143" i="183"/>
  <c r="Z16" i="183"/>
  <c r="AD16" i="183" s="1"/>
  <c r="Y16" i="183"/>
  <c r="X16" i="183"/>
  <c r="W16" i="183"/>
  <c r="V16" i="183"/>
  <c r="U16" i="183"/>
  <c r="S192" i="183"/>
  <c r="Z15" i="183"/>
  <c r="AE15" i="183" s="1"/>
  <c r="Y15" i="183"/>
  <c r="X15" i="183"/>
  <c r="V15" i="183"/>
  <c r="U15" i="183"/>
  <c r="S191" i="183"/>
  <c r="Z14" i="183"/>
  <c r="Y14" i="183"/>
  <c r="X14" i="183"/>
  <c r="W14" i="183"/>
  <c r="V14" i="183"/>
  <c r="U14" i="183"/>
  <c r="S37" i="183"/>
  <c r="Z13" i="183"/>
  <c r="AD13" i="183" s="1"/>
  <c r="Y13" i="183"/>
  <c r="X13" i="183"/>
  <c r="W13" i="183"/>
  <c r="V13" i="183"/>
  <c r="U13" i="183"/>
  <c r="S190" i="183"/>
  <c r="Z12" i="183"/>
  <c r="AE12" i="183" s="1"/>
  <c r="Y12" i="183"/>
  <c r="X12" i="183"/>
  <c r="W12" i="183"/>
  <c r="V12" i="183"/>
  <c r="U12" i="183"/>
  <c r="S189" i="183"/>
  <c r="Z11" i="183"/>
  <c r="AC11" i="183" s="1"/>
  <c r="Y11" i="183"/>
  <c r="X11" i="183"/>
  <c r="W11" i="183"/>
  <c r="V11" i="183"/>
  <c r="U11" i="183"/>
  <c r="S188" i="183"/>
  <c r="Z10" i="183"/>
  <c r="AD10" i="183" s="1"/>
  <c r="Y10" i="183"/>
  <c r="X10" i="183"/>
  <c r="W10" i="183"/>
  <c r="V10" i="183"/>
  <c r="U10" i="183"/>
  <c r="S33" i="183"/>
  <c r="Z9" i="183"/>
  <c r="AE9" i="183" s="1"/>
  <c r="Y9" i="183"/>
  <c r="X9" i="183"/>
  <c r="W9" i="183"/>
  <c r="V9" i="183"/>
  <c r="U9" i="183"/>
  <c r="S36" i="183"/>
  <c r="Z8" i="183"/>
  <c r="AC8" i="183" s="1"/>
  <c r="Y8" i="183"/>
  <c r="X8" i="183"/>
  <c r="W8" i="183"/>
  <c r="V8" i="183"/>
  <c r="U8" i="183"/>
  <c r="S56" i="183"/>
  <c r="Z7" i="183"/>
  <c r="AD7" i="183" s="1"/>
  <c r="Y7" i="183"/>
  <c r="X7" i="183"/>
  <c r="W7" i="183"/>
  <c r="V7" i="183"/>
  <c r="U7" i="183"/>
  <c r="S187" i="183"/>
  <c r="A7" i="183"/>
  <c r="A8" i="183" s="1"/>
  <c r="A9" i="183" s="1"/>
  <c r="A10" i="183" s="1"/>
  <c r="A11" i="183" s="1"/>
  <c r="A12" i="183" s="1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A45" i="183" s="1"/>
  <c r="A46" i="183" s="1"/>
  <c r="A47" i="183" s="1"/>
  <c r="A48" i="183" s="1"/>
  <c r="A49" i="183" s="1"/>
  <c r="A50" i="183" s="1"/>
  <c r="A51" i="183" s="1"/>
  <c r="A52" i="183" s="1"/>
  <c r="A53" i="183" s="1"/>
  <c r="A54" i="183" s="1"/>
  <c r="A55" i="183" s="1"/>
  <c r="A56" i="183" s="1"/>
  <c r="A57" i="183" s="1"/>
  <c r="A58" i="183" s="1"/>
  <c r="A59" i="183" s="1"/>
  <c r="A60" i="183" s="1"/>
  <c r="A61" i="183" s="1"/>
  <c r="A62" i="183" s="1"/>
  <c r="A63" i="183" s="1"/>
  <c r="A64" i="183" s="1"/>
  <c r="A65" i="183" s="1"/>
  <c r="A66" i="183" s="1"/>
  <c r="A67" i="183" s="1"/>
  <c r="A68" i="183" s="1"/>
  <c r="A69" i="183" s="1"/>
  <c r="A70" i="183" s="1"/>
  <c r="A71" i="183" s="1"/>
  <c r="A72" i="183" s="1"/>
  <c r="A73" i="183" s="1"/>
  <c r="A74" i="183" s="1"/>
  <c r="A75" i="183" s="1"/>
  <c r="A76" i="183" s="1"/>
  <c r="A77" i="183" s="1"/>
  <c r="A78" i="183" s="1"/>
  <c r="A79" i="183" s="1"/>
  <c r="A80" i="183" s="1"/>
  <c r="A81" i="183" s="1"/>
  <c r="A82" i="183" s="1"/>
  <c r="A83" i="183" s="1"/>
  <c r="A84" i="183" s="1"/>
  <c r="A85" i="183" s="1"/>
  <c r="A86" i="183" s="1"/>
  <c r="A87" i="183" s="1"/>
  <c r="A88" i="183" s="1"/>
  <c r="A89" i="183" s="1"/>
  <c r="A90" i="183" s="1"/>
  <c r="A91" i="183" s="1"/>
  <c r="A92" i="183" s="1"/>
  <c r="A93" i="183" s="1"/>
  <c r="A94" i="183" s="1"/>
  <c r="A95" i="183" s="1"/>
  <c r="A96" i="183" s="1"/>
  <c r="A97" i="183" s="1"/>
  <c r="A98" i="183" s="1"/>
  <c r="A99" i="183" s="1"/>
  <c r="A100" i="183" s="1"/>
  <c r="A101" i="183" s="1"/>
  <c r="A102" i="183" s="1"/>
  <c r="A103" i="183" s="1"/>
  <c r="A104" i="183" s="1"/>
  <c r="A105" i="183" s="1"/>
  <c r="A106" i="183" s="1"/>
  <c r="A107" i="183" s="1"/>
  <c r="A108" i="183" s="1"/>
  <c r="A109" i="183" s="1"/>
  <c r="A110" i="183" s="1"/>
  <c r="A111" i="183" s="1"/>
  <c r="A112" i="183" s="1"/>
  <c r="A113" i="183" s="1"/>
  <c r="A114" i="183" s="1"/>
  <c r="A115" i="183" s="1"/>
  <c r="A116" i="183" s="1"/>
  <c r="A117" i="183" s="1"/>
  <c r="A118" i="183" s="1"/>
  <c r="A119" i="183" s="1"/>
  <c r="A120" i="183" s="1"/>
  <c r="A121" i="183" s="1"/>
  <c r="A122" i="183" s="1"/>
  <c r="A123" i="183" s="1"/>
  <c r="A124" i="183" s="1"/>
  <c r="A125" i="183" s="1"/>
  <c r="A126" i="183" s="1"/>
  <c r="A127" i="183" s="1"/>
  <c r="A128" i="183" s="1"/>
  <c r="A129" i="183" s="1"/>
  <c r="A130" i="183" s="1"/>
  <c r="A131" i="183" s="1"/>
  <c r="A132" i="183" s="1"/>
  <c r="A133" i="183" s="1"/>
  <c r="A134" i="183" s="1"/>
  <c r="A135" i="183" s="1"/>
  <c r="A136" i="183" s="1"/>
  <c r="A137" i="183" s="1"/>
  <c r="A138" i="183" s="1"/>
  <c r="A139" i="183" s="1"/>
  <c r="A140" i="183" s="1"/>
  <c r="A141" i="183" s="1"/>
  <c r="A142" i="183" s="1"/>
  <c r="A143" i="183" s="1"/>
  <c r="A144" i="183" s="1"/>
  <c r="A145" i="183" s="1"/>
  <c r="A146" i="183" s="1"/>
  <c r="A147" i="183" s="1"/>
  <c r="A148" i="183" s="1"/>
  <c r="A149" i="183" s="1"/>
  <c r="A150" i="183" s="1"/>
  <c r="A151" i="183" s="1"/>
  <c r="A152" i="183" s="1"/>
  <c r="A153" i="183" s="1"/>
  <c r="A154" i="183" s="1"/>
  <c r="A155" i="183" s="1"/>
  <c r="A156" i="183" s="1"/>
  <c r="A157" i="183" s="1"/>
  <c r="A158" i="183" s="1"/>
  <c r="A159" i="183" s="1"/>
  <c r="A160" i="183" s="1"/>
  <c r="A161" i="183" s="1"/>
  <c r="A162" i="183" s="1"/>
  <c r="A163" i="183" s="1"/>
  <c r="A164" i="183" s="1"/>
  <c r="A165" i="183" s="1"/>
  <c r="A166" i="183" s="1"/>
  <c r="A167" i="183" s="1"/>
  <c r="A168" i="183" s="1"/>
  <c r="A169" i="183" s="1"/>
  <c r="A170" i="183" s="1"/>
  <c r="A171" i="183" s="1"/>
  <c r="A172" i="183" s="1"/>
  <c r="A173" i="183" s="1"/>
  <c r="A174" i="183" s="1"/>
  <c r="A175" i="183" s="1"/>
  <c r="A176" i="183" s="1"/>
  <c r="A177" i="183" s="1"/>
  <c r="A178" i="183" s="1"/>
  <c r="A179" i="183" s="1"/>
  <c r="A180" i="183" s="1"/>
  <c r="A181" i="183" s="1"/>
  <c r="A182" i="183" s="1"/>
  <c r="A183" i="183" s="1"/>
  <c r="A184" i="183" s="1"/>
  <c r="A185" i="183" s="1"/>
  <c r="A186" i="183" s="1"/>
  <c r="A187" i="183" s="1"/>
  <c r="A188" i="183" s="1"/>
  <c r="A189" i="183" s="1"/>
  <c r="A190" i="183" s="1"/>
  <c r="A191" i="183" s="1"/>
  <c r="A192" i="183" s="1"/>
  <c r="A193" i="183" s="1"/>
  <c r="A194" i="183" s="1"/>
  <c r="A195" i="183" s="1"/>
  <c r="A196" i="183" s="1"/>
  <c r="A197" i="183" s="1"/>
  <c r="A198" i="183" s="1"/>
  <c r="A199" i="183" s="1"/>
  <c r="A200" i="183" s="1"/>
  <c r="A201" i="183" s="1"/>
  <c r="A202" i="183" s="1"/>
  <c r="A203" i="183" s="1"/>
  <c r="A204" i="183" s="1"/>
  <c r="A205" i="183" s="1"/>
  <c r="A206" i="183" s="1"/>
  <c r="A207" i="183" s="1"/>
  <c r="A208" i="183" s="1"/>
  <c r="A209" i="183" s="1"/>
  <c r="A210" i="183" s="1"/>
  <c r="A211" i="183" s="1"/>
  <c r="A212" i="183" s="1"/>
  <c r="A213" i="183" s="1"/>
  <c r="A214" i="183" s="1"/>
  <c r="A215" i="183" s="1"/>
  <c r="A216" i="183" s="1"/>
  <c r="A217" i="183" s="1"/>
  <c r="A218" i="183" s="1"/>
  <c r="A219" i="183" s="1"/>
  <c r="A220" i="183" s="1"/>
  <c r="A221" i="183" s="1"/>
  <c r="A222" i="183" s="1"/>
  <c r="A223" i="183" s="1"/>
  <c r="A224" i="183" s="1"/>
  <c r="A225" i="183" s="1"/>
  <c r="A226" i="183" s="1"/>
  <c r="A227" i="183" s="1"/>
  <c r="A228" i="183" s="1"/>
  <c r="A229" i="183" s="1"/>
  <c r="A230" i="183" s="1"/>
  <c r="A231" i="183" s="1"/>
  <c r="A232" i="183" s="1"/>
  <c r="A233" i="183" s="1"/>
  <c r="A234" i="183" s="1"/>
  <c r="A235" i="183" s="1"/>
  <c r="A236" i="183" s="1"/>
  <c r="A237" i="183" s="1"/>
  <c r="A238" i="183" s="1"/>
  <c r="A239" i="183" s="1"/>
  <c r="A240" i="183" s="1"/>
  <c r="A241" i="183" s="1"/>
  <c r="A242" i="183" s="1"/>
  <c r="A243" i="183" s="1"/>
  <c r="A244" i="183" s="1"/>
  <c r="A245" i="183" s="1"/>
  <c r="A246" i="183" s="1"/>
  <c r="A247" i="183" s="1"/>
  <c r="A248" i="183" s="1"/>
  <c r="A249" i="183" s="1"/>
  <c r="A250" i="183" s="1"/>
  <c r="A251" i="183" s="1"/>
  <c r="A252" i="183" s="1"/>
  <c r="A253" i="183" s="1"/>
  <c r="A254" i="183" s="1"/>
  <c r="A255" i="183" s="1"/>
  <c r="A256" i="183" s="1"/>
  <c r="A257" i="183" s="1"/>
  <c r="A258" i="183" s="1"/>
  <c r="A259" i="183" s="1"/>
  <c r="A260" i="183" s="1"/>
  <c r="A261" i="183" s="1"/>
  <c r="A262" i="183" s="1"/>
  <c r="A263" i="183" s="1"/>
  <c r="A264" i="183" s="1"/>
  <c r="A265" i="183" s="1"/>
  <c r="A266" i="183" s="1"/>
  <c r="A267" i="183" s="1"/>
  <c r="A268" i="183" s="1"/>
  <c r="A269" i="183" s="1"/>
  <c r="A270" i="183" s="1"/>
  <c r="A271" i="183" s="1"/>
  <c r="A272" i="183" s="1"/>
  <c r="A273" i="183" s="1"/>
  <c r="A274" i="183" s="1"/>
  <c r="A275" i="183" s="1"/>
  <c r="A276" i="183" s="1"/>
  <c r="A277" i="183" s="1"/>
  <c r="A278" i="183" s="1"/>
  <c r="A279" i="183" s="1"/>
  <c r="A280" i="183" s="1"/>
  <c r="A281" i="183" s="1"/>
  <c r="A282" i="183" s="1"/>
  <c r="A283" i="183" s="1"/>
  <c r="A284" i="183" s="1"/>
  <c r="A285" i="183" s="1"/>
  <c r="A286" i="183" s="1"/>
  <c r="A287" i="183" s="1"/>
  <c r="A288" i="183" s="1"/>
  <c r="A289" i="183" s="1"/>
  <c r="Z6" i="183"/>
  <c r="Z100" i="183" s="1"/>
  <c r="Y6" i="183"/>
  <c r="X6" i="183"/>
  <c r="W6" i="183"/>
  <c r="V6" i="183"/>
  <c r="U6" i="183"/>
  <c r="S57" i="183"/>
  <c r="Q1" i="183"/>
  <c r="S295" i="183" s="1"/>
  <c r="N58" i="9" l="1"/>
  <c r="N66" i="9" s="1"/>
  <c r="D75" i="9"/>
  <c r="F66" i="9"/>
  <c r="F75" i="9" s="1"/>
  <c r="G73" i="9" s="1"/>
  <c r="E75" i="9"/>
  <c r="M66" i="9"/>
  <c r="L66" i="9"/>
  <c r="AD55" i="183"/>
  <c r="AA92" i="183"/>
  <c r="AA77" i="183"/>
  <c r="AC63" i="183"/>
  <c r="AA79" i="183"/>
  <c r="AC65" i="183"/>
  <c r="AA72" i="183"/>
  <c r="AA70" i="183"/>
  <c r="AA46" i="183"/>
  <c r="AC15" i="183"/>
  <c r="AA66" i="183"/>
  <c r="AA11" i="183"/>
  <c r="AA58" i="183"/>
  <c r="AC94" i="183"/>
  <c r="AA13" i="183"/>
  <c r="AA94" i="183"/>
  <c r="AA54" i="183"/>
  <c r="AA106" i="183" s="1"/>
  <c r="AD45" i="183"/>
  <c r="AA53" i="183"/>
  <c r="AA47" i="183"/>
  <c r="AA104" i="183"/>
  <c r="AC58" i="183"/>
  <c r="AD66" i="183"/>
  <c r="AD46" i="183"/>
  <c r="AD49" i="183"/>
  <c r="AD65" i="183"/>
  <c r="AC75" i="183"/>
  <c r="AC28" i="183"/>
  <c r="AA30" i="183"/>
  <c r="AC13" i="183"/>
  <c r="AF13" i="183" s="1"/>
  <c r="AE7" i="183"/>
  <c r="AE46" i="183"/>
  <c r="AC50" i="183"/>
  <c r="AC62" i="183"/>
  <c r="AC61" i="183"/>
  <c r="AC74" i="183"/>
  <c r="AD75" i="183"/>
  <c r="AC77" i="183"/>
  <c r="AE39" i="183"/>
  <c r="AA26" i="183"/>
  <c r="AC45" i="183"/>
  <c r="AE47" i="183"/>
  <c r="AD50" i="183"/>
  <c r="AG50" i="183" s="1"/>
  <c r="AD58" i="183"/>
  <c r="AE66" i="183"/>
  <c r="AD62" i="183"/>
  <c r="AC59" i="183"/>
  <c r="AD61" i="183"/>
  <c r="AC72" i="183"/>
  <c r="AD74" i="183"/>
  <c r="AC29" i="183"/>
  <c r="AC32" i="183"/>
  <c r="AE41" i="183"/>
  <c r="AC64" i="183"/>
  <c r="AC60" i="183"/>
  <c r="AC73" i="183"/>
  <c r="AD63" i="183"/>
  <c r="AD64" i="183"/>
  <c r="AD72" i="183"/>
  <c r="AC41" i="183"/>
  <c r="AD44" i="183"/>
  <c r="AC47" i="183"/>
  <c r="AD48" i="183"/>
  <c r="AE49" i="183"/>
  <c r="AC56" i="183"/>
  <c r="AE59" i="183"/>
  <c r="AE60" i="183"/>
  <c r="AE94" i="183"/>
  <c r="AE72" i="183"/>
  <c r="AE73" i="183"/>
  <c r="AE76" i="183"/>
  <c r="AE77" i="183"/>
  <c r="AE78" i="183"/>
  <c r="AE79" i="183"/>
  <c r="AD28" i="183"/>
  <c r="AD29" i="183"/>
  <c r="AD30" i="183"/>
  <c r="AD31" i="183"/>
  <c r="AD32" i="183"/>
  <c r="AC39" i="183"/>
  <c r="AA16" i="183"/>
  <c r="AA38" i="183"/>
  <c r="AA107" i="183" s="1"/>
  <c r="AD15" i="183"/>
  <c r="AF15" i="183" s="1"/>
  <c r="AE13" i="183"/>
  <c r="AE56" i="183"/>
  <c r="AA20" i="183"/>
  <c r="AC44" i="183"/>
  <c r="AC48" i="183"/>
  <c r="AE55" i="183"/>
  <c r="AD60" i="183"/>
  <c r="AD73" i="183"/>
  <c r="AD79" i="183"/>
  <c r="AC30" i="183"/>
  <c r="AC31" i="183"/>
  <c r="AA23" i="183"/>
  <c r="AA32" i="183"/>
  <c r="AC7" i="183"/>
  <c r="AF7" i="183" s="1"/>
  <c r="AG7" i="183" s="1"/>
  <c r="AC55" i="183"/>
  <c r="AD39" i="183"/>
  <c r="AA27" i="183"/>
  <c r="Z108" i="183"/>
  <c r="M302" i="183"/>
  <c r="AD38" i="183"/>
  <c r="AE90" i="183"/>
  <c r="AC90" i="183"/>
  <c r="AC67" i="183"/>
  <c r="AC82" i="183"/>
  <c r="AD67" i="183"/>
  <c r="AE82" i="183"/>
  <c r="AC18" i="183"/>
  <c r="AC52" i="183"/>
  <c r="AD18" i="183"/>
  <c r="AD52" i="183"/>
  <c r="AE80" i="183"/>
  <c r="AC87" i="183"/>
  <c r="AE87" i="183"/>
  <c r="AC9" i="183"/>
  <c r="AC12" i="183"/>
  <c r="AD9" i="183"/>
  <c r="AD12" i="183"/>
  <c r="AC16" i="183"/>
  <c r="AE19" i="183"/>
  <c r="AD21" i="183"/>
  <c r="AE35" i="183"/>
  <c r="AE38" i="183"/>
  <c r="AC40" i="183"/>
  <c r="AD51" i="183"/>
  <c r="AE53" i="183"/>
  <c r="AD88" i="183"/>
  <c r="S293" i="183"/>
  <c r="AC19" i="183"/>
  <c r="AC21" i="183"/>
  <c r="AC51" i="183"/>
  <c r="AE16" i="183"/>
  <c r="AE88" i="183"/>
  <c r="AD8" i="183"/>
  <c r="AE22" i="183"/>
  <c r="AC23" i="183"/>
  <c r="AD36" i="183"/>
  <c r="AC85" i="183"/>
  <c r="AC86" i="183"/>
  <c r="AC89" i="183"/>
  <c r="AC92" i="183"/>
  <c r="AC93" i="183"/>
  <c r="N300" i="183"/>
  <c r="AE8" i="183"/>
  <c r="AE10" i="183"/>
  <c r="AD11" i="183"/>
  <c r="AD23" i="183"/>
  <c r="AD33" i="183"/>
  <c r="AE36" i="183"/>
  <c r="AC37" i="183"/>
  <c r="AD40" i="183"/>
  <c r="AC53" i="183"/>
  <c r="AD54" i="183"/>
  <c r="AC71" i="183"/>
  <c r="AC80" i="183"/>
  <c r="AC81" i="183"/>
  <c r="AD83" i="183"/>
  <c r="AC84" i="183"/>
  <c r="AD85" i="183"/>
  <c r="AD86" i="183"/>
  <c r="AD89" i="183"/>
  <c r="AD92" i="183"/>
  <c r="AD93" i="183"/>
  <c r="AC10" i="183"/>
  <c r="AE17" i="183"/>
  <c r="AD42" i="183"/>
  <c r="AC54" i="183"/>
  <c r="AE11" i="183"/>
  <c r="AE33" i="183"/>
  <c r="AD37" i="183"/>
  <c r="AD71" i="183"/>
  <c r="AD81" i="183"/>
  <c r="AE83" i="183"/>
  <c r="AE84" i="183"/>
  <c r="AE85" i="183"/>
  <c r="AD26" i="183"/>
  <c r="AC26" i="183"/>
  <c r="AE26" i="183"/>
  <c r="AD91" i="183"/>
  <c r="AC91" i="183"/>
  <c r="AE91" i="183"/>
  <c r="AC17" i="183"/>
  <c r="AD20" i="183"/>
  <c r="AC24" i="183"/>
  <c r="AC25" i="183"/>
  <c r="AC27" i="183"/>
  <c r="AE27" i="183"/>
  <c r="AD43" i="183"/>
  <c r="AC43" i="183"/>
  <c r="AD17" i="183"/>
  <c r="AE20" i="183"/>
  <c r="AD22" i="183"/>
  <c r="AD24" i="183"/>
  <c r="AE25" i="183"/>
  <c r="AD35" i="183"/>
  <c r="AD69" i="183"/>
  <c r="AC69" i="183"/>
  <c r="AE69" i="183"/>
  <c r="AC42" i="183"/>
  <c r="AE68" i="183"/>
  <c r="AC68" i="183"/>
  <c r="AC70" i="183"/>
  <c r="AE70" i="183"/>
  <c r="H94" i="9"/>
  <c r="D94" i="9"/>
  <c r="E109" i="9"/>
  <c r="E108" i="9"/>
  <c r="E110" i="9" s="1"/>
  <c r="I94" i="9"/>
  <c r="I92" i="9"/>
  <c r="M92" i="9" s="1"/>
  <c r="I90" i="9"/>
  <c r="I86" i="9"/>
  <c r="M86" i="9" s="1"/>
  <c r="E97" i="9"/>
  <c r="M97" i="9" s="1"/>
  <c r="E94" i="9"/>
  <c r="E93" i="9"/>
  <c r="E98" i="9"/>
  <c r="F98" i="9" s="1"/>
  <c r="E96" i="9"/>
  <c r="M96" i="9" s="1"/>
  <c r="E99" i="9"/>
  <c r="M99" i="9" s="1"/>
  <c r="E92" i="9"/>
  <c r="E90" i="9"/>
  <c r="E86" i="9"/>
  <c r="E83" i="9"/>
  <c r="E84" i="9"/>
  <c r="M83" i="9"/>
  <c r="D109" i="9"/>
  <c r="D108" i="9"/>
  <c r="F99" i="9"/>
  <c r="F100" i="9"/>
  <c r="F101" i="9"/>
  <c r="F102" i="9"/>
  <c r="H95" i="9"/>
  <c r="J95" i="9" s="1"/>
  <c r="H92" i="9"/>
  <c r="H90" i="9"/>
  <c r="J90" i="9" s="1"/>
  <c r="H86" i="9"/>
  <c r="D97" i="9"/>
  <c r="D93" i="9"/>
  <c r="D96" i="9"/>
  <c r="L96" i="9" s="1"/>
  <c r="D92" i="9"/>
  <c r="D90" i="9"/>
  <c r="D86" i="9"/>
  <c r="F86" i="9" s="1"/>
  <c r="D83" i="9"/>
  <c r="D84" i="9"/>
  <c r="F111" i="9"/>
  <c r="C110" i="9"/>
  <c r="G103" i="9"/>
  <c r="C103" i="9"/>
  <c r="M102" i="9"/>
  <c r="K102" i="9"/>
  <c r="M101" i="9"/>
  <c r="L101" i="9"/>
  <c r="K101" i="9"/>
  <c r="J101" i="9"/>
  <c r="M100" i="9"/>
  <c r="L100" i="9"/>
  <c r="K100" i="9"/>
  <c r="J100" i="9"/>
  <c r="K99" i="9"/>
  <c r="J99" i="9"/>
  <c r="L99" i="9"/>
  <c r="L98" i="9"/>
  <c r="K98" i="9"/>
  <c r="J98" i="9"/>
  <c r="M98" i="9"/>
  <c r="K97" i="9"/>
  <c r="J97" i="9"/>
  <c r="K96" i="9"/>
  <c r="J96" i="9"/>
  <c r="M95" i="9"/>
  <c r="K95" i="9"/>
  <c r="F95" i="9"/>
  <c r="K94" i="9"/>
  <c r="K93" i="9"/>
  <c r="J93" i="9"/>
  <c r="M93" i="9"/>
  <c r="K92" i="9"/>
  <c r="J92" i="9"/>
  <c r="F92" i="9"/>
  <c r="M91" i="9"/>
  <c r="L91" i="9"/>
  <c r="K91" i="9"/>
  <c r="J91" i="9"/>
  <c r="F91" i="9"/>
  <c r="K90" i="9"/>
  <c r="M89" i="9"/>
  <c r="L89" i="9"/>
  <c r="K89" i="9"/>
  <c r="J89" i="9"/>
  <c r="F89" i="9"/>
  <c r="M88" i="9"/>
  <c r="L88" i="9"/>
  <c r="K88" i="9"/>
  <c r="J88" i="9"/>
  <c r="F88" i="9"/>
  <c r="M87" i="9"/>
  <c r="L87" i="9"/>
  <c r="K87" i="9"/>
  <c r="J87" i="9"/>
  <c r="F87" i="9"/>
  <c r="K86" i="9"/>
  <c r="M85" i="9"/>
  <c r="L85" i="9"/>
  <c r="N85" i="9" s="1"/>
  <c r="K85" i="9"/>
  <c r="J85" i="9"/>
  <c r="F85" i="9"/>
  <c r="A85" i="9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K84" i="9"/>
  <c r="L84" i="9"/>
  <c r="K83" i="9"/>
  <c r="J83" i="9"/>
  <c r="Z110" i="181"/>
  <c r="Z109" i="181"/>
  <c r="Z108" i="181"/>
  <c r="Z111" i="181"/>
  <c r="N87" i="9" l="1"/>
  <c r="D103" i="9"/>
  <c r="F109" i="9"/>
  <c r="F94" i="9"/>
  <c r="AA105" i="183"/>
  <c r="L93" i="9"/>
  <c r="N93" i="9" s="1"/>
  <c r="I103" i="9"/>
  <c r="I105" i="9" s="1"/>
  <c r="J86" i="9"/>
  <c r="F93" i="9"/>
  <c r="H103" i="9"/>
  <c r="H105" i="9" s="1"/>
  <c r="L90" i="9"/>
  <c r="L95" i="9"/>
  <c r="M90" i="9"/>
  <c r="D110" i="9"/>
  <c r="AG56" i="183"/>
  <c r="AF21" i="183"/>
  <c r="AG21" i="183" s="1"/>
  <c r="AF55" i="183"/>
  <c r="AG55" i="183" s="1"/>
  <c r="AG38" i="183"/>
  <c r="AF12" i="183"/>
  <c r="AG12" i="183" s="1"/>
  <c r="AF23" i="183"/>
  <c r="AG23" i="183" s="1"/>
  <c r="AF8" i="183"/>
  <c r="AG8" i="183" s="1"/>
  <c r="AG35" i="183"/>
  <c r="AG31" i="183"/>
  <c r="AF16" i="183"/>
  <c r="AG16" i="183" s="1"/>
  <c r="AG32" i="183"/>
  <c r="AF18" i="183"/>
  <c r="AG18" i="183" s="1"/>
  <c r="AG37" i="183"/>
  <c r="AG15" i="183"/>
  <c r="AG29" i="183"/>
  <c r="AF11" i="183"/>
  <c r="AG11" i="183" s="1"/>
  <c r="AF9" i="183"/>
  <c r="AG9" i="183" s="1"/>
  <c r="AG44" i="183"/>
  <c r="AG47" i="183"/>
  <c r="AF19" i="183"/>
  <c r="AG19" i="183" s="1"/>
  <c r="AG28" i="183"/>
  <c r="AG13" i="183"/>
  <c r="AG73" i="183"/>
  <c r="AG36" i="183"/>
  <c r="AF10" i="183"/>
  <c r="AG10" i="183" s="1"/>
  <c r="AG45" i="183"/>
  <c r="AG33" i="183"/>
  <c r="AG74" i="183"/>
  <c r="AG6" i="183"/>
  <c r="AG48" i="183"/>
  <c r="AF24" i="183"/>
  <c r="AG24" i="183" s="1"/>
  <c r="AF26" i="183"/>
  <c r="AG26" i="183" s="1"/>
  <c r="AG30" i="183"/>
  <c r="AG75" i="183"/>
  <c r="AF25" i="183"/>
  <c r="AG25" i="183" s="1"/>
  <c r="AF22" i="183"/>
  <c r="AG22" i="183" s="1"/>
  <c r="AA100" i="183"/>
  <c r="AG72" i="183"/>
  <c r="AF27" i="183"/>
  <c r="AG27" i="183" s="1"/>
  <c r="AG49" i="183"/>
  <c r="AF20" i="183"/>
  <c r="AG20" i="183" s="1"/>
  <c r="AG46" i="183"/>
  <c r="M94" i="9"/>
  <c r="L86" i="9"/>
  <c r="F97" i="9"/>
  <c r="N100" i="9"/>
  <c r="J94" i="9"/>
  <c r="M84" i="9"/>
  <c r="M103" i="9" s="1"/>
  <c r="N90" i="9"/>
  <c r="N101" i="9"/>
  <c r="C112" i="9"/>
  <c r="N86" i="9"/>
  <c r="N88" i="9"/>
  <c r="N91" i="9"/>
  <c r="N89" i="9"/>
  <c r="N95" i="9"/>
  <c r="N96" i="9"/>
  <c r="K103" i="9"/>
  <c r="D105" i="9"/>
  <c r="D112" i="9"/>
  <c r="N99" i="9"/>
  <c r="N98" i="9"/>
  <c r="L92" i="9"/>
  <c r="N92" i="9" s="1"/>
  <c r="F84" i="9"/>
  <c r="F90" i="9"/>
  <c r="L97" i="9"/>
  <c r="N97" i="9" s="1"/>
  <c r="F83" i="9"/>
  <c r="L83" i="9"/>
  <c r="J84" i="9"/>
  <c r="J103" i="9" s="1"/>
  <c r="L94" i="9"/>
  <c r="N94" i="9" s="1"/>
  <c r="F96" i="9"/>
  <c r="E103" i="9"/>
  <c r="F108" i="9"/>
  <c r="AF77" i="181"/>
  <c r="AF76" i="181"/>
  <c r="AF34" i="181"/>
  <c r="AB104" i="181"/>
  <c r="F110" i="9" l="1"/>
  <c r="N84" i="9"/>
  <c r="AA108" i="183"/>
  <c r="AG103" i="183"/>
  <c r="AF100" i="183"/>
  <c r="AF103" i="183" s="1"/>
  <c r="E105" i="9"/>
  <c r="E112" i="9"/>
  <c r="N83" i="9"/>
  <c r="L103" i="9"/>
  <c r="F103" i="9"/>
  <c r="F112" i="9" s="1"/>
  <c r="G110" i="9" s="1"/>
  <c r="M265" i="181"/>
  <c r="N103" i="9" l="1"/>
  <c r="S127" i="181"/>
  <c r="S42" i="181"/>
  <c r="S158" i="181"/>
  <c r="S43" i="181"/>
  <c r="S116" i="181"/>
  <c r="S117" i="181"/>
  <c r="S41" i="181"/>
  <c r="S146" i="181"/>
  <c r="S147" i="181"/>
  <c r="S159" i="181"/>
  <c r="S16" i="181"/>
  <c r="S17" i="181"/>
  <c r="S160" i="181"/>
  <c r="S148" i="181"/>
  <c r="S149" i="181"/>
  <c r="S20" i="181"/>
  <c r="S19" i="181"/>
  <c r="S18" i="181"/>
  <c r="S21" i="181"/>
  <c r="S114" i="181"/>
  <c r="S12" i="181"/>
  <c r="S13" i="181"/>
  <c r="S115" i="181"/>
  <c r="S10" i="181"/>
  <c r="S11" i="181"/>
  <c r="S161" i="181"/>
  <c r="S162" i="181"/>
  <c r="S163" i="181"/>
  <c r="S164" i="181"/>
  <c r="S165" i="181"/>
  <c r="S128" i="181"/>
  <c r="S129" i="181"/>
  <c r="S15" i="181"/>
  <c r="S14" i="181"/>
  <c r="S166" i="181"/>
  <c r="S52" i="181"/>
  <c r="S53" i="181"/>
  <c r="S167" i="181"/>
  <c r="S138" i="181"/>
  <c r="S139" i="181"/>
  <c r="S51" i="181"/>
  <c r="S168" i="181"/>
  <c r="S169" i="181"/>
  <c r="S170" i="181"/>
  <c r="S54" i="181"/>
  <c r="S50" i="181"/>
  <c r="S55" i="181"/>
  <c r="S56" i="181"/>
  <c r="S60" i="181"/>
  <c r="S120" i="181"/>
  <c r="S121" i="181"/>
  <c r="S58" i="181"/>
  <c r="S57" i="181"/>
  <c r="S124" i="181"/>
  <c r="S125" i="181"/>
  <c r="S59" i="181"/>
  <c r="S130" i="181"/>
  <c r="S131" i="181"/>
  <c r="S132" i="181"/>
  <c r="S133" i="181"/>
  <c r="S40" i="181"/>
  <c r="S39" i="181"/>
  <c r="S171" i="181"/>
  <c r="S172" i="181"/>
  <c r="S173" i="181"/>
  <c r="S174" i="181"/>
  <c r="S62" i="181"/>
  <c r="S61" i="181"/>
  <c r="S63" i="181"/>
  <c r="S71" i="181"/>
  <c r="S67" i="181"/>
  <c r="S70" i="181"/>
  <c r="S66" i="181"/>
  <c r="S175" i="181"/>
  <c r="S150" i="181"/>
  <c r="S108" i="181"/>
  <c r="S176" i="181"/>
  <c r="S177" i="181"/>
  <c r="S178" i="181"/>
  <c r="S151" i="181"/>
  <c r="S68" i="181"/>
  <c r="S69" i="181"/>
  <c r="S109" i="181"/>
  <c r="S110" i="181"/>
  <c r="S65" i="181"/>
  <c r="S111" i="181"/>
  <c r="S64" i="181"/>
  <c r="S179" i="181"/>
  <c r="S180" i="181"/>
  <c r="S181" i="181"/>
  <c r="S182" i="181"/>
  <c r="S183" i="181"/>
  <c r="S184" i="181"/>
  <c r="S9" i="181"/>
  <c r="S98" i="181"/>
  <c r="S99" i="181"/>
  <c r="S100" i="181"/>
  <c r="S101" i="181"/>
  <c r="S6" i="181"/>
  <c r="S185" i="181"/>
  <c r="S7" i="181"/>
  <c r="S186" i="181"/>
  <c r="S187" i="181"/>
  <c r="S8" i="181"/>
  <c r="S188" i="181"/>
  <c r="S189" i="181"/>
  <c r="S35" i="181"/>
  <c r="S144" i="181"/>
  <c r="S36" i="181"/>
  <c r="S145" i="181"/>
  <c r="S190" i="181"/>
  <c r="S156" i="181"/>
  <c r="S157" i="181"/>
  <c r="S37" i="181"/>
  <c r="S33" i="181"/>
  <c r="S34" i="181"/>
  <c r="S32" i="181"/>
  <c r="S191" i="181"/>
  <c r="S192" i="181"/>
  <c r="S38" i="181"/>
  <c r="S193" i="181"/>
  <c r="S194" i="181"/>
  <c r="S195" i="181"/>
  <c r="S22" i="181"/>
  <c r="S136" i="181"/>
  <c r="S137" i="181"/>
  <c r="S24" i="181"/>
  <c r="S26" i="181"/>
  <c r="S23" i="181"/>
  <c r="S28" i="181"/>
  <c r="S25" i="181"/>
  <c r="S27" i="181"/>
  <c r="S196" i="181"/>
  <c r="S197" i="181"/>
  <c r="S31" i="181"/>
  <c r="S29" i="181"/>
  <c r="S30" i="181"/>
  <c r="S198" i="181"/>
  <c r="S199" i="181"/>
  <c r="S200" i="181"/>
  <c r="S201" i="181"/>
  <c r="S202" i="181"/>
  <c r="S203" i="181"/>
  <c r="S204" i="181"/>
  <c r="S44" i="181"/>
  <c r="S45" i="181"/>
  <c r="S46" i="181"/>
  <c r="S47" i="181"/>
  <c r="S104" i="181"/>
  <c r="S105" i="181"/>
  <c r="S106" i="181"/>
  <c r="S49" i="181"/>
  <c r="S107" i="181"/>
  <c r="S48" i="181"/>
  <c r="S73" i="181"/>
  <c r="S72" i="181"/>
  <c r="S140" i="181"/>
  <c r="S141" i="181"/>
  <c r="S74" i="181"/>
  <c r="S154" i="181"/>
  <c r="S155" i="181"/>
  <c r="S80" i="181"/>
  <c r="S205" i="181"/>
  <c r="S142" i="181"/>
  <c r="S143" i="181"/>
  <c r="S78" i="181"/>
  <c r="S152" i="181"/>
  <c r="S153" i="181"/>
  <c r="S84" i="181"/>
  <c r="S79" i="181"/>
  <c r="S81" i="181"/>
  <c r="S82" i="181"/>
  <c r="S83" i="181"/>
  <c r="S206" i="181"/>
  <c r="S207" i="181"/>
  <c r="S208" i="181"/>
  <c r="S76" i="181"/>
  <c r="S209" i="181"/>
  <c r="S77" i="181"/>
  <c r="S210" i="181"/>
  <c r="S211" i="181"/>
  <c r="S94" i="181"/>
  <c r="S212" i="181"/>
  <c r="S213" i="181"/>
  <c r="S95" i="181"/>
  <c r="S92" i="181"/>
  <c r="S90" i="181"/>
  <c r="S93" i="181"/>
  <c r="S96" i="181"/>
  <c r="S91" i="181"/>
  <c r="S97" i="181"/>
  <c r="S134" i="181"/>
  <c r="S135" i="181"/>
  <c r="S122" i="181"/>
  <c r="S112" i="181"/>
  <c r="S123" i="181"/>
  <c r="S87" i="181"/>
  <c r="S113" i="181"/>
  <c r="S86" i="181"/>
  <c r="S88" i="181"/>
  <c r="S89" i="181"/>
  <c r="S102" i="181"/>
  <c r="S103" i="181"/>
  <c r="S85" i="181"/>
  <c r="S118" i="181"/>
  <c r="S119" i="181"/>
  <c r="S214" i="181"/>
  <c r="S215" i="181"/>
  <c r="S216" i="181"/>
  <c r="S217" i="181"/>
  <c r="S218" i="181"/>
  <c r="S219" i="181"/>
  <c r="S220" i="181"/>
  <c r="S221" i="181"/>
  <c r="S222" i="181"/>
  <c r="S223" i="181"/>
  <c r="S224" i="181"/>
  <c r="S225" i="181"/>
  <c r="S226" i="181"/>
  <c r="S227" i="181"/>
  <c r="S228" i="181"/>
  <c r="S229" i="181"/>
  <c r="S230" i="181"/>
  <c r="S231" i="181"/>
  <c r="S232" i="181"/>
  <c r="S233" i="181"/>
  <c r="S234" i="181"/>
  <c r="S235" i="181"/>
  <c r="S236" i="181"/>
  <c r="S237" i="181"/>
  <c r="S238" i="181"/>
  <c r="S239" i="181"/>
  <c r="S240" i="181"/>
  <c r="S241" i="181"/>
  <c r="S242" i="181"/>
  <c r="S243" i="181"/>
  <c r="S244" i="181"/>
  <c r="S245" i="181"/>
  <c r="S246" i="181"/>
  <c r="S247" i="181"/>
  <c r="S248" i="181"/>
  <c r="S249" i="181"/>
  <c r="S250" i="181"/>
  <c r="S251" i="181"/>
  <c r="S252" i="181"/>
  <c r="S253" i="181"/>
  <c r="S254" i="181"/>
  <c r="S255" i="181"/>
  <c r="S256" i="181"/>
  <c r="S75" i="181"/>
  <c r="S126" i="181"/>
  <c r="R269" i="181"/>
  <c r="M269" i="181"/>
  <c r="S266" i="181"/>
  <c r="Q266" i="181"/>
  <c r="R262" i="181"/>
  <c r="Q262" i="181"/>
  <c r="Q269" i="181" s="1"/>
  <c r="P262" i="181"/>
  <c r="O262" i="181"/>
  <c r="N262" i="181"/>
  <c r="N264" i="181" s="1"/>
  <c r="M262" i="181"/>
  <c r="M271" i="181" s="1"/>
  <c r="AF97" i="181"/>
  <c r="AG97" i="181" s="1"/>
  <c r="Z97" i="181"/>
  <c r="AD97" i="181" s="1"/>
  <c r="Y97" i="181"/>
  <c r="X97" i="181"/>
  <c r="W97" i="181"/>
  <c r="V97" i="181"/>
  <c r="U97" i="181"/>
  <c r="AF96" i="181"/>
  <c r="AG96" i="181" s="1"/>
  <c r="Z96" i="181"/>
  <c r="AE96" i="181" s="1"/>
  <c r="Y96" i="181"/>
  <c r="X96" i="181"/>
  <c r="W96" i="181"/>
  <c r="V96" i="181"/>
  <c r="U96" i="181"/>
  <c r="AF95" i="181"/>
  <c r="AG95" i="181" s="1"/>
  <c r="Z95" i="181"/>
  <c r="Y95" i="181"/>
  <c r="X95" i="181"/>
  <c r="W95" i="181"/>
  <c r="V95" i="181"/>
  <c r="U95" i="181"/>
  <c r="AF94" i="181"/>
  <c r="AG94" i="181" s="1"/>
  <c r="Z94" i="181"/>
  <c r="AD94" i="181" s="1"/>
  <c r="Y94" i="181"/>
  <c r="X94" i="181"/>
  <c r="W94" i="181"/>
  <c r="V94" i="181"/>
  <c r="U94" i="181"/>
  <c r="AF93" i="181"/>
  <c r="AG93" i="181" s="1"/>
  <c r="Z93" i="181"/>
  <c r="AD93" i="181" s="1"/>
  <c r="Y93" i="181"/>
  <c r="X93" i="181"/>
  <c r="W93" i="181"/>
  <c r="V93" i="181"/>
  <c r="U93" i="181"/>
  <c r="AF92" i="181"/>
  <c r="AG92" i="181" s="1"/>
  <c r="Z92" i="181"/>
  <c r="AE92" i="181" s="1"/>
  <c r="Y92" i="181"/>
  <c r="X92" i="181"/>
  <c r="W92" i="181"/>
  <c r="V92" i="181"/>
  <c r="U92" i="181"/>
  <c r="AF91" i="181"/>
  <c r="AG91" i="181" s="1"/>
  <c r="Z91" i="181"/>
  <c r="AD91" i="181" s="1"/>
  <c r="Y91" i="181"/>
  <c r="X91" i="181"/>
  <c r="W91" i="181"/>
  <c r="V91" i="181"/>
  <c r="U91" i="181"/>
  <c r="AF90" i="181"/>
  <c r="AG90" i="181" s="1"/>
  <c r="Z90" i="181"/>
  <c r="Y90" i="181"/>
  <c r="X90" i="181"/>
  <c r="W90" i="181"/>
  <c r="V90" i="181"/>
  <c r="U90" i="181"/>
  <c r="AF89" i="181"/>
  <c r="AG89" i="181" s="1"/>
  <c r="Z89" i="181"/>
  <c r="AE89" i="181" s="1"/>
  <c r="Y89" i="181"/>
  <c r="X89" i="181"/>
  <c r="W89" i="181"/>
  <c r="V89" i="181"/>
  <c r="U89" i="181"/>
  <c r="AF88" i="181"/>
  <c r="AG88" i="181" s="1"/>
  <c r="Z88" i="181"/>
  <c r="Y88" i="181"/>
  <c r="X88" i="181"/>
  <c r="W88" i="181"/>
  <c r="V88" i="181"/>
  <c r="U88" i="181"/>
  <c r="AF87" i="181"/>
  <c r="AG87" i="181" s="1"/>
  <c r="Z87" i="181"/>
  <c r="AC87" i="181" s="1"/>
  <c r="Y87" i="181"/>
  <c r="X87" i="181"/>
  <c r="W87" i="181"/>
  <c r="V87" i="181"/>
  <c r="U87" i="181"/>
  <c r="AF86" i="181"/>
  <c r="AG86" i="181" s="1"/>
  <c r="Z86" i="181"/>
  <c r="Y86" i="181"/>
  <c r="X86" i="181"/>
  <c r="W86" i="181"/>
  <c r="V86" i="181"/>
  <c r="U86" i="181"/>
  <c r="AF85" i="181"/>
  <c r="AG85" i="181" s="1"/>
  <c r="Z85" i="181"/>
  <c r="Y85" i="181"/>
  <c r="X85" i="181"/>
  <c r="W85" i="181"/>
  <c r="V85" i="181"/>
  <c r="U85" i="181"/>
  <c r="AF84" i="181"/>
  <c r="AG84" i="181" s="1"/>
  <c r="Z84" i="181"/>
  <c r="Y84" i="181"/>
  <c r="X84" i="181"/>
  <c r="W84" i="181"/>
  <c r="V84" i="181"/>
  <c r="U84" i="181"/>
  <c r="AF83" i="181"/>
  <c r="AG83" i="181" s="1"/>
  <c r="Z83" i="181"/>
  <c r="AE83" i="181" s="1"/>
  <c r="Y83" i="181"/>
  <c r="X83" i="181"/>
  <c r="W83" i="181"/>
  <c r="V83" i="181"/>
  <c r="U83" i="181"/>
  <c r="AF82" i="181"/>
  <c r="AG82" i="181" s="1"/>
  <c r="Z82" i="181"/>
  <c r="AE82" i="181" s="1"/>
  <c r="Y82" i="181"/>
  <c r="X82" i="181"/>
  <c r="W82" i="181"/>
  <c r="V82" i="181"/>
  <c r="U82" i="181"/>
  <c r="AF81" i="181"/>
  <c r="AG81" i="181" s="1"/>
  <c r="Z81" i="181"/>
  <c r="AD81" i="181" s="1"/>
  <c r="Y81" i="181"/>
  <c r="X81" i="181"/>
  <c r="W81" i="181"/>
  <c r="V81" i="181"/>
  <c r="U81" i="181"/>
  <c r="AF80" i="181"/>
  <c r="AG80" i="181" s="1"/>
  <c r="Z80" i="181"/>
  <c r="AE80" i="181" s="1"/>
  <c r="Y80" i="181"/>
  <c r="X80" i="181"/>
  <c r="W80" i="181"/>
  <c r="V80" i="181"/>
  <c r="U80" i="181"/>
  <c r="AF79" i="181"/>
  <c r="AG79" i="181" s="1"/>
  <c r="Z79" i="181"/>
  <c r="AC79" i="181" s="1"/>
  <c r="Y79" i="181"/>
  <c r="X79" i="181"/>
  <c r="W79" i="181"/>
  <c r="V79" i="181"/>
  <c r="U79" i="181"/>
  <c r="AF78" i="181"/>
  <c r="AG78" i="181" s="1"/>
  <c r="Z78" i="181"/>
  <c r="Y78" i="181"/>
  <c r="X78" i="181"/>
  <c r="W78" i="181"/>
  <c r="V78" i="181"/>
  <c r="U78" i="181"/>
  <c r="AG77" i="181"/>
  <c r="Z77" i="181"/>
  <c r="Y77" i="181"/>
  <c r="X77" i="181"/>
  <c r="W77" i="181"/>
  <c r="V77" i="181"/>
  <c r="U77" i="181"/>
  <c r="AG76" i="181"/>
  <c r="Z76" i="181"/>
  <c r="Y76" i="181"/>
  <c r="X76" i="181"/>
  <c r="W76" i="181"/>
  <c r="V76" i="181"/>
  <c r="U76" i="181"/>
  <c r="Z75" i="181"/>
  <c r="Y75" i="181"/>
  <c r="X75" i="181"/>
  <c r="W75" i="181"/>
  <c r="V75" i="181"/>
  <c r="U75" i="181"/>
  <c r="Z74" i="181"/>
  <c r="Y74" i="181"/>
  <c r="X74" i="181"/>
  <c r="W74" i="181"/>
  <c r="V74" i="181"/>
  <c r="U74" i="181"/>
  <c r="Z73" i="181"/>
  <c r="Y73" i="181"/>
  <c r="X73" i="181"/>
  <c r="W73" i="181"/>
  <c r="V73" i="181"/>
  <c r="U73" i="181"/>
  <c r="Z72" i="181"/>
  <c r="Y72" i="181"/>
  <c r="X72" i="181"/>
  <c r="W72" i="181"/>
  <c r="V72" i="181"/>
  <c r="U72" i="181"/>
  <c r="AF71" i="181"/>
  <c r="AG71" i="181" s="1"/>
  <c r="Z71" i="181"/>
  <c r="AD71" i="181" s="1"/>
  <c r="Y71" i="181"/>
  <c r="X71" i="181"/>
  <c r="W71" i="181"/>
  <c r="V71" i="181"/>
  <c r="U71" i="181"/>
  <c r="AF70" i="181"/>
  <c r="AG70" i="181" s="1"/>
  <c r="Z70" i="181"/>
  <c r="AE70" i="181" s="1"/>
  <c r="Y70" i="181"/>
  <c r="X70" i="181"/>
  <c r="W70" i="181"/>
  <c r="V70" i="181"/>
  <c r="U70" i="181"/>
  <c r="AF69" i="181"/>
  <c r="AG69" i="181" s="1"/>
  <c r="Z69" i="181"/>
  <c r="AD69" i="181" s="1"/>
  <c r="Y69" i="181"/>
  <c r="X69" i="181"/>
  <c r="W69" i="181"/>
  <c r="V69" i="181"/>
  <c r="U69" i="181"/>
  <c r="AF68" i="181"/>
  <c r="AG68" i="181" s="1"/>
  <c r="Z68" i="181"/>
  <c r="AE68" i="181" s="1"/>
  <c r="Y68" i="181"/>
  <c r="X68" i="181"/>
  <c r="W68" i="181"/>
  <c r="V68" i="181"/>
  <c r="U68" i="181"/>
  <c r="AF67" i="181"/>
  <c r="AG67" i="181" s="1"/>
  <c r="Z67" i="181"/>
  <c r="AE67" i="181" s="1"/>
  <c r="Y67" i="181"/>
  <c r="X67" i="181"/>
  <c r="W67" i="181"/>
  <c r="V67" i="181"/>
  <c r="U67" i="181"/>
  <c r="AF66" i="181"/>
  <c r="AG66" i="181" s="1"/>
  <c r="Z66" i="181"/>
  <c r="AD66" i="181" s="1"/>
  <c r="Y66" i="181"/>
  <c r="X66" i="181"/>
  <c r="W66" i="181"/>
  <c r="V66" i="181"/>
  <c r="U66" i="181"/>
  <c r="AF65" i="181"/>
  <c r="AG65" i="181" s="1"/>
  <c r="Z65" i="181"/>
  <c r="AD65" i="181" s="1"/>
  <c r="Y65" i="181"/>
  <c r="X65" i="181"/>
  <c r="W65" i="181"/>
  <c r="V65" i="181"/>
  <c r="U65" i="181"/>
  <c r="AF64" i="181"/>
  <c r="AG64" i="181" s="1"/>
  <c r="Z64" i="181"/>
  <c r="Y64" i="181"/>
  <c r="X64" i="181"/>
  <c r="W64" i="181"/>
  <c r="V64" i="181"/>
  <c r="U64" i="181"/>
  <c r="AF63" i="181"/>
  <c r="AG63" i="181" s="1"/>
  <c r="Z63" i="181"/>
  <c r="Y63" i="181"/>
  <c r="X63" i="181"/>
  <c r="W63" i="181"/>
  <c r="V63" i="181"/>
  <c r="U63" i="181"/>
  <c r="AF62" i="181"/>
  <c r="AG62" i="181" s="1"/>
  <c r="Z62" i="181"/>
  <c r="AE62" i="181" s="1"/>
  <c r="Y62" i="181"/>
  <c r="X62" i="181"/>
  <c r="W62" i="181"/>
  <c r="V62" i="181"/>
  <c r="U62" i="181"/>
  <c r="AF61" i="181"/>
  <c r="AG61" i="181" s="1"/>
  <c r="Z61" i="181"/>
  <c r="AD61" i="181" s="1"/>
  <c r="Y61" i="181"/>
  <c r="X61" i="181"/>
  <c r="W61" i="181"/>
  <c r="V61" i="181"/>
  <c r="U61" i="181"/>
  <c r="AF60" i="181"/>
  <c r="AG60" i="181" s="1"/>
  <c r="Z60" i="181"/>
  <c r="Y60" i="181"/>
  <c r="X60" i="181"/>
  <c r="W60" i="181"/>
  <c r="V60" i="181"/>
  <c r="U60" i="181"/>
  <c r="AF59" i="181"/>
  <c r="AG59" i="181" s="1"/>
  <c r="Z59" i="181"/>
  <c r="AE59" i="181" s="1"/>
  <c r="Y59" i="181"/>
  <c r="X59" i="181"/>
  <c r="W59" i="181"/>
  <c r="V59" i="181"/>
  <c r="U59" i="181"/>
  <c r="AG58" i="181"/>
  <c r="Z58" i="181"/>
  <c r="AC58" i="181" s="1"/>
  <c r="Y58" i="181"/>
  <c r="X58" i="181"/>
  <c r="W58" i="181"/>
  <c r="V58" i="181"/>
  <c r="U58" i="181"/>
  <c r="AF57" i="181"/>
  <c r="AG57" i="181" s="1"/>
  <c r="Z57" i="181"/>
  <c r="AD57" i="181" s="1"/>
  <c r="Y57" i="181"/>
  <c r="X57" i="181"/>
  <c r="W57" i="181"/>
  <c r="V57" i="181"/>
  <c r="U57" i="181"/>
  <c r="AG56" i="181"/>
  <c r="Z56" i="181"/>
  <c r="AD56" i="181" s="1"/>
  <c r="Y56" i="181"/>
  <c r="X56" i="181"/>
  <c r="W56" i="181"/>
  <c r="V56" i="181"/>
  <c r="U56" i="181"/>
  <c r="AG55" i="181"/>
  <c r="Z55" i="181"/>
  <c r="AE55" i="181" s="1"/>
  <c r="Y55" i="181"/>
  <c r="X55" i="181"/>
  <c r="W55" i="181"/>
  <c r="V55" i="181"/>
  <c r="U55" i="181"/>
  <c r="AG54" i="181"/>
  <c r="Z54" i="181"/>
  <c r="AE54" i="181" s="1"/>
  <c r="Y54" i="181"/>
  <c r="X54" i="181"/>
  <c r="W54" i="181"/>
  <c r="V54" i="181"/>
  <c r="U54" i="181"/>
  <c r="AG53" i="181"/>
  <c r="Z53" i="181"/>
  <c r="AE53" i="181" s="1"/>
  <c r="Y53" i="181"/>
  <c r="X53" i="181"/>
  <c r="W53" i="181"/>
  <c r="V53" i="181"/>
  <c r="U53" i="181"/>
  <c r="AG52" i="181"/>
  <c r="Z52" i="181"/>
  <c r="AE52" i="181" s="1"/>
  <c r="Y52" i="181"/>
  <c r="X52" i="181"/>
  <c r="W52" i="181"/>
  <c r="V52" i="181"/>
  <c r="U52" i="181"/>
  <c r="AG51" i="181"/>
  <c r="Z51" i="181"/>
  <c r="AE51" i="181" s="1"/>
  <c r="Y51" i="181"/>
  <c r="X51" i="181"/>
  <c r="W51" i="181"/>
  <c r="V51" i="181"/>
  <c r="U51" i="181"/>
  <c r="AG50" i="181"/>
  <c r="Z50" i="181"/>
  <c r="Y50" i="181"/>
  <c r="X50" i="181"/>
  <c r="W50" i="181"/>
  <c r="V50" i="181"/>
  <c r="U50" i="181"/>
  <c r="Z49" i="181"/>
  <c r="Y49" i="181"/>
  <c r="X49" i="181"/>
  <c r="W49" i="181"/>
  <c r="V49" i="181"/>
  <c r="U49" i="181"/>
  <c r="Z48" i="181"/>
  <c r="Y48" i="181"/>
  <c r="X48" i="181"/>
  <c r="W48" i="181"/>
  <c r="V48" i="181"/>
  <c r="U48" i="181"/>
  <c r="Z47" i="181"/>
  <c r="Y47" i="181"/>
  <c r="X47" i="181"/>
  <c r="W47" i="181"/>
  <c r="V47" i="181"/>
  <c r="U47" i="181"/>
  <c r="Z46" i="181"/>
  <c r="Y46" i="181"/>
  <c r="X46" i="181"/>
  <c r="W46" i="181"/>
  <c r="V46" i="181"/>
  <c r="U46" i="181"/>
  <c r="Z45" i="181"/>
  <c r="Y45" i="181"/>
  <c r="X45" i="181"/>
  <c r="W45" i="181"/>
  <c r="V45" i="181"/>
  <c r="U45" i="181"/>
  <c r="Z44" i="181"/>
  <c r="Y44" i="181"/>
  <c r="X44" i="181"/>
  <c r="W44" i="181"/>
  <c r="V44" i="181"/>
  <c r="U44" i="181"/>
  <c r="AG43" i="181"/>
  <c r="Z43" i="181"/>
  <c r="Y43" i="181"/>
  <c r="X43" i="181"/>
  <c r="W43" i="181"/>
  <c r="V43" i="181"/>
  <c r="U43" i="181"/>
  <c r="AG42" i="181"/>
  <c r="Z42" i="181"/>
  <c r="AE42" i="181" s="1"/>
  <c r="Y42" i="181"/>
  <c r="X42" i="181"/>
  <c r="W42" i="181"/>
  <c r="V42" i="181"/>
  <c r="U42" i="181"/>
  <c r="AG41" i="181"/>
  <c r="Z41" i="181"/>
  <c r="AE41" i="181" s="1"/>
  <c r="Y41" i="181"/>
  <c r="X41" i="181"/>
  <c r="W41" i="181"/>
  <c r="V41" i="181"/>
  <c r="U41" i="181"/>
  <c r="AG40" i="181"/>
  <c r="Z40" i="181"/>
  <c r="Y40" i="181"/>
  <c r="X40" i="181"/>
  <c r="W40" i="181"/>
  <c r="V40" i="181"/>
  <c r="U40" i="181"/>
  <c r="AG39" i="181"/>
  <c r="Z39" i="181"/>
  <c r="AE39" i="181" s="1"/>
  <c r="Y39" i="181"/>
  <c r="X39" i="181"/>
  <c r="W39" i="181"/>
  <c r="V39" i="181"/>
  <c r="U39" i="181"/>
  <c r="Z38" i="181"/>
  <c r="Y38" i="181"/>
  <c r="X38" i="181"/>
  <c r="W38" i="181"/>
  <c r="V38" i="181"/>
  <c r="U38" i="181"/>
  <c r="Z37" i="181"/>
  <c r="Y37" i="181"/>
  <c r="X37" i="181"/>
  <c r="W37" i="181"/>
  <c r="V37" i="181"/>
  <c r="U37" i="181"/>
  <c r="Z36" i="181"/>
  <c r="Y36" i="181"/>
  <c r="X36" i="181"/>
  <c r="W36" i="181"/>
  <c r="V36" i="181"/>
  <c r="U36" i="181"/>
  <c r="Z35" i="181"/>
  <c r="Y35" i="181"/>
  <c r="X35" i="181"/>
  <c r="W35" i="181"/>
  <c r="V35" i="181"/>
  <c r="U35" i="181"/>
  <c r="AG34" i="181"/>
  <c r="Z34" i="181"/>
  <c r="Y34" i="181"/>
  <c r="X34" i="181"/>
  <c r="W34" i="181"/>
  <c r="V34" i="181"/>
  <c r="U34" i="181"/>
  <c r="Z33" i="181"/>
  <c r="Y33" i="181"/>
  <c r="X33" i="181"/>
  <c r="W33" i="181"/>
  <c r="V33" i="181"/>
  <c r="U33" i="181"/>
  <c r="Z32" i="181"/>
  <c r="Y32" i="181"/>
  <c r="X32" i="181"/>
  <c r="W32" i="181"/>
  <c r="V32" i="181"/>
  <c r="U32" i="181"/>
  <c r="Z31" i="181"/>
  <c r="Y31" i="181"/>
  <c r="X31" i="181"/>
  <c r="W31" i="181"/>
  <c r="V31" i="181"/>
  <c r="U31" i="181"/>
  <c r="Z30" i="181"/>
  <c r="Y30" i="181"/>
  <c r="X30" i="181"/>
  <c r="W30" i="181"/>
  <c r="V30" i="181"/>
  <c r="U30" i="181"/>
  <c r="Z29" i="181"/>
  <c r="AE29" i="181" s="1"/>
  <c r="Y29" i="181"/>
  <c r="X29" i="181"/>
  <c r="W29" i="181"/>
  <c r="V29" i="181"/>
  <c r="U29" i="181"/>
  <c r="Z28" i="181"/>
  <c r="Y28" i="181"/>
  <c r="X28" i="181"/>
  <c r="W28" i="181"/>
  <c r="V28" i="181"/>
  <c r="U28" i="181"/>
  <c r="Z27" i="181"/>
  <c r="AE27" i="181" s="1"/>
  <c r="Y27" i="181"/>
  <c r="X27" i="181"/>
  <c r="W27" i="181"/>
  <c r="V27" i="181"/>
  <c r="U27" i="181"/>
  <c r="Z26" i="181"/>
  <c r="AE26" i="181" s="1"/>
  <c r="Y26" i="181"/>
  <c r="X26" i="181"/>
  <c r="W26" i="181"/>
  <c r="V26" i="181"/>
  <c r="U26" i="181"/>
  <c r="Z25" i="181"/>
  <c r="AD25" i="181" s="1"/>
  <c r="Y25" i="181"/>
  <c r="X25" i="181"/>
  <c r="W25" i="181"/>
  <c r="V25" i="181"/>
  <c r="U25" i="181"/>
  <c r="Z24" i="181"/>
  <c r="AC24" i="181" s="1"/>
  <c r="Y24" i="181"/>
  <c r="X24" i="181"/>
  <c r="W24" i="181"/>
  <c r="V24" i="181"/>
  <c r="U24" i="181"/>
  <c r="Z23" i="181"/>
  <c r="AC23" i="181" s="1"/>
  <c r="Y23" i="181"/>
  <c r="X23" i="181"/>
  <c r="W23" i="181"/>
  <c r="V23" i="181"/>
  <c r="U23" i="181"/>
  <c r="Z22" i="181"/>
  <c r="Y22" i="181"/>
  <c r="X22" i="181"/>
  <c r="W22" i="181"/>
  <c r="V22" i="181"/>
  <c r="U22" i="181"/>
  <c r="Z21" i="181"/>
  <c r="Y21" i="181"/>
  <c r="X21" i="181"/>
  <c r="W21" i="181"/>
  <c r="V21" i="181"/>
  <c r="U21" i="181"/>
  <c r="Z20" i="181"/>
  <c r="AD20" i="181" s="1"/>
  <c r="Y20" i="181"/>
  <c r="X20" i="181"/>
  <c r="W20" i="181"/>
  <c r="V20" i="181"/>
  <c r="U20" i="181"/>
  <c r="Z19" i="181"/>
  <c r="AE19" i="181" s="1"/>
  <c r="Y19" i="181"/>
  <c r="X19" i="181"/>
  <c r="W19" i="181"/>
  <c r="V19" i="181"/>
  <c r="U19" i="181"/>
  <c r="Z18" i="181"/>
  <c r="AE18" i="181" s="1"/>
  <c r="Y18" i="181"/>
  <c r="X18" i="181"/>
  <c r="W18" i="181"/>
  <c r="V18" i="181"/>
  <c r="U18" i="181"/>
  <c r="AF17" i="181"/>
  <c r="AG17" i="181" s="1"/>
  <c r="Z17" i="181"/>
  <c r="Y17" i="181"/>
  <c r="X17" i="181"/>
  <c r="W17" i="181"/>
  <c r="V17" i="181"/>
  <c r="U17" i="181"/>
  <c r="Z16" i="181"/>
  <c r="AE16" i="181" s="1"/>
  <c r="Y16" i="181"/>
  <c r="X16" i="181"/>
  <c r="W16" i="181"/>
  <c r="V16" i="181"/>
  <c r="U16" i="181"/>
  <c r="Z15" i="181"/>
  <c r="Y15" i="181"/>
  <c r="X15" i="181"/>
  <c r="W15" i="181"/>
  <c r="V15" i="181"/>
  <c r="U15" i="181"/>
  <c r="Z14" i="181"/>
  <c r="Y14" i="181"/>
  <c r="X14" i="181"/>
  <c r="W14" i="181"/>
  <c r="V14" i="181"/>
  <c r="U14" i="181"/>
  <c r="Z13" i="181"/>
  <c r="Y13" i="181"/>
  <c r="X13" i="181"/>
  <c r="W13" i="181"/>
  <c r="V13" i="181"/>
  <c r="U13" i="181"/>
  <c r="Z12" i="181"/>
  <c r="AC12" i="181" s="1"/>
  <c r="Y12" i="181"/>
  <c r="X12" i="181"/>
  <c r="W12" i="181"/>
  <c r="V12" i="181"/>
  <c r="U12" i="181"/>
  <c r="Z11" i="181"/>
  <c r="AD11" i="181" s="1"/>
  <c r="Y11" i="181"/>
  <c r="X11" i="181"/>
  <c r="W11" i="181"/>
  <c r="V11" i="181"/>
  <c r="U11" i="181"/>
  <c r="Z10" i="181"/>
  <c r="AE10" i="181" s="1"/>
  <c r="Y10" i="181"/>
  <c r="X10" i="181"/>
  <c r="W10" i="181"/>
  <c r="V10" i="181"/>
  <c r="U10" i="181"/>
  <c r="Z9" i="181"/>
  <c r="Y9" i="181"/>
  <c r="X9" i="181"/>
  <c r="W9" i="181"/>
  <c r="V9" i="181"/>
  <c r="U9" i="181"/>
  <c r="Z8" i="181"/>
  <c r="AE8" i="181" s="1"/>
  <c r="Y8" i="181"/>
  <c r="X8" i="181"/>
  <c r="W8" i="181"/>
  <c r="V8" i="181"/>
  <c r="U8" i="181"/>
  <c r="AF7" i="181"/>
  <c r="AG7" i="181" s="1"/>
  <c r="Z7" i="181"/>
  <c r="AA7" i="181" s="1"/>
  <c r="Y7" i="181"/>
  <c r="X7" i="181"/>
  <c r="W7" i="181"/>
  <c r="V7" i="181"/>
  <c r="U7" i="181"/>
  <c r="A7" i="181"/>
  <c r="A8" i="181" s="1"/>
  <c r="A9" i="181" s="1"/>
  <c r="A10" i="181" s="1"/>
  <c r="A11" i="181" s="1"/>
  <c r="A12" i="181" s="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A45" i="181" s="1"/>
  <c r="A46" i="181" s="1"/>
  <c r="A47" i="181" s="1"/>
  <c r="A48" i="181" s="1"/>
  <c r="A49" i="181" s="1"/>
  <c r="A50" i="181" s="1"/>
  <c r="A51" i="181" s="1"/>
  <c r="A52" i="181" s="1"/>
  <c r="A53" i="181" s="1"/>
  <c r="A54" i="181" s="1"/>
  <c r="A55" i="181" s="1"/>
  <c r="A56" i="181" s="1"/>
  <c r="A57" i="181" s="1"/>
  <c r="A58" i="181" s="1"/>
  <c r="A59" i="181" s="1"/>
  <c r="A60" i="181" s="1"/>
  <c r="A61" i="181" s="1"/>
  <c r="A62" i="181" s="1"/>
  <c r="A63" i="181" s="1"/>
  <c r="A64" i="181" s="1"/>
  <c r="A65" i="181" s="1"/>
  <c r="A66" i="181" s="1"/>
  <c r="A67" i="181" s="1"/>
  <c r="A68" i="181" s="1"/>
  <c r="A69" i="181" s="1"/>
  <c r="A70" i="181" s="1"/>
  <c r="A71" i="181" s="1"/>
  <c r="A72" i="181" s="1"/>
  <c r="A73" i="181" s="1"/>
  <c r="A74" i="181" s="1"/>
  <c r="A75" i="181" s="1"/>
  <c r="A76" i="181" s="1"/>
  <c r="A77" i="181" s="1"/>
  <c r="A78" i="181" s="1"/>
  <c r="A79" i="181" s="1"/>
  <c r="A80" i="181" s="1"/>
  <c r="A81" i="181" s="1"/>
  <c r="A82" i="181" s="1"/>
  <c r="A83" i="181" s="1"/>
  <c r="A84" i="181" s="1"/>
  <c r="A85" i="181" s="1"/>
  <c r="A86" i="181" s="1"/>
  <c r="A87" i="181" s="1"/>
  <c r="A88" i="181" s="1"/>
  <c r="A89" i="181" s="1"/>
  <c r="A90" i="181" s="1"/>
  <c r="A91" i="181" s="1"/>
  <c r="A92" i="181" s="1"/>
  <c r="A93" i="181" s="1"/>
  <c r="A94" i="181" s="1"/>
  <c r="A95" i="181" s="1"/>
  <c r="A96" i="181" s="1"/>
  <c r="A97" i="181" s="1"/>
  <c r="A98" i="181" s="1"/>
  <c r="A99" i="181" s="1"/>
  <c r="A100" i="181" s="1"/>
  <c r="A101" i="181" s="1"/>
  <c r="A102" i="181" s="1"/>
  <c r="A103" i="181" s="1"/>
  <c r="A104" i="181" s="1"/>
  <c r="A105" i="181" s="1"/>
  <c r="A106" i="181" s="1"/>
  <c r="A107" i="181" s="1"/>
  <c r="A108" i="181" s="1"/>
  <c r="A109" i="181" s="1"/>
  <c r="A110" i="181" s="1"/>
  <c r="A111" i="181" s="1"/>
  <c r="A112" i="181" s="1"/>
  <c r="A113" i="181" s="1"/>
  <c r="A114" i="181" s="1"/>
  <c r="A115" i="181" s="1"/>
  <c r="A116" i="181" s="1"/>
  <c r="A117" i="181" s="1"/>
  <c r="A118" i="181" s="1"/>
  <c r="A119" i="181" s="1"/>
  <c r="A120" i="181" s="1"/>
  <c r="A121" i="181" s="1"/>
  <c r="A122" i="181" s="1"/>
  <c r="A123" i="181" s="1"/>
  <c r="A124" i="181" s="1"/>
  <c r="A125" i="181" s="1"/>
  <c r="A126" i="181" s="1"/>
  <c r="A127" i="181" s="1"/>
  <c r="A128" i="181" s="1"/>
  <c r="A129" i="181" s="1"/>
  <c r="A130" i="181" s="1"/>
  <c r="A131" i="181" s="1"/>
  <c r="A132" i="181" s="1"/>
  <c r="A133" i="181" s="1"/>
  <c r="A134" i="181" s="1"/>
  <c r="A135" i="181" s="1"/>
  <c r="A136" i="181" s="1"/>
  <c r="A137" i="181" s="1"/>
  <c r="A138" i="181" s="1"/>
  <c r="A139" i="181" s="1"/>
  <c r="A140" i="181" s="1"/>
  <c r="A141" i="181" s="1"/>
  <c r="A142" i="181" s="1"/>
  <c r="A143" i="181" s="1"/>
  <c r="A144" i="181" s="1"/>
  <c r="A145" i="181" s="1"/>
  <c r="A146" i="181" s="1"/>
  <c r="A147" i="181" s="1"/>
  <c r="A148" i="181" s="1"/>
  <c r="A149" i="181" s="1"/>
  <c r="A150" i="181" s="1"/>
  <c r="A151" i="181" s="1"/>
  <c r="A152" i="181" s="1"/>
  <c r="A153" i="181" s="1"/>
  <c r="A154" i="181" s="1"/>
  <c r="A155" i="181" s="1"/>
  <c r="A156" i="181" s="1"/>
  <c r="A157" i="181" s="1"/>
  <c r="A158" i="181" s="1"/>
  <c r="A159" i="181" s="1"/>
  <c r="A160" i="181" s="1"/>
  <c r="A161" i="181" s="1"/>
  <c r="A162" i="181" s="1"/>
  <c r="A163" i="181" s="1"/>
  <c r="A164" i="181" s="1"/>
  <c r="A165" i="181" s="1"/>
  <c r="A166" i="181" s="1"/>
  <c r="A167" i="181" s="1"/>
  <c r="A168" i="181" s="1"/>
  <c r="A169" i="181" s="1"/>
  <c r="A170" i="181" s="1"/>
  <c r="A171" i="181" s="1"/>
  <c r="A172" i="181" s="1"/>
  <c r="A173" i="181" s="1"/>
  <c r="A174" i="181" s="1"/>
  <c r="A175" i="181" s="1"/>
  <c r="A176" i="181" s="1"/>
  <c r="A177" i="181" s="1"/>
  <c r="A178" i="181" s="1"/>
  <c r="A179" i="181" s="1"/>
  <c r="A180" i="181" s="1"/>
  <c r="A181" i="181" s="1"/>
  <c r="A182" i="181" s="1"/>
  <c r="A183" i="181" s="1"/>
  <c r="A184" i="181" s="1"/>
  <c r="A185" i="181" s="1"/>
  <c r="A186" i="181" s="1"/>
  <c r="A187" i="181" s="1"/>
  <c r="A188" i="181" s="1"/>
  <c r="A189" i="181" s="1"/>
  <c r="A190" i="181" s="1"/>
  <c r="A191" i="181" s="1"/>
  <c r="A192" i="181" s="1"/>
  <c r="A193" i="181" s="1"/>
  <c r="A194" i="181" s="1"/>
  <c r="A195" i="181" s="1"/>
  <c r="A196" i="181" s="1"/>
  <c r="A197" i="181" s="1"/>
  <c r="A198" i="181" s="1"/>
  <c r="A199" i="181" s="1"/>
  <c r="A200" i="181" s="1"/>
  <c r="A201" i="181" s="1"/>
  <c r="A202" i="181" s="1"/>
  <c r="A203" i="181" s="1"/>
  <c r="A204" i="181" s="1"/>
  <c r="A205" i="181" s="1"/>
  <c r="A206" i="181" s="1"/>
  <c r="A207" i="181" s="1"/>
  <c r="A208" i="181" s="1"/>
  <c r="A209" i="181" s="1"/>
  <c r="A210" i="181" s="1"/>
  <c r="A211" i="181" s="1"/>
  <c r="A212" i="181" s="1"/>
  <c r="A213" i="181" s="1"/>
  <c r="A214" i="181" s="1"/>
  <c r="A215" i="181" s="1"/>
  <c r="A216" i="181" s="1"/>
  <c r="A217" i="181" s="1"/>
  <c r="A218" i="181" s="1"/>
  <c r="A219" i="181" s="1"/>
  <c r="A220" i="181" s="1"/>
  <c r="A221" i="181" s="1"/>
  <c r="A222" i="181" s="1"/>
  <c r="A223" i="181" s="1"/>
  <c r="A224" i="181" s="1"/>
  <c r="A225" i="181" s="1"/>
  <c r="A226" i="181" s="1"/>
  <c r="A227" i="181" s="1"/>
  <c r="A228" i="181" s="1"/>
  <c r="A229" i="181" s="1"/>
  <c r="A230" i="181" s="1"/>
  <c r="A231" i="181" s="1"/>
  <c r="A232" i="181" s="1"/>
  <c r="A233" i="181" s="1"/>
  <c r="A234" i="181" s="1"/>
  <c r="A235" i="181" s="1"/>
  <c r="A236" i="181" s="1"/>
  <c r="A237" i="181" s="1"/>
  <c r="A238" i="181" s="1"/>
  <c r="A239" i="181" s="1"/>
  <c r="A240" i="181" s="1"/>
  <c r="A241" i="181" s="1"/>
  <c r="A242" i="181" s="1"/>
  <c r="A243" i="181" s="1"/>
  <c r="A244" i="181" s="1"/>
  <c r="A245" i="181" s="1"/>
  <c r="A246" i="181" s="1"/>
  <c r="A247" i="181" s="1"/>
  <c r="A248" i="181" s="1"/>
  <c r="A249" i="181" s="1"/>
  <c r="A250" i="181" s="1"/>
  <c r="A251" i="181" s="1"/>
  <c r="A252" i="181" s="1"/>
  <c r="A253" i="181" s="1"/>
  <c r="A254" i="181" s="1"/>
  <c r="A255" i="181" s="1"/>
  <c r="A256" i="181" s="1"/>
  <c r="A257" i="181" s="1"/>
  <c r="A258" i="181" s="1"/>
  <c r="Z6" i="181"/>
  <c r="Y6" i="181"/>
  <c r="X6" i="181"/>
  <c r="W6" i="181"/>
  <c r="V6" i="181"/>
  <c r="U6" i="181"/>
  <c r="Q1" i="181"/>
  <c r="S264" i="181" s="1"/>
  <c r="E146" i="9"/>
  <c r="E145" i="9"/>
  <c r="I134" i="9"/>
  <c r="I129" i="9"/>
  <c r="I121" i="9"/>
  <c r="I120" i="9"/>
  <c r="E134" i="9"/>
  <c r="M134" i="9" s="1"/>
  <c r="E132" i="9"/>
  <c r="M132" i="9" s="1"/>
  <c r="E131" i="9"/>
  <c r="E130" i="9"/>
  <c r="E135" i="9"/>
  <c r="M135" i="9" s="1"/>
  <c r="E133" i="9"/>
  <c r="M133" i="9" s="1"/>
  <c r="E136" i="9"/>
  <c r="M136" i="9" s="1"/>
  <c r="E129" i="9"/>
  <c r="M129" i="9" s="1"/>
  <c r="E127" i="9"/>
  <c r="M127" i="9" s="1"/>
  <c r="E123" i="9"/>
  <c r="M123" i="9" s="1"/>
  <c r="E120" i="9"/>
  <c r="M120" i="9" s="1"/>
  <c r="E121" i="9"/>
  <c r="D146" i="9"/>
  <c r="D145" i="9"/>
  <c r="H134" i="9"/>
  <c r="J134" i="9" s="1"/>
  <c r="H129" i="9"/>
  <c r="H121" i="9"/>
  <c r="D134" i="9"/>
  <c r="D132" i="9"/>
  <c r="L132" i="9" s="1"/>
  <c r="D131" i="9"/>
  <c r="D130" i="9"/>
  <c r="L130" i="9" s="1"/>
  <c r="D135" i="9"/>
  <c r="D133" i="9"/>
  <c r="D136" i="9"/>
  <c r="F136" i="9" s="1"/>
  <c r="D129" i="9"/>
  <c r="L129" i="9" s="1"/>
  <c r="D127" i="9"/>
  <c r="L127" i="9" s="1"/>
  <c r="D123" i="9"/>
  <c r="D120" i="9"/>
  <c r="D121" i="9"/>
  <c r="F148" i="9"/>
  <c r="C147" i="9"/>
  <c r="G140" i="9"/>
  <c r="C140" i="9"/>
  <c r="M139" i="9"/>
  <c r="K139" i="9"/>
  <c r="M138" i="9"/>
  <c r="L138" i="9"/>
  <c r="K138" i="9"/>
  <c r="J138" i="9"/>
  <c r="M137" i="9"/>
  <c r="L137" i="9"/>
  <c r="K137" i="9"/>
  <c r="J137" i="9"/>
  <c r="K136" i="9"/>
  <c r="J136" i="9"/>
  <c r="L135" i="9"/>
  <c r="K135" i="9"/>
  <c r="J135" i="9"/>
  <c r="K134" i="9"/>
  <c r="K133" i="9"/>
  <c r="J133" i="9"/>
  <c r="K132" i="9"/>
  <c r="J132" i="9"/>
  <c r="K131" i="9"/>
  <c r="J131" i="9"/>
  <c r="M131" i="9"/>
  <c r="L131" i="9"/>
  <c r="K130" i="9"/>
  <c r="J130" i="9"/>
  <c r="M130" i="9"/>
  <c r="K129" i="9"/>
  <c r="M128" i="9"/>
  <c r="L128" i="9"/>
  <c r="K128" i="9"/>
  <c r="J128" i="9"/>
  <c r="F128" i="9"/>
  <c r="K127" i="9"/>
  <c r="J127" i="9"/>
  <c r="M126" i="9"/>
  <c r="L126" i="9"/>
  <c r="K126" i="9"/>
  <c r="J126" i="9"/>
  <c r="F126" i="9"/>
  <c r="M125" i="9"/>
  <c r="L125" i="9"/>
  <c r="K125" i="9"/>
  <c r="J125" i="9"/>
  <c r="F125" i="9"/>
  <c r="M124" i="9"/>
  <c r="L124" i="9"/>
  <c r="K124" i="9"/>
  <c r="J124" i="9"/>
  <c r="F124" i="9"/>
  <c r="K123" i="9"/>
  <c r="J123" i="9"/>
  <c r="M122" i="9"/>
  <c r="L122" i="9"/>
  <c r="K122" i="9"/>
  <c r="J122" i="9"/>
  <c r="F122" i="9"/>
  <c r="A122" i="9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K121" i="9"/>
  <c r="L120" i="9"/>
  <c r="K120" i="9"/>
  <c r="J120" i="9"/>
  <c r="Z111" i="180"/>
  <c r="Z110" i="180"/>
  <c r="Z109" i="180"/>
  <c r="Z108" i="180"/>
  <c r="AF17" i="180"/>
  <c r="AF63" i="180"/>
  <c r="AF61" i="180"/>
  <c r="AF59" i="180"/>
  <c r="AB104" i="180"/>
  <c r="AF99" i="180"/>
  <c r="AG99" i="180" s="1"/>
  <c r="Z99" i="180"/>
  <c r="AD99" i="180" s="1"/>
  <c r="Y99" i="180"/>
  <c r="X99" i="180"/>
  <c r="W99" i="180"/>
  <c r="V99" i="180"/>
  <c r="U99" i="180"/>
  <c r="AF98" i="180"/>
  <c r="AG98" i="180" s="1"/>
  <c r="Z98" i="180"/>
  <c r="AD98" i="180" s="1"/>
  <c r="Y98" i="180"/>
  <c r="X98" i="180"/>
  <c r="W98" i="180"/>
  <c r="V98" i="180"/>
  <c r="U98" i="180"/>
  <c r="AF97" i="180"/>
  <c r="AG97" i="180" s="1"/>
  <c r="Z97" i="180"/>
  <c r="AD97" i="180" s="1"/>
  <c r="Y97" i="180"/>
  <c r="X97" i="180"/>
  <c r="W97" i="180"/>
  <c r="V97" i="180"/>
  <c r="U97" i="180"/>
  <c r="AF96" i="180"/>
  <c r="AG96" i="180" s="1"/>
  <c r="Z96" i="180"/>
  <c r="AD96" i="180" s="1"/>
  <c r="Y96" i="180"/>
  <c r="X96" i="180"/>
  <c r="W96" i="180"/>
  <c r="V96" i="180"/>
  <c r="U96" i="180"/>
  <c r="AF95" i="180"/>
  <c r="AG95" i="180" s="1"/>
  <c r="Z95" i="180"/>
  <c r="AD95" i="180" s="1"/>
  <c r="Y95" i="180"/>
  <c r="X95" i="180"/>
  <c r="W95" i="180"/>
  <c r="V95" i="180"/>
  <c r="U95" i="180"/>
  <c r="AF94" i="180"/>
  <c r="AG94" i="180" s="1"/>
  <c r="Z94" i="180"/>
  <c r="AD94" i="180" s="1"/>
  <c r="Y94" i="180"/>
  <c r="X94" i="180"/>
  <c r="W94" i="180"/>
  <c r="V94" i="180"/>
  <c r="U94" i="180"/>
  <c r="AF93" i="180"/>
  <c r="AG93" i="180" s="1"/>
  <c r="Z93" i="180"/>
  <c r="AD93" i="180" s="1"/>
  <c r="Y93" i="180"/>
  <c r="X93" i="180"/>
  <c r="W93" i="180"/>
  <c r="V93" i="180"/>
  <c r="U93" i="180"/>
  <c r="AF92" i="180"/>
  <c r="AG92" i="180" s="1"/>
  <c r="Z92" i="180"/>
  <c r="AD92" i="180" s="1"/>
  <c r="Y92" i="180"/>
  <c r="X92" i="180"/>
  <c r="W92" i="180"/>
  <c r="V92" i="180"/>
  <c r="U92" i="180"/>
  <c r="AF91" i="180"/>
  <c r="AG91" i="180" s="1"/>
  <c r="Z91" i="180"/>
  <c r="AD91" i="180" s="1"/>
  <c r="Y91" i="180"/>
  <c r="X91" i="180"/>
  <c r="W91" i="180"/>
  <c r="V91" i="180"/>
  <c r="U91" i="180"/>
  <c r="AF90" i="180"/>
  <c r="AG90" i="180" s="1"/>
  <c r="Z90" i="180"/>
  <c r="AD90" i="180" s="1"/>
  <c r="Y90" i="180"/>
  <c r="X90" i="180"/>
  <c r="W90" i="180"/>
  <c r="V90" i="180"/>
  <c r="U90" i="180"/>
  <c r="AF89" i="180"/>
  <c r="AG89" i="180" s="1"/>
  <c r="Z89" i="180"/>
  <c r="AD89" i="180" s="1"/>
  <c r="Y89" i="180"/>
  <c r="X89" i="180"/>
  <c r="W89" i="180"/>
  <c r="V89" i="180"/>
  <c r="U89" i="180"/>
  <c r="AF88" i="180"/>
  <c r="AG88" i="180" s="1"/>
  <c r="Z88" i="180"/>
  <c r="AD88" i="180" s="1"/>
  <c r="Y88" i="180"/>
  <c r="X88" i="180"/>
  <c r="W88" i="180"/>
  <c r="V88" i="180"/>
  <c r="U88" i="180"/>
  <c r="AF87" i="180"/>
  <c r="AG87" i="180" s="1"/>
  <c r="Z87" i="180"/>
  <c r="AD87" i="180" s="1"/>
  <c r="Y87" i="180"/>
  <c r="X87" i="180"/>
  <c r="W87" i="180"/>
  <c r="V87" i="180"/>
  <c r="U87" i="180"/>
  <c r="AF86" i="180"/>
  <c r="AG86" i="180" s="1"/>
  <c r="Z86" i="180"/>
  <c r="AE86" i="180" s="1"/>
  <c r="Y86" i="180"/>
  <c r="X86" i="180"/>
  <c r="W86" i="180"/>
  <c r="V86" i="180"/>
  <c r="U86" i="180"/>
  <c r="AF85" i="180"/>
  <c r="AG85" i="180" s="1"/>
  <c r="Z85" i="180"/>
  <c r="AD85" i="180" s="1"/>
  <c r="Y85" i="180"/>
  <c r="X85" i="180"/>
  <c r="W85" i="180"/>
  <c r="V85" i="180"/>
  <c r="U85" i="180"/>
  <c r="AF84" i="180"/>
  <c r="AG84" i="180" s="1"/>
  <c r="Z84" i="180"/>
  <c r="AE84" i="180" s="1"/>
  <c r="Y84" i="180"/>
  <c r="X84" i="180"/>
  <c r="W84" i="180"/>
  <c r="V84" i="180"/>
  <c r="U84" i="180"/>
  <c r="AF83" i="180"/>
  <c r="AG83" i="180" s="1"/>
  <c r="Z83" i="180"/>
  <c r="Y83" i="180"/>
  <c r="X83" i="180"/>
  <c r="W83" i="180"/>
  <c r="V83" i="180"/>
  <c r="U83" i="180"/>
  <c r="AF82" i="180"/>
  <c r="AG82" i="180" s="1"/>
  <c r="Z82" i="180"/>
  <c r="AE82" i="180" s="1"/>
  <c r="Y82" i="180"/>
  <c r="X82" i="180"/>
  <c r="W82" i="180"/>
  <c r="V82" i="180"/>
  <c r="U82" i="180"/>
  <c r="S240" i="180"/>
  <c r="S112" i="180"/>
  <c r="S88" i="180"/>
  <c r="S89" i="180"/>
  <c r="S126" i="180"/>
  <c r="S127" i="180"/>
  <c r="S90" i="180"/>
  <c r="S91" i="180"/>
  <c r="S92" i="180"/>
  <c r="S241" i="180"/>
  <c r="S242" i="180"/>
  <c r="S113" i="180"/>
  <c r="S186" i="180"/>
  <c r="S187" i="180"/>
  <c r="S93" i="180"/>
  <c r="S87" i="180"/>
  <c r="S243" i="180"/>
  <c r="S244" i="180"/>
  <c r="S245" i="180"/>
  <c r="S246" i="180"/>
  <c r="S247" i="180"/>
  <c r="S248" i="180"/>
  <c r="S249" i="180"/>
  <c r="S250" i="180"/>
  <c r="S251" i="180"/>
  <c r="S252" i="180"/>
  <c r="S253" i="180"/>
  <c r="S254" i="180"/>
  <c r="S255" i="180"/>
  <c r="S256" i="180"/>
  <c r="S257" i="180"/>
  <c r="S258" i="180"/>
  <c r="S259" i="180"/>
  <c r="S260" i="180"/>
  <c r="S261" i="180"/>
  <c r="S262" i="180"/>
  <c r="S263" i="180"/>
  <c r="S264" i="180"/>
  <c r="S265" i="180"/>
  <c r="S266" i="180"/>
  <c r="S267" i="180"/>
  <c r="S268" i="180"/>
  <c r="S269" i="180"/>
  <c r="S270" i="180"/>
  <c r="S271" i="180"/>
  <c r="S272" i="180"/>
  <c r="I140" i="9" l="1"/>
  <c r="I142" i="9" s="1"/>
  <c r="N129" i="9"/>
  <c r="F123" i="9"/>
  <c r="N124" i="9"/>
  <c r="L134" i="9"/>
  <c r="M121" i="9"/>
  <c r="N121" i="9" s="1"/>
  <c r="E147" i="9"/>
  <c r="F121" i="9"/>
  <c r="F133" i="9"/>
  <c r="L123" i="9"/>
  <c r="E140" i="9"/>
  <c r="E142" i="9" s="1"/>
  <c r="L121" i="9"/>
  <c r="F120" i="9"/>
  <c r="L133" i="9"/>
  <c r="N133" i="9" s="1"/>
  <c r="J121" i="9"/>
  <c r="F146" i="9"/>
  <c r="AA86" i="180"/>
  <c r="N122" i="9"/>
  <c r="H140" i="9"/>
  <c r="H142" i="9" s="1"/>
  <c r="AE14" i="181"/>
  <c r="AA14" i="181"/>
  <c r="AE31" i="181"/>
  <c r="AC31" i="181"/>
  <c r="AD31" i="181"/>
  <c r="AA31" i="181"/>
  <c r="AC35" i="181"/>
  <c r="AD35" i="181"/>
  <c r="AE35" i="181"/>
  <c r="AE43" i="181"/>
  <c r="AA43" i="181"/>
  <c r="AA111" i="181" s="1"/>
  <c r="AD47" i="181"/>
  <c r="AE47" i="181"/>
  <c r="AC47" i="181"/>
  <c r="AD63" i="181"/>
  <c r="AA63" i="181"/>
  <c r="AC75" i="181"/>
  <c r="AA75" i="181"/>
  <c r="AD75" i="181"/>
  <c r="AE75" i="181"/>
  <c r="AD21" i="181"/>
  <c r="AA21" i="181"/>
  <c r="AD32" i="181"/>
  <c r="AE32" i="181"/>
  <c r="AC32" i="181"/>
  <c r="AA32" i="181"/>
  <c r="AC36" i="181"/>
  <c r="AD36" i="181"/>
  <c r="AE36" i="181"/>
  <c r="AE40" i="181"/>
  <c r="AA40" i="181"/>
  <c r="AE44" i="181"/>
  <c r="AC44" i="181"/>
  <c r="AD44" i="181"/>
  <c r="AE48" i="181"/>
  <c r="AC48" i="181"/>
  <c r="AD48" i="181"/>
  <c r="AE60" i="181"/>
  <c r="AA60" i="181"/>
  <c r="AE64" i="181"/>
  <c r="AA71" i="181"/>
  <c r="AC72" i="181"/>
  <c r="AD72" i="181"/>
  <c r="AE72" i="181"/>
  <c r="AA72" i="181"/>
  <c r="AC76" i="181"/>
  <c r="AD76" i="181"/>
  <c r="AE76" i="181"/>
  <c r="AA76" i="181"/>
  <c r="AD84" i="181"/>
  <c r="AA84" i="181"/>
  <c r="AD6" i="181"/>
  <c r="Z104" i="181"/>
  <c r="AA6" i="181"/>
  <c r="AD9" i="181"/>
  <c r="AA9" i="181"/>
  <c r="AC13" i="181"/>
  <c r="AA13" i="181"/>
  <c r="AD15" i="181"/>
  <c r="AA15" i="181"/>
  <c r="AD17" i="181"/>
  <c r="AA17" i="181"/>
  <c r="AE33" i="181"/>
  <c r="AC33" i="181"/>
  <c r="AD33" i="181"/>
  <c r="AC37" i="181"/>
  <c r="AD37" i="181"/>
  <c r="AE37" i="181"/>
  <c r="AA37" i="181"/>
  <c r="AC45" i="181"/>
  <c r="AD45" i="181"/>
  <c r="AE45" i="181"/>
  <c r="AC49" i="181"/>
  <c r="AD49" i="181"/>
  <c r="AE49" i="181"/>
  <c r="AA49" i="181"/>
  <c r="AD73" i="181"/>
  <c r="AE73" i="181"/>
  <c r="AC73" i="181"/>
  <c r="AA73" i="181"/>
  <c r="AC77" i="181"/>
  <c r="AD77" i="181"/>
  <c r="AE77" i="181"/>
  <c r="AA77" i="181"/>
  <c r="AE85" i="181"/>
  <c r="AA85" i="181"/>
  <c r="AE22" i="181"/>
  <c r="AA22" i="181"/>
  <c r="AD30" i="181"/>
  <c r="AE30" i="181"/>
  <c r="AC30" i="181"/>
  <c r="AD38" i="181"/>
  <c r="AE38" i="181"/>
  <c r="AC38" i="181"/>
  <c r="AA38" i="181"/>
  <c r="AC46" i="181"/>
  <c r="AD46" i="181"/>
  <c r="AE46" i="181"/>
  <c r="AE50" i="181"/>
  <c r="AA56" i="181"/>
  <c r="AE74" i="181"/>
  <c r="AC74" i="181"/>
  <c r="AD74" i="181"/>
  <c r="AA74" i="181"/>
  <c r="AE78" i="181"/>
  <c r="AA83" i="181"/>
  <c r="AE86" i="181"/>
  <c r="AA89" i="181"/>
  <c r="AD90" i="181"/>
  <c r="AA97" i="181"/>
  <c r="S262" i="181"/>
  <c r="AD39" i="181"/>
  <c r="AC39" i="181"/>
  <c r="AE12" i="181"/>
  <c r="AC60" i="181"/>
  <c r="AC83" i="181"/>
  <c r="AD10" i="181"/>
  <c r="AD13" i="181"/>
  <c r="AD60" i="181"/>
  <c r="AC70" i="181"/>
  <c r="AE91" i="181"/>
  <c r="AD8" i="181"/>
  <c r="AC16" i="181"/>
  <c r="AC18" i="181"/>
  <c r="AC21" i="181"/>
  <c r="AC63" i="181"/>
  <c r="AC85" i="181"/>
  <c r="AC86" i="181"/>
  <c r="AD87" i="181"/>
  <c r="AE21" i="181"/>
  <c r="AD16" i="181"/>
  <c r="AD18" i="181"/>
  <c r="Z112" i="181"/>
  <c r="AC8" i="181"/>
  <c r="AC14" i="181"/>
  <c r="AC26" i="181"/>
  <c r="AE58" i="181"/>
  <c r="AE66" i="181"/>
  <c r="AC68" i="181"/>
  <c r="AD70" i="181"/>
  <c r="AE94" i="181"/>
  <c r="AD41" i="181"/>
  <c r="AD58" i="181"/>
  <c r="AD80" i="181"/>
  <c r="AC22" i="181"/>
  <c r="AD40" i="181"/>
  <c r="AC41" i="181"/>
  <c r="AC80" i="181"/>
  <c r="AD85" i="181"/>
  <c r="AC10" i="181"/>
  <c r="AC19" i="181"/>
  <c r="AD24" i="181"/>
  <c r="AD26" i="181"/>
  <c r="AC29" i="181"/>
  <c r="AD42" i="181"/>
  <c r="AC43" i="181"/>
  <c r="AD59" i="181"/>
  <c r="AD62" i="181"/>
  <c r="AC64" i="181"/>
  <c r="AC66" i="181"/>
  <c r="AD67" i="181"/>
  <c r="AC78" i="181"/>
  <c r="AC82" i="181"/>
  <c r="AD88" i="181"/>
  <c r="AE90" i="181"/>
  <c r="AC91" i="181"/>
  <c r="AD92" i="181"/>
  <c r="AC94" i="181"/>
  <c r="AD95" i="181"/>
  <c r="AE97" i="181"/>
  <c r="AC27" i="181"/>
  <c r="AC42" i="181"/>
  <c r="AC50" i="181"/>
  <c r="AC51" i="181"/>
  <c r="AC52" i="181"/>
  <c r="AC53" i="181"/>
  <c r="AC54" i="181"/>
  <c r="AC55" i="181"/>
  <c r="AC59" i="181"/>
  <c r="AC62" i="181"/>
  <c r="AC67" i="181"/>
  <c r="AC88" i="181"/>
  <c r="AC92" i="181"/>
  <c r="AC95" i="181"/>
  <c r="AC6" i="181"/>
  <c r="AD12" i="181"/>
  <c r="AF12" i="181" s="1"/>
  <c r="AG12" i="181" s="1"/>
  <c r="AD29" i="181"/>
  <c r="AC40" i="181"/>
  <c r="AD43" i="181"/>
  <c r="AD82" i="181"/>
  <c r="N269" i="181"/>
  <c r="AF105" i="181"/>
  <c r="AE6" i="181"/>
  <c r="AC9" i="181"/>
  <c r="AC11" i="181"/>
  <c r="AE13" i="181"/>
  <c r="AD14" i="181"/>
  <c r="AG14" i="181" s="1"/>
  <c r="AC15" i="181"/>
  <c r="AC17" i="181"/>
  <c r="AD19" i="181"/>
  <c r="AC20" i="181"/>
  <c r="AD22" i="181"/>
  <c r="AE24" i="181"/>
  <c r="AC25" i="181"/>
  <c r="AD27" i="181"/>
  <c r="AC28" i="181"/>
  <c r="AD50" i="181"/>
  <c r="AD51" i="181"/>
  <c r="AD52" i="181"/>
  <c r="AD53" i="181"/>
  <c r="AD54" i="181"/>
  <c r="AD55" i="181"/>
  <c r="AC56" i="181"/>
  <c r="AC57" i="181"/>
  <c r="AC61" i="181"/>
  <c r="AE63" i="181"/>
  <c r="AD64" i="181"/>
  <c r="AC65" i="181"/>
  <c r="AD68" i="181"/>
  <c r="AC69" i="181"/>
  <c r="AC71" i="181"/>
  <c r="AD78" i="181"/>
  <c r="AC81" i="181"/>
  <c r="AD83" i="181"/>
  <c r="AC84" i="181"/>
  <c r="AD86" i="181"/>
  <c r="AE88" i="181"/>
  <c r="AD89" i="181"/>
  <c r="AC90" i="181"/>
  <c r="AC93" i="181"/>
  <c r="AE95" i="181"/>
  <c r="AD96" i="181"/>
  <c r="AC97" i="181"/>
  <c r="AE23" i="181"/>
  <c r="AE79" i="181"/>
  <c r="AE87" i="181"/>
  <c r="AC89" i="181"/>
  <c r="AC96" i="181"/>
  <c r="AE9" i="181"/>
  <c r="AE11" i="181"/>
  <c r="AE15" i="181"/>
  <c r="AE17" i="181"/>
  <c r="AE20" i="181"/>
  <c r="AD23" i="181"/>
  <c r="AE25" i="181"/>
  <c r="AE28" i="181"/>
  <c r="AE56" i="181"/>
  <c r="AE57" i="181"/>
  <c r="AE61" i="181"/>
  <c r="AE65" i="181"/>
  <c r="AE69" i="181"/>
  <c r="AE71" i="181"/>
  <c r="AD79" i="181"/>
  <c r="AE81" i="181"/>
  <c r="AE84" i="181"/>
  <c r="AE93" i="181"/>
  <c r="AD28" i="181"/>
  <c r="D147" i="9"/>
  <c r="F135" i="9"/>
  <c r="N137" i="9"/>
  <c r="D140" i="9"/>
  <c r="N120" i="9"/>
  <c r="C149" i="9"/>
  <c r="N127" i="9"/>
  <c r="N123" i="9"/>
  <c r="N135" i="9"/>
  <c r="N125" i="9"/>
  <c r="K140" i="9"/>
  <c r="N128" i="9"/>
  <c r="N126" i="9"/>
  <c r="N130" i="9"/>
  <c r="N132" i="9"/>
  <c r="N138" i="9"/>
  <c r="M140" i="9"/>
  <c r="N134" i="9"/>
  <c r="N131" i="9"/>
  <c r="F127" i="9"/>
  <c r="F129" i="9"/>
  <c r="F131" i="9"/>
  <c r="F132" i="9"/>
  <c r="F134" i="9"/>
  <c r="J129" i="9"/>
  <c r="F130" i="9"/>
  <c r="L136" i="9"/>
  <c r="N136" i="9" s="1"/>
  <c r="F145" i="9"/>
  <c r="AA82" i="180"/>
  <c r="AA99" i="180"/>
  <c r="AA277" i="180" s="1"/>
  <c r="AA281" i="180" s="1"/>
  <c r="AA93" i="180"/>
  <c r="AA87" i="180"/>
  <c r="AE83" i="180"/>
  <c r="AD82" i="180"/>
  <c r="AD83" i="180"/>
  <c r="AD84" i="180"/>
  <c r="AD86" i="180"/>
  <c r="AC82" i="180"/>
  <c r="AC83" i="180"/>
  <c r="AC84" i="180"/>
  <c r="AC85" i="180"/>
  <c r="AC86" i="180"/>
  <c r="AC87" i="180"/>
  <c r="AC88" i="180"/>
  <c r="AC89" i="180"/>
  <c r="AC90" i="180"/>
  <c r="AC91" i="180"/>
  <c r="AC92" i="180"/>
  <c r="AC93" i="180"/>
  <c r="AC94" i="180"/>
  <c r="AC95" i="180"/>
  <c r="AC96" i="180"/>
  <c r="AC97" i="180"/>
  <c r="AC98" i="180"/>
  <c r="AC99" i="180"/>
  <c r="AE85" i="180"/>
  <c r="AE87" i="180"/>
  <c r="AE88" i="180"/>
  <c r="AE89" i="180"/>
  <c r="AE90" i="180"/>
  <c r="AE91" i="180"/>
  <c r="AE92" i="180"/>
  <c r="AE93" i="180"/>
  <c r="AE94" i="180"/>
  <c r="AE95" i="180"/>
  <c r="AE96" i="180"/>
  <c r="AE97" i="180"/>
  <c r="AE98" i="180"/>
  <c r="AE99" i="180"/>
  <c r="R285" i="180"/>
  <c r="M285" i="180"/>
  <c r="S282" i="180"/>
  <c r="Q282" i="180"/>
  <c r="AA280" i="180"/>
  <c r="Z280" i="180"/>
  <c r="Z279" i="180"/>
  <c r="Z278" i="180"/>
  <c r="R278" i="180"/>
  <c r="Q278" i="180"/>
  <c r="Q285" i="180" s="1"/>
  <c r="P278" i="180"/>
  <c r="O278" i="180"/>
  <c r="N278" i="180"/>
  <c r="N280" i="180" s="1"/>
  <c r="M278" i="180"/>
  <c r="Z277" i="180"/>
  <c r="Z281" i="180" s="1"/>
  <c r="S97" i="180"/>
  <c r="S99" i="180"/>
  <c r="S129" i="180"/>
  <c r="S239" i="180"/>
  <c r="S128" i="180"/>
  <c r="S98" i="180"/>
  <c r="S238" i="180"/>
  <c r="S96" i="180"/>
  <c r="S237" i="180"/>
  <c r="S236" i="180"/>
  <c r="S125" i="180"/>
  <c r="S124" i="180"/>
  <c r="S95" i="180"/>
  <c r="S94" i="180"/>
  <c r="S235" i="180"/>
  <c r="S79" i="180"/>
  <c r="S78" i="180"/>
  <c r="S185" i="180"/>
  <c r="S234" i="180"/>
  <c r="S184" i="180"/>
  <c r="S233" i="180"/>
  <c r="S232" i="180"/>
  <c r="S231" i="180"/>
  <c r="S76" i="180"/>
  <c r="S75" i="180"/>
  <c r="S74" i="180"/>
  <c r="S123" i="180"/>
  <c r="S122" i="180"/>
  <c r="S121" i="180"/>
  <c r="S120" i="180"/>
  <c r="S119" i="180"/>
  <c r="S118" i="180"/>
  <c r="S117" i="180"/>
  <c r="S116" i="180"/>
  <c r="S77" i="180"/>
  <c r="S82" i="180"/>
  <c r="S85" i="180"/>
  <c r="S86" i="180"/>
  <c r="S84" i="180"/>
  <c r="S83" i="180"/>
  <c r="S230" i="180"/>
  <c r="S72" i="180"/>
  <c r="S71" i="180"/>
  <c r="S169" i="180"/>
  <c r="S168" i="180"/>
  <c r="S229" i="180"/>
  <c r="S228" i="180"/>
  <c r="S227" i="180"/>
  <c r="S226" i="180"/>
  <c r="S81" i="180"/>
  <c r="S225" i="180"/>
  <c r="S80" i="180"/>
  <c r="S224" i="180"/>
  <c r="S23" i="180"/>
  <c r="S103" i="180"/>
  <c r="S102" i="180"/>
  <c r="S22" i="180"/>
  <c r="S21" i="180"/>
  <c r="S161" i="180"/>
  <c r="S160" i="180"/>
  <c r="S20" i="180"/>
  <c r="S155" i="180"/>
  <c r="S223" i="180"/>
  <c r="S154" i="180"/>
  <c r="S222" i="180"/>
  <c r="S221" i="180"/>
  <c r="S29" i="180"/>
  <c r="S171" i="180"/>
  <c r="S170" i="180"/>
  <c r="S28" i="180"/>
  <c r="S167" i="180"/>
  <c r="S166" i="180"/>
  <c r="S165" i="180"/>
  <c r="S27" i="180"/>
  <c r="S153" i="180"/>
  <c r="S164" i="180"/>
  <c r="S152" i="180"/>
  <c r="S151" i="180"/>
  <c r="S150" i="180"/>
  <c r="S220" i="180"/>
  <c r="S219" i="180"/>
  <c r="S25" i="180"/>
  <c r="S218" i="180"/>
  <c r="S217" i="180"/>
  <c r="S216" i="180"/>
  <c r="S24" i="180"/>
  <c r="S215" i="180"/>
  <c r="S26" i="180"/>
  <c r="S159" i="180"/>
  <c r="S158" i="180"/>
  <c r="S157" i="180"/>
  <c r="S156" i="180"/>
  <c r="S8" i="180"/>
  <c r="S7" i="180"/>
  <c r="S10" i="180"/>
  <c r="S6" i="180"/>
  <c r="S9" i="180"/>
  <c r="S214" i="180"/>
  <c r="S63" i="180"/>
  <c r="S213" i="180"/>
  <c r="S69" i="180"/>
  <c r="S212" i="180"/>
  <c r="S68" i="180"/>
  <c r="S177" i="180"/>
  <c r="S67" i="180"/>
  <c r="S211" i="180"/>
  <c r="S66" i="180"/>
  <c r="S137" i="180"/>
  <c r="S136" i="180"/>
  <c r="S176" i="180"/>
  <c r="S210" i="180"/>
  <c r="S64" i="180"/>
  <c r="S62" i="180"/>
  <c r="S65" i="180"/>
  <c r="S141" i="180"/>
  <c r="S140" i="180"/>
  <c r="S139" i="180"/>
  <c r="S138" i="180"/>
  <c r="S70" i="180"/>
  <c r="S209" i="180"/>
  <c r="S208" i="180"/>
  <c r="S207" i="180"/>
  <c r="S206" i="180"/>
  <c r="S61" i="180"/>
  <c r="S60" i="180"/>
  <c r="S173" i="180"/>
  <c r="S205" i="180"/>
  <c r="S204" i="180"/>
  <c r="S175" i="180"/>
  <c r="S172" i="180"/>
  <c r="S174" i="180"/>
  <c r="S59" i="180"/>
  <c r="S203" i="180"/>
  <c r="S58" i="180"/>
  <c r="S135" i="180"/>
  <c r="S134" i="180"/>
  <c r="S57" i="180"/>
  <c r="S133" i="180"/>
  <c r="S132" i="180"/>
  <c r="S32" i="180"/>
  <c r="S147" i="180"/>
  <c r="S146" i="180"/>
  <c r="S30" i="180"/>
  <c r="S31" i="180"/>
  <c r="S52" i="180"/>
  <c r="AF81" i="180"/>
  <c r="AG81" i="180" s="1"/>
  <c r="Z81" i="180"/>
  <c r="Y81" i="180"/>
  <c r="X81" i="180"/>
  <c r="W81" i="180"/>
  <c r="V81" i="180"/>
  <c r="U81" i="180"/>
  <c r="S115" i="180"/>
  <c r="AF80" i="180"/>
  <c r="AG80" i="180" s="1"/>
  <c r="Z80" i="180"/>
  <c r="AE80" i="180" s="1"/>
  <c r="Y80" i="180"/>
  <c r="X80" i="180"/>
  <c r="W80" i="180"/>
  <c r="V80" i="180"/>
  <c r="U80" i="180"/>
  <c r="S131" i="180"/>
  <c r="AF79" i="180"/>
  <c r="AG79" i="180" s="1"/>
  <c r="Z79" i="180"/>
  <c r="Y79" i="180"/>
  <c r="X79" i="180"/>
  <c r="W79" i="180"/>
  <c r="V79" i="180"/>
  <c r="U79" i="180"/>
  <c r="S130" i="180"/>
  <c r="AF78" i="180"/>
  <c r="AG78" i="180" s="1"/>
  <c r="Z78" i="180"/>
  <c r="AE78" i="180" s="1"/>
  <c r="Y78" i="180"/>
  <c r="X78" i="180"/>
  <c r="W78" i="180"/>
  <c r="V78" i="180"/>
  <c r="U78" i="180"/>
  <c r="S56" i="180"/>
  <c r="AF77" i="180"/>
  <c r="AG77" i="180" s="1"/>
  <c r="Z77" i="180"/>
  <c r="AC77" i="180" s="1"/>
  <c r="Y77" i="180"/>
  <c r="X77" i="180"/>
  <c r="W77" i="180"/>
  <c r="V77" i="180"/>
  <c r="U77" i="180"/>
  <c r="S50" i="180"/>
  <c r="AF76" i="180"/>
  <c r="AG76" i="180" s="1"/>
  <c r="Z76" i="180"/>
  <c r="Y76" i="180"/>
  <c r="X76" i="180"/>
  <c r="W76" i="180"/>
  <c r="V76" i="180"/>
  <c r="U76" i="180"/>
  <c r="S55" i="180"/>
  <c r="AF75" i="180"/>
  <c r="AG75" i="180" s="1"/>
  <c r="Z75" i="180"/>
  <c r="AC75" i="180" s="1"/>
  <c r="Y75" i="180"/>
  <c r="X75" i="180"/>
  <c r="W75" i="180"/>
  <c r="V75" i="180"/>
  <c r="U75" i="180"/>
  <c r="S53" i="180"/>
  <c r="AF74" i="180"/>
  <c r="AG74" i="180" s="1"/>
  <c r="Z74" i="180"/>
  <c r="Y74" i="180"/>
  <c r="X74" i="180"/>
  <c r="W74" i="180"/>
  <c r="V74" i="180"/>
  <c r="U74" i="180"/>
  <c r="S51" i="180"/>
  <c r="AF73" i="180"/>
  <c r="AG73" i="180" s="1"/>
  <c r="Z73" i="180"/>
  <c r="AD73" i="180" s="1"/>
  <c r="Y73" i="180"/>
  <c r="X73" i="180"/>
  <c r="W73" i="180"/>
  <c r="V73" i="180"/>
  <c r="U73" i="180"/>
  <c r="S114" i="180"/>
  <c r="AF72" i="180"/>
  <c r="AG72" i="180" s="1"/>
  <c r="Z72" i="180"/>
  <c r="Y72" i="180"/>
  <c r="X72" i="180"/>
  <c r="W72" i="180"/>
  <c r="V72" i="180"/>
  <c r="U72" i="180"/>
  <c r="S54" i="180"/>
  <c r="AF71" i="180"/>
  <c r="AG71" i="180" s="1"/>
  <c r="Z71" i="180"/>
  <c r="Y71" i="180"/>
  <c r="X71" i="180"/>
  <c r="W71" i="180"/>
  <c r="V71" i="180"/>
  <c r="U71" i="180"/>
  <c r="S49" i="180"/>
  <c r="AF70" i="180"/>
  <c r="AG70" i="180" s="1"/>
  <c r="Z70" i="180"/>
  <c r="AE70" i="180" s="1"/>
  <c r="Y70" i="180"/>
  <c r="X70" i="180"/>
  <c r="W70" i="180"/>
  <c r="V70" i="180"/>
  <c r="U70" i="180"/>
  <c r="S48" i="180"/>
  <c r="AF69" i="180"/>
  <c r="AG69" i="180" s="1"/>
  <c r="Z69" i="180"/>
  <c r="AD69" i="180" s="1"/>
  <c r="Y69" i="180"/>
  <c r="X69" i="180"/>
  <c r="W69" i="180"/>
  <c r="V69" i="180"/>
  <c r="U69" i="180"/>
  <c r="S47" i="180"/>
  <c r="AF68" i="180"/>
  <c r="AG68" i="180" s="1"/>
  <c r="Z68" i="180"/>
  <c r="AC68" i="180" s="1"/>
  <c r="Y68" i="180"/>
  <c r="X68" i="180"/>
  <c r="W68" i="180"/>
  <c r="V68" i="180"/>
  <c r="U68" i="180"/>
  <c r="S202" i="180"/>
  <c r="AF67" i="180"/>
  <c r="AG67" i="180" s="1"/>
  <c r="Z67" i="180"/>
  <c r="AD67" i="180" s="1"/>
  <c r="Y67" i="180"/>
  <c r="X67" i="180"/>
  <c r="W67" i="180"/>
  <c r="V67" i="180"/>
  <c r="U67" i="180"/>
  <c r="S201" i="180"/>
  <c r="AF66" i="180"/>
  <c r="AG66" i="180" s="1"/>
  <c r="Z66" i="180"/>
  <c r="AE66" i="180" s="1"/>
  <c r="Y66" i="180"/>
  <c r="X66" i="180"/>
  <c r="W66" i="180"/>
  <c r="V66" i="180"/>
  <c r="U66" i="180"/>
  <c r="S44" i="180"/>
  <c r="AF65" i="180"/>
  <c r="AG65" i="180" s="1"/>
  <c r="Z65" i="180"/>
  <c r="AE65" i="180" s="1"/>
  <c r="Y65" i="180"/>
  <c r="X65" i="180"/>
  <c r="W65" i="180"/>
  <c r="V65" i="180"/>
  <c r="U65" i="180"/>
  <c r="S200" i="180"/>
  <c r="AF64" i="180"/>
  <c r="AG64" i="180" s="1"/>
  <c r="Z64" i="180"/>
  <c r="AD64" i="180" s="1"/>
  <c r="Y64" i="180"/>
  <c r="X64" i="180"/>
  <c r="W64" i="180"/>
  <c r="V64" i="180"/>
  <c r="U64" i="180"/>
  <c r="S199" i="180"/>
  <c r="AG63" i="180"/>
  <c r="Z63" i="180"/>
  <c r="Y63" i="180"/>
  <c r="X63" i="180"/>
  <c r="W63" i="180"/>
  <c r="V63" i="180"/>
  <c r="U63" i="180"/>
  <c r="S46" i="180"/>
  <c r="AF62" i="180"/>
  <c r="AG62" i="180" s="1"/>
  <c r="Z62" i="180"/>
  <c r="Y62" i="180"/>
  <c r="X62" i="180"/>
  <c r="W62" i="180"/>
  <c r="V62" i="180"/>
  <c r="U62" i="180"/>
  <c r="S198" i="180"/>
  <c r="Z61" i="180"/>
  <c r="Y61" i="180"/>
  <c r="X61" i="180"/>
  <c r="W61" i="180"/>
  <c r="V61" i="180"/>
  <c r="U61" i="180"/>
  <c r="S45" i="180"/>
  <c r="AF60" i="180"/>
  <c r="AG60" i="180" s="1"/>
  <c r="Z60" i="180"/>
  <c r="AE60" i="180" s="1"/>
  <c r="Y60" i="180"/>
  <c r="X60" i="180"/>
  <c r="W60" i="180"/>
  <c r="V60" i="180"/>
  <c r="U60" i="180"/>
  <c r="S41" i="180"/>
  <c r="Z59" i="180"/>
  <c r="Y59" i="180"/>
  <c r="X59" i="180"/>
  <c r="W59" i="180"/>
  <c r="V59" i="180"/>
  <c r="U59" i="180"/>
  <c r="S43" i="180"/>
  <c r="AG58" i="180"/>
  <c r="Z58" i="180"/>
  <c r="AD58" i="180" s="1"/>
  <c r="Y58" i="180"/>
  <c r="X58" i="180"/>
  <c r="W58" i="180"/>
  <c r="V58" i="180"/>
  <c r="U58" i="180"/>
  <c r="S42" i="180"/>
  <c r="AF57" i="180"/>
  <c r="AG57" i="180" s="1"/>
  <c r="Z57" i="180"/>
  <c r="Y57" i="180"/>
  <c r="X57" i="180"/>
  <c r="W57" i="180"/>
  <c r="V57" i="180"/>
  <c r="U57" i="180"/>
  <c r="S197" i="180"/>
  <c r="AG56" i="180"/>
  <c r="Z56" i="180"/>
  <c r="AE56" i="180" s="1"/>
  <c r="Y56" i="180"/>
  <c r="X56" i="180"/>
  <c r="W56" i="180"/>
  <c r="V56" i="180"/>
  <c r="U56" i="180"/>
  <c r="S196" i="180"/>
  <c r="Z55" i="180"/>
  <c r="Y55" i="180"/>
  <c r="X55" i="180"/>
  <c r="W55" i="180"/>
  <c r="V55" i="180"/>
  <c r="U55" i="180"/>
  <c r="S11" i="180"/>
  <c r="AG54" i="180"/>
  <c r="Z54" i="180"/>
  <c r="AC54" i="180" s="1"/>
  <c r="Y54" i="180"/>
  <c r="X54" i="180"/>
  <c r="W54" i="180"/>
  <c r="V54" i="180"/>
  <c r="U54" i="180"/>
  <c r="S195" i="180"/>
  <c r="AG53" i="180"/>
  <c r="Z53" i="180"/>
  <c r="AC53" i="180" s="1"/>
  <c r="Y53" i="180"/>
  <c r="X53" i="180"/>
  <c r="W53" i="180"/>
  <c r="V53" i="180"/>
  <c r="U53" i="180"/>
  <c r="S149" i="180"/>
  <c r="AG52" i="180"/>
  <c r="Z52" i="180"/>
  <c r="AD52" i="180" s="1"/>
  <c r="Y52" i="180"/>
  <c r="X52" i="180"/>
  <c r="W52" i="180"/>
  <c r="V52" i="180"/>
  <c r="U52" i="180"/>
  <c r="S148" i="180"/>
  <c r="AG51" i="180"/>
  <c r="Z51" i="180"/>
  <c r="Y51" i="180"/>
  <c r="X51" i="180"/>
  <c r="W51" i="180"/>
  <c r="V51" i="180"/>
  <c r="U51" i="180"/>
  <c r="S194" i="180"/>
  <c r="AG50" i="180"/>
  <c r="Z50" i="180"/>
  <c r="Y50" i="180"/>
  <c r="X50" i="180"/>
  <c r="W50" i="180"/>
  <c r="V50" i="180"/>
  <c r="U50" i="180"/>
  <c r="S16" i="180"/>
  <c r="AG49" i="180"/>
  <c r="Z49" i="180"/>
  <c r="AE49" i="180" s="1"/>
  <c r="Y49" i="180"/>
  <c r="X49" i="180"/>
  <c r="W49" i="180"/>
  <c r="V49" i="180"/>
  <c r="U49" i="180"/>
  <c r="S15" i="180"/>
  <c r="AG48" i="180"/>
  <c r="Z48" i="180"/>
  <c r="AE48" i="180" s="1"/>
  <c r="Y48" i="180"/>
  <c r="X48" i="180"/>
  <c r="W48" i="180"/>
  <c r="V48" i="180"/>
  <c r="U48" i="180"/>
  <c r="S14" i="180"/>
  <c r="AG47" i="180"/>
  <c r="Z47" i="180"/>
  <c r="AE47" i="180" s="1"/>
  <c r="Y47" i="180"/>
  <c r="X47" i="180"/>
  <c r="W47" i="180"/>
  <c r="V47" i="180"/>
  <c r="U47" i="180"/>
  <c r="S13" i="180"/>
  <c r="AG46" i="180"/>
  <c r="Z46" i="180"/>
  <c r="AE46" i="180" s="1"/>
  <c r="Y46" i="180"/>
  <c r="X46" i="180"/>
  <c r="W46" i="180"/>
  <c r="V46" i="180"/>
  <c r="U46" i="180"/>
  <c r="S12" i="180"/>
  <c r="AG45" i="180"/>
  <c r="Z45" i="180"/>
  <c r="AE45" i="180" s="1"/>
  <c r="Y45" i="180"/>
  <c r="X45" i="180"/>
  <c r="W45" i="180"/>
  <c r="V45" i="180"/>
  <c r="U45" i="180"/>
  <c r="S101" i="180"/>
  <c r="AG44" i="180"/>
  <c r="Z44" i="180"/>
  <c r="AE44" i="180" s="1"/>
  <c r="Y44" i="180"/>
  <c r="X44" i="180"/>
  <c r="W44" i="180"/>
  <c r="V44" i="180"/>
  <c r="U44" i="180"/>
  <c r="S100" i="180"/>
  <c r="AG43" i="180"/>
  <c r="Z43" i="180"/>
  <c r="AC43" i="180" s="1"/>
  <c r="Y43" i="180"/>
  <c r="X43" i="180"/>
  <c r="W43" i="180"/>
  <c r="V43" i="180"/>
  <c r="U43" i="180"/>
  <c r="S19" i="180"/>
  <c r="AG42" i="180"/>
  <c r="Z42" i="180"/>
  <c r="AE42" i="180" s="1"/>
  <c r="Y42" i="180"/>
  <c r="X42" i="180"/>
  <c r="W42" i="180"/>
  <c r="V42" i="180"/>
  <c r="U42" i="180"/>
  <c r="S183" i="180"/>
  <c r="AG41" i="180"/>
  <c r="Z41" i="180"/>
  <c r="Y41" i="180"/>
  <c r="X41" i="180"/>
  <c r="W41" i="180"/>
  <c r="V41" i="180"/>
  <c r="U41" i="180"/>
  <c r="S182" i="180"/>
  <c r="AG40" i="180"/>
  <c r="Z40" i="180"/>
  <c r="Y40" i="180"/>
  <c r="X40" i="180"/>
  <c r="W40" i="180"/>
  <c r="V40" i="180"/>
  <c r="U40" i="180"/>
  <c r="S181" i="180"/>
  <c r="AG39" i="180"/>
  <c r="Z39" i="180"/>
  <c r="Y39" i="180"/>
  <c r="X39" i="180"/>
  <c r="W39" i="180"/>
  <c r="V39" i="180"/>
  <c r="U39" i="180"/>
  <c r="S180" i="180"/>
  <c r="AG38" i="180"/>
  <c r="Z38" i="180"/>
  <c r="Y38" i="180"/>
  <c r="X38" i="180"/>
  <c r="W38" i="180"/>
  <c r="V38" i="180"/>
  <c r="U38" i="180"/>
  <c r="S179" i="180"/>
  <c r="Z37" i="180"/>
  <c r="Y37" i="180"/>
  <c r="X37" i="180"/>
  <c r="W37" i="180"/>
  <c r="V37" i="180"/>
  <c r="U37" i="180"/>
  <c r="S193" i="180"/>
  <c r="Z36" i="180"/>
  <c r="Y36" i="180"/>
  <c r="X36" i="180"/>
  <c r="W36" i="180"/>
  <c r="V36" i="180"/>
  <c r="U36" i="180"/>
  <c r="S178" i="180"/>
  <c r="Z35" i="180"/>
  <c r="Y35" i="180"/>
  <c r="X35" i="180"/>
  <c r="W35" i="180"/>
  <c r="V35" i="180"/>
  <c r="U35" i="180"/>
  <c r="S18" i="180"/>
  <c r="AG34" i="180"/>
  <c r="Z34" i="180"/>
  <c r="Y34" i="180"/>
  <c r="X34" i="180"/>
  <c r="W34" i="180"/>
  <c r="V34" i="180"/>
  <c r="U34" i="180"/>
  <c r="S17" i="180"/>
  <c r="AG33" i="180"/>
  <c r="Z33" i="180"/>
  <c r="Y33" i="180"/>
  <c r="X33" i="180"/>
  <c r="W33" i="180"/>
  <c r="V33" i="180"/>
  <c r="U33" i="180"/>
  <c r="S192" i="180"/>
  <c r="AG32" i="180"/>
  <c r="Z32" i="180"/>
  <c r="AD32" i="180" s="1"/>
  <c r="Y32" i="180"/>
  <c r="X32" i="180"/>
  <c r="W32" i="180"/>
  <c r="V32" i="180"/>
  <c r="U32" i="180"/>
  <c r="S33" i="180"/>
  <c r="AG31" i="180"/>
  <c r="Z31" i="180"/>
  <c r="Y31" i="180"/>
  <c r="X31" i="180"/>
  <c r="W31" i="180"/>
  <c r="V31" i="180"/>
  <c r="U31" i="180"/>
  <c r="S39" i="180"/>
  <c r="Z30" i="180"/>
  <c r="Y30" i="180"/>
  <c r="X30" i="180"/>
  <c r="W30" i="180"/>
  <c r="V30" i="180"/>
  <c r="U30" i="180"/>
  <c r="S145" i="180"/>
  <c r="Z29" i="180"/>
  <c r="Y29" i="180"/>
  <c r="X29" i="180"/>
  <c r="W29" i="180"/>
  <c r="V29" i="180"/>
  <c r="U29" i="180"/>
  <c r="S40" i="180"/>
  <c r="Z28" i="180"/>
  <c r="AE28" i="180" s="1"/>
  <c r="Y28" i="180"/>
  <c r="X28" i="180"/>
  <c r="W28" i="180"/>
  <c r="V28" i="180"/>
  <c r="U28" i="180"/>
  <c r="S163" i="180"/>
  <c r="Z27" i="180"/>
  <c r="AD27" i="180" s="1"/>
  <c r="Y27" i="180"/>
  <c r="X27" i="180"/>
  <c r="W27" i="180"/>
  <c r="V27" i="180"/>
  <c r="U27" i="180"/>
  <c r="S162" i="180"/>
  <c r="Z26" i="180"/>
  <c r="Y26" i="180"/>
  <c r="X26" i="180"/>
  <c r="W26" i="180"/>
  <c r="V26" i="180"/>
  <c r="U26" i="180"/>
  <c r="S144" i="180"/>
  <c r="Z25" i="180"/>
  <c r="Y25" i="180"/>
  <c r="X25" i="180"/>
  <c r="W25" i="180"/>
  <c r="V25" i="180"/>
  <c r="U25" i="180"/>
  <c r="S34" i="180"/>
  <c r="Z24" i="180"/>
  <c r="AD24" i="180" s="1"/>
  <c r="Y24" i="180"/>
  <c r="X24" i="180"/>
  <c r="W24" i="180"/>
  <c r="V24" i="180"/>
  <c r="U24" i="180"/>
  <c r="S38" i="180"/>
  <c r="Z23" i="180"/>
  <c r="Y23" i="180"/>
  <c r="X23" i="180"/>
  <c r="W23" i="180"/>
  <c r="V23" i="180"/>
  <c r="U23" i="180"/>
  <c r="S143" i="180"/>
  <c r="Z22" i="180"/>
  <c r="Y22" i="180"/>
  <c r="X22" i="180"/>
  <c r="W22" i="180"/>
  <c r="V22" i="180"/>
  <c r="U22" i="180"/>
  <c r="S142" i="180"/>
  <c r="Z21" i="180"/>
  <c r="AE21" i="180" s="1"/>
  <c r="Y21" i="180"/>
  <c r="X21" i="180"/>
  <c r="W21" i="180"/>
  <c r="V21" i="180"/>
  <c r="U21" i="180"/>
  <c r="S37" i="180"/>
  <c r="Z20" i="180"/>
  <c r="AE20" i="180" s="1"/>
  <c r="Y20" i="180"/>
  <c r="X20" i="180"/>
  <c r="W20" i="180"/>
  <c r="V20" i="180"/>
  <c r="U20" i="180"/>
  <c r="S35" i="180"/>
  <c r="Z19" i="180"/>
  <c r="Y19" i="180"/>
  <c r="X19" i="180"/>
  <c r="W19" i="180"/>
  <c r="V19" i="180"/>
  <c r="U19" i="180"/>
  <c r="S36" i="180"/>
  <c r="Z18" i="180"/>
  <c r="AE18" i="180" s="1"/>
  <c r="Y18" i="180"/>
  <c r="X18" i="180"/>
  <c r="W18" i="180"/>
  <c r="V18" i="180"/>
  <c r="U18" i="180"/>
  <c r="S111" i="180"/>
  <c r="Z17" i="180"/>
  <c r="Y17" i="180"/>
  <c r="X17" i="180"/>
  <c r="W17" i="180"/>
  <c r="V17" i="180"/>
  <c r="U17" i="180"/>
  <c r="S110" i="180"/>
  <c r="Z16" i="180"/>
  <c r="Y16" i="180"/>
  <c r="X16" i="180"/>
  <c r="W16" i="180"/>
  <c r="V16" i="180"/>
  <c r="U16" i="180"/>
  <c r="S109" i="180"/>
  <c r="Z15" i="180"/>
  <c r="Y15" i="180"/>
  <c r="X15" i="180"/>
  <c r="W15" i="180"/>
  <c r="V15" i="180"/>
  <c r="U15" i="180"/>
  <c r="S108" i="180"/>
  <c r="Z14" i="180"/>
  <c r="Y14" i="180"/>
  <c r="X14" i="180"/>
  <c r="W14" i="180"/>
  <c r="V14" i="180"/>
  <c r="U14" i="180"/>
  <c r="S107" i="180"/>
  <c r="Z13" i="180"/>
  <c r="Y13" i="180"/>
  <c r="X13" i="180"/>
  <c r="W13" i="180"/>
  <c r="V13" i="180"/>
  <c r="U13" i="180"/>
  <c r="S191" i="180"/>
  <c r="Z12" i="180"/>
  <c r="Y12" i="180"/>
  <c r="X12" i="180"/>
  <c r="W12" i="180"/>
  <c r="V12" i="180"/>
  <c r="U12" i="180"/>
  <c r="S106" i="180"/>
  <c r="Z11" i="180"/>
  <c r="Y11" i="180"/>
  <c r="X11" i="180"/>
  <c r="W11" i="180"/>
  <c r="V11" i="180"/>
  <c r="U11" i="180"/>
  <c r="S105" i="180"/>
  <c r="Z10" i="180"/>
  <c r="Y10" i="180"/>
  <c r="X10" i="180"/>
  <c r="W10" i="180"/>
  <c r="V10" i="180"/>
  <c r="U10" i="180"/>
  <c r="S104" i="180"/>
  <c r="Z9" i="180"/>
  <c r="Y9" i="180"/>
  <c r="X9" i="180"/>
  <c r="W9" i="180"/>
  <c r="V9" i="180"/>
  <c r="U9" i="180"/>
  <c r="S190" i="180"/>
  <c r="Z8" i="180"/>
  <c r="AE8" i="180" s="1"/>
  <c r="Y8" i="180"/>
  <c r="X8" i="180"/>
  <c r="W8" i="180"/>
  <c r="V8" i="180"/>
  <c r="U8" i="180"/>
  <c r="S73" i="180"/>
  <c r="AF7" i="180"/>
  <c r="AG7" i="180" s="1"/>
  <c r="Z7" i="180"/>
  <c r="AA8" i="180" s="1"/>
  <c r="Y7" i="180"/>
  <c r="X7" i="180"/>
  <c r="W7" i="180"/>
  <c r="V7" i="180"/>
  <c r="U7" i="180"/>
  <c r="S189" i="180"/>
  <c r="A7" i="180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A45" i="180" s="1"/>
  <c r="A46" i="180" s="1"/>
  <c r="A47" i="180" s="1"/>
  <c r="A48" i="180" s="1"/>
  <c r="A49" i="180" s="1"/>
  <c r="A50" i="180" s="1"/>
  <c r="A51" i="180" s="1"/>
  <c r="A52" i="180" s="1"/>
  <c r="A53" i="180" s="1"/>
  <c r="A54" i="180" s="1"/>
  <c r="A55" i="180" s="1"/>
  <c r="A56" i="180" s="1"/>
  <c r="A57" i="180" s="1"/>
  <c r="A58" i="180" s="1"/>
  <c r="A59" i="180" s="1"/>
  <c r="A60" i="180" s="1"/>
  <c r="A61" i="180" s="1"/>
  <c r="A62" i="180" s="1"/>
  <c r="A63" i="180" s="1"/>
  <c r="A64" i="180" s="1"/>
  <c r="A65" i="180" s="1"/>
  <c r="A66" i="180" s="1"/>
  <c r="A67" i="180" s="1"/>
  <c r="A68" i="180" s="1"/>
  <c r="A69" i="180" s="1"/>
  <c r="A70" i="180" s="1"/>
  <c r="A71" i="180" s="1"/>
  <c r="A72" i="180" s="1"/>
  <c r="A73" i="180" s="1"/>
  <c r="A74" i="180" s="1"/>
  <c r="A75" i="180" s="1"/>
  <c r="A76" i="180" s="1"/>
  <c r="A77" i="180" s="1"/>
  <c r="A78" i="180" s="1"/>
  <c r="A79" i="180" s="1"/>
  <c r="A80" i="180" s="1"/>
  <c r="A81" i="180" s="1"/>
  <c r="A82" i="180" s="1"/>
  <c r="A83" i="180" s="1"/>
  <c r="A84" i="180" s="1"/>
  <c r="A85" i="180" s="1"/>
  <c r="A86" i="180" s="1"/>
  <c r="A87" i="180" s="1"/>
  <c r="A88" i="180" s="1"/>
  <c r="A89" i="180" s="1"/>
  <c r="A90" i="180" s="1"/>
  <c r="A91" i="180" s="1"/>
  <c r="A92" i="180" s="1"/>
  <c r="A93" i="180" s="1"/>
  <c r="A94" i="180" s="1"/>
  <c r="A95" i="180" s="1"/>
  <c r="A96" i="180" s="1"/>
  <c r="A97" i="180" s="1"/>
  <c r="A98" i="180" s="1"/>
  <c r="A99" i="180" s="1"/>
  <c r="A100" i="180" s="1"/>
  <c r="A101" i="180" s="1"/>
  <c r="A102" i="180" s="1"/>
  <c r="A103" i="180" s="1"/>
  <c r="A104" i="180" s="1"/>
  <c r="A105" i="180" s="1"/>
  <c r="A106" i="180" s="1"/>
  <c r="A107" i="180" s="1"/>
  <c r="A108" i="180" s="1"/>
  <c r="A109" i="180" s="1"/>
  <c r="A110" i="180" s="1"/>
  <c r="A111" i="180" s="1"/>
  <c r="A112" i="180" s="1"/>
  <c r="A113" i="180" s="1"/>
  <c r="A114" i="180" s="1"/>
  <c r="A115" i="180" s="1"/>
  <c r="A116" i="180" s="1"/>
  <c r="A117" i="180" s="1"/>
  <c r="A118" i="180" s="1"/>
  <c r="A119" i="180" s="1"/>
  <c r="A120" i="180" s="1"/>
  <c r="A121" i="180" s="1"/>
  <c r="A122" i="180" s="1"/>
  <c r="A123" i="180" s="1"/>
  <c r="A124" i="180" s="1"/>
  <c r="A125" i="180" s="1"/>
  <c r="A126" i="180" s="1"/>
  <c r="A127" i="180" s="1"/>
  <c r="A128" i="180" s="1"/>
  <c r="A129" i="180" s="1"/>
  <c r="A130" i="180" s="1"/>
  <c r="A131" i="180" s="1"/>
  <c r="A132" i="180" s="1"/>
  <c r="A133" i="180" s="1"/>
  <c r="A134" i="180" s="1"/>
  <c r="A135" i="180" s="1"/>
  <c r="A136" i="180" s="1"/>
  <c r="A137" i="180" s="1"/>
  <c r="A138" i="180" s="1"/>
  <c r="A139" i="180" s="1"/>
  <c r="A140" i="180" s="1"/>
  <c r="A141" i="180" s="1"/>
  <c r="A142" i="180" s="1"/>
  <c r="A143" i="180" s="1"/>
  <c r="A144" i="180" s="1"/>
  <c r="A145" i="180" s="1"/>
  <c r="A146" i="180" s="1"/>
  <c r="A147" i="180" s="1"/>
  <c r="A148" i="180" s="1"/>
  <c r="A149" i="180" s="1"/>
  <c r="A150" i="180" s="1"/>
  <c r="A151" i="180" s="1"/>
  <c r="A152" i="180" s="1"/>
  <c r="A153" i="180" s="1"/>
  <c r="A154" i="180" s="1"/>
  <c r="A155" i="180" s="1"/>
  <c r="A156" i="180" s="1"/>
  <c r="A157" i="180" s="1"/>
  <c r="A158" i="180" s="1"/>
  <c r="A159" i="180" s="1"/>
  <c r="A160" i="180" s="1"/>
  <c r="A161" i="180" s="1"/>
  <c r="A162" i="180" s="1"/>
  <c r="A163" i="180" s="1"/>
  <c r="A164" i="180" s="1"/>
  <c r="A165" i="180" s="1"/>
  <c r="A166" i="180" s="1"/>
  <c r="A167" i="180" s="1"/>
  <c r="A168" i="180" s="1"/>
  <c r="A169" i="180" s="1"/>
  <c r="A170" i="180" s="1"/>
  <c r="A171" i="180" s="1"/>
  <c r="A172" i="180" s="1"/>
  <c r="A173" i="180" s="1"/>
  <c r="A174" i="180" s="1"/>
  <c r="A175" i="180" s="1"/>
  <c r="A176" i="180" s="1"/>
  <c r="A177" i="180" s="1"/>
  <c r="A178" i="180" s="1"/>
  <c r="A179" i="180" s="1"/>
  <c r="A180" i="180" s="1"/>
  <c r="A181" i="180" s="1"/>
  <c r="A182" i="180" s="1"/>
  <c r="A183" i="180" s="1"/>
  <c r="A184" i="180" s="1"/>
  <c r="A185" i="180" s="1"/>
  <c r="A186" i="180" s="1"/>
  <c r="A187" i="180" s="1"/>
  <c r="A188" i="180" s="1"/>
  <c r="A189" i="180" s="1"/>
  <c r="A190" i="180" s="1"/>
  <c r="A191" i="180" s="1"/>
  <c r="A192" i="180" s="1"/>
  <c r="A193" i="180" s="1"/>
  <c r="A194" i="180" s="1"/>
  <c r="A195" i="180" s="1"/>
  <c r="A196" i="180" s="1"/>
  <c r="A197" i="180" s="1"/>
  <c r="A198" i="180" s="1"/>
  <c r="A199" i="180" s="1"/>
  <c r="A200" i="180" s="1"/>
  <c r="A201" i="180" s="1"/>
  <c r="A202" i="180" s="1"/>
  <c r="A203" i="180" s="1"/>
  <c r="A204" i="180" s="1"/>
  <c r="A205" i="180" s="1"/>
  <c r="A206" i="180" s="1"/>
  <c r="A207" i="180" s="1"/>
  <c r="A208" i="180" s="1"/>
  <c r="A209" i="180" s="1"/>
  <c r="A210" i="180" s="1"/>
  <c r="A211" i="180" s="1"/>
  <c r="A212" i="180" s="1"/>
  <c r="A213" i="180" s="1"/>
  <c r="A214" i="180" s="1"/>
  <c r="A215" i="180" s="1"/>
  <c r="A216" i="180" s="1"/>
  <c r="A217" i="180" s="1"/>
  <c r="A218" i="180" s="1"/>
  <c r="A219" i="180" s="1"/>
  <c r="A220" i="180" s="1"/>
  <c r="A221" i="180" s="1"/>
  <c r="A222" i="180" s="1"/>
  <c r="A223" i="180" s="1"/>
  <c r="A224" i="180" s="1"/>
  <c r="A225" i="180" s="1"/>
  <c r="A226" i="180" s="1"/>
  <c r="A227" i="180" s="1"/>
  <c r="A228" i="180" s="1"/>
  <c r="A229" i="180" s="1"/>
  <c r="A230" i="180" s="1"/>
  <c r="A231" i="180" s="1"/>
  <c r="A232" i="180" s="1"/>
  <c r="A233" i="180" s="1"/>
  <c r="A234" i="180" s="1"/>
  <c r="A235" i="180" s="1"/>
  <c r="A236" i="180" s="1"/>
  <c r="A237" i="180" s="1"/>
  <c r="A238" i="180" s="1"/>
  <c r="A239" i="180" s="1"/>
  <c r="A240" i="180" s="1"/>
  <c r="A241" i="180" s="1"/>
  <c r="A242" i="180" s="1"/>
  <c r="A243" i="180" s="1"/>
  <c r="A244" i="180" s="1"/>
  <c r="A245" i="180" s="1"/>
  <c r="A246" i="180" s="1"/>
  <c r="A247" i="180" s="1"/>
  <c r="A248" i="180" s="1"/>
  <c r="A249" i="180" s="1"/>
  <c r="A250" i="180" s="1"/>
  <c r="A251" i="180" s="1"/>
  <c r="A252" i="180" s="1"/>
  <c r="A253" i="180" s="1"/>
  <c r="A254" i="180" s="1"/>
  <c r="A255" i="180" s="1"/>
  <c r="A256" i="180" s="1"/>
  <c r="A257" i="180" s="1"/>
  <c r="A258" i="180" s="1"/>
  <c r="A259" i="180" s="1"/>
  <c r="A260" i="180" s="1"/>
  <c r="A261" i="180" s="1"/>
  <c r="A262" i="180" s="1"/>
  <c r="A263" i="180" s="1"/>
  <c r="A264" i="180" s="1"/>
  <c r="A265" i="180" s="1"/>
  <c r="A266" i="180" s="1"/>
  <c r="A267" i="180" s="1"/>
  <c r="A268" i="180" s="1"/>
  <c r="A269" i="180" s="1"/>
  <c r="A270" i="180" s="1"/>
  <c r="A271" i="180" s="1"/>
  <c r="A272" i="180" s="1"/>
  <c r="Z6" i="180"/>
  <c r="AA6" i="180" s="1"/>
  <c r="Y6" i="180"/>
  <c r="X6" i="180"/>
  <c r="W6" i="180"/>
  <c r="V6" i="180"/>
  <c r="U6" i="180"/>
  <c r="S188" i="180"/>
  <c r="Q1" i="180"/>
  <c r="S280" i="180" s="1"/>
  <c r="E184" i="9"/>
  <c r="E183" i="9"/>
  <c r="I172" i="9"/>
  <c r="I174" i="9"/>
  <c r="H174" i="9"/>
  <c r="I167" i="9"/>
  <c r="E172" i="9"/>
  <c r="E170" i="9"/>
  <c r="M170" i="9" s="1"/>
  <c r="E169" i="9"/>
  <c r="M169" i="9" s="1"/>
  <c r="E168" i="9"/>
  <c r="M168" i="9" s="1"/>
  <c r="E174" i="9"/>
  <c r="E167" i="9"/>
  <c r="F167" i="9" s="1"/>
  <c r="E165" i="9"/>
  <c r="E161" i="9"/>
  <c r="M161" i="9" s="1"/>
  <c r="E158" i="9"/>
  <c r="E159" i="9"/>
  <c r="D184" i="9"/>
  <c r="D183" i="9"/>
  <c r="H172" i="9"/>
  <c r="H167" i="9"/>
  <c r="D174" i="9"/>
  <c r="L174" i="9" s="1"/>
  <c r="D165" i="9"/>
  <c r="D172" i="9"/>
  <c r="L172" i="9" s="1"/>
  <c r="D169" i="9"/>
  <c r="L169" i="9" s="1"/>
  <c r="D168" i="9"/>
  <c r="F168" i="9" s="1"/>
  <c r="D167" i="9"/>
  <c r="D161" i="9"/>
  <c r="D159" i="9"/>
  <c r="L159" i="9" s="1"/>
  <c r="F186" i="9"/>
  <c r="C185" i="9"/>
  <c r="F184" i="9"/>
  <c r="E185" i="9"/>
  <c r="G178" i="9"/>
  <c r="C178" i="9"/>
  <c r="M177" i="9"/>
  <c r="K177" i="9"/>
  <c r="M176" i="9"/>
  <c r="L176" i="9"/>
  <c r="K176" i="9"/>
  <c r="J176" i="9"/>
  <c r="M175" i="9"/>
  <c r="L175" i="9"/>
  <c r="K175" i="9"/>
  <c r="J175" i="9"/>
  <c r="K174" i="9"/>
  <c r="M173" i="9"/>
  <c r="L173" i="9"/>
  <c r="K173" i="9"/>
  <c r="J173" i="9"/>
  <c r="F173" i="9"/>
  <c r="K172" i="9"/>
  <c r="J172" i="9"/>
  <c r="M171" i="9"/>
  <c r="L171" i="9"/>
  <c r="K171" i="9"/>
  <c r="J171" i="9"/>
  <c r="F171" i="9"/>
  <c r="K170" i="9"/>
  <c r="J170" i="9"/>
  <c r="L170" i="9"/>
  <c r="K169" i="9"/>
  <c r="J169" i="9"/>
  <c r="K168" i="9"/>
  <c r="J168" i="9"/>
  <c r="K167" i="9"/>
  <c r="M166" i="9"/>
  <c r="L166" i="9"/>
  <c r="K166" i="9"/>
  <c r="J166" i="9"/>
  <c r="F166" i="9"/>
  <c r="K165" i="9"/>
  <c r="J165" i="9"/>
  <c r="L165" i="9"/>
  <c r="M164" i="9"/>
  <c r="L164" i="9"/>
  <c r="K164" i="9"/>
  <c r="J164" i="9"/>
  <c r="F164" i="9"/>
  <c r="M163" i="9"/>
  <c r="L163" i="9"/>
  <c r="K163" i="9"/>
  <c r="J163" i="9"/>
  <c r="F163" i="9"/>
  <c r="M162" i="9"/>
  <c r="L162" i="9"/>
  <c r="K162" i="9"/>
  <c r="J162" i="9"/>
  <c r="F162" i="9"/>
  <c r="K161" i="9"/>
  <c r="J161" i="9"/>
  <c r="M160" i="9"/>
  <c r="L160" i="9"/>
  <c r="K160" i="9"/>
  <c r="J160" i="9"/>
  <c r="F160" i="9"/>
  <c r="A160" i="9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K159" i="9"/>
  <c r="J159" i="9"/>
  <c r="K158" i="9"/>
  <c r="J158" i="9"/>
  <c r="Z90" i="179"/>
  <c r="Z91" i="179"/>
  <c r="Z92" i="179"/>
  <c r="Z93" i="179"/>
  <c r="AF70" i="179"/>
  <c r="AF64" i="179"/>
  <c r="AG64" i="179" s="1"/>
  <c r="AG54" i="179"/>
  <c r="AF29" i="179"/>
  <c r="AG29" i="179" s="1"/>
  <c r="AF17" i="179"/>
  <c r="AB86" i="179"/>
  <c r="R240" i="179"/>
  <c r="M240" i="179"/>
  <c r="S237" i="179"/>
  <c r="Q237" i="179"/>
  <c r="AA235" i="179"/>
  <c r="Z235" i="179"/>
  <c r="Z234" i="179"/>
  <c r="Z233" i="179"/>
  <c r="R233" i="179"/>
  <c r="Q233" i="179"/>
  <c r="Q240" i="179" s="1"/>
  <c r="P233" i="179"/>
  <c r="O233" i="179"/>
  <c r="N233" i="179"/>
  <c r="N235" i="179" s="1"/>
  <c r="M233" i="179"/>
  <c r="M242" i="179" s="1"/>
  <c r="AA232" i="179"/>
  <c r="Z232" i="179"/>
  <c r="AF229" i="179"/>
  <c r="S209" i="179"/>
  <c r="S224" i="179"/>
  <c r="S207" i="179"/>
  <c r="S206" i="179"/>
  <c r="S223" i="179"/>
  <c r="S201" i="179"/>
  <c r="S197" i="179"/>
  <c r="S196" i="179"/>
  <c r="S195" i="179"/>
  <c r="S193" i="179"/>
  <c r="S190" i="179"/>
  <c r="S217" i="179"/>
  <c r="S189" i="179"/>
  <c r="S214" i="179"/>
  <c r="S213" i="179"/>
  <c r="S212" i="179"/>
  <c r="S211" i="179"/>
  <c r="S226" i="179"/>
  <c r="S210" i="179"/>
  <c r="S225" i="179"/>
  <c r="S208" i="179"/>
  <c r="S205" i="179"/>
  <c r="S204" i="179"/>
  <c r="S222" i="179"/>
  <c r="S203" i="179"/>
  <c r="S200" i="179"/>
  <c r="S202" i="179"/>
  <c r="S221" i="179"/>
  <c r="S199" i="179"/>
  <c r="S220" i="179"/>
  <c r="S198" i="179"/>
  <c r="S219" i="179"/>
  <c r="S194" i="179"/>
  <c r="S192" i="179"/>
  <c r="S191" i="179"/>
  <c r="S218" i="179"/>
  <c r="S188" i="179"/>
  <c r="S186" i="179"/>
  <c r="S187" i="179"/>
  <c r="S185" i="179"/>
  <c r="S216" i="179"/>
  <c r="S215" i="179"/>
  <c r="S184" i="179"/>
  <c r="S183" i="179"/>
  <c r="S153" i="179"/>
  <c r="S75" i="179"/>
  <c r="S74" i="179"/>
  <c r="S76" i="179"/>
  <c r="S148" i="179"/>
  <c r="S147" i="179"/>
  <c r="S73" i="179"/>
  <c r="S179" i="179"/>
  <c r="S176" i="179"/>
  <c r="S81" i="179"/>
  <c r="S164" i="179"/>
  <c r="S80" i="179"/>
  <c r="S161" i="179"/>
  <c r="S79" i="179"/>
  <c r="S163" i="179"/>
  <c r="S78" i="179"/>
  <c r="S160" i="179"/>
  <c r="S77" i="179"/>
  <c r="S152" i="179"/>
  <c r="S140" i="179"/>
  <c r="S141" i="179"/>
  <c r="S142" i="179"/>
  <c r="S97" i="179"/>
  <c r="S157" i="179"/>
  <c r="S69" i="179"/>
  <c r="S119" i="179"/>
  <c r="S83" i="179"/>
  <c r="S111" i="179"/>
  <c r="S68" i="179"/>
  <c r="S67" i="179"/>
  <c r="S66" i="179"/>
  <c r="S65" i="179"/>
  <c r="S64" i="179"/>
  <c r="S71" i="179"/>
  <c r="S72" i="179"/>
  <c r="S133" i="179"/>
  <c r="S101" i="179"/>
  <c r="S61" i="179"/>
  <c r="S60" i="179"/>
  <c r="S59" i="179"/>
  <c r="S99" i="179"/>
  <c r="S98" i="179"/>
  <c r="S37" i="179"/>
  <c r="S127" i="179"/>
  <c r="S126" i="179"/>
  <c r="S35" i="179"/>
  <c r="S36" i="179"/>
  <c r="S93" i="179"/>
  <c r="S121" i="179"/>
  <c r="S70" i="179"/>
  <c r="S175" i="179"/>
  <c r="S24" i="179"/>
  <c r="S104" i="179"/>
  <c r="S128" i="179"/>
  <c r="S23" i="179"/>
  <c r="S22" i="179"/>
  <c r="S21" i="179"/>
  <c r="S151" i="179"/>
  <c r="S181" i="179"/>
  <c r="S150" i="179"/>
  <c r="S82" i="179"/>
  <c r="S110" i="179"/>
  <c r="S30" i="179"/>
  <c r="S28" i="179"/>
  <c r="S29" i="179"/>
  <c r="S27" i="179"/>
  <c r="S174" i="179"/>
  <c r="S162" i="179"/>
  <c r="S26" i="179"/>
  <c r="S25" i="179"/>
  <c r="S7" i="179"/>
  <c r="S109" i="179"/>
  <c r="S137" i="179"/>
  <c r="S88" i="179"/>
  <c r="S6" i="179"/>
  <c r="S116" i="179"/>
  <c r="S138" i="179"/>
  <c r="S86" i="179"/>
  <c r="S114" i="179"/>
  <c r="S85" i="179"/>
  <c r="S84" i="179"/>
  <c r="S113" i="179"/>
  <c r="S112" i="179"/>
  <c r="S55" i="179"/>
  <c r="S58" i="179"/>
  <c r="S155" i="179"/>
  <c r="S91" i="179"/>
  <c r="S56" i="179"/>
  <c r="S57" i="179"/>
  <c r="S145" i="179"/>
  <c r="S117" i="179"/>
  <c r="S54" i="179"/>
  <c r="S53" i="179"/>
  <c r="S156" i="179"/>
  <c r="S52" i="179"/>
  <c r="S144" i="179"/>
  <c r="S32" i="179"/>
  <c r="S31" i="179"/>
  <c r="S125" i="179"/>
  <c r="S92" i="179"/>
  <c r="S50" i="179"/>
  <c r="AF81" i="179"/>
  <c r="AG81" i="179" s="1"/>
  <c r="Z81" i="179"/>
  <c r="AC81" i="179" s="1"/>
  <c r="Y81" i="179"/>
  <c r="X81" i="179"/>
  <c r="W81" i="179"/>
  <c r="V81" i="179"/>
  <c r="U81" i="179"/>
  <c r="S49" i="179"/>
  <c r="AF80" i="179"/>
  <c r="AG80" i="179" s="1"/>
  <c r="Z80" i="179"/>
  <c r="AD80" i="179" s="1"/>
  <c r="Y80" i="179"/>
  <c r="X80" i="179"/>
  <c r="W80" i="179"/>
  <c r="V80" i="179"/>
  <c r="U80" i="179"/>
  <c r="S48" i="179"/>
  <c r="AF79" i="179"/>
  <c r="AG79" i="179" s="1"/>
  <c r="Z79" i="179"/>
  <c r="AD79" i="179" s="1"/>
  <c r="Y79" i="179"/>
  <c r="X79" i="179"/>
  <c r="W79" i="179"/>
  <c r="V79" i="179"/>
  <c r="U79" i="179"/>
  <c r="S47" i="179"/>
  <c r="AF78" i="179"/>
  <c r="AG78" i="179" s="1"/>
  <c r="Z78" i="179"/>
  <c r="AE78" i="179" s="1"/>
  <c r="Y78" i="179"/>
  <c r="X78" i="179"/>
  <c r="W78" i="179"/>
  <c r="V78" i="179"/>
  <c r="U78" i="179"/>
  <c r="S90" i="179"/>
  <c r="AF77" i="179"/>
  <c r="AG77" i="179" s="1"/>
  <c r="Z77" i="179"/>
  <c r="AC77" i="179" s="1"/>
  <c r="Y77" i="179"/>
  <c r="X77" i="179"/>
  <c r="W77" i="179"/>
  <c r="V77" i="179"/>
  <c r="U77" i="179"/>
  <c r="S120" i="179"/>
  <c r="AF76" i="179"/>
  <c r="AG76" i="179" s="1"/>
  <c r="Z76" i="179"/>
  <c r="Y76" i="179"/>
  <c r="X76" i="179"/>
  <c r="W76" i="179"/>
  <c r="V76" i="179"/>
  <c r="U76" i="179"/>
  <c r="S45" i="179"/>
  <c r="AF75" i="179"/>
  <c r="AG75" i="179" s="1"/>
  <c r="Z75" i="179"/>
  <c r="AE75" i="179" s="1"/>
  <c r="Y75" i="179"/>
  <c r="X75" i="179"/>
  <c r="W75" i="179"/>
  <c r="V75" i="179"/>
  <c r="U75" i="179"/>
  <c r="S46" i="179"/>
  <c r="AF74" i="179"/>
  <c r="AG74" i="179" s="1"/>
  <c r="Z74" i="179"/>
  <c r="AC74" i="179" s="1"/>
  <c r="Y74" i="179"/>
  <c r="X74" i="179"/>
  <c r="W74" i="179"/>
  <c r="V74" i="179"/>
  <c r="U74" i="179"/>
  <c r="S89" i="179"/>
  <c r="AF73" i="179"/>
  <c r="AG73" i="179" s="1"/>
  <c r="Z73" i="179"/>
  <c r="AC73" i="179" s="1"/>
  <c r="Y73" i="179"/>
  <c r="X73" i="179"/>
  <c r="W73" i="179"/>
  <c r="V73" i="179"/>
  <c r="U73" i="179"/>
  <c r="S118" i="179"/>
  <c r="AF72" i="179"/>
  <c r="AG72" i="179" s="1"/>
  <c r="Z72" i="179"/>
  <c r="AD72" i="179" s="1"/>
  <c r="Y72" i="179"/>
  <c r="X72" i="179"/>
  <c r="W72" i="179"/>
  <c r="V72" i="179"/>
  <c r="U72" i="179"/>
  <c r="S51" i="179"/>
  <c r="AF71" i="179"/>
  <c r="AG71" i="179" s="1"/>
  <c r="Z71" i="179"/>
  <c r="AD71" i="179" s="1"/>
  <c r="Y71" i="179"/>
  <c r="X71" i="179"/>
  <c r="W71" i="179"/>
  <c r="V71" i="179"/>
  <c r="U71" i="179"/>
  <c r="S44" i="179"/>
  <c r="Z70" i="179"/>
  <c r="AE70" i="179" s="1"/>
  <c r="Y70" i="179"/>
  <c r="X70" i="179"/>
  <c r="W70" i="179"/>
  <c r="V70" i="179"/>
  <c r="U70" i="179"/>
  <c r="S103" i="179"/>
  <c r="AF69" i="179"/>
  <c r="AG69" i="179" s="1"/>
  <c r="Z69" i="179"/>
  <c r="AE69" i="179" s="1"/>
  <c r="Y69" i="179"/>
  <c r="X69" i="179"/>
  <c r="W69" i="179"/>
  <c r="V69" i="179"/>
  <c r="U69" i="179"/>
  <c r="S131" i="179"/>
  <c r="AF68" i="179"/>
  <c r="AG68" i="179" s="1"/>
  <c r="Z68" i="179"/>
  <c r="AC68" i="179" s="1"/>
  <c r="Y68" i="179"/>
  <c r="X68" i="179"/>
  <c r="W68" i="179"/>
  <c r="V68" i="179"/>
  <c r="U68" i="179"/>
  <c r="S43" i="179"/>
  <c r="AF67" i="179"/>
  <c r="AG67" i="179" s="1"/>
  <c r="Z67" i="179"/>
  <c r="AC67" i="179" s="1"/>
  <c r="Y67" i="179"/>
  <c r="X67" i="179"/>
  <c r="W67" i="179"/>
  <c r="V67" i="179"/>
  <c r="U67" i="179"/>
  <c r="S96" i="179"/>
  <c r="AF66" i="179"/>
  <c r="AG66" i="179" s="1"/>
  <c r="Z66" i="179"/>
  <c r="AD66" i="179" s="1"/>
  <c r="Y66" i="179"/>
  <c r="X66" i="179"/>
  <c r="W66" i="179"/>
  <c r="V66" i="179"/>
  <c r="U66" i="179"/>
  <c r="S124" i="179"/>
  <c r="AF65" i="179"/>
  <c r="AG65" i="179" s="1"/>
  <c r="Z65" i="179"/>
  <c r="AE65" i="179" s="1"/>
  <c r="Y65" i="179"/>
  <c r="X65" i="179"/>
  <c r="W65" i="179"/>
  <c r="V65" i="179"/>
  <c r="U65" i="179"/>
  <c r="S41" i="179"/>
  <c r="Z64" i="179"/>
  <c r="AE64" i="179" s="1"/>
  <c r="Y64" i="179"/>
  <c r="X64" i="179"/>
  <c r="W64" i="179"/>
  <c r="V64" i="179"/>
  <c r="U64" i="179"/>
  <c r="S42" i="179"/>
  <c r="AG63" i="179"/>
  <c r="Z63" i="179"/>
  <c r="AC63" i="179" s="1"/>
  <c r="Y63" i="179"/>
  <c r="X63" i="179"/>
  <c r="W63" i="179"/>
  <c r="V63" i="179"/>
  <c r="U63" i="179"/>
  <c r="S40" i="179"/>
  <c r="AF62" i="179"/>
  <c r="AG62" i="179" s="1"/>
  <c r="Z62" i="179"/>
  <c r="AD62" i="179" s="1"/>
  <c r="Y62" i="179"/>
  <c r="X62" i="179"/>
  <c r="W62" i="179"/>
  <c r="V62" i="179"/>
  <c r="U62" i="179"/>
  <c r="S87" i="179"/>
  <c r="Z61" i="179"/>
  <c r="AE61" i="179" s="1"/>
  <c r="Y61" i="179"/>
  <c r="X61" i="179"/>
  <c r="W61" i="179"/>
  <c r="V61" i="179"/>
  <c r="U61" i="179"/>
  <c r="S115" i="179"/>
  <c r="AF60" i="179"/>
  <c r="AG60" i="179" s="1"/>
  <c r="Z60" i="179"/>
  <c r="AD60" i="179" s="1"/>
  <c r="Y60" i="179"/>
  <c r="X60" i="179"/>
  <c r="W60" i="179"/>
  <c r="V60" i="179"/>
  <c r="U60" i="179"/>
  <c r="S38" i="179"/>
  <c r="Z59" i="179"/>
  <c r="AD59" i="179" s="1"/>
  <c r="Y59" i="179"/>
  <c r="X59" i="179"/>
  <c r="W59" i="179"/>
  <c r="V59" i="179"/>
  <c r="U59" i="179"/>
  <c r="S39" i="179"/>
  <c r="AG58" i="179"/>
  <c r="Z58" i="179"/>
  <c r="AC58" i="179" s="1"/>
  <c r="Y58" i="179"/>
  <c r="X58" i="179"/>
  <c r="W58" i="179"/>
  <c r="V58" i="179"/>
  <c r="U58" i="179"/>
  <c r="S180" i="179"/>
  <c r="AF57" i="179"/>
  <c r="AG57" i="179" s="1"/>
  <c r="Z57" i="179"/>
  <c r="AC57" i="179" s="1"/>
  <c r="Y57" i="179"/>
  <c r="X57" i="179"/>
  <c r="W57" i="179"/>
  <c r="V57" i="179"/>
  <c r="U57" i="179"/>
  <c r="S178" i="179"/>
  <c r="AG56" i="179"/>
  <c r="Z56" i="179"/>
  <c r="Y56" i="179"/>
  <c r="X56" i="179"/>
  <c r="W56" i="179"/>
  <c r="V56" i="179"/>
  <c r="U56" i="179"/>
  <c r="S182" i="179"/>
  <c r="Z55" i="179"/>
  <c r="AE55" i="179" s="1"/>
  <c r="Y55" i="179"/>
  <c r="X55" i="179"/>
  <c r="W55" i="179"/>
  <c r="V55" i="179"/>
  <c r="U55" i="179"/>
  <c r="S173" i="179"/>
  <c r="Z54" i="179"/>
  <c r="AC54" i="179" s="1"/>
  <c r="Y54" i="179"/>
  <c r="X54" i="179"/>
  <c r="W54" i="179"/>
  <c r="V54" i="179"/>
  <c r="U54" i="179"/>
  <c r="S105" i="179"/>
  <c r="AG53" i="179"/>
  <c r="Z53" i="179"/>
  <c r="AD53" i="179" s="1"/>
  <c r="Y53" i="179"/>
  <c r="X53" i="179"/>
  <c r="W53" i="179"/>
  <c r="V53" i="179"/>
  <c r="U53" i="179"/>
  <c r="S132" i="179"/>
  <c r="AG52" i="179"/>
  <c r="Z52" i="179"/>
  <c r="AE52" i="179" s="1"/>
  <c r="Y52" i="179"/>
  <c r="X52" i="179"/>
  <c r="W52" i="179"/>
  <c r="V52" i="179"/>
  <c r="U52" i="179"/>
  <c r="S159" i="179"/>
  <c r="AG51" i="179"/>
  <c r="Z51" i="179"/>
  <c r="Y51" i="179"/>
  <c r="X51" i="179"/>
  <c r="W51" i="179"/>
  <c r="V51" i="179"/>
  <c r="U51" i="179"/>
  <c r="S12" i="179"/>
  <c r="AG50" i="179"/>
  <c r="Z50" i="179"/>
  <c r="AE50" i="179" s="1"/>
  <c r="Y50" i="179"/>
  <c r="X50" i="179"/>
  <c r="W50" i="179"/>
  <c r="V50" i="179"/>
  <c r="U50" i="179"/>
  <c r="S122" i="179"/>
  <c r="AG49" i="179"/>
  <c r="Z49" i="179"/>
  <c r="AE49" i="179" s="1"/>
  <c r="Y49" i="179"/>
  <c r="X49" i="179"/>
  <c r="W49" i="179"/>
  <c r="V49" i="179"/>
  <c r="U49" i="179"/>
  <c r="S94" i="179"/>
  <c r="AG48" i="179"/>
  <c r="Z48" i="179"/>
  <c r="AC48" i="179" s="1"/>
  <c r="Y48" i="179"/>
  <c r="X48" i="179"/>
  <c r="W48" i="179"/>
  <c r="V48" i="179"/>
  <c r="U48" i="179"/>
  <c r="S16" i="179"/>
  <c r="AG47" i="179"/>
  <c r="Z47" i="179"/>
  <c r="AD47" i="179" s="1"/>
  <c r="Y47" i="179"/>
  <c r="X47" i="179"/>
  <c r="W47" i="179"/>
  <c r="V47" i="179"/>
  <c r="U47" i="179"/>
  <c r="S15" i="179"/>
  <c r="AG46" i="179"/>
  <c r="Z46" i="179"/>
  <c r="AE46" i="179" s="1"/>
  <c r="Y46" i="179"/>
  <c r="X46" i="179"/>
  <c r="W46" i="179"/>
  <c r="V46" i="179"/>
  <c r="U46" i="179"/>
  <c r="S154" i="179"/>
  <c r="AG45" i="179"/>
  <c r="Z45" i="179"/>
  <c r="AD45" i="179" s="1"/>
  <c r="Y45" i="179"/>
  <c r="X45" i="179"/>
  <c r="W45" i="179"/>
  <c r="V45" i="179"/>
  <c r="U45" i="179"/>
  <c r="S13" i="179"/>
  <c r="AG44" i="179"/>
  <c r="Z44" i="179"/>
  <c r="AC44" i="179" s="1"/>
  <c r="Y44" i="179"/>
  <c r="X44" i="179"/>
  <c r="W44" i="179"/>
  <c r="V44" i="179"/>
  <c r="U44" i="179"/>
  <c r="S14" i="179"/>
  <c r="AG43" i="179"/>
  <c r="Z43" i="179"/>
  <c r="AE43" i="179" s="1"/>
  <c r="Y43" i="179"/>
  <c r="X43" i="179"/>
  <c r="W43" i="179"/>
  <c r="V43" i="179"/>
  <c r="U43" i="179"/>
  <c r="S139" i="179"/>
  <c r="AG42" i="179"/>
  <c r="Z42" i="179"/>
  <c r="AC42" i="179" s="1"/>
  <c r="Y42" i="179"/>
  <c r="X42" i="179"/>
  <c r="W42" i="179"/>
  <c r="V42" i="179"/>
  <c r="U42" i="179"/>
  <c r="S17" i="179"/>
  <c r="AG41" i="179"/>
  <c r="Z41" i="179"/>
  <c r="AC41" i="179" s="1"/>
  <c r="Y41" i="179"/>
  <c r="X41" i="179"/>
  <c r="W41" i="179"/>
  <c r="V41" i="179"/>
  <c r="U41" i="179"/>
  <c r="S10" i="179"/>
  <c r="AG40" i="179"/>
  <c r="Z40" i="179"/>
  <c r="AC40" i="179" s="1"/>
  <c r="Y40" i="179"/>
  <c r="X40" i="179"/>
  <c r="W40" i="179"/>
  <c r="V40" i="179"/>
  <c r="U40" i="179"/>
  <c r="S177" i="179"/>
  <c r="AG39" i="179"/>
  <c r="Z39" i="179"/>
  <c r="AC39" i="179" s="1"/>
  <c r="Y39" i="179"/>
  <c r="X39" i="179"/>
  <c r="W39" i="179"/>
  <c r="V39" i="179"/>
  <c r="U39" i="179"/>
  <c r="S11" i="179"/>
  <c r="AG38" i="179"/>
  <c r="Z38" i="179"/>
  <c r="AC38" i="179" s="1"/>
  <c r="Y38" i="179"/>
  <c r="X38" i="179"/>
  <c r="W38" i="179"/>
  <c r="V38" i="179"/>
  <c r="U38" i="179"/>
  <c r="S135" i="179"/>
  <c r="Z37" i="179"/>
  <c r="AD37" i="179" s="1"/>
  <c r="Y37" i="179"/>
  <c r="X37" i="179"/>
  <c r="W37" i="179"/>
  <c r="V37" i="179"/>
  <c r="U37" i="179"/>
  <c r="S107" i="179"/>
  <c r="Z36" i="179"/>
  <c r="AC36" i="179" s="1"/>
  <c r="Y36" i="179"/>
  <c r="X36" i="179"/>
  <c r="W36" i="179"/>
  <c r="V36" i="179"/>
  <c r="U36" i="179"/>
  <c r="S134" i="179"/>
  <c r="Z35" i="179"/>
  <c r="AD35" i="179" s="1"/>
  <c r="Y35" i="179"/>
  <c r="X35" i="179"/>
  <c r="W35" i="179"/>
  <c r="V35" i="179"/>
  <c r="U35" i="179"/>
  <c r="S106" i="179"/>
  <c r="Z34" i="179"/>
  <c r="AE34" i="179" s="1"/>
  <c r="Y34" i="179"/>
  <c r="X34" i="179"/>
  <c r="W34" i="179"/>
  <c r="V34" i="179"/>
  <c r="U34" i="179"/>
  <c r="S9" i="179"/>
  <c r="Z33" i="179"/>
  <c r="AD33" i="179" s="1"/>
  <c r="Y33" i="179"/>
  <c r="X33" i="179"/>
  <c r="W33" i="179"/>
  <c r="V33" i="179"/>
  <c r="U33" i="179"/>
  <c r="S8" i="179"/>
  <c r="Z32" i="179"/>
  <c r="AE32" i="179" s="1"/>
  <c r="Y32" i="179"/>
  <c r="X32" i="179"/>
  <c r="W32" i="179"/>
  <c r="V32" i="179"/>
  <c r="U32" i="179"/>
  <c r="S169" i="179"/>
  <c r="Z31" i="179"/>
  <c r="AD31" i="179" s="1"/>
  <c r="Y31" i="179"/>
  <c r="X31" i="179"/>
  <c r="W31" i="179"/>
  <c r="V31" i="179"/>
  <c r="U31" i="179"/>
  <c r="S108" i="179"/>
  <c r="Z30" i="179"/>
  <c r="AE30" i="179" s="1"/>
  <c r="Y30" i="179"/>
  <c r="X30" i="179"/>
  <c r="W30" i="179"/>
  <c r="V30" i="179"/>
  <c r="U30" i="179"/>
  <c r="S136" i="179"/>
  <c r="Z29" i="179"/>
  <c r="Y29" i="179"/>
  <c r="X29" i="179"/>
  <c r="W29" i="179"/>
  <c r="V29" i="179"/>
  <c r="U29" i="179"/>
  <c r="S20" i="179"/>
  <c r="Z28" i="179"/>
  <c r="AD28" i="179" s="1"/>
  <c r="Y28" i="179"/>
  <c r="X28" i="179"/>
  <c r="W28" i="179"/>
  <c r="V28" i="179"/>
  <c r="U28" i="179"/>
  <c r="S19" i="179"/>
  <c r="Z27" i="179"/>
  <c r="AE27" i="179" s="1"/>
  <c r="Y27" i="179"/>
  <c r="X27" i="179"/>
  <c r="W27" i="179"/>
  <c r="V27" i="179"/>
  <c r="U27" i="179"/>
  <c r="S123" i="179"/>
  <c r="Z26" i="179"/>
  <c r="AE26" i="179" s="1"/>
  <c r="Y26" i="179"/>
  <c r="X26" i="179"/>
  <c r="W26" i="179"/>
  <c r="V26" i="179"/>
  <c r="U26" i="179"/>
  <c r="S95" i="179"/>
  <c r="Z25" i="179"/>
  <c r="AC25" i="179" s="1"/>
  <c r="Y25" i="179"/>
  <c r="X25" i="179"/>
  <c r="W25" i="179"/>
  <c r="V25" i="179"/>
  <c r="U25" i="179"/>
  <c r="S18" i="179"/>
  <c r="Z24" i="179"/>
  <c r="AD24" i="179" s="1"/>
  <c r="Y24" i="179"/>
  <c r="X24" i="179"/>
  <c r="W24" i="179"/>
  <c r="V24" i="179"/>
  <c r="U24" i="179"/>
  <c r="S158" i="179"/>
  <c r="Z23" i="179"/>
  <c r="AE23" i="179" s="1"/>
  <c r="Y23" i="179"/>
  <c r="X23" i="179"/>
  <c r="W23" i="179"/>
  <c r="V23" i="179"/>
  <c r="U23" i="179"/>
  <c r="S149" i="179"/>
  <c r="Z22" i="179"/>
  <c r="AD22" i="179" s="1"/>
  <c r="Y22" i="179"/>
  <c r="X22" i="179"/>
  <c r="W22" i="179"/>
  <c r="V22" i="179"/>
  <c r="U22" i="179"/>
  <c r="S102" i="179"/>
  <c r="Z21" i="179"/>
  <c r="AC21" i="179" s="1"/>
  <c r="Y21" i="179"/>
  <c r="X21" i="179"/>
  <c r="W21" i="179"/>
  <c r="V21" i="179"/>
  <c r="U21" i="179"/>
  <c r="S34" i="179"/>
  <c r="Z20" i="179"/>
  <c r="AE20" i="179" s="1"/>
  <c r="Y20" i="179"/>
  <c r="X20" i="179"/>
  <c r="W20" i="179"/>
  <c r="V20" i="179"/>
  <c r="U20" i="179"/>
  <c r="S130" i="179"/>
  <c r="Z19" i="179"/>
  <c r="AD19" i="179" s="1"/>
  <c r="Y19" i="179"/>
  <c r="X19" i="179"/>
  <c r="W19" i="179"/>
  <c r="V19" i="179"/>
  <c r="U19" i="179"/>
  <c r="S129" i="179"/>
  <c r="Z18" i="179"/>
  <c r="AD18" i="179" s="1"/>
  <c r="Y18" i="179"/>
  <c r="X18" i="179"/>
  <c r="W18" i="179"/>
  <c r="V18" i="179"/>
  <c r="U18" i="179"/>
  <c r="S33" i="179"/>
  <c r="Z17" i="179"/>
  <c r="Y17" i="179"/>
  <c r="X17" i="179"/>
  <c r="W17" i="179"/>
  <c r="V17" i="179"/>
  <c r="U17" i="179"/>
  <c r="S100" i="179"/>
  <c r="Z16" i="179"/>
  <c r="AE16" i="179" s="1"/>
  <c r="Y16" i="179"/>
  <c r="X16" i="179"/>
  <c r="W16" i="179"/>
  <c r="V16" i="179"/>
  <c r="U16" i="179"/>
  <c r="S172" i="179"/>
  <c r="Z15" i="179"/>
  <c r="Y15" i="179"/>
  <c r="X15" i="179"/>
  <c r="W15" i="179"/>
  <c r="V15" i="179"/>
  <c r="U15" i="179"/>
  <c r="S170" i="179"/>
  <c r="Z14" i="179"/>
  <c r="AE14" i="179" s="1"/>
  <c r="Y14" i="179"/>
  <c r="X14" i="179"/>
  <c r="W14" i="179"/>
  <c r="V14" i="179"/>
  <c r="U14" i="179"/>
  <c r="S171" i="179"/>
  <c r="Z13" i="179"/>
  <c r="AD13" i="179" s="1"/>
  <c r="Y13" i="179"/>
  <c r="X13" i="179"/>
  <c r="W13" i="179"/>
  <c r="V13" i="179"/>
  <c r="U13" i="179"/>
  <c r="S168" i="179"/>
  <c r="Z12" i="179"/>
  <c r="AC12" i="179" s="1"/>
  <c r="Y12" i="179"/>
  <c r="X12" i="179"/>
  <c r="W12" i="179"/>
  <c r="V12" i="179"/>
  <c r="U12" i="179"/>
  <c r="S166" i="179"/>
  <c r="Z11" i="179"/>
  <c r="AC11" i="179" s="1"/>
  <c r="Y11" i="179"/>
  <c r="X11" i="179"/>
  <c r="W11" i="179"/>
  <c r="V11" i="179"/>
  <c r="U11" i="179"/>
  <c r="S167" i="179"/>
  <c r="Z10" i="179"/>
  <c r="Y10" i="179"/>
  <c r="X10" i="179"/>
  <c r="W10" i="179"/>
  <c r="V10" i="179"/>
  <c r="U10" i="179"/>
  <c r="S165" i="179"/>
  <c r="Z9" i="179"/>
  <c r="AD9" i="179" s="1"/>
  <c r="Y9" i="179"/>
  <c r="X9" i="179"/>
  <c r="W9" i="179"/>
  <c r="V9" i="179"/>
  <c r="U9" i="179"/>
  <c r="S62" i="179"/>
  <c r="Z8" i="179"/>
  <c r="AD8" i="179" s="1"/>
  <c r="Y8" i="179"/>
  <c r="X8" i="179"/>
  <c r="W8" i="179"/>
  <c r="V8" i="179"/>
  <c r="U8" i="179"/>
  <c r="S146" i="179"/>
  <c r="AF7" i="179"/>
  <c r="AG7" i="179" s="1"/>
  <c r="Z7" i="179"/>
  <c r="Y7" i="179"/>
  <c r="X7" i="179"/>
  <c r="W7" i="179"/>
  <c r="V7" i="179"/>
  <c r="U7" i="179"/>
  <c r="S143" i="179"/>
  <c r="A7" i="179"/>
  <c r="A8" i="179" s="1"/>
  <c r="A9" i="179" s="1"/>
  <c r="A10" i="179" s="1"/>
  <c r="A11" i="179" s="1"/>
  <c r="A12" i="179" s="1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A45" i="179" s="1"/>
  <c r="A46" i="179" s="1"/>
  <c r="A47" i="179" s="1"/>
  <c r="A48" i="179" s="1"/>
  <c r="A49" i="179" s="1"/>
  <c r="A50" i="179" s="1"/>
  <c r="A51" i="179" s="1"/>
  <c r="A52" i="179" s="1"/>
  <c r="A53" i="179" s="1"/>
  <c r="A54" i="179" s="1"/>
  <c r="A55" i="179" s="1"/>
  <c r="A56" i="179" s="1"/>
  <c r="A57" i="179" s="1"/>
  <c r="A58" i="179" s="1"/>
  <c r="A59" i="179" s="1"/>
  <c r="A60" i="179" s="1"/>
  <c r="A61" i="179" s="1"/>
  <c r="A62" i="179" s="1"/>
  <c r="A63" i="179" s="1"/>
  <c r="A64" i="179" s="1"/>
  <c r="A65" i="179" s="1"/>
  <c r="A66" i="179" s="1"/>
  <c r="A67" i="179" s="1"/>
  <c r="A68" i="179" s="1"/>
  <c r="A69" i="179" s="1"/>
  <c r="A70" i="179" s="1"/>
  <c r="A71" i="179" s="1"/>
  <c r="A72" i="179" s="1"/>
  <c r="A73" i="179" s="1"/>
  <c r="A74" i="179" s="1"/>
  <c r="A75" i="179" s="1"/>
  <c r="A76" i="179" s="1"/>
  <c r="A77" i="179" s="1"/>
  <c r="A78" i="179" s="1"/>
  <c r="A79" i="179" s="1"/>
  <c r="A80" i="179" s="1"/>
  <c r="A81" i="179" s="1"/>
  <c r="A82" i="179" s="1"/>
  <c r="A83" i="179" s="1"/>
  <c r="A84" i="179" s="1"/>
  <c r="A85" i="179" s="1"/>
  <c r="A86" i="179" s="1"/>
  <c r="A87" i="179" s="1"/>
  <c r="A88" i="179" s="1"/>
  <c r="A89" i="179" s="1"/>
  <c r="A90" i="179" s="1"/>
  <c r="A91" i="179" s="1"/>
  <c r="A92" i="179" s="1"/>
  <c r="A93" i="179" s="1"/>
  <c r="A94" i="179" s="1"/>
  <c r="A95" i="179" s="1"/>
  <c r="A96" i="179" s="1"/>
  <c r="A97" i="179" s="1"/>
  <c r="A98" i="179" s="1"/>
  <c r="A99" i="179" s="1"/>
  <c r="A100" i="179" s="1"/>
  <c r="A101" i="179" s="1"/>
  <c r="A102" i="179" s="1"/>
  <c r="A103" i="179" s="1"/>
  <c r="A104" i="179" s="1"/>
  <c r="A105" i="179" s="1"/>
  <c r="A106" i="179" s="1"/>
  <c r="A107" i="179" s="1"/>
  <c r="A108" i="179" s="1"/>
  <c r="A109" i="179" s="1"/>
  <c r="A110" i="179" s="1"/>
  <c r="A111" i="179" s="1"/>
  <c r="A112" i="179" s="1"/>
  <c r="A113" i="179" s="1"/>
  <c r="A114" i="179" s="1"/>
  <c r="A115" i="179" s="1"/>
  <c r="A116" i="179" s="1"/>
  <c r="A117" i="179" s="1"/>
  <c r="A118" i="179" s="1"/>
  <c r="A119" i="179" s="1"/>
  <c r="A120" i="179" s="1"/>
  <c r="A121" i="179" s="1"/>
  <c r="A122" i="179" s="1"/>
  <c r="A123" i="179" s="1"/>
  <c r="A124" i="179" s="1"/>
  <c r="A125" i="179" s="1"/>
  <c r="A126" i="179" s="1"/>
  <c r="A127" i="179" s="1"/>
  <c r="A128" i="179" s="1"/>
  <c r="A129" i="179" s="1"/>
  <c r="A130" i="179" s="1"/>
  <c r="A131" i="179" s="1"/>
  <c r="A132" i="179" s="1"/>
  <c r="A133" i="179" s="1"/>
  <c r="A134" i="179" s="1"/>
  <c r="A135" i="179" s="1"/>
  <c r="A136" i="179" s="1"/>
  <c r="A137" i="179" s="1"/>
  <c r="A138" i="179" s="1"/>
  <c r="A139" i="179" s="1"/>
  <c r="A140" i="179" s="1"/>
  <c r="A141" i="179" s="1"/>
  <c r="A142" i="179" s="1"/>
  <c r="A143" i="179" s="1"/>
  <c r="A144" i="179" s="1"/>
  <c r="A145" i="179" s="1"/>
  <c r="A146" i="179" s="1"/>
  <c r="A147" i="179" s="1"/>
  <c r="A148" i="179" s="1"/>
  <c r="A149" i="179" s="1"/>
  <c r="A150" i="179" s="1"/>
  <c r="A151" i="179" s="1"/>
  <c r="A152" i="179" s="1"/>
  <c r="A153" i="179" s="1"/>
  <c r="A154" i="179" s="1"/>
  <c r="A155" i="179" s="1"/>
  <c r="A156" i="179" s="1"/>
  <c r="A157" i="179" s="1"/>
  <c r="A158" i="179" s="1"/>
  <c r="A159" i="179" s="1"/>
  <c r="A160" i="179" s="1"/>
  <c r="A161" i="179" s="1"/>
  <c r="A162" i="179" s="1"/>
  <c r="A163" i="179" s="1"/>
  <c r="A164" i="179" s="1"/>
  <c r="A165" i="179" s="1"/>
  <c r="A166" i="179" s="1"/>
  <c r="A167" i="179" s="1"/>
  <c r="A168" i="179" s="1"/>
  <c r="A169" i="179" s="1"/>
  <c r="A170" i="179" s="1"/>
  <c r="A171" i="179" s="1"/>
  <c r="A172" i="179" s="1"/>
  <c r="A173" i="179" s="1"/>
  <c r="A174" i="179" s="1"/>
  <c r="A175" i="179" s="1"/>
  <c r="A176" i="179" s="1"/>
  <c r="A177" i="179" s="1"/>
  <c r="A178" i="179" s="1"/>
  <c r="A179" i="179" s="1"/>
  <c r="A180" i="179" s="1"/>
  <c r="A181" i="179" s="1"/>
  <c r="A182" i="179" s="1"/>
  <c r="A183" i="179" s="1"/>
  <c r="A184" i="179" s="1"/>
  <c r="A185" i="179" s="1"/>
  <c r="A186" i="179" s="1"/>
  <c r="A187" i="179" s="1"/>
  <c r="A188" i="179" s="1"/>
  <c r="A189" i="179" s="1"/>
  <c r="A190" i="179" s="1"/>
  <c r="A191" i="179" s="1"/>
  <c r="A192" i="179" s="1"/>
  <c r="A193" i="179" s="1"/>
  <c r="A194" i="179" s="1"/>
  <c r="A195" i="179" s="1"/>
  <c r="A196" i="179" s="1"/>
  <c r="A197" i="179" s="1"/>
  <c r="A198" i="179" s="1"/>
  <c r="A199" i="179" s="1"/>
  <c r="A200" i="179" s="1"/>
  <c r="A201" i="179" s="1"/>
  <c r="A202" i="179" s="1"/>
  <c r="A203" i="179" s="1"/>
  <c r="A204" i="179" s="1"/>
  <c r="A205" i="179" s="1"/>
  <c r="A206" i="179" s="1"/>
  <c r="A207" i="179" s="1"/>
  <c r="A208" i="179" s="1"/>
  <c r="A209" i="179" s="1"/>
  <c r="A210" i="179" s="1"/>
  <c r="A211" i="179" s="1"/>
  <c r="A212" i="179" s="1"/>
  <c r="A213" i="179" s="1"/>
  <c r="A214" i="179" s="1"/>
  <c r="A215" i="179" s="1"/>
  <c r="A216" i="179" s="1"/>
  <c r="A217" i="179" s="1"/>
  <c r="A218" i="179" s="1"/>
  <c r="A219" i="179" s="1"/>
  <c r="A220" i="179" s="1"/>
  <c r="A221" i="179" s="1"/>
  <c r="A222" i="179" s="1"/>
  <c r="A223" i="179" s="1"/>
  <c r="A224" i="179" s="1"/>
  <c r="A225" i="179" s="1"/>
  <c r="A226" i="179" s="1"/>
  <c r="Z6" i="179"/>
  <c r="AC6" i="179" s="1"/>
  <c r="Y6" i="179"/>
  <c r="X6" i="179"/>
  <c r="W6" i="179"/>
  <c r="V6" i="179"/>
  <c r="U6" i="179"/>
  <c r="S63" i="179"/>
  <c r="Q1" i="179"/>
  <c r="S235" i="179" s="1"/>
  <c r="E223" i="9"/>
  <c r="E222" i="9"/>
  <c r="E213" i="9"/>
  <c r="M213" i="9" s="1"/>
  <c r="I204" i="9"/>
  <c r="I198" i="9"/>
  <c r="E211" i="9"/>
  <c r="M211" i="9" s="1"/>
  <c r="E209" i="9"/>
  <c r="M209" i="9" s="1"/>
  <c r="E208" i="9"/>
  <c r="E207" i="9"/>
  <c r="M207" i="9" s="1"/>
  <c r="E206" i="9"/>
  <c r="M206" i="9" s="1"/>
  <c r="E204" i="9"/>
  <c r="E200" i="9"/>
  <c r="M200" i="9" s="1"/>
  <c r="E197" i="9"/>
  <c r="E198" i="9"/>
  <c r="D223" i="9"/>
  <c r="D222" i="9"/>
  <c r="H204" i="9"/>
  <c r="H198" i="9"/>
  <c r="D197" i="9"/>
  <c r="L197" i="9" s="1"/>
  <c r="D198" i="9"/>
  <c r="F198" i="9" s="1"/>
  <c r="D211" i="9"/>
  <c r="L211" i="9" s="1"/>
  <c r="D209" i="9"/>
  <c r="D208" i="9"/>
  <c r="D207" i="9"/>
  <c r="L207" i="9" s="1"/>
  <c r="D213" i="9"/>
  <c r="L213" i="9" s="1"/>
  <c r="D206" i="9"/>
  <c r="L206" i="9" s="1"/>
  <c r="D204" i="9"/>
  <c r="D200" i="9"/>
  <c r="F200" i="9" s="1"/>
  <c r="F225" i="9"/>
  <c r="C224" i="9"/>
  <c r="G217" i="9"/>
  <c r="C217" i="9"/>
  <c r="M216" i="9"/>
  <c r="K216" i="9"/>
  <c r="M215" i="9"/>
  <c r="L215" i="9"/>
  <c r="K215" i="9"/>
  <c r="J215" i="9"/>
  <c r="M214" i="9"/>
  <c r="L214" i="9"/>
  <c r="K214" i="9"/>
  <c r="J214" i="9"/>
  <c r="K213" i="9"/>
  <c r="J213" i="9"/>
  <c r="L212" i="9"/>
  <c r="K212" i="9"/>
  <c r="J212" i="9"/>
  <c r="M212" i="9"/>
  <c r="K211" i="9"/>
  <c r="J211" i="9"/>
  <c r="M210" i="9"/>
  <c r="L210" i="9"/>
  <c r="K210" i="9"/>
  <c r="J210" i="9"/>
  <c r="F210" i="9"/>
  <c r="K209" i="9"/>
  <c r="J209" i="9"/>
  <c r="K208" i="9"/>
  <c r="J208" i="9"/>
  <c r="K207" i="9"/>
  <c r="K206" i="9"/>
  <c r="J206" i="9"/>
  <c r="M205" i="9"/>
  <c r="L205" i="9"/>
  <c r="K205" i="9"/>
  <c r="J205" i="9"/>
  <c r="F205" i="9"/>
  <c r="K204" i="9"/>
  <c r="M203" i="9"/>
  <c r="L203" i="9"/>
  <c r="K203" i="9"/>
  <c r="J203" i="9"/>
  <c r="F203" i="9"/>
  <c r="M202" i="9"/>
  <c r="L202" i="9"/>
  <c r="K202" i="9"/>
  <c r="J202" i="9"/>
  <c r="F202" i="9"/>
  <c r="M201" i="9"/>
  <c r="L201" i="9"/>
  <c r="K201" i="9"/>
  <c r="J201" i="9"/>
  <c r="F201" i="9"/>
  <c r="K200" i="9"/>
  <c r="J200" i="9"/>
  <c r="M199" i="9"/>
  <c r="L199" i="9"/>
  <c r="K199" i="9"/>
  <c r="J199" i="9"/>
  <c r="F199" i="9"/>
  <c r="A199" i="9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K198" i="9"/>
  <c r="M197" i="9"/>
  <c r="K197" i="9"/>
  <c r="J197" i="9"/>
  <c r="AB106" i="178"/>
  <c r="Z113" i="178"/>
  <c r="Z112" i="178"/>
  <c r="Z111" i="178"/>
  <c r="Z110" i="178"/>
  <c r="R265" i="178"/>
  <c r="M265" i="178"/>
  <c r="S262" i="178"/>
  <c r="Q262" i="178"/>
  <c r="AA260" i="178"/>
  <c r="Z260" i="178"/>
  <c r="Z259" i="178"/>
  <c r="Z258" i="178"/>
  <c r="R258" i="178"/>
  <c r="Q258" i="178"/>
  <c r="Q265" i="178" s="1"/>
  <c r="P258" i="178"/>
  <c r="O258" i="178"/>
  <c r="N258" i="178"/>
  <c r="N260" i="178" s="1"/>
  <c r="M258" i="178"/>
  <c r="M267" i="178" s="1"/>
  <c r="AA257" i="178"/>
  <c r="Z257" i="178"/>
  <c r="AF254" i="178"/>
  <c r="S251" i="178"/>
  <c r="S250" i="178"/>
  <c r="S249" i="178"/>
  <c r="S248" i="178"/>
  <c r="S247" i="178"/>
  <c r="S246" i="178"/>
  <c r="S245" i="178"/>
  <c r="S244" i="178"/>
  <c r="S243" i="178"/>
  <c r="S242" i="178"/>
  <c r="S241" i="178"/>
  <c r="S240" i="178"/>
  <c r="S239" i="178"/>
  <c r="S238" i="178"/>
  <c r="S237" i="178"/>
  <c r="S236" i="178"/>
  <c r="S235" i="178"/>
  <c r="S234" i="178"/>
  <c r="S233" i="178"/>
  <c r="S232" i="178"/>
  <c r="S231" i="178"/>
  <c r="S230" i="178"/>
  <c r="S229" i="178"/>
  <c r="S228" i="178"/>
  <c r="S227" i="178"/>
  <c r="S226" i="178"/>
  <c r="S225" i="178"/>
  <c r="S224" i="178"/>
  <c r="S223" i="178"/>
  <c r="S222" i="178"/>
  <c r="S221" i="178"/>
  <c r="S220" i="178"/>
  <c r="S219" i="178"/>
  <c r="S218" i="178"/>
  <c r="S217" i="178"/>
  <c r="S216" i="178"/>
  <c r="S215" i="178"/>
  <c r="S214" i="178"/>
  <c r="S213" i="178"/>
  <c r="S212" i="178"/>
  <c r="S211" i="178"/>
  <c r="S210" i="178"/>
  <c r="S209" i="178"/>
  <c r="S208" i="178"/>
  <c r="S207" i="178"/>
  <c r="S206" i="178"/>
  <c r="S205" i="178"/>
  <c r="S204" i="178"/>
  <c r="S203" i="178"/>
  <c r="S202" i="178"/>
  <c r="S201" i="178"/>
  <c r="S200" i="178"/>
  <c r="S199" i="178"/>
  <c r="S198" i="178"/>
  <c r="S197" i="178"/>
  <c r="S196" i="178"/>
  <c r="S195" i="178"/>
  <c r="S194" i="178"/>
  <c r="S193" i="178"/>
  <c r="S192" i="178"/>
  <c r="S191" i="178"/>
  <c r="S190" i="178"/>
  <c r="S189" i="178"/>
  <c r="S188" i="178"/>
  <c r="S187" i="178"/>
  <c r="S186" i="178"/>
  <c r="S185" i="178"/>
  <c r="S184" i="178"/>
  <c r="S183" i="178"/>
  <c r="S182" i="178"/>
  <c r="S181" i="178"/>
  <c r="S180" i="178"/>
  <c r="S179" i="178"/>
  <c r="S178" i="178"/>
  <c r="S177" i="178"/>
  <c r="S176" i="178"/>
  <c r="S175" i="178"/>
  <c r="S174" i="178"/>
  <c r="S173" i="178"/>
  <c r="S172" i="178"/>
  <c r="S171" i="178"/>
  <c r="S170" i="178"/>
  <c r="S169" i="178"/>
  <c r="S168" i="178"/>
  <c r="S167" i="178"/>
  <c r="S166" i="178"/>
  <c r="S165" i="178"/>
  <c r="S164" i="178"/>
  <c r="S163" i="178"/>
  <c r="S162" i="178"/>
  <c r="S161" i="178"/>
  <c r="S160" i="178"/>
  <c r="S159" i="178"/>
  <c r="S158" i="178"/>
  <c r="S157" i="178"/>
  <c r="S156" i="178"/>
  <c r="S155" i="178"/>
  <c r="S154" i="178"/>
  <c r="S153" i="178"/>
  <c r="S152" i="178"/>
  <c r="S151" i="178"/>
  <c r="S150" i="178"/>
  <c r="S149" i="178"/>
  <c r="S148" i="178"/>
  <c r="S147" i="178"/>
  <c r="S146" i="178"/>
  <c r="S145" i="178"/>
  <c r="S144" i="178"/>
  <c r="S143" i="178"/>
  <c r="S142" i="178"/>
  <c r="S141" i="178"/>
  <c r="S140" i="178"/>
  <c r="S139" i="178"/>
  <c r="S138" i="178"/>
  <c r="S137" i="178"/>
  <c r="S136" i="178"/>
  <c r="S135" i="178"/>
  <c r="S134" i="178"/>
  <c r="S133" i="178"/>
  <c r="S132" i="178"/>
  <c r="S131" i="178"/>
  <c r="S130" i="178"/>
  <c r="S129" i="178"/>
  <c r="S128" i="178"/>
  <c r="S127" i="178"/>
  <c r="S126" i="178"/>
  <c r="S125" i="178"/>
  <c r="S124" i="178"/>
  <c r="S123" i="178"/>
  <c r="S122" i="178"/>
  <c r="S121" i="178"/>
  <c r="S120" i="178"/>
  <c r="S119" i="178"/>
  <c r="S118" i="178"/>
  <c r="S117" i="178"/>
  <c r="S116" i="178"/>
  <c r="S115" i="178"/>
  <c r="S114" i="178"/>
  <c r="S113" i="178"/>
  <c r="S112" i="178"/>
  <c r="S111" i="178"/>
  <c r="S110" i="178"/>
  <c r="S109" i="178"/>
  <c r="S108" i="178"/>
  <c r="S107" i="178"/>
  <c r="S106" i="178"/>
  <c r="S105" i="178"/>
  <c r="S104" i="178"/>
  <c r="AF103" i="178"/>
  <c r="AG103" i="178" s="1"/>
  <c r="Z103" i="178"/>
  <c r="AE103" i="178" s="1"/>
  <c r="Y103" i="178"/>
  <c r="X103" i="178"/>
  <c r="W103" i="178"/>
  <c r="V103" i="178"/>
  <c r="U103" i="178"/>
  <c r="S103" i="178"/>
  <c r="AF102" i="178"/>
  <c r="AG102" i="178" s="1"/>
  <c r="Z102" i="178"/>
  <c r="AC102" i="178" s="1"/>
  <c r="Y102" i="178"/>
  <c r="X102" i="178"/>
  <c r="W102" i="178"/>
  <c r="V102" i="178"/>
  <c r="U102" i="178"/>
  <c r="S102" i="178"/>
  <c r="AF101" i="178"/>
  <c r="AG101" i="178" s="1"/>
  <c r="Z101" i="178"/>
  <c r="AD101" i="178" s="1"/>
  <c r="Y101" i="178"/>
  <c r="X101" i="178"/>
  <c r="W101" i="178"/>
  <c r="V101" i="178"/>
  <c r="U101" i="178"/>
  <c r="S101" i="178"/>
  <c r="AF100" i="178"/>
  <c r="AG100" i="178" s="1"/>
  <c r="Z100" i="178"/>
  <c r="AE100" i="178" s="1"/>
  <c r="Y100" i="178"/>
  <c r="X100" i="178"/>
  <c r="W100" i="178"/>
  <c r="V100" i="178"/>
  <c r="U100" i="178"/>
  <c r="S100" i="178"/>
  <c r="AF99" i="178"/>
  <c r="AG99" i="178" s="1"/>
  <c r="AC99" i="178"/>
  <c r="Z99" i="178"/>
  <c r="AE99" i="178" s="1"/>
  <c r="Y99" i="178"/>
  <c r="X99" i="178"/>
  <c r="W99" i="178"/>
  <c r="V99" i="178"/>
  <c r="U99" i="178"/>
  <c r="S99" i="178"/>
  <c r="AG98" i="178"/>
  <c r="AF98" i="178"/>
  <c r="Z98" i="178"/>
  <c r="AE98" i="178" s="1"/>
  <c r="Y98" i="178"/>
  <c r="X98" i="178"/>
  <c r="W98" i="178"/>
  <c r="V98" i="178"/>
  <c r="U98" i="178"/>
  <c r="S98" i="178"/>
  <c r="AF97" i="178"/>
  <c r="AG97" i="178" s="1"/>
  <c r="Z97" i="178"/>
  <c r="AD97" i="178" s="1"/>
  <c r="Y97" i="178"/>
  <c r="X97" i="178"/>
  <c r="W97" i="178"/>
  <c r="V97" i="178"/>
  <c r="U97" i="178"/>
  <c r="S97" i="178"/>
  <c r="AF96" i="178"/>
  <c r="AG96" i="178" s="1"/>
  <c r="Z96" i="178"/>
  <c r="AE96" i="178" s="1"/>
  <c r="Y96" i="178"/>
  <c r="X96" i="178"/>
  <c r="W96" i="178"/>
  <c r="V96" i="178"/>
  <c r="U96" i="178"/>
  <c r="S96" i="178"/>
  <c r="AF95" i="178"/>
  <c r="AG95" i="178" s="1"/>
  <c r="Z95" i="178"/>
  <c r="AE95" i="178" s="1"/>
  <c r="Y95" i="178"/>
  <c r="X95" i="178"/>
  <c r="W95" i="178"/>
  <c r="V95" i="178"/>
  <c r="U95" i="178"/>
  <c r="S95" i="178"/>
  <c r="AF94" i="178"/>
  <c r="AG94" i="178" s="1"/>
  <c r="Z94" i="178"/>
  <c r="AD94" i="178" s="1"/>
  <c r="Y94" i="178"/>
  <c r="X94" i="178"/>
  <c r="W94" i="178"/>
  <c r="V94" i="178"/>
  <c r="U94" i="178"/>
  <c r="S94" i="178"/>
  <c r="AF93" i="178"/>
  <c r="AG93" i="178" s="1"/>
  <c r="Z93" i="178"/>
  <c r="AD93" i="178" s="1"/>
  <c r="Y93" i="178"/>
  <c r="X93" i="178"/>
  <c r="W93" i="178"/>
  <c r="V93" i="178"/>
  <c r="U93" i="178"/>
  <c r="S93" i="178"/>
  <c r="AF92" i="178"/>
  <c r="AG92" i="178" s="1"/>
  <c r="Z92" i="178"/>
  <c r="AE92" i="178" s="1"/>
  <c r="Y92" i="178"/>
  <c r="X92" i="178"/>
  <c r="W92" i="178"/>
  <c r="V92" i="178"/>
  <c r="U92" i="178"/>
  <c r="S92" i="178"/>
  <c r="AF91" i="178"/>
  <c r="AG91" i="178" s="1"/>
  <c r="Z91" i="178"/>
  <c r="AE91" i="178" s="1"/>
  <c r="Y91" i="178"/>
  <c r="X91" i="178"/>
  <c r="W91" i="178"/>
  <c r="V91" i="178"/>
  <c r="U91" i="178"/>
  <c r="S91" i="178"/>
  <c r="AF90" i="178"/>
  <c r="AG90" i="178" s="1"/>
  <c r="Z90" i="178"/>
  <c r="AE90" i="178" s="1"/>
  <c r="Y90" i="178"/>
  <c r="X90" i="178"/>
  <c r="W90" i="178"/>
  <c r="V90" i="178"/>
  <c r="U90" i="178"/>
  <c r="S90" i="178"/>
  <c r="AF89" i="178"/>
  <c r="AG89" i="178" s="1"/>
  <c r="Z89" i="178"/>
  <c r="AD89" i="178" s="1"/>
  <c r="Y89" i="178"/>
  <c r="X89" i="178"/>
  <c r="W89" i="178"/>
  <c r="V89" i="178"/>
  <c r="U89" i="178"/>
  <c r="S89" i="178"/>
  <c r="AF88" i="178"/>
  <c r="AG88" i="178" s="1"/>
  <c r="Z88" i="178"/>
  <c r="AE88" i="178" s="1"/>
  <c r="Y88" i="178"/>
  <c r="X88" i="178"/>
  <c r="W88" i="178"/>
  <c r="V88" i="178"/>
  <c r="U88" i="178"/>
  <c r="S88" i="178"/>
  <c r="AF87" i="178"/>
  <c r="AG87" i="178" s="1"/>
  <c r="Z87" i="178"/>
  <c r="AE87" i="178" s="1"/>
  <c r="Y87" i="178"/>
  <c r="X87" i="178"/>
  <c r="W87" i="178"/>
  <c r="V87" i="178"/>
  <c r="U87" i="178"/>
  <c r="S87" i="178"/>
  <c r="AF86" i="178"/>
  <c r="AG86" i="178" s="1"/>
  <c r="Z86" i="178"/>
  <c r="AC86" i="178" s="1"/>
  <c r="Y86" i="178"/>
  <c r="X86" i="178"/>
  <c r="W86" i="178"/>
  <c r="V86" i="178"/>
  <c r="U86" i="178"/>
  <c r="S86" i="178"/>
  <c r="AF85" i="178"/>
  <c r="AG85" i="178" s="1"/>
  <c r="Z85" i="178"/>
  <c r="AD85" i="178" s="1"/>
  <c r="Y85" i="178"/>
  <c r="X85" i="178"/>
  <c r="W85" i="178"/>
  <c r="V85" i="178"/>
  <c r="U85" i="178"/>
  <c r="S85" i="178"/>
  <c r="AF84" i="178"/>
  <c r="AG84" i="178" s="1"/>
  <c r="Z84" i="178"/>
  <c r="AE84" i="178" s="1"/>
  <c r="Y84" i="178"/>
  <c r="X84" i="178"/>
  <c r="W84" i="178"/>
  <c r="V84" i="178"/>
  <c r="U84" i="178"/>
  <c r="S84" i="178"/>
  <c r="AF83" i="178"/>
  <c r="AG83" i="178" s="1"/>
  <c r="Z83" i="178"/>
  <c r="AE83" i="178" s="1"/>
  <c r="Y83" i="178"/>
  <c r="X83" i="178"/>
  <c r="W83" i="178"/>
  <c r="V83" i="178"/>
  <c r="U83" i="178"/>
  <c r="S83" i="178"/>
  <c r="AF82" i="178"/>
  <c r="AG82" i="178" s="1"/>
  <c r="Z82" i="178"/>
  <c r="AC82" i="178" s="1"/>
  <c r="Y82" i="178"/>
  <c r="X82" i="178"/>
  <c r="W82" i="178"/>
  <c r="V82" i="178"/>
  <c r="U82" i="178"/>
  <c r="S82" i="178"/>
  <c r="AF81" i="178"/>
  <c r="AG81" i="178" s="1"/>
  <c r="Z81" i="178"/>
  <c r="AD81" i="178" s="1"/>
  <c r="Y81" i="178"/>
  <c r="X81" i="178"/>
  <c r="W81" i="178"/>
  <c r="V81" i="178"/>
  <c r="U81" i="178"/>
  <c r="S81" i="178"/>
  <c r="AF80" i="178"/>
  <c r="AG80" i="178" s="1"/>
  <c r="Z80" i="178"/>
  <c r="AE80" i="178" s="1"/>
  <c r="Y80" i="178"/>
  <c r="X80" i="178"/>
  <c r="W80" i="178"/>
  <c r="V80" i="178"/>
  <c r="U80" i="178"/>
  <c r="S80" i="178"/>
  <c r="AF79" i="178"/>
  <c r="AG79" i="178" s="1"/>
  <c r="Z79" i="178"/>
  <c r="AE79" i="178" s="1"/>
  <c r="Y79" i="178"/>
  <c r="X79" i="178"/>
  <c r="W79" i="178"/>
  <c r="V79" i="178"/>
  <c r="U79" i="178"/>
  <c r="S79" i="178"/>
  <c r="AF78" i="178"/>
  <c r="AG78" i="178" s="1"/>
  <c r="Z78" i="178"/>
  <c r="Y78" i="178"/>
  <c r="X78" i="178"/>
  <c r="W78" i="178"/>
  <c r="V78" i="178"/>
  <c r="U78" i="178"/>
  <c r="S78" i="178"/>
  <c r="AF77" i="178"/>
  <c r="AG77" i="178" s="1"/>
  <c r="Z77" i="178"/>
  <c r="AD77" i="178" s="1"/>
  <c r="Y77" i="178"/>
  <c r="X77" i="178"/>
  <c r="W77" i="178"/>
  <c r="V77" i="178"/>
  <c r="U77" i="178"/>
  <c r="S77" i="178"/>
  <c r="AF76" i="178"/>
  <c r="AG76" i="178" s="1"/>
  <c r="Z76" i="178"/>
  <c r="AE76" i="178" s="1"/>
  <c r="Y76" i="178"/>
  <c r="X76" i="178"/>
  <c r="W76" i="178"/>
  <c r="V76" i="178"/>
  <c r="U76" i="178"/>
  <c r="S76" i="178"/>
  <c r="AF75" i="178"/>
  <c r="AG75" i="178" s="1"/>
  <c r="AC75" i="178"/>
  <c r="Z75" i="178"/>
  <c r="AE75" i="178" s="1"/>
  <c r="Y75" i="178"/>
  <c r="X75" i="178"/>
  <c r="W75" i="178"/>
  <c r="V75" i="178"/>
  <c r="U75" i="178"/>
  <c r="S75" i="178"/>
  <c r="AF74" i="178"/>
  <c r="AG74" i="178" s="1"/>
  <c r="Z74" i="178"/>
  <c r="AE74" i="178" s="1"/>
  <c r="Y74" i="178"/>
  <c r="X74" i="178"/>
  <c r="W74" i="178"/>
  <c r="V74" i="178"/>
  <c r="U74" i="178"/>
  <c r="S74" i="178"/>
  <c r="AF73" i="178"/>
  <c r="AG73" i="178" s="1"/>
  <c r="Z73" i="178"/>
  <c r="AD73" i="178" s="1"/>
  <c r="Y73" i="178"/>
  <c r="X73" i="178"/>
  <c r="W73" i="178"/>
  <c r="V73" i="178"/>
  <c r="U73" i="178"/>
  <c r="S73" i="178"/>
  <c r="AF72" i="178"/>
  <c r="AG72" i="178" s="1"/>
  <c r="Z72" i="178"/>
  <c r="AE72" i="178" s="1"/>
  <c r="Y72" i="178"/>
  <c r="X72" i="178"/>
  <c r="W72" i="178"/>
  <c r="V72" i="178"/>
  <c r="U72" i="178"/>
  <c r="S72" i="178"/>
  <c r="AF71" i="178"/>
  <c r="AG71" i="178" s="1"/>
  <c r="Z71" i="178"/>
  <c r="AE71" i="178" s="1"/>
  <c r="Y71" i="178"/>
  <c r="X71" i="178"/>
  <c r="W71" i="178"/>
  <c r="V71" i="178"/>
  <c r="U71" i="178"/>
  <c r="S71" i="178"/>
  <c r="Z70" i="178"/>
  <c r="AC70" i="178" s="1"/>
  <c r="Y70" i="178"/>
  <c r="X70" i="178"/>
  <c r="W70" i="178"/>
  <c r="V70" i="178"/>
  <c r="U70" i="178"/>
  <c r="S70" i="178"/>
  <c r="AF69" i="178"/>
  <c r="AG69" i="178" s="1"/>
  <c r="Z69" i="178"/>
  <c r="AD69" i="178" s="1"/>
  <c r="Y69" i="178"/>
  <c r="X69" i="178"/>
  <c r="W69" i="178"/>
  <c r="V69" i="178"/>
  <c r="U69" i="178"/>
  <c r="S69" i="178"/>
  <c r="AF68" i="178"/>
  <c r="AG68" i="178" s="1"/>
  <c r="Z68" i="178"/>
  <c r="AE68" i="178" s="1"/>
  <c r="Y68" i="178"/>
  <c r="X68" i="178"/>
  <c r="W68" i="178"/>
  <c r="V68" i="178"/>
  <c r="U68" i="178"/>
  <c r="S68" i="178"/>
  <c r="AF67" i="178"/>
  <c r="AG67" i="178" s="1"/>
  <c r="Z67" i="178"/>
  <c r="AE67" i="178" s="1"/>
  <c r="Y67" i="178"/>
  <c r="X67" i="178"/>
  <c r="W67" i="178"/>
  <c r="V67" i="178"/>
  <c r="U67" i="178"/>
  <c r="S67" i="178"/>
  <c r="AF66" i="178"/>
  <c r="AG66" i="178" s="1"/>
  <c r="Z66" i="178"/>
  <c r="AE66" i="178" s="1"/>
  <c r="Y66" i="178"/>
  <c r="X66" i="178"/>
  <c r="W66" i="178"/>
  <c r="V66" i="178"/>
  <c r="U66" i="178"/>
  <c r="S66" i="178"/>
  <c r="AF65" i="178"/>
  <c r="AG65" i="178" s="1"/>
  <c r="Z65" i="178"/>
  <c r="AD65" i="178" s="1"/>
  <c r="Y65" i="178"/>
  <c r="X65" i="178"/>
  <c r="W65" i="178"/>
  <c r="V65" i="178"/>
  <c r="U65" i="178"/>
  <c r="S65" i="178"/>
  <c r="AG64" i="178"/>
  <c r="Z64" i="178"/>
  <c r="AD64" i="178" s="1"/>
  <c r="Y64" i="178"/>
  <c r="X64" i="178"/>
  <c r="W64" i="178"/>
  <c r="V64" i="178"/>
  <c r="U64" i="178"/>
  <c r="S64" i="178"/>
  <c r="AG63" i="178"/>
  <c r="Z63" i="178"/>
  <c r="AD63" i="178" s="1"/>
  <c r="Y63" i="178"/>
  <c r="X63" i="178"/>
  <c r="W63" i="178"/>
  <c r="V63" i="178"/>
  <c r="U63" i="178"/>
  <c r="S63" i="178"/>
  <c r="AF62" i="178"/>
  <c r="AG62" i="178" s="1"/>
  <c r="AC62" i="178"/>
  <c r="Z62" i="178"/>
  <c r="AE62" i="178" s="1"/>
  <c r="Y62" i="178"/>
  <c r="X62" i="178"/>
  <c r="W62" i="178"/>
  <c r="V62" i="178"/>
  <c r="U62" i="178"/>
  <c r="S62" i="178"/>
  <c r="AG61" i="178"/>
  <c r="Z61" i="178"/>
  <c r="AE61" i="178" s="1"/>
  <c r="Y61" i="178"/>
  <c r="X61" i="178"/>
  <c r="W61" i="178"/>
  <c r="V61" i="178"/>
  <c r="U61" i="178"/>
  <c r="S61" i="178"/>
  <c r="AF60" i="178"/>
  <c r="AG60" i="178" s="1"/>
  <c r="Z60" i="178"/>
  <c r="AE60" i="178" s="1"/>
  <c r="Y60" i="178"/>
  <c r="X60" i="178"/>
  <c r="W60" i="178"/>
  <c r="V60" i="178"/>
  <c r="U60" i="178"/>
  <c r="S60" i="178"/>
  <c r="AF59" i="178"/>
  <c r="AG59" i="178" s="1"/>
  <c r="AD59" i="178"/>
  <c r="Z59" i="178"/>
  <c r="AC59" i="178" s="1"/>
  <c r="Y59" i="178"/>
  <c r="X59" i="178"/>
  <c r="W59" i="178"/>
  <c r="V59" i="178"/>
  <c r="U59" i="178"/>
  <c r="S59" i="178"/>
  <c r="AG58" i="178"/>
  <c r="AC58" i="178"/>
  <c r="Z58" i="178"/>
  <c r="AE58" i="178" s="1"/>
  <c r="Y58" i="178"/>
  <c r="X58" i="178"/>
  <c r="W58" i="178"/>
  <c r="V58" i="178"/>
  <c r="U58" i="178"/>
  <c r="S58" i="178"/>
  <c r="AF57" i="178"/>
  <c r="AG57" i="178" s="1"/>
  <c r="Z57" i="178"/>
  <c r="AD57" i="178" s="1"/>
  <c r="Y57" i="178"/>
  <c r="X57" i="178"/>
  <c r="W57" i="178"/>
  <c r="V57" i="178"/>
  <c r="U57" i="178"/>
  <c r="S57" i="178"/>
  <c r="AG56" i="178"/>
  <c r="Z56" i="178"/>
  <c r="AD56" i="178" s="1"/>
  <c r="Y56" i="178"/>
  <c r="X56" i="178"/>
  <c r="W56" i="178"/>
  <c r="V56" i="178"/>
  <c r="U56" i="178"/>
  <c r="S56" i="178"/>
  <c r="AG55" i="178"/>
  <c r="Z55" i="178"/>
  <c r="AD55" i="178" s="1"/>
  <c r="Y55" i="178"/>
  <c r="X55" i="178"/>
  <c r="W55" i="178"/>
  <c r="V55" i="178"/>
  <c r="U55" i="178"/>
  <c r="S55" i="178"/>
  <c r="AG54" i="178"/>
  <c r="Z54" i="178"/>
  <c r="AD54" i="178" s="1"/>
  <c r="Y54" i="178"/>
  <c r="X54" i="178"/>
  <c r="W54" i="178"/>
  <c r="V54" i="178"/>
  <c r="U54" i="178"/>
  <c r="S54" i="178"/>
  <c r="AG53" i="178"/>
  <c r="Z53" i="178"/>
  <c r="AD53" i="178" s="1"/>
  <c r="Y53" i="178"/>
  <c r="X53" i="178"/>
  <c r="W53" i="178"/>
  <c r="V53" i="178"/>
  <c r="U53" i="178"/>
  <c r="S53" i="178"/>
  <c r="AG52" i="178"/>
  <c r="Z52" i="178"/>
  <c r="AD52" i="178" s="1"/>
  <c r="Y52" i="178"/>
  <c r="X52" i="178"/>
  <c r="W52" i="178"/>
  <c r="V52" i="178"/>
  <c r="U52" i="178"/>
  <c r="S52" i="178"/>
  <c r="AG51" i="178"/>
  <c r="Z51" i="178"/>
  <c r="AD51" i="178" s="1"/>
  <c r="Y51" i="178"/>
  <c r="X51" i="178"/>
  <c r="W51" i="178"/>
  <c r="V51" i="178"/>
  <c r="U51" i="178"/>
  <c r="S51" i="178"/>
  <c r="AG50" i="178"/>
  <c r="Z50" i="178"/>
  <c r="AD50" i="178" s="1"/>
  <c r="Y50" i="178"/>
  <c r="X50" i="178"/>
  <c r="W50" i="178"/>
  <c r="V50" i="178"/>
  <c r="U50" i="178"/>
  <c r="S50" i="178"/>
  <c r="AG49" i="178"/>
  <c r="Z49" i="178"/>
  <c r="AD49" i="178" s="1"/>
  <c r="Y49" i="178"/>
  <c r="X49" i="178"/>
  <c r="W49" i="178"/>
  <c r="V49" i="178"/>
  <c r="U49" i="178"/>
  <c r="S49" i="178"/>
  <c r="AG48" i="178"/>
  <c r="Z48" i="178"/>
  <c r="AD48" i="178" s="1"/>
  <c r="Y48" i="178"/>
  <c r="X48" i="178"/>
  <c r="W48" i="178"/>
  <c r="V48" i="178"/>
  <c r="U48" i="178"/>
  <c r="S48" i="178"/>
  <c r="AG47" i="178"/>
  <c r="Z47" i="178"/>
  <c r="AD47" i="178" s="1"/>
  <c r="Y47" i="178"/>
  <c r="X47" i="178"/>
  <c r="W47" i="178"/>
  <c r="V47" i="178"/>
  <c r="U47" i="178"/>
  <c r="S47" i="178"/>
  <c r="AG46" i="178"/>
  <c r="Z46" i="178"/>
  <c r="AD46" i="178" s="1"/>
  <c r="Y46" i="178"/>
  <c r="X46" i="178"/>
  <c r="W46" i="178"/>
  <c r="V46" i="178"/>
  <c r="U46" i="178"/>
  <c r="S46" i="178"/>
  <c r="AG45" i="178"/>
  <c r="Z45" i="178"/>
  <c r="AD45" i="178" s="1"/>
  <c r="Y45" i="178"/>
  <c r="X45" i="178"/>
  <c r="W45" i="178"/>
  <c r="V45" i="178"/>
  <c r="U45" i="178"/>
  <c r="S45" i="178"/>
  <c r="AG44" i="178"/>
  <c r="Z44" i="178"/>
  <c r="AD44" i="178" s="1"/>
  <c r="Y44" i="178"/>
  <c r="X44" i="178"/>
  <c r="W44" i="178"/>
  <c r="V44" i="178"/>
  <c r="U44" i="178"/>
  <c r="S44" i="178"/>
  <c r="AG43" i="178"/>
  <c r="Z43" i="178"/>
  <c r="AD43" i="178" s="1"/>
  <c r="Y43" i="178"/>
  <c r="X43" i="178"/>
  <c r="W43" i="178"/>
  <c r="V43" i="178"/>
  <c r="U43" i="178"/>
  <c r="S43" i="178"/>
  <c r="AG42" i="178"/>
  <c r="Z42" i="178"/>
  <c r="AD42" i="178" s="1"/>
  <c r="Y42" i="178"/>
  <c r="X42" i="178"/>
  <c r="W42" i="178"/>
  <c r="V42" i="178"/>
  <c r="U42" i="178"/>
  <c r="S42" i="178"/>
  <c r="AG41" i="178"/>
  <c r="Z41" i="178"/>
  <c r="AD41" i="178" s="1"/>
  <c r="Y41" i="178"/>
  <c r="X41" i="178"/>
  <c r="W41" i="178"/>
  <c r="V41" i="178"/>
  <c r="U41" i="178"/>
  <c r="S41" i="178"/>
  <c r="AG40" i="178"/>
  <c r="Z40" i="178"/>
  <c r="AD40" i="178" s="1"/>
  <c r="Y40" i="178"/>
  <c r="X40" i="178"/>
  <c r="W40" i="178"/>
  <c r="V40" i="178"/>
  <c r="U40" i="178"/>
  <c r="S40" i="178"/>
  <c r="AG39" i="178"/>
  <c r="Z39" i="178"/>
  <c r="AD39" i="178" s="1"/>
  <c r="Y39" i="178"/>
  <c r="X39" i="178"/>
  <c r="W39" i="178"/>
  <c r="V39" i="178"/>
  <c r="U39" i="178"/>
  <c r="S39" i="178"/>
  <c r="AG38" i="178"/>
  <c r="Z38" i="178"/>
  <c r="AD38" i="178" s="1"/>
  <c r="Y38" i="178"/>
  <c r="X38" i="178"/>
  <c r="W38" i="178"/>
  <c r="V38" i="178"/>
  <c r="U38" i="178"/>
  <c r="S38" i="178"/>
  <c r="AG37" i="178"/>
  <c r="Z37" i="178"/>
  <c r="AD37" i="178" s="1"/>
  <c r="Y37" i="178"/>
  <c r="X37" i="178"/>
  <c r="W37" i="178"/>
  <c r="V37" i="178"/>
  <c r="U37" i="178"/>
  <c r="S37" i="178"/>
  <c r="Z36" i="178"/>
  <c r="AE36" i="178" s="1"/>
  <c r="Y36" i="178"/>
  <c r="X36" i="178"/>
  <c r="W36" i="178"/>
  <c r="V36" i="178"/>
  <c r="U36" i="178"/>
  <c r="S36" i="178"/>
  <c r="AC35" i="178"/>
  <c r="Z35" i="178"/>
  <c r="AD35" i="178" s="1"/>
  <c r="Y35" i="178"/>
  <c r="X35" i="178"/>
  <c r="W35" i="178"/>
  <c r="V35" i="178"/>
  <c r="U35" i="178"/>
  <c r="S35" i="178"/>
  <c r="AC34" i="178"/>
  <c r="Z34" i="178"/>
  <c r="AD34" i="178" s="1"/>
  <c r="Y34" i="178"/>
  <c r="X34" i="178"/>
  <c r="W34" i="178"/>
  <c r="V34" i="178"/>
  <c r="U34" i="178"/>
  <c r="S34" i="178"/>
  <c r="Z33" i="178"/>
  <c r="AD33" i="178" s="1"/>
  <c r="Y33" i="178"/>
  <c r="X33" i="178"/>
  <c r="W33" i="178"/>
  <c r="V33" i="178"/>
  <c r="U33" i="178"/>
  <c r="S33" i="178"/>
  <c r="Z32" i="178"/>
  <c r="AE32" i="178" s="1"/>
  <c r="Y32" i="178"/>
  <c r="X32" i="178"/>
  <c r="W32" i="178"/>
  <c r="V32" i="178"/>
  <c r="U32" i="178"/>
  <c r="S32" i="178"/>
  <c r="Z31" i="178"/>
  <c r="Y31" i="178"/>
  <c r="X31" i="178"/>
  <c r="W31" i="178"/>
  <c r="V31" i="178"/>
  <c r="U31" i="178"/>
  <c r="S31" i="178"/>
  <c r="AG30" i="178"/>
  <c r="Z30" i="178"/>
  <c r="AE30" i="178" s="1"/>
  <c r="Y30" i="178"/>
  <c r="X30" i="178"/>
  <c r="W30" i="178"/>
  <c r="V30" i="178"/>
  <c r="U30" i="178"/>
  <c r="S30" i="178"/>
  <c r="AG29" i="178"/>
  <c r="Z29" i="178"/>
  <c r="AE29" i="178" s="1"/>
  <c r="Y29" i="178"/>
  <c r="X29" i="178"/>
  <c r="W29" i="178"/>
  <c r="V29" i="178"/>
  <c r="U29" i="178"/>
  <c r="S29" i="178"/>
  <c r="AG28" i="178"/>
  <c r="Z28" i="178"/>
  <c r="AE28" i="178" s="1"/>
  <c r="Y28" i="178"/>
  <c r="X28" i="178"/>
  <c r="W28" i="178"/>
  <c r="V28" i="178"/>
  <c r="U28" i="178"/>
  <c r="S28" i="178"/>
  <c r="AG27" i="178"/>
  <c r="Z27" i="178"/>
  <c r="AE27" i="178" s="1"/>
  <c r="Y27" i="178"/>
  <c r="X27" i="178"/>
  <c r="W27" i="178"/>
  <c r="V27" i="178"/>
  <c r="U27" i="178"/>
  <c r="S27" i="178"/>
  <c r="Z26" i="178"/>
  <c r="AC26" i="178" s="1"/>
  <c r="Y26" i="178"/>
  <c r="X26" i="178"/>
  <c r="W26" i="178"/>
  <c r="V26" i="178"/>
  <c r="U26" i="178"/>
  <c r="S26" i="178"/>
  <c r="Z25" i="178"/>
  <c r="AD25" i="178" s="1"/>
  <c r="Y25" i="178"/>
  <c r="X25" i="178"/>
  <c r="W25" i="178"/>
  <c r="V25" i="178"/>
  <c r="U25" i="178"/>
  <c r="S25" i="178"/>
  <c r="Z24" i="178"/>
  <c r="AE24" i="178" s="1"/>
  <c r="Y24" i="178"/>
  <c r="X24" i="178"/>
  <c r="W24" i="178"/>
  <c r="V24" i="178"/>
  <c r="U24" i="178"/>
  <c r="S24" i="178"/>
  <c r="Z23" i="178"/>
  <c r="AA23" i="178" s="1"/>
  <c r="Y23" i="178"/>
  <c r="X23" i="178"/>
  <c r="W23" i="178"/>
  <c r="V23" i="178"/>
  <c r="U23" i="178"/>
  <c r="S23" i="178"/>
  <c r="Z22" i="178"/>
  <c r="AD22" i="178" s="1"/>
  <c r="Y22" i="178"/>
  <c r="X22" i="178"/>
  <c r="W22" i="178"/>
  <c r="V22" i="178"/>
  <c r="U22" i="178"/>
  <c r="S22" i="178"/>
  <c r="Z21" i="178"/>
  <c r="AD21" i="178" s="1"/>
  <c r="Y21" i="178"/>
  <c r="X21" i="178"/>
  <c r="W21" i="178"/>
  <c r="V21" i="178"/>
  <c r="U21" i="178"/>
  <c r="S21" i="178"/>
  <c r="Z20" i="178"/>
  <c r="AE20" i="178" s="1"/>
  <c r="Y20" i="178"/>
  <c r="X20" i="178"/>
  <c r="W20" i="178"/>
  <c r="V20" i="178"/>
  <c r="U20" i="178"/>
  <c r="S18" i="178"/>
  <c r="Z19" i="178"/>
  <c r="AD19" i="178" s="1"/>
  <c r="Y19" i="178"/>
  <c r="X19" i="178"/>
  <c r="W19" i="178"/>
  <c r="V19" i="178"/>
  <c r="U19" i="178"/>
  <c r="S20" i="178"/>
  <c r="Z18" i="178"/>
  <c r="Y18" i="178"/>
  <c r="X18" i="178"/>
  <c r="W18" i="178"/>
  <c r="V18" i="178"/>
  <c r="U18" i="178"/>
  <c r="S19" i="178"/>
  <c r="Z17" i="178"/>
  <c r="AD17" i="178" s="1"/>
  <c r="Y17" i="178"/>
  <c r="X17" i="178"/>
  <c r="W17" i="178"/>
  <c r="V17" i="178"/>
  <c r="U17" i="178"/>
  <c r="S17" i="178"/>
  <c r="Z16" i="178"/>
  <c r="AE16" i="178" s="1"/>
  <c r="Y16" i="178"/>
  <c r="X16" i="178"/>
  <c r="W16" i="178"/>
  <c r="V16" i="178"/>
  <c r="U16" i="178"/>
  <c r="S16" i="178"/>
  <c r="AD15" i="178"/>
  <c r="Z15" i="178"/>
  <c r="AA15" i="178" s="1"/>
  <c r="Y15" i="178"/>
  <c r="X15" i="178"/>
  <c r="W15" i="178"/>
  <c r="V15" i="178"/>
  <c r="U15" i="178"/>
  <c r="S15" i="178"/>
  <c r="Z14" i="178"/>
  <c r="AD14" i="178" s="1"/>
  <c r="Y14" i="178"/>
  <c r="X14" i="178"/>
  <c r="W14" i="178"/>
  <c r="V14" i="178"/>
  <c r="U14" i="178"/>
  <c r="S14" i="178"/>
  <c r="Z13" i="178"/>
  <c r="AD13" i="178" s="1"/>
  <c r="Y13" i="178"/>
  <c r="X13" i="178"/>
  <c r="W13" i="178"/>
  <c r="V13" i="178"/>
  <c r="U13" i="178"/>
  <c r="S13" i="178"/>
  <c r="Z12" i="178"/>
  <c r="AE12" i="178" s="1"/>
  <c r="Y12" i="178"/>
  <c r="X12" i="178"/>
  <c r="W12" i="178"/>
  <c r="V12" i="178"/>
  <c r="U12" i="178"/>
  <c r="S12" i="178"/>
  <c r="Z11" i="178"/>
  <c r="AD11" i="178" s="1"/>
  <c r="Y11" i="178"/>
  <c r="X11" i="178"/>
  <c r="W11" i="178"/>
  <c r="V11" i="178"/>
  <c r="U11" i="178"/>
  <c r="S11" i="178"/>
  <c r="Z10" i="178"/>
  <c r="Y10" i="178"/>
  <c r="X10" i="178"/>
  <c r="W10" i="178"/>
  <c r="V10" i="178"/>
  <c r="U10" i="178"/>
  <c r="S10" i="178"/>
  <c r="Z9" i="178"/>
  <c r="AD9" i="178" s="1"/>
  <c r="Y9" i="178"/>
  <c r="X9" i="178"/>
  <c r="W9" i="178"/>
  <c r="V9" i="178"/>
  <c r="U9" i="178"/>
  <c r="S9" i="178"/>
  <c r="Z8" i="178"/>
  <c r="AE8" i="178" s="1"/>
  <c r="Y8" i="178"/>
  <c r="X8" i="178"/>
  <c r="W8" i="178"/>
  <c r="V8" i="178"/>
  <c r="U8" i="178"/>
  <c r="S8" i="178"/>
  <c r="AF7" i="178"/>
  <c r="AG7" i="178" s="1"/>
  <c r="Z7" i="178"/>
  <c r="Y7" i="178"/>
  <c r="X7" i="178"/>
  <c r="W7" i="178"/>
  <c r="V7" i="178"/>
  <c r="U7" i="178"/>
  <c r="S7" i="178"/>
  <c r="A7" i="178"/>
  <c r="A8" i="178" s="1"/>
  <c r="A9" i="178" s="1"/>
  <c r="A10" i="178" s="1"/>
  <c r="A11" i="178" s="1"/>
  <c r="A12" i="178" s="1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A45" i="178" s="1"/>
  <c r="A46" i="178" s="1"/>
  <c r="A47" i="178" s="1"/>
  <c r="A48" i="178" s="1"/>
  <c r="A49" i="178" s="1"/>
  <c r="A50" i="178" s="1"/>
  <c r="A51" i="178" s="1"/>
  <c r="A52" i="178" s="1"/>
  <c r="A53" i="178" s="1"/>
  <c r="A54" i="178" s="1"/>
  <c r="A55" i="178" s="1"/>
  <c r="A56" i="178" s="1"/>
  <c r="A57" i="178" s="1"/>
  <c r="A58" i="178" s="1"/>
  <c r="A59" i="178" s="1"/>
  <c r="A60" i="178" s="1"/>
  <c r="A61" i="178" s="1"/>
  <c r="A62" i="178" s="1"/>
  <c r="A63" i="178" s="1"/>
  <c r="A64" i="178" s="1"/>
  <c r="A65" i="178" s="1"/>
  <c r="A66" i="178" s="1"/>
  <c r="A67" i="178" s="1"/>
  <c r="A68" i="178" s="1"/>
  <c r="A69" i="178" s="1"/>
  <c r="A70" i="178" s="1"/>
  <c r="A71" i="178" s="1"/>
  <c r="A72" i="178" s="1"/>
  <c r="A73" i="178" s="1"/>
  <c r="A74" i="178" s="1"/>
  <c r="A75" i="178" s="1"/>
  <c r="A76" i="178" s="1"/>
  <c r="A77" i="178" s="1"/>
  <c r="A78" i="178" s="1"/>
  <c r="A79" i="178" s="1"/>
  <c r="A80" i="178" s="1"/>
  <c r="A81" i="178" s="1"/>
  <c r="A82" i="178" s="1"/>
  <c r="A83" i="178" s="1"/>
  <c r="A84" i="178" s="1"/>
  <c r="A85" i="178" s="1"/>
  <c r="A86" i="178" s="1"/>
  <c r="A87" i="178" s="1"/>
  <c r="A88" i="178" s="1"/>
  <c r="A89" i="178" s="1"/>
  <c r="A90" i="178" s="1"/>
  <c r="A91" i="178" s="1"/>
  <c r="A92" i="178" s="1"/>
  <c r="A93" i="178" s="1"/>
  <c r="A94" i="178" s="1"/>
  <c r="A95" i="178" s="1"/>
  <c r="A96" i="178" s="1"/>
  <c r="A97" i="178" s="1"/>
  <c r="A98" i="178" s="1"/>
  <c r="A99" i="178" s="1"/>
  <c r="A100" i="178" s="1"/>
  <c r="A101" i="178" s="1"/>
  <c r="A102" i="178" s="1"/>
  <c r="A103" i="178" s="1"/>
  <c r="A104" i="178" s="1"/>
  <c r="A105" i="178" s="1"/>
  <c r="A106" i="178" s="1"/>
  <c r="A107" i="178" s="1"/>
  <c r="A108" i="178" s="1"/>
  <c r="A109" i="178" s="1"/>
  <c r="A110" i="178" s="1"/>
  <c r="A111" i="178" s="1"/>
  <c r="A112" i="178" s="1"/>
  <c r="A113" i="178" s="1"/>
  <c r="A114" i="178" s="1"/>
  <c r="A115" i="178" s="1"/>
  <c r="A116" i="178" s="1"/>
  <c r="A117" i="178" s="1"/>
  <c r="A118" i="178" s="1"/>
  <c r="A119" i="178" s="1"/>
  <c r="A120" i="178" s="1"/>
  <c r="A121" i="178" s="1"/>
  <c r="A122" i="178" s="1"/>
  <c r="A123" i="178" s="1"/>
  <c r="A124" i="178" s="1"/>
  <c r="A125" i="178" s="1"/>
  <c r="A126" i="178" s="1"/>
  <c r="A127" i="178" s="1"/>
  <c r="A128" i="178" s="1"/>
  <c r="A129" i="178" s="1"/>
  <c r="A130" i="178" s="1"/>
  <c r="A131" i="178" s="1"/>
  <c r="A132" i="178" s="1"/>
  <c r="A133" i="178" s="1"/>
  <c r="A134" i="178" s="1"/>
  <c r="A135" i="178" s="1"/>
  <c r="A136" i="178" s="1"/>
  <c r="A137" i="178" s="1"/>
  <c r="A138" i="178" s="1"/>
  <c r="A139" i="178" s="1"/>
  <c r="A140" i="178" s="1"/>
  <c r="A141" i="178" s="1"/>
  <c r="A142" i="178" s="1"/>
  <c r="A143" i="178" s="1"/>
  <c r="A144" i="178" s="1"/>
  <c r="A145" i="178" s="1"/>
  <c r="A146" i="178" s="1"/>
  <c r="A147" i="178" s="1"/>
  <c r="A148" i="178" s="1"/>
  <c r="A149" i="178" s="1"/>
  <c r="A150" i="178" s="1"/>
  <c r="A151" i="178" s="1"/>
  <c r="A152" i="178" s="1"/>
  <c r="A153" i="178" s="1"/>
  <c r="A154" i="178" s="1"/>
  <c r="A155" i="178" s="1"/>
  <c r="A156" i="178" s="1"/>
  <c r="A157" i="178" s="1"/>
  <c r="A158" i="178" s="1"/>
  <c r="A159" i="178" s="1"/>
  <c r="A160" i="178" s="1"/>
  <c r="A161" i="178" s="1"/>
  <c r="A162" i="178" s="1"/>
  <c r="A163" i="178" s="1"/>
  <c r="A164" i="178" s="1"/>
  <c r="A165" i="178" s="1"/>
  <c r="A166" i="178" s="1"/>
  <c r="A167" i="178" s="1"/>
  <c r="A168" i="178" s="1"/>
  <c r="A169" i="178" s="1"/>
  <c r="A170" i="178" s="1"/>
  <c r="A171" i="178" s="1"/>
  <c r="A172" i="178" s="1"/>
  <c r="A173" i="178" s="1"/>
  <c r="A174" i="178" s="1"/>
  <c r="A175" i="178" s="1"/>
  <c r="A176" i="178" s="1"/>
  <c r="A177" i="178" s="1"/>
  <c r="A178" i="178" s="1"/>
  <c r="A179" i="178" s="1"/>
  <c r="A180" i="178" s="1"/>
  <c r="A181" i="178" s="1"/>
  <c r="A182" i="178" s="1"/>
  <c r="A183" i="178" s="1"/>
  <c r="A184" i="178" s="1"/>
  <c r="A185" i="178" s="1"/>
  <c r="A186" i="178" s="1"/>
  <c r="A187" i="178" s="1"/>
  <c r="A188" i="178" s="1"/>
  <c r="A189" i="178" s="1"/>
  <c r="A190" i="178" s="1"/>
  <c r="A191" i="178" s="1"/>
  <c r="A192" i="178" s="1"/>
  <c r="A193" i="178" s="1"/>
  <c r="A194" i="178" s="1"/>
  <c r="A195" i="178" s="1"/>
  <c r="A196" i="178" s="1"/>
  <c r="A197" i="178" s="1"/>
  <c r="A198" i="178" s="1"/>
  <c r="A199" i="178" s="1"/>
  <c r="A200" i="178" s="1"/>
  <c r="A201" i="178" s="1"/>
  <c r="A202" i="178" s="1"/>
  <c r="A203" i="178" s="1"/>
  <c r="A204" i="178" s="1"/>
  <c r="A205" i="178" s="1"/>
  <c r="A206" i="178" s="1"/>
  <c r="A207" i="178" s="1"/>
  <c r="A208" i="178" s="1"/>
  <c r="A209" i="178" s="1"/>
  <c r="A210" i="178" s="1"/>
  <c r="A211" i="178" s="1"/>
  <c r="A212" i="178" s="1"/>
  <c r="A213" i="178" s="1"/>
  <c r="A214" i="178" s="1"/>
  <c r="A215" i="178" s="1"/>
  <c r="A216" i="178" s="1"/>
  <c r="A217" i="178" s="1"/>
  <c r="A218" i="178" s="1"/>
  <c r="A219" i="178" s="1"/>
  <c r="A220" i="178" s="1"/>
  <c r="A221" i="178" s="1"/>
  <c r="A222" i="178" s="1"/>
  <c r="A223" i="178" s="1"/>
  <c r="A224" i="178" s="1"/>
  <c r="A225" i="178" s="1"/>
  <c r="A226" i="178" s="1"/>
  <c r="A227" i="178" s="1"/>
  <c r="A228" i="178" s="1"/>
  <c r="A229" i="178" s="1"/>
  <c r="A230" i="178" s="1"/>
  <c r="A231" i="178" s="1"/>
  <c r="A232" i="178" s="1"/>
  <c r="A233" i="178" s="1"/>
  <c r="A234" i="178" s="1"/>
  <c r="A235" i="178" s="1"/>
  <c r="A236" i="178" s="1"/>
  <c r="A237" i="178" s="1"/>
  <c r="A238" i="178" s="1"/>
  <c r="A239" i="178" s="1"/>
  <c r="A240" i="178" s="1"/>
  <c r="A241" i="178" s="1"/>
  <c r="A242" i="178" s="1"/>
  <c r="A243" i="178" s="1"/>
  <c r="A244" i="178" s="1"/>
  <c r="A245" i="178" s="1"/>
  <c r="A246" i="178" s="1"/>
  <c r="A247" i="178" s="1"/>
  <c r="A248" i="178" s="1"/>
  <c r="A249" i="178" s="1"/>
  <c r="A250" i="178" s="1"/>
  <c r="A251" i="178" s="1"/>
  <c r="Z6" i="178"/>
  <c r="AA6" i="178" s="1"/>
  <c r="Y6" i="178"/>
  <c r="X6" i="178"/>
  <c r="W6" i="178"/>
  <c r="V6" i="178"/>
  <c r="U6" i="178"/>
  <c r="S6" i="178"/>
  <c r="Q1" i="178"/>
  <c r="S260" i="178" s="1"/>
  <c r="M198" i="9" l="1"/>
  <c r="F223" i="9"/>
  <c r="D149" i="9"/>
  <c r="J204" i="9"/>
  <c r="F147" i="9"/>
  <c r="AC98" i="178"/>
  <c r="J140" i="9"/>
  <c r="AC30" i="178"/>
  <c r="M172" i="9"/>
  <c r="AC90" i="178"/>
  <c r="D142" i="9"/>
  <c r="AD87" i="178"/>
  <c r="AE34" i="178"/>
  <c r="E217" i="9"/>
  <c r="H217" i="9"/>
  <c r="H219" i="9" s="1"/>
  <c r="AA18" i="178"/>
  <c r="AC28" i="178"/>
  <c r="E149" i="9"/>
  <c r="H178" i="9"/>
  <c r="H180" i="9" s="1"/>
  <c r="D185" i="9"/>
  <c r="M287" i="180"/>
  <c r="N162" i="9"/>
  <c r="J174" i="9"/>
  <c r="E178" i="9"/>
  <c r="AF22" i="181"/>
  <c r="AG22" i="181" s="1"/>
  <c r="AF15" i="181"/>
  <c r="AG15" i="181" s="1"/>
  <c r="AF49" i="181"/>
  <c r="AG49" i="181" s="1"/>
  <c r="AF13" i="181"/>
  <c r="AG13" i="181" s="1"/>
  <c r="AF48" i="181"/>
  <c r="AG48" i="181" s="1"/>
  <c r="AF31" i="181"/>
  <c r="AG31" i="181" s="1"/>
  <c r="L198" i="9"/>
  <c r="AC19" i="178"/>
  <c r="AD30" i="178"/>
  <c r="AA36" i="178"/>
  <c r="AE59" i="178"/>
  <c r="AC67" i="178"/>
  <c r="AD98" i="178"/>
  <c r="AD99" i="178"/>
  <c r="L200" i="9"/>
  <c r="N200" i="9" s="1"/>
  <c r="E224" i="9"/>
  <c r="L204" i="9"/>
  <c r="M159" i="9"/>
  <c r="M174" i="9"/>
  <c r="N174" i="9" s="1"/>
  <c r="AD23" i="178"/>
  <c r="AA10" i="178"/>
  <c r="AC11" i="178"/>
  <c r="AC27" i="178"/>
  <c r="AD60" i="178"/>
  <c r="AC72" i="178"/>
  <c r="AC80" i="178"/>
  <c r="AC87" i="178"/>
  <c r="AC92" i="178"/>
  <c r="AD103" i="178"/>
  <c r="AF46" i="181"/>
  <c r="AG46" i="181" s="1"/>
  <c r="AF33" i="181"/>
  <c r="AG33" i="181" s="1"/>
  <c r="AA109" i="181"/>
  <c r="AF44" i="181"/>
  <c r="AG44" i="181" s="1"/>
  <c r="AF32" i="181"/>
  <c r="AG32" i="181" s="1"/>
  <c r="AF75" i="181"/>
  <c r="AG75" i="181" s="1"/>
  <c r="AF10" i="181"/>
  <c r="AG10" i="181" s="1"/>
  <c r="AA108" i="181"/>
  <c r="AF74" i="181"/>
  <c r="AG74" i="181" s="1"/>
  <c r="AF38" i="181"/>
  <c r="AG38" i="181" s="1"/>
  <c r="AF45" i="181"/>
  <c r="AG45" i="181" s="1"/>
  <c r="AF37" i="181"/>
  <c r="AG37" i="181" s="1"/>
  <c r="AA104" i="181"/>
  <c r="AF72" i="181"/>
  <c r="AG72" i="181" s="1"/>
  <c r="AA110" i="181"/>
  <c r="AF47" i="181"/>
  <c r="AG47" i="181" s="1"/>
  <c r="AF30" i="181"/>
  <c r="AG30" i="181" s="1"/>
  <c r="AF73" i="181"/>
  <c r="AG73" i="181" s="1"/>
  <c r="AF36" i="181"/>
  <c r="AG36" i="181" s="1"/>
  <c r="AF35" i="181"/>
  <c r="AG35" i="181" s="1"/>
  <c r="AF21" i="181"/>
  <c r="AG21" i="181" s="1"/>
  <c r="AF8" i="181"/>
  <c r="AG8" i="181" s="1"/>
  <c r="AF19" i="181"/>
  <c r="AG19" i="181" s="1"/>
  <c r="AF26" i="181"/>
  <c r="AG26" i="181" s="1"/>
  <c r="AF18" i="181"/>
  <c r="AG18" i="181" s="1"/>
  <c r="AF16" i="181"/>
  <c r="AG16" i="181" s="1"/>
  <c r="AF23" i="181"/>
  <c r="AG23" i="181" s="1"/>
  <c r="AF27" i="181"/>
  <c r="AG27" i="181" s="1"/>
  <c r="AF20" i="181"/>
  <c r="AG20" i="181" s="1"/>
  <c r="AF24" i="181"/>
  <c r="AG24" i="181" s="1"/>
  <c r="AF6" i="181"/>
  <c r="AG6" i="181" s="1"/>
  <c r="AF29" i="181"/>
  <c r="AG29" i="181" s="1"/>
  <c r="AF28" i="181"/>
  <c r="AG28" i="181" s="1"/>
  <c r="AF25" i="181"/>
  <c r="AG25" i="181" s="1"/>
  <c r="AF9" i="181"/>
  <c r="AG9" i="181" s="1"/>
  <c r="AF11" i="181"/>
  <c r="AG11" i="181" s="1"/>
  <c r="AE10" i="178"/>
  <c r="AF10" i="178" s="1"/>
  <c r="AG10" i="178" s="1"/>
  <c r="AE26" i="178"/>
  <c r="AF26" i="178" s="1"/>
  <c r="AG26" i="178" s="1"/>
  <c r="AE82" i="178"/>
  <c r="AA86" i="178"/>
  <c r="AA20" i="178"/>
  <c r="AA14" i="178"/>
  <c r="AE18" i="178"/>
  <c r="S258" i="178"/>
  <c r="AD10" i="178"/>
  <c r="AE14" i="178"/>
  <c r="AC15" i="178"/>
  <c r="AD18" i="178"/>
  <c r="AE22" i="178"/>
  <c r="AC23" i="178"/>
  <c r="AD26" i="178"/>
  <c r="AC29" i="178"/>
  <c r="AC60" i="178"/>
  <c r="AD71" i="178"/>
  <c r="AD82" i="178"/>
  <c r="AD83" i="178"/>
  <c r="AC88" i="178"/>
  <c r="AC103" i="178"/>
  <c r="J198" i="9"/>
  <c r="F209" i="9"/>
  <c r="N164" i="9"/>
  <c r="J167" i="9"/>
  <c r="J178" i="9" s="1"/>
  <c r="AC10" i="178"/>
  <c r="AC14" i="178"/>
  <c r="AC18" i="178"/>
  <c r="AF18" i="178" s="1"/>
  <c r="AG18" i="178" s="1"/>
  <c r="AC22" i="178"/>
  <c r="AF22" i="178" s="1"/>
  <c r="AG22" i="178" s="1"/>
  <c r="AD28" i="178"/>
  <c r="AC31" i="178"/>
  <c r="AD58" i="178"/>
  <c r="AC66" i="178"/>
  <c r="AC68" i="178"/>
  <c r="AC71" i="178"/>
  <c r="AC74" i="178"/>
  <c r="AC76" i="178"/>
  <c r="AA78" i="178"/>
  <c r="AC83" i="178"/>
  <c r="AD86" i="178"/>
  <c r="AC91" i="178"/>
  <c r="AC96" i="178"/>
  <c r="AD102" i="178"/>
  <c r="AA16" i="178"/>
  <c r="F208" i="9"/>
  <c r="D224" i="9"/>
  <c r="M204" i="9"/>
  <c r="M167" i="9"/>
  <c r="F161" i="9"/>
  <c r="AA12" i="178"/>
  <c r="AA7" i="179"/>
  <c r="AA51" i="179"/>
  <c r="AA76" i="179"/>
  <c r="AA17" i="179"/>
  <c r="AA29" i="179"/>
  <c r="AA12" i="179"/>
  <c r="AA18" i="179"/>
  <c r="AA20" i="179"/>
  <c r="AA24" i="179"/>
  <c r="AA32" i="179"/>
  <c r="AA37" i="179"/>
  <c r="AA58" i="179"/>
  <c r="AA61" i="179"/>
  <c r="AA63" i="179"/>
  <c r="AA69" i="179"/>
  <c r="AA71" i="179"/>
  <c r="AC19" i="179"/>
  <c r="AE19" i="179"/>
  <c r="AD20" i="179"/>
  <c r="AC18" i="179"/>
  <c r="AE18" i="179"/>
  <c r="AD27" i="179"/>
  <c r="AC28" i="179"/>
  <c r="AF28" i="179" s="1"/>
  <c r="AG28" i="179" s="1"/>
  <c r="AE28" i="179"/>
  <c r="AD30" i="179"/>
  <c r="AC31" i="179"/>
  <c r="AE31" i="179"/>
  <c r="AD32" i="179"/>
  <c r="AC33" i="179"/>
  <c r="AE33" i="179"/>
  <c r="AD34" i="179"/>
  <c r="AC37" i="179"/>
  <c r="AE37" i="179"/>
  <c r="AD55" i="179"/>
  <c r="AD54" i="179"/>
  <c r="AC59" i="179"/>
  <c r="AE59" i="179"/>
  <c r="AD61" i="179"/>
  <c r="AD64" i="179"/>
  <c r="AD70" i="179"/>
  <c r="AD50" i="179"/>
  <c r="AA11" i="179"/>
  <c r="AA19" i="179"/>
  <c r="AA23" i="179"/>
  <c r="AA26" i="179"/>
  <c r="AA30" i="179"/>
  <c r="AA34" i="179"/>
  <c r="AA93" i="179" s="1"/>
  <c r="AA44" i="179"/>
  <c r="AA54" i="179"/>
  <c r="AA59" i="179"/>
  <c r="AA62" i="179"/>
  <c r="AA67" i="179"/>
  <c r="AA70" i="179"/>
  <c r="AA72" i="179"/>
  <c r="AA81" i="179"/>
  <c r="AC20" i="179"/>
  <c r="AC27" i="179"/>
  <c r="AC30" i="179"/>
  <c r="AC32" i="179"/>
  <c r="AC34" i="179"/>
  <c r="AC55" i="179"/>
  <c r="AE54" i="179"/>
  <c r="AC61" i="179"/>
  <c r="AF61" i="179" s="1"/>
  <c r="AG61" i="179" s="1"/>
  <c r="AC64" i="179"/>
  <c r="AC70" i="179"/>
  <c r="N140" i="9"/>
  <c r="F140" i="9"/>
  <c r="F149" i="9" s="1"/>
  <c r="G147" i="9" s="1"/>
  <c r="L140" i="9"/>
  <c r="AC12" i="180"/>
  <c r="AD12" i="180"/>
  <c r="AE12" i="180"/>
  <c r="AA16" i="180"/>
  <c r="AC16" i="180"/>
  <c r="AD16" i="180"/>
  <c r="AE16" i="180"/>
  <c r="AD37" i="180"/>
  <c r="AE37" i="180"/>
  <c r="AC37" i="180"/>
  <c r="AE62" i="180"/>
  <c r="AA70" i="180"/>
  <c r="AC63" i="180"/>
  <c r="AD63" i="180"/>
  <c r="AE63" i="180"/>
  <c r="AD71" i="180"/>
  <c r="AA71" i="180"/>
  <c r="AE72" i="180"/>
  <c r="AA72" i="180"/>
  <c r="AE73" i="180"/>
  <c r="AA73" i="180"/>
  <c r="AD9" i="180"/>
  <c r="AA9" i="180"/>
  <c r="AD13" i="180"/>
  <c r="AE13" i="180"/>
  <c r="AC13" i="180"/>
  <c r="AC17" i="180"/>
  <c r="AD17" i="180"/>
  <c r="AE17" i="180"/>
  <c r="AA17" i="180"/>
  <c r="AD25" i="180"/>
  <c r="AA25" i="180"/>
  <c r="AD29" i="180"/>
  <c r="AE29" i="180"/>
  <c r="AA29" i="180"/>
  <c r="AC29" i="180"/>
  <c r="AE30" i="180"/>
  <c r="AA32" i="180"/>
  <c r="AE38" i="180"/>
  <c r="AC38" i="180"/>
  <c r="AD38" i="180"/>
  <c r="AC39" i="180"/>
  <c r="AD39" i="180"/>
  <c r="AE39" i="180"/>
  <c r="AC40" i="180"/>
  <c r="AD40" i="180"/>
  <c r="AE40" i="180"/>
  <c r="AD41" i="180"/>
  <c r="AA49" i="180"/>
  <c r="AE50" i="180"/>
  <c r="AA56" i="180"/>
  <c r="AD51" i="180"/>
  <c r="AE51" i="180"/>
  <c r="AC51" i="180"/>
  <c r="AE55" i="180"/>
  <c r="AC55" i="180"/>
  <c r="AD55" i="180"/>
  <c r="AC10" i="180"/>
  <c r="AA10" i="180"/>
  <c r="AE14" i="180"/>
  <c r="AC14" i="180"/>
  <c r="AD14" i="180"/>
  <c r="AE22" i="180"/>
  <c r="AA22" i="180"/>
  <c r="AD26" i="180"/>
  <c r="AA26" i="180"/>
  <c r="AC33" i="180"/>
  <c r="AA40" i="180"/>
  <c r="AA111" i="180" s="1"/>
  <c r="AE34" i="180"/>
  <c r="AC34" i="180"/>
  <c r="AD34" i="180"/>
  <c r="AC35" i="180"/>
  <c r="AD35" i="180"/>
  <c r="AE35" i="180"/>
  <c r="AE57" i="180"/>
  <c r="AA61" i="180"/>
  <c r="AC59" i="180"/>
  <c r="AD59" i="180"/>
  <c r="AE59" i="180"/>
  <c r="AC11" i="180"/>
  <c r="AA11" i="180"/>
  <c r="AD11" i="180"/>
  <c r="AE11" i="180"/>
  <c r="AC15" i="180"/>
  <c r="AD15" i="180"/>
  <c r="AE15" i="180"/>
  <c r="AD19" i="180"/>
  <c r="AA19" i="180"/>
  <c r="AE23" i="180"/>
  <c r="AA23" i="180"/>
  <c r="AC36" i="180"/>
  <c r="AD36" i="180"/>
  <c r="AE36" i="180"/>
  <c r="AC61" i="180"/>
  <c r="AD61" i="180"/>
  <c r="AE61" i="180"/>
  <c r="AC74" i="180"/>
  <c r="AA77" i="180"/>
  <c r="AD79" i="180"/>
  <c r="AA79" i="180"/>
  <c r="AC81" i="180"/>
  <c r="AA81" i="180"/>
  <c r="AG17" i="180"/>
  <c r="AE77" i="180"/>
  <c r="AD44" i="180"/>
  <c r="AC79" i="180"/>
  <c r="AE68" i="180"/>
  <c r="AD68" i="180"/>
  <c r="AD48" i="180"/>
  <c r="AC20" i="180"/>
  <c r="Z112" i="180"/>
  <c r="AD30" i="180"/>
  <c r="AD66" i="180"/>
  <c r="AC30" i="180"/>
  <c r="AC48" i="180"/>
  <c r="AC66" i="180"/>
  <c r="AC69" i="180"/>
  <c r="AC62" i="180"/>
  <c r="AE64" i="180"/>
  <c r="AC71" i="180"/>
  <c r="AC44" i="180"/>
  <c r="AE52" i="180"/>
  <c r="AD62" i="180"/>
  <c r="AC23" i="180"/>
  <c r="AD28" i="180"/>
  <c r="AG35" i="180"/>
  <c r="AD43" i="180"/>
  <c r="AD46" i="180"/>
  <c r="AD50" i="180"/>
  <c r="AD56" i="180"/>
  <c r="AC60" i="180"/>
  <c r="AC73" i="180"/>
  <c r="AD78" i="180"/>
  <c r="AC25" i="180"/>
  <c r="AC26" i="180"/>
  <c r="AE27" i="180"/>
  <c r="AC28" i="180"/>
  <c r="AC46" i="180"/>
  <c r="AC50" i="180"/>
  <c r="AD54" i="180"/>
  <c r="AC56" i="180"/>
  <c r="AD65" i="180"/>
  <c r="AC78" i="180"/>
  <c r="AE33" i="180"/>
  <c r="AC42" i="180"/>
  <c r="AE53" i="180"/>
  <c r="AC65" i="180"/>
  <c r="AD70" i="180"/>
  <c r="AD72" i="180"/>
  <c r="AD20" i="180"/>
  <c r="AF20" i="180" s="1"/>
  <c r="AG20" i="180" s="1"/>
  <c r="AD23" i="180"/>
  <c r="AC41" i="180"/>
  <c r="AD42" i="180"/>
  <c r="AE43" i="180"/>
  <c r="AC45" i="180"/>
  <c r="AC47" i="180"/>
  <c r="AC49" i="180"/>
  <c r="AC57" i="180"/>
  <c r="AD60" i="180"/>
  <c r="AE75" i="180"/>
  <c r="AD81" i="180"/>
  <c r="AE41" i="180"/>
  <c r="AE25" i="180"/>
  <c r="AD45" i="180"/>
  <c r="AD47" i="180"/>
  <c r="AD49" i="180"/>
  <c r="AD57" i="180"/>
  <c r="S278" i="180"/>
  <c r="AE9" i="180"/>
  <c r="AE10" i="180"/>
  <c r="AD18" i="180"/>
  <c r="AD10" i="180"/>
  <c r="AC18" i="180"/>
  <c r="N285" i="180"/>
  <c r="AF105" i="180"/>
  <c r="AE6" i="180"/>
  <c r="AD22" i="180"/>
  <c r="AE26" i="180"/>
  <c r="AD33" i="180"/>
  <c r="AD53" i="180"/>
  <c r="AE69" i="180"/>
  <c r="AC70" i="180"/>
  <c r="AE71" i="180"/>
  <c r="AC72" i="180"/>
  <c r="AE74" i="180"/>
  <c r="AD75" i="180"/>
  <c r="AD77" i="180"/>
  <c r="AD6" i="180"/>
  <c r="AD8" i="180"/>
  <c r="AC9" i="180"/>
  <c r="AC19" i="180"/>
  <c r="AD21" i="180"/>
  <c r="AC22" i="180"/>
  <c r="AC24" i="180"/>
  <c r="AC27" i="180"/>
  <c r="AC32" i="180"/>
  <c r="AG36" i="180"/>
  <c r="AC52" i="180"/>
  <c r="AC58" i="180"/>
  <c r="AC64" i="180"/>
  <c r="AC67" i="180"/>
  <c r="AD74" i="180"/>
  <c r="AE79" i="180"/>
  <c r="AD80" i="180"/>
  <c r="AC6" i="180"/>
  <c r="AC8" i="180"/>
  <c r="AC21" i="180"/>
  <c r="AE54" i="180"/>
  <c r="AG59" i="180"/>
  <c r="AA278" i="180"/>
  <c r="AC80" i="180"/>
  <c r="AE81" i="180"/>
  <c r="AE19" i="180"/>
  <c r="AE24" i="180"/>
  <c r="AE32" i="180"/>
  <c r="AE58" i="180"/>
  <c r="AE67" i="180"/>
  <c r="N176" i="9"/>
  <c r="N159" i="9"/>
  <c r="N170" i="9"/>
  <c r="N173" i="9"/>
  <c r="L208" i="9"/>
  <c r="N210" i="9"/>
  <c r="F211" i="9"/>
  <c r="K178" i="9"/>
  <c r="N160" i="9"/>
  <c r="N163" i="9"/>
  <c r="M165" i="9"/>
  <c r="N165" i="9" s="1"/>
  <c r="N166" i="9"/>
  <c r="L168" i="9"/>
  <c r="N168" i="9" s="1"/>
  <c r="N175" i="9"/>
  <c r="N214" i="9"/>
  <c r="C187" i="9"/>
  <c r="N171" i="9"/>
  <c r="N199" i="9"/>
  <c r="D178" i="9"/>
  <c r="D187" i="9" s="1"/>
  <c r="L158" i="9"/>
  <c r="I178" i="9"/>
  <c r="I180" i="9" s="1"/>
  <c r="N172" i="9"/>
  <c r="E180" i="9"/>
  <c r="E187" i="9"/>
  <c r="N169" i="9"/>
  <c r="L161" i="9"/>
  <c r="N161" i="9" s="1"/>
  <c r="L167" i="9"/>
  <c r="N167" i="9" s="1"/>
  <c r="F170" i="9"/>
  <c r="F172" i="9"/>
  <c r="F174" i="9"/>
  <c r="F158" i="9"/>
  <c r="M158" i="9"/>
  <c r="F159" i="9"/>
  <c r="F165" i="9"/>
  <c r="F169" i="9"/>
  <c r="F183" i="9"/>
  <c r="F185" i="9" s="1"/>
  <c r="AC62" i="179"/>
  <c r="AC9" i="179"/>
  <c r="AD14" i="179"/>
  <c r="AC47" i="179"/>
  <c r="AD69" i="179"/>
  <c r="AE35" i="179"/>
  <c r="AE42" i="179"/>
  <c r="Z94" i="179"/>
  <c r="AE40" i="179"/>
  <c r="AC26" i="179"/>
  <c r="AC45" i="179"/>
  <c r="AE47" i="179"/>
  <c r="AC52" i="179"/>
  <c r="AC66" i="179"/>
  <c r="AE45" i="179"/>
  <c r="AC35" i="179"/>
  <c r="AE38" i="179"/>
  <c r="AC49" i="179"/>
  <c r="AC53" i="179"/>
  <c r="AC69" i="179"/>
  <c r="AE13" i="179"/>
  <c r="AE21" i="179"/>
  <c r="AD44" i="179"/>
  <c r="AD46" i="179"/>
  <c r="AD49" i="179"/>
  <c r="AC65" i="179"/>
  <c r="AD74" i="179"/>
  <c r="AC78" i="179"/>
  <c r="AE8" i="179"/>
  <c r="AD21" i="179"/>
  <c r="AD77" i="179"/>
  <c r="AC8" i="179"/>
  <c r="AE74" i="179"/>
  <c r="AD78" i="179"/>
  <c r="Z236" i="179"/>
  <c r="S233" i="179"/>
  <c r="AC14" i="179"/>
  <c r="AC22" i="179"/>
  <c r="AD23" i="179"/>
  <c r="AC24" i="179"/>
  <c r="AD26" i="179"/>
  <c r="AD39" i="179"/>
  <c r="AD41" i="179"/>
  <c r="AC43" i="179"/>
  <c r="AE44" i="179"/>
  <c r="AC46" i="179"/>
  <c r="AE48" i="179"/>
  <c r="AC50" i="179"/>
  <c r="AD52" i="179"/>
  <c r="AD58" i="179"/>
  <c r="AC60" i="179"/>
  <c r="AD65" i="179"/>
  <c r="AD68" i="179"/>
  <c r="AC71" i="179"/>
  <c r="AC72" i="179"/>
  <c r="AC75" i="179"/>
  <c r="AE77" i="179"/>
  <c r="AC80" i="179"/>
  <c r="AD48" i="179"/>
  <c r="AD6" i="179"/>
  <c r="AE11" i="179"/>
  <c r="AD16" i="179"/>
  <c r="AD38" i="179"/>
  <c r="AD40" i="179"/>
  <c r="AD42" i="179"/>
  <c r="AE60" i="179"/>
  <c r="AE71" i="179"/>
  <c r="AE80" i="179"/>
  <c r="AD11" i="179"/>
  <c r="AC16" i="179"/>
  <c r="AE39" i="179"/>
  <c r="AE41" i="179"/>
  <c r="AD43" i="179"/>
  <c r="AE58" i="179"/>
  <c r="AE68" i="179"/>
  <c r="AD75" i="179"/>
  <c r="N240" i="179"/>
  <c r="AF87" i="179"/>
  <c r="AE10" i="179"/>
  <c r="AE15" i="179"/>
  <c r="AE79" i="179"/>
  <c r="AD15" i="179"/>
  <c r="AE25" i="179"/>
  <c r="AE56" i="179"/>
  <c r="AE63" i="179"/>
  <c r="AE67" i="179"/>
  <c r="AE81" i="179"/>
  <c r="AD10" i="179"/>
  <c r="AE12" i="179"/>
  <c r="AE22" i="179"/>
  <c r="AC23" i="179"/>
  <c r="AE36" i="179"/>
  <c r="AE57" i="179"/>
  <c r="AE73" i="179"/>
  <c r="AE6" i="179"/>
  <c r="AE9" i="179"/>
  <c r="AC10" i="179"/>
  <c r="AD12" i="179"/>
  <c r="AC13" i="179"/>
  <c r="AC15" i="179"/>
  <c r="AE24" i="179"/>
  <c r="AD25" i="179"/>
  <c r="AG34" i="179"/>
  <c r="AD36" i="179"/>
  <c r="AE53" i="179"/>
  <c r="AD56" i="179"/>
  <c r="AD57" i="179"/>
  <c r="AE62" i="179"/>
  <c r="AD63" i="179"/>
  <c r="AE66" i="179"/>
  <c r="AD67" i="179"/>
  <c r="AE72" i="179"/>
  <c r="AD73" i="179"/>
  <c r="AC79" i="179"/>
  <c r="AD81" i="179"/>
  <c r="AC56" i="179"/>
  <c r="N215" i="9"/>
  <c r="F197" i="9"/>
  <c r="N211" i="9"/>
  <c r="D217" i="9"/>
  <c r="D219" i="9" s="1"/>
  <c r="N198" i="9"/>
  <c r="C226" i="9"/>
  <c r="N203" i="9"/>
  <c r="N201" i="9"/>
  <c r="N205" i="9"/>
  <c r="N202" i="9"/>
  <c r="K217" i="9"/>
  <c r="E219" i="9"/>
  <c r="E226" i="9"/>
  <c r="N204" i="9"/>
  <c r="N207" i="9"/>
  <c r="N206" i="9"/>
  <c r="N213" i="9"/>
  <c r="N212" i="9"/>
  <c r="F207" i="9"/>
  <c r="M208" i="9"/>
  <c r="L209" i="9"/>
  <c r="N209" i="9" s="1"/>
  <c r="F213" i="9"/>
  <c r="N197" i="9"/>
  <c r="F204" i="9"/>
  <c r="F206" i="9"/>
  <c r="J207" i="9"/>
  <c r="F212" i="9"/>
  <c r="I217" i="9"/>
  <c r="I219" i="9" s="1"/>
  <c r="F222" i="9"/>
  <c r="F224" i="9" s="1"/>
  <c r="AC12" i="178"/>
  <c r="AF12" i="178" s="1"/>
  <c r="AG12" i="178" s="1"/>
  <c r="AC20" i="178"/>
  <c r="AD27" i="178"/>
  <c r="AD29" i="178"/>
  <c r="AD31" i="178"/>
  <c r="AC32" i="178"/>
  <c r="AC61" i="178"/>
  <c r="AD66" i="178"/>
  <c r="AD67" i="178"/>
  <c r="AD74" i="178"/>
  <c r="AD75" i="178"/>
  <c r="AC78" i="178"/>
  <c r="AC79" i="178"/>
  <c r="AC84" i="178"/>
  <c r="AE86" i="178"/>
  <c r="AD90" i="178"/>
  <c r="AD91" i="178"/>
  <c r="AC94" i="178"/>
  <c r="AC95" i="178"/>
  <c r="AC100" i="178"/>
  <c r="AE102" i="178"/>
  <c r="AA90" i="178"/>
  <c r="AA79" i="178"/>
  <c r="AA69" i="178"/>
  <c r="AA52" i="178"/>
  <c r="AA28" i="178"/>
  <c r="AA22" i="178"/>
  <c r="AA103" i="178"/>
  <c r="AA81" i="178"/>
  <c r="AA70" i="178"/>
  <c r="AA55" i="178"/>
  <c r="AA30" i="178"/>
  <c r="AA113" i="178" s="1"/>
  <c r="AC8" i="178"/>
  <c r="AF14" i="178"/>
  <c r="AG14" i="178" s="1"/>
  <c r="AC16" i="178"/>
  <c r="AC24" i="178"/>
  <c r="AF34" i="178"/>
  <c r="AG34" i="178" s="1"/>
  <c r="AC36" i="178"/>
  <c r="AF36" i="178" s="1"/>
  <c r="AG36" i="178" s="1"/>
  <c r="AE70" i="178"/>
  <c r="AE78" i="178"/>
  <c r="AE94" i="178"/>
  <c r="AA83" i="178"/>
  <c r="AA75" i="178"/>
  <c r="AA64" i="178"/>
  <c r="AA26" i="178"/>
  <c r="AD70" i="178"/>
  <c r="AD78" i="178"/>
  <c r="AD79" i="178"/>
  <c r="AD95" i="178"/>
  <c r="AA65" i="178"/>
  <c r="AA43" i="178"/>
  <c r="AA27" i="178"/>
  <c r="AA259" i="178" s="1"/>
  <c r="Z114" i="178"/>
  <c r="Z261" i="178"/>
  <c r="N265" i="178"/>
  <c r="AF107" i="178"/>
  <c r="AC6" i="178"/>
  <c r="AD8" i="178"/>
  <c r="AC9" i="178"/>
  <c r="AE11" i="178"/>
  <c r="AD12" i="178"/>
  <c r="AC13" i="178"/>
  <c r="AE15" i="178"/>
  <c r="AF15" i="178" s="1"/>
  <c r="AG15" i="178" s="1"/>
  <c r="AD16" i="178"/>
  <c r="AC17" i="178"/>
  <c r="AE19" i="178"/>
  <c r="AF19" i="178" s="1"/>
  <c r="AG19" i="178" s="1"/>
  <c r="AD20" i="178"/>
  <c r="AC21" i="178"/>
  <c r="AE23" i="178"/>
  <c r="AF23" i="178" s="1"/>
  <c r="AG23" i="178" s="1"/>
  <c r="AD24" i="178"/>
  <c r="AC25" i="178"/>
  <c r="AE31" i="178"/>
  <c r="AD32" i="178"/>
  <c r="AC33" i="178"/>
  <c r="AE35" i="178"/>
  <c r="AF35" i="178" s="1"/>
  <c r="AG35" i="178" s="1"/>
  <c r="AD36" i="178"/>
  <c r="AC37" i="178"/>
  <c r="AC38" i="178"/>
  <c r="AC39" i="178"/>
  <c r="AC40" i="178"/>
  <c r="AC41" i="178"/>
  <c r="AC42" i="178"/>
  <c r="AC43" i="178"/>
  <c r="AC44" i="178"/>
  <c r="AC45" i="178"/>
  <c r="AC46" i="178"/>
  <c r="AC47" i="178"/>
  <c r="AC48" i="178"/>
  <c r="AC49" i="178"/>
  <c r="AC50" i="178"/>
  <c r="AC51" i="178"/>
  <c r="AC52" i="178"/>
  <c r="AC53" i="178"/>
  <c r="AC54" i="178"/>
  <c r="AC55" i="178"/>
  <c r="AC56" i="178"/>
  <c r="AC57" i="178"/>
  <c r="AD61" i="178"/>
  <c r="AD62" i="178"/>
  <c r="AC63" i="178"/>
  <c r="AC64" i="178"/>
  <c r="AC65" i="178"/>
  <c r="AD68" i="178"/>
  <c r="AC69" i="178"/>
  <c r="AD72" i="178"/>
  <c r="AC73" i="178"/>
  <c r="AD76" i="178"/>
  <c r="AC77" i="178"/>
  <c r="AD80" i="178"/>
  <c r="AC81" i="178"/>
  <c r="AD84" i="178"/>
  <c r="AC85" i="178"/>
  <c r="AD88" i="178"/>
  <c r="AC89" i="178"/>
  <c r="AD92" i="178"/>
  <c r="AC93" i="178"/>
  <c r="AD96" i="178"/>
  <c r="AC97" i="178"/>
  <c r="AD100" i="178"/>
  <c r="AC101" i="178"/>
  <c r="AE6" i="178"/>
  <c r="AE9" i="178"/>
  <c r="AE13" i="178"/>
  <c r="AE17" i="178"/>
  <c r="AF17" i="178" s="1"/>
  <c r="AG17" i="178" s="1"/>
  <c r="AF20" i="178"/>
  <c r="AG20" i="178" s="1"/>
  <c r="AE21" i="178"/>
  <c r="AF21" i="178" s="1"/>
  <c r="AG21" i="178" s="1"/>
  <c r="AE25" i="178"/>
  <c r="AF25" i="178" s="1"/>
  <c r="AG25" i="178" s="1"/>
  <c r="AF32" i="178"/>
  <c r="AG32" i="178" s="1"/>
  <c r="AE33" i="178"/>
  <c r="AE37" i="178"/>
  <c r="AE38" i="178"/>
  <c r="AE39" i="178"/>
  <c r="AE40" i="178"/>
  <c r="AE41" i="178"/>
  <c r="AE42" i="178"/>
  <c r="AE43" i="178"/>
  <c r="AE44" i="178"/>
  <c r="AE45" i="178"/>
  <c r="AE46" i="178"/>
  <c r="AE47" i="178"/>
  <c r="AE48" i="178"/>
  <c r="AE49" i="178"/>
  <c r="AE50" i="178"/>
  <c r="AE51" i="178"/>
  <c r="AE52" i="178"/>
  <c r="AE53" i="178"/>
  <c r="AE54" i="178"/>
  <c r="AE55" i="178"/>
  <c r="AE56" i="178"/>
  <c r="AE57" i="178"/>
  <c r="AE63" i="178"/>
  <c r="AE64" i="178"/>
  <c r="AE65" i="178"/>
  <c r="AE69" i="178"/>
  <c r="AE73" i="178"/>
  <c r="AE77" i="178"/>
  <c r="AE81" i="178"/>
  <c r="AE85" i="178"/>
  <c r="AE89" i="178"/>
  <c r="AE93" i="178"/>
  <c r="AE97" i="178"/>
  <c r="AE101" i="178"/>
  <c r="Z106" i="178"/>
  <c r="AD6" i="178"/>
  <c r="AF23" i="179" l="1"/>
  <c r="AG23" i="179" s="1"/>
  <c r="AF11" i="178"/>
  <c r="AG11" i="178" s="1"/>
  <c r="M217" i="9"/>
  <c r="AF31" i="178"/>
  <c r="AG31" i="178" s="1"/>
  <c r="AF24" i="179"/>
  <c r="AG24" i="179" s="1"/>
  <c r="AF13" i="179"/>
  <c r="AG13" i="179" s="1"/>
  <c r="AF28" i="180"/>
  <c r="AG28" i="180" s="1"/>
  <c r="J217" i="9"/>
  <c r="AF9" i="178"/>
  <c r="AG9" i="178" s="1"/>
  <c r="AF6" i="178"/>
  <c r="AG6" i="178" s="1"/>
  <c r="AF16" i="178"/>
  <c r="AG16" i="178" s="1"/>
  <c r="AF16" i="179"/>
  <c r="AG16" i="179" s="1"/>
  <c r="AF6" i="179"/>
  <c r="AF30" i="179"/>
  <c r="AG30" i="179" s="1"/>
  <c r="AF20" i="179"/>
  <c r="AG20" i="179" s="1"/>
  <c r="AA106" i="178"/>
  <c r="AF24" i="178"/>
  <c r="AG24" i="178" s="1"/>
  <c r="AA112" i="181"/>
  <c r="AF8" i="180"/>
  <c r="AG8" i="180" s="1"/>
  <c r="AF9" i="180"/>
  <c r="AG9" i="180" s="1"/>
  <c r="AF26" i="180"/>
  <c r="AG26" i="180" s="1"/>
  <c r="AA108" i="180"/>
  <c r="AF13" i="180"/>
  <c r="AG13" i="180" s="1"/>
  <c r="AF104" i="181"/>
  <c r="AF107" i="181" s="1"/>
  <c r="AG107" i="181"/>
  <c r="AF8" i="178"/>
  <c r="AG8" i="178" s="1"/>
  <c r="AF70" i="178"/>
  <c r="AG70" i="178" s="1"/>
  <c r="AF8" i="179"/>
  <c r="AG8" i="179" s="1"/>
  <c r="M178" i="9"/>
  <c r="AF14" i="180"/>
  <c r="AG14" i="180" s="1"/>
  <c r="AF55" i="179"/>
  <c r="AG55" i="179" s="1"/>
  <c r="AF27" i="179"/>
  <c r="AG27" i="179" s="1"/>
  <c r="AF19" i="179"/>
  <c r="AA110" i="178"/>
  <c r="AA114" i="178" s="1"/>
  <c r="AA112" i="178"/>
  <c r="AA110" i="180"/>
  <c r="AA90" i="179"/>
  <c r="AA111" i="178"/>
  <c r="AF59" i="179"/>
  <c r="AG59" i="179" s="1"/>
  <c r="AF37" i="179"/>
  <c r="AG37" i="179" s="1"/>
  <c r="AF18" i="179"/>
  <c r="AG18" i="179" s="1"/>
  <c r="AA92" i="179"/>
  <c r="AA91" i="179"/>
  <c r="AF29" i="180"/>
  <c r="AG29" i="180" s="1"/>
  <c r="AA109" i="180"/>
  <c r="AF16" i="180"/>
  <c r="AG16" i="180" s="1"/>
  <c r="AF12" i="180"/>
  <c r="AG12" i="180" s="1"/>
  <c r="AF15" i="180"/>
  <c r="AG15" i="180" s="1"/>
  <c r="AF11" i="180"/>
  <c r="AG11" i="180" s="1"/>
  <c r="AG30" i="180"/>
  <c r="AF27" i="180"/>
  <c r="AG27" i="180" s="1"/>
  <c r="AF24" i="180"/>
  <c r="AG24" i="180" s="1"/>
  <c r="AF21" i="180"/>
  <c r="AG21" i="180" s="1"/>
  <c r="AF25" i="180"/>
  <c r="AG25" i="180" s="1"/>
  <c r="AF23" i="180"/>
  <c r="AG23" i="180" s="1"/>
  <c r="AG37" i="180"/>
  <c r="AG61" i="180"/>
  <c r="AF10" i="180"/>
  <c r="AG10" i="180" s="1"/>
  <c r="AG55" i="180"/>
  <c r="AF22" i="180"/>
  <c r="AG22" i="180" s="1"/>
  <c r="AF19" i="180"/>
  <c r="AG19" i="180" s="1"/>
  <c r="AF18" i="180"/>
  <c r="AG18" i="180" s="1"/>
  <c r="AF6" i="180"/>
  <c r="AA279" i="180"/>
  <c r="D180" i="9"/>
  <c r="F178" i="9"/>
  <c r="F187" i="9" s="1"/>
  <c r="G185" i="9" s="1"/>
  <c r="L178" i="9"/>
  <c r="N158" i="9"/>
  <c r="N178" i="9" s="1"/>
  <c r="AF9" i="179"/>
  <c r="AG9" i="179" s="1"/>
  <c r="AG32" i="179"/>
  <c r="AF10" i="179"/>
  <c r="AG10" i="179" s="1"/>
  <c r="AG19" i="179"/>
  <c r="AF12" i="179"/>
  <c r="AG12" i="179" s="1"/>
  <c r="AF26" i="179"/>
  <c r="AG26" i="179" s="1"/>
  <c r="AF35" i="179"/>
  <c r="AG35" i="179" s="1"/>
  <c r="AG70" i="179"/>
  <c r="AF14" i="179"/>
  <c r="AG14" i="179" s="1"/>
  <c r="AF25" i="179"/>
  <c r="AG25" i="179" s="1"/>
  <c r="AF22" i="179"/>
  <c r="AG22" i="179" s="1"/>
  <c r="AG31" i="179"/>
  <c r="AF15" i="179"/>
  <c r="AG15" i="179" s="1"/>
  <c r="AF21" i="179"/>
  <c r="AG21" i="179" s="1"/>
  <c r="AF11" i="179"/>
  <c r="AG11" i="179" s="1"/>
  <c r="AG17" i="179"/>
  <c r="AF36" i="179"/>
  <c r="AG36" i="179" s="1"/>
  <c r="AG33" i="179"/>
  <c r="AG6" i="179"/>
  <c r="AA233" i="179"/>
  <c r="AA234" i="179"/>
  <c r="D226" i="9"/>
  <c r="F217" i="9"/>
  <c r="F226" i="9" s="1"/>
  <c r="G224" i="9" s="1"/>
  <c r="N208" i="9"/>
  <c r="N217" i="9" s="1"/>
  <c r="L217" i="9"/>
  <c r="Z253" i="178"/>
  <c r="AA258" i="178"/>
  <c r="AA261" i="178" s="1"/>
  <c r="AF33" i="178"/>
  <c r="AG33" i="178" s="1"/>
  <c r="AF13" i="178"/>
  <c r="AG13" i="178" s="1"/>
  <c r="AF106" i="178" l="1"/>
  <c r="AF109" i="178" s="1"/>
  <c r="AA112" i="180"/>
  <c r="AF86" i="179"/>
  <c r="AG6" i="180"/>
  <c r="AG107" i="180" s="1"/>
  <c r="AF104" i="180"/>
  <c r="AA94" i="179"/>
  <c r="AA236" i="179"/>
  <c r="AG89" i="179"/>
  <c r="AG228" i="179" s="1"/>
  <c r="AF253" i="178"/>
  <c r="AG109" i="178"/>
  <c r="AG253" i="178" s="1"/>
  <c r="AF107" i="180" l="1"/>
  <c r="I245" i="9"/>
  <c r="E243" i="9"/>
  <c r="E260" i="9"/>
  <c r="E259" i="9"/>
  <c r="I244" i="9"/>
  <c r="E248" i="9"/>
  <c r="E246" i="9"/>
  <c r="E245" i="9"/>
  <c r="E237" i="9"/>
  <c r="E244" i="9"/>
  <c r="E249" i="9"/>
  <c r="E247" i="9"/>
  <c r="E250" i="9"/>
  <c r="E241" i="9"/>
  <c r="F241" i="9" s="1"/>
  <c r="F236" i="9"/>
  <c r="F238" i="9"/>
  <c r="F239" i="9"/>
  <c r="F240" i="9"/>
  <c r="F242" i="9"/>
  <c r="F247" i="9"/>
  <c r="F234" i="9"/>
  <c r="E235" i="9"/>
  <c r="D260" i="9"/>
  <c r="D259" i="9"/>
  <c r="H244" i="9"/>
  <c r="D248" i="9"/>
  <c r="D246" i="9"/>
  <c r="D245" i="9"/>
  <c r="D244" i="9"/>
  <c r="D249" i="9"/>
  <c r="D250" i="9"/>
  <c r="D243" i="9"/>
  <c r="D237" i="9"/>
  <c r="D235" i="9"/>
  <c r="F243" i="9" l="1"/>
  <c r="F250" i="9"/>
  <c r="F249" i="9"/>
  <c r="F244" i="9"/>
  <c r="F246" i="9"/>
  <c r="F235" i="9"/>
  <c r="F237" i="9"/>
  <c r="F245" i="9"/>
  <c r="F248" i="9"/>
  <c r="Z283" i="177"/>
  <c r="Z282" i="177"/>
  <c r="Z281" i="177"/>
  <c r="Z280" i="177"/>
  <c r="X83" i="177"/>
  <c r="AF79" i="177"/>
  <c r="AG79" i="177" s="1"/>
  <c r="AF78" i="177"/>
  <c r="AG78" i="177" s="1"/>
  <c r="AF77" i="177"/>
  <c r="AF76" i="177"/>
  <c r="AF75" i="177"/>
  <c r="AG75" i="177" s="1"/>
  <c r="AF80" i="177"/>
  <c r="AG80" i="177" s="1"/>
  <c r="AF74" i="177"/>
  <c r="AF73" i="177"/>
  <c r="AF72" i="177"/>
  <c r="AG72" i="177" s="1"/>
  <c r="AF71" i="177"/>
  <c r="AG71" i="177" s="1"/>
  <c r="AF70" i="177"/>
  <c r="AF69" i="177"/>
  <c r="AF68" i="177"/>
  <c r="AF67" i="177"/>
  <c r="AF66" i="177"/>
  <c r="AG66" i="177" s="1"/>
  <c r="AF62" i="177"/>
  <c r="AG62" i="177" s="1"/>
  <c r="AF14" i="177"/>
  <c r="AF23" i="177"/>
  <c r="AF86" i="177"/>
  <c r="M285" i="177"/>
  <c r="R288" i="177"/>
  <c r="M288" i="177"/>
  <c r="S285" i="177"/>
  <c r="Q285" i="177"/>
  <c r="R281" i="177"/>
  <c r="Q281" i="177"/>
  <c r="Q288" i="177" s="1"/>
  <c r="P281" i="177"/>
  <c r="O281" i="177"/>
  <c r="N281" i="177"/>
  <c r="N283" i="177" s="1"/>
  <c r="M281" i="177"/>
  <c r="AF277" i="177"/>
  <c r="AB276" i="177"/>
  <c r="S274" i="177"/>
  <c r="S273" i="177"/>
  <c r="S272" i="177"/>
  <c r="S271" i="177"/>
  <c r="S270" i="177"/>
  <c r="S83" i="177"/>
  <c r="S269" i="177"/>
  <c r="S268" i="177"/>
  <c r="S267" i="177"/>
  <c r="S266" i="177"/>
  <c r="S265" i="177"/>
  <c r="S264" i="177"/>
  <c r="S263" i="177"/>
  <c r="S262" i="177"/>
  <c r="S261" i="177"/>
  <c r="S260" i="177"/>
  <c r="S259" i="177"/>
  <c r="S258" i="177"/>
  <c r="S257" i="177"/>
  <c r="S256" i="177"/>
  <c r="S255" i="177"/>
  <c r="S254" i="177"/>
  <c r="S253" i="177"/>
  <c r="S252" i="177"/>
  <c r="S251" i="177"/>
  <c r="S250" i="177"/>
  <c r="S249" i="177"/>
  <c r="S248" i="177"/>
  <c r="S247" i="177"/>
  <c r="S246" i="177"/>
  <c r="S245" i="177"/>
  <c r="S244" i="177"/>
  <c r="S243" i="177"/>
  <c r="S242" i="177"/>
  <c r="S241" i="177"/>
  <c r="S240" i="177"/>
  <c r="S239" i="177"/>
  <c r="S238" i="177"/>
  <c r="S237" i="177"/>
  <c r="S236" i="177"/>
  <c r="S235" i="177"/>
  <c r="S234" i="177"/>
  <c r="S233" i="177"/>
  <c r="S232" i="177"/>
  <c r="S231" i="177"/>
  <c r="S230" i="177"/>
  <c r="S229" i="177"/>
  <c r="S228" i="177"/>
  <c r="S227" i="177"/>
  <c r="S226" i="177"/>
  <c r="S225" i="177"/>
  <c r="S224" i="177"/>
  <c r="S223" i="177"/>
  <c r="S222" i="177"/>
  <c r="S221" i="177"/>
  <c r="S220" i="177"/>
  <c r="S219" i="177"/>
  <c r="S218" i="177"/>
  <c r="S217" i="177"/>
  <c r="S216" i="177"/>
  <c r="S215" i="177"/>
  <c r="S85" i="177"/>
  <c r="S82" i="177"/>
  <c r="S214" i="177"/>
  <c r="S213" i="177"/>
  <c r="S212" i="177"/>
  <c r="S211" i="177"/>
  <c r="S210" i="177"/>
  <c r="S81" i="177"/>
  <c r="S209" i="177"/>
  <c r="S208" i="177"/>
  <c r="S207" i="177"/>
  <c r="S206" i="177"/>
  <c r="S205" i="177"/>
  <c r="S84" i="177"/>
  <c r="S87" i="177"/>
  <c r="S145" i="177"/>
  <c r="S144" i="177"/>
  <c r="S204" i="177"/>
  <c r="S203" i="177"/>
  <c r="S89" i="177"/>
  <c r="S143" i="177"/>
  <c r="S88" i="177"/>
  <c r="S142" i="177"/>
  <c r="S141" i="177"/>
  <c r="S140" i="177"/>
  <c r="S202" i="177"/>
  <c r="S201" i="177"/>
  <c r="S86" i="177"/>
  <c r="S200" i="177"/>
  <c r="S73" i="177"/>
  <c r="S139" i="177"/>
  <c r="S199" i="177"/>
  <c r="S138" i="177"/>
  <c r="S72" i="177"/>
  <c r="S71" i="177"/>
  <c r="S198" i="177"/>
  <c r="S74" i="177"/>
  <c r="S70" i="177"/>
  <c r="S67" i="177"/>
  <c r="S69" i="177"/>
  <c r="S66" i="177"/>
  <c r="S133" i="177"/>
  <c r="Y99" i="177"/>
  <c r="S132" i="177"/>
  <c r="Y98" i="177"/>
  <c r="S131" i="177"/>
  <c r="Y97" i="177"/>
  <c r="S130" i="177"/>
  <c r="Y96" i="177"/>
  <c r="S137" i="177"/>
  <c r="S136" i="177"/>
  <c r="S135" i="177"/>
  <c r="S134" i="177"/>
  <c r="AA92" i="177"/>
  <c r="X92" i="177"/>
  <c r="S68" i="177"/>
  <c r="S80" i="177"/>
  <c r="S103" i="177"/>
  <c r="S102" i="177"/>
  <c r="S197" i="177"/>
  <c r="S196" i="177"/>
  <c r="S63" i="177"/>
  <c r="S40" i="177"/>
  <c r="S38" i="177"/>
  <c r="S129" i="177"/>
  <c r="S128" i="177"/>
  <c r="S127" i="177"/>
  <c r="S126" i="177"/>
  <c r="S36" i="177"/>
  <c r="S115" i="177"/>
  <c r="S114" i="177"/>
  <c r="S125" i="177"/>
  <c r="S124" i="177"/>
  <c r="S37" i="177"/>
  <c r="S123" i="177"/>
  <c r="S122" i="177"/>
  <c r="S39" i="177"/>
  <c r="S121" i="177"/>
  <c r="S120" i="177"/>
  <c r="S119" i="177"/>
  <c r="S118" i="177"/>
  <c r="S117" i="177"/>
  <c r="S116" i="177"/>
  <c r="S195" i="177"/>
  <c r="S76" i="177"/>
  <c r="S79" i="177"/>
  <c r="S77" i="177"/>
  <c r="S78" i="177"/>
  <c r="S75" i="177"/>
  <c r="S194" i="177"/>
  <c r="S193" i="177"/>
  <c r="S192" i="177"/>
  <c r="S191" i="177"/>
  <c r="S19" i="177"/>
  <c r="S18" i="177"/>
  <c r="S15" i="177"/>
  <c r="S107" i="177"/>
  <c r="S109" i="177"/>
  <c r="S106" i="177"/>
  <c r="S105" i="177"/>
  <c r="S104" i="177"/>
  <c r="S16" i="177"/>
  <c r="S17" i="177"/>
  <c r="S190" i="177"/>
  <c r="S108" i="177"/>
  <c r="S14" i="177"/>
  <c r="S189" i="177"/>
  <c r="S188" i="177"/>
  <c r="S187" i="177"/>
  <c r="S186" i="177"/>
  <c r="S185" i="177"/>
  <c r="S184" i="177"/>
  <c r="S183" i="177"/>
  <c r="S182" i="177"/>
  <c r="S181" i="177"/>
  <c r="S180" i="177"/>
  <c r="S30" i="177"/>
  <c r="S31" i="177"/>
  <c r="S28" i="177"/>
  <c r="S91" i="177"/>
  <c r="S90" i="177"/>
  <c r="S29" i="177"/>
  <c r="S22" i="177"/>
  <c r="S21" i="177"/>
  <c r="S20" i="177"/>
  <c r="S179" i="177"/>
  <c r="S178" i="177"/>
  <c r="S177" i="177"/>
  <c r="S176" i="177"/>
  <c r="S175" i="177"/>
  <c r="AF89" i="177"/>
  <c r="AG89" i="177" s="1"/>
  <c r="Z89" i="177"/>
  <c r="AC89" i="177" s="1"/>
  <c r="Y89" i="177"/>
  <c r="X89" i="177"/>
  <c r="W89" i="177"/>
  <c r="V89" i="177"/>
  <c r="U89" i="177"/>
  <c r="S174" i="177"/>
  <c r="AF88" i="177"/>
  <c r="AG88" i="177" s="1"/>
  <c r="Z88" i="177"/>
  <c r="AC88" i="177" s="1"/>
  <c r="Y88" i="177"/>
  <c r="X88" i="177"/>
  <c r="W88" i="177"/>
  <c r="V88" i="177"/>
  <c r="U88" i="177"/>
  <c r="S24" i="177"/>
  <c r="AF87" i="177"/>
  <c r="AG87" i="177" s="1"/>
  <c r="Z87" i="177"/>
  <c r="AE87" i="177" s="1"/>
  <c r="Y87" i="177"/>
  <c r="X87" i="177"/>
  <c r="W87" i="177"/>
  <c r="V87" i="177"/>
  <c r="U87" i="177"/>
  <c r="S173" i="177"/>
  <c r="AG86" i="177"/>
  <c r="Z86" i="177"/>
  <c r="Y86" i="177"/>
  <c r="X86" i="177"/>
  <c r="W86" i="177"/>
  <c r="V86" i="177"/>
  <c r="U86" i="177"/>
  <c r="S172" i="177"/>
  <c r="AF85" i="177"/>
  <c r="AG85" i="177" s="1"/>
  <c r="Z85" i="177"/>
  <c r="AE85" i="177" s="1"/>
  <c r="Y85" i="177"/>
  <c r="X85" i="177"/>
  <c r="W85" i="177"/>
  <c r="V85" i="177"/>
  <c r="U85" i="177"/>
  <c r="S26" i="177"/>
  <c r="AF84" i="177"/>
  <c r="AG84" i="177" s="1"/>
  <c r="Z84" i="177"/>
  <c r="AE84" i="177" s="1"/>
  <c r="Y84" i="177"/>
  <c r="X84" i="177"/>
  <c r="W84" i="177"/>
  <c r="V84" i="177"/>
  <c r="U84" i="177"/>
  <c r="S93" i="177"/>
  <c r="AF83" i="177"/>
  <c r="AG83" i="177" s="1"/>
  <c r="Z83" i="177"/>
  <c r="AD83" i="177" s="1"/>
  <c r="Y83" i="177"/>
  <c r="W83" i="177"/>
  <c r="V83" i="177"/>
  <c r="U83" i="177"/>
  <c r="S101" i="177"/>
  <c r="AF82" i="177"/>
  <c r="AG82" i="177" s="1"/>
  <c r="Z82" i="177"/>
  <c r="AC82" i="177" s="1"/>
  <c r="Y82" i="177"/>
  <c r="X82" i="177"/>
  <c r="W82" i="177"/>
  <c r="V82" i="177"/>
  <c r="U82" i="177"/>
  <c r="S92" i="177"/>
  <c r="AF81" i="177"/>
  <c r="AG81" i="177" s="1"/>
  <c r="Z81" i="177"/>
  <c r="AE81" i="177" s="1"/>
  <c r="Y81" i="177"/>
  <c r="X81" i="177"/>
  <c r="W81" i="177"/>
  <c r="V81" i="177"/>
  <c r="U81" i="177"/>
  <c r="S25" i="177"/>
  <c r="Z80" i="177"/>
  <c r="AA80" i="177" s="1"/>
  <c r="Y80" i="177"/>
  <c r="X80" i="177"/>
  <c r="W80" i="177"/>
  <c r="V80" i="177"/>
  <c r="U80" i="177"/>
  <c r="S100" i="177"/>
  <c r="Z79" i="177"/>
  <c r="AC79" i="177" s="1"/>
  <c r="Y79" i="177"/>
  <c r="X79" i="177"/>
  <c r="W79" i="177"/>
  <c r="V79" i="177"/>
  <c r="U79" i="177"/>
  <c r="S99" i="177"/>
  <c r="Z78" i="177"/>
  <c r="AC78" i="177" s="1"/>
  <c r="Y78" i="177"/>
  <c r="X78" i="177"/>
  <c r="W78" i="177"/>
  <c r="V78" i="177"/>
  <c r="U78" i="177"/>
  <c r="S98" i="177"/>
  <c r="Z77" i="177"/>
  <c r="AC77" i="177" s="1"/>
  <c r="Y77" i="177"/>
  <c r="X77" i="177"/>
  <c r="W77" i="177"/>
  <c r="V77" i="177"/>
  <c r="U77" i="177"/>
  <c r="S27" i="177"/>
  <c r="Z76" i="177"/>
  <c r="AC76" i="177" s="1"/>
  <c r="Y76" i="177"/>
  <c r="X76" i="177"/>
  <c r="W76" i="177"/>
  <c r="V76" i="177"/>
  <c r="U76" i="177"/>
  <c r="S97" i="177"/>
  <c r="Z75" i="177"/>
  <c r="AC75" i="177" s="1"/>
  <c r="Y75" i="177"/>
  <c r="X75" i="177"/>
  <c r="W75" i="177"/>
  <c r="V75" i="177"/>
  <c r="U75" i="177"/>
  <c r="S96" i="177"/>
  <c r="AG74" i="177"/>
  <c r="Z74" i="177"/>
  <c r="AE74" i="177" s="1"/>
  <c r="Y74" i="177"/>
  <c r="X74" i="177"/>
  <c r="W74" i="177"/>
  <c r="V74" i="177"/>
  <c r="U74" i="177"/>
  <c r="S95" i="177"/>
  <c r="AG73" i="177"/>
  <c r="Z73" i="177"/>
  <c r="AE73" i="177" s="1"/>
  <c r="Y73" i="177"/>
  <c r="X73" i="177"/>
  <c r="W73" i="177"/>
  <c r="V73" i="177"/>
  <c r="U73" i="177"/>
  <c r="S23" i="177"/>
  <c r="Z72" i="177"/>
  <c r="AE72" i="177" s="1"/>
  <c r="Y72" i="177"/>
  <c r="X72" i="177"/>
  <c r="W72" i="177"/>
  <c r="V72" i="177"/>
  <c r="U72" i="177"/>
  <c r="S94" i="177"/>
  <c r="Z71" i="177"/>
  <c r="AE71" i="177" s="1"/>
  <c r="Y71" i="177"/>
  <c r="X71" i="177"/>
  <c r="W71" i="177"/>
  <c r="V71" i="177"/>
  <c r="U71" i="177"/>
  <c r="S7" i="177"/>
  <c r="AG70" i="177"/>
  <c r="Z70" i="177"/>
  <c r="AD70" i="177" s="1"/>
  <c r="Y70" i="177"/>
  <c r="X70" i="177"/>
  <c r="W70" i="177"/>
  <c r="V70" i="177"/>
  <c r="U70" i="177"/>
  <c r="S8" i="177"/>
  <c r="AG69" i="177"/>
  <c r="Z69" i="177"/>
  <c r="AC69" i="177" s="1"/>
  <c r="Y69" i="177"/>
  <c r="X69" i="177"/>
  <c r="W69" i="177"/>
  <c r="V69" i="177"/>
  <c r="U69" i="177"/>
  <c r="S6" i="177"/>
  <c r="AG68" i="177"/>
  <c r="Z68" i="177"/>
  <c r="AC68" i="177" s="1"/>
  <c r="Y68" i="177"/>
  <c r="X68" i="177"/>
  <c r="W68" i="177"/>
  <c r="V68" i="177"/>
  <c r="U68" i="177"/>
  <c r="S62" i="177"/>
  <c r="AG67" i="177"/>
  <c r="Z67" i="177"/>
  <c r="AC67" i="177" s="1"/>
  <c r="Y67" i="177"/>
  <c r="X67" i="177"/>
  <c r="W67" i="177"/>
  <c r="V67" i="177"/>
  <c r="U67" i="177"/>
  <c r="S171" i="177"/>
  <c r="Z66" i="177"/>
  <c r="Y66" i="177"/>
  <c r="X66" i="177"/>
  <c r="W66" i="177"/>
  <c r="V66" i="177"/>
  <c r="U66" i="177"/>
  <c r="S170" i="177"/>
  <c r="AG65" i="177"/>
  <c r="Z65" i="177"/>
  <c r="AD65" i="177" s="1"/>
  <c r="Y65" i="177"/>
  <c r="X65" i="177"/>
  <c r="W65" i="177"/>
  <c r="V65" i="177"/>
  <c r="U65" i="177"/>
  <c r="S60" i="177"/>
  <c r="AG64" i="177"/>
  <c r="Z64" i="177"/>
  <c r="AD64" i="177" s="1"/>
  <c r="Y64" i="177"/>
  <c r="X64" i="177"/>
  <c r="W64" i="177"/>
  <c r="V64" i="177"/>
  <c r="U64" i="177"/>
  <c r="S58" i="177"/>
  <c r="Z63" i="177"/>
  <c r="AC63" i="177" s="1"/>
  <c r="Y63" i="177"/>
  <c r="X63" i="177"/>
  <c r="W63" i="177"/>
  <c r="V63" i="177"/>
  <c r="U63" i="177"/>
  <c r="S169" i="177"/>
  <c r="Z62" i="177"/>
  <c r="AE62" i="177" s="1"/>
  <c r="Y62" i="177"/>
  <c r="X62" i="177"/>
  <c r="W62" i="177"/>
  <c r="V62" i="177"/>
  <c r="U62" i="177"/>
  <c r="S168" i="177"/>
  <c r="AG61" i="177"/>
  <c r="Z61" i="177"/>
  <c r="AC61" i="177" s="1"/>
  <c r="Y61" i="177"/>
  <c r="X61" i="177"/>
  <c r="W61" i="177"/>
  <c r="V61" i="177"/>
  <c r="U61" i="177"/>
  <c r="S167" i="177"/>
  <c r="AG60" i="177"/>
  <c r="Z60" i="177"/>
  <c r="AD60" i="177" s="1"/>
  <c r="Y60" i="177"/>
  <c r="X60" i="177"/>
  <c r="W60" i="177"/>
  <c r="V60" i="177"/>
  <c r="U60" i="177"/>
  <c r="S166" i="177"/>
  <c r="AG59" i="177"/>
  <c r="Z59" i="177"/>
  <c r="AD59" i="177" s="1"/>
  <c r="Y59" i="177"/>
  <c r="X59" i="177"/>
  <c r="W59" i="177"/>
  <c r="V59" i="177"/>
  <c r="U59" i="177"/>
  <c r="S61" i="177"/>
  <c r="AG58" i="177"/>
  <c r="Z58" i="177"/>
  <c r="AD58" i="177" s="1"/>
  <c r="Y58" i="177"/>
  <c r="X58" i="177"/>
  <c r="W58" i="177"/>
  <c r="V58" i="177"/>
  <c r="U58" i="177"/>
  <c r="S59" i="177"/>
  <c r="AG57" i="177"/>
  <c r="Z57" i="177"/>
  <c r="AD57" i="177" s="1"/>
  <c r="Y57" i="177"/>
  <c r="X57" i="177"/>
  <c r="W57" i="177"/>
  <c r="V57" i="177"/>
  <c r="U57" i="177"/>
  <c r="S165" i="177"/>
  <c r="AG56" i="177"/>
  <c r="Z56" i="177"/>
  <c r="AD56" i="177" s="1"/>
  <c r="Y56" i="177"/>
  <c r="X56" i="177"/>
  <c r="W56" i="177"/>
  <c r="V56" i="177"/>
  <c r="U56" i="177"/>
  <c r="S57" i="177"/>
  <c r="AG55" i="177"/>
  <c r="Z55" i="177"/>
  <c r="AD55" i="177" s="1"/>
  <c r="Y55" i="177"/>
  <c r="X55" i="177"/>
  <c r="W55" i="177"/>
  <c r="V55" i="177"/>
  <c r="U55" i="177"/>
  <c r="S164" i="177"/>
  <c r="AG54" i="177"/>
  <c r="Z54" i="177"/>
  <c r="AD54" i="177" s="1"/>
  <c r="Y54" i="177"/>
  <c r="X54" i="177"/>
  <c r="W54" i="177"/>
  <c r="V54" i="177"/>
  <c r="U54" i="177"/>
  <c r="S56" i="177"/>
  <c r="AG53" i="177"/>
  <c r="Z53" i="177"/>
  <c r="AD53" i="177" s="1"/>
  <c r="Y53" i="177"/>
  <c r="X53" i="177"/>
  <c r="W53" i="177"/>
  <c r="V53" i="177"/>
  <c r="U53" i="177"/>
  <c r="S163" i="177"/>
  <c r="AG52" i="177"/>
  <c r="Z52" i="177"/>
  <c r="Y52" i="177"/>
  <c r="X52" i="177"/>
  <c r="W52" i="177"/>
  <c r="V52" i="177"/>
  <c r="U52" i="177"/>
  <c r="S162" i="177"/>
  <c r="AG51" i="177"/>
  <c r="Z51" i="177"/>
  <c r="AE51" i="177" s="1"/>
  <c r="Y51" i="177"/>
  <c r="X51" i="177"/>
  <c r="W51" i="177"/>
  <c r="V51" i="177"/>
  <c r="U51" i="177"/>
  <c r="S161" i="177"/>
  <c r="AG50" i="177"/>
  <c r="Z50" i="177"/>
  <c r="AC50" i="177" s="1"/>
  <c r="Y50" i="177"/>
  <c r="X50" i="177"/>
  <c r="W50" i="177"/>
  <c r="V50" i="177"/>
  <c r="U50" i="177"/>
  <c r="S55" i="177"/>
  <c r="AG49" i="177"/>
  <c r="Z49" i="177"/>
  <c r="AC49" i="177" s="1"/>
  <c r="Y49" i="177"/>
  <c r="X49" i="177"/>
  <c r="W49" i="177"/>
  <c r="V49" i="177"/>
  <c r="U49" i="177"/>
  <c r="S33" i="177"/>
  <c r="AG48" i="177"/>
  <c r="Z48" i="177"/>
  <c r="AC48" i="177" s="1"/>
  <c r="Y48" i="177"/>
  <c r="X48" i="177"/>
  <c r="W48" i="177"/>
  <c r="V48" i="177"/>
  <c r="U48" i="177"/>
  <c r="S32" i="177"/>
  <c r="AG47" i="177"/>
  <c r="Z47" i="177"/>
  <c r="AC47" i="177" s="1"/>
  <c r="Y47" i="177"/>
  <c r="X47" i="177"/>
  <c r="W47" i="177"/>
  <c r="V47" i="177"/>
  <c r="U47" i="177"/>
  <c r="S160" i="177"/>
  <c r="AG46" i="177"/>
  <c r="Z46" i="177"/>
  <c r="AC46" i="177" s="1"/>
  <c r="Y46" i="177"/>
  <c r="X46" i="177"/>
  <c r="W46" i="177"/>
  <c r="V46" i="177"/>
  <c r="U46" i="177"/>
  <c r="S159" i="177"/>
  <c r="AG45" i="177"/>
  <c r="Z45" i="177"/>
  <c r="AC45" i="177" s="1"/>
  <c r="Y45" i="177"/>
  <c r="X45" i="177"/>
  <c r="W45" i="177"/>
  <c r="V45" i="177"/>
  <c r="U45" i="177"/>
  <c r="S147" i="177"/>
  <c r="AG44" i="177"/>
  <c r="Z44" i="177"/>
  <c r="AC44" i="177" s="1"/>
  <c r="Y44" i="177"/>
  <c r="X44" i="177"/>
  <c r="W44" i="177"/>
  <c r="V44" i="177"/>
  <c r="U44" i="177"/>
  <c r="S146" i="177"/>
  <c r="AG43" i="177"/>
  <c r="Z43" i="177"/>
  <c r="AC43" i="177" s="1"/>
  <c r="Y43" i="177"/>
  <c r="X43" i="177"/>
  <c r="W43" i="177"/>
  <c r="V43" i="177"/>
  <c r="U43" i="177"/>
  <c r="S50" i="177"/>
  <c r="AG42" i="177"/>
  <c r="Z42" i="177"/>
  <c r="Y42" i="177"/>
  <c r="X42" i="177"/>
  <c r="W42" i="177"/>
  <c r="V42" i="177"/>
  <c r="U42" i="177"/>
  <c r="S49" i="177"/>
  <c r="Z41" i="177"/>
  <c r="AD41" i="177" s="1"/>
  <c r="Y41" i="177"/>
  <c r="X41" i="177"/>
  <c r="W41" i="177"/>
  <c r="V41" i="177"/>
  <c r="U41" i="177"/>
  <c r="S53" i="177"/>
  <c r="Z40" i="177"/>
  <c r="AE40" i="177" s="1"/>
  <c r="Y40" i="177"/>
  <c r="X40" i="177"/>
  <c r="W40" i="177"/>
  <c r="V40" i="177"/>
  <c r="U40" i="177"/>
  <c r="S48" i="177"/>
  <c r="Z39" i="177"/>
  <c r="AC39" i="177" s="1"/>
  <c r="Y39" i="177"/>
  <c r="X39" i="177"/>
  <c r="W39" i="177"/>
  <c r="V39" i="177"/>
  <c r="U39" i="177"/>
  <c r="S54" i="177"/>
  <c r="Z38" i="177"/>
  <c r="AE38" i="177" s="1"/>
  <c r="Y38" i="177"/>
  <c r="X38" i="177"/>
  <c r="W38" i="177"/>
  <c r="V38" i="177"/>
  <c r="U38" i="177"/>
  <c r="S51" i="177"/>
  <c r="Z37" i="177"/>
  <c r="AD37" i="177" s="1"/>
  <c r="Y37" i="177"/>
  <c r="X37" i="177"/>
  <c r="W37" i="177"/>
  <c r="V37" i="177"/>
  <c r="U37" i="177"/>
  <c r="S52" i="177"/>
  <c r="Z36" i="177"/>
  <c r="AC36" i="177" s="1"/>
  <c r="Y36" i="177"/>
  <c r="X36" i="177"/>
  <c r="W36" i="177"/>
  <c r="V36" i="177"/>
  <c r="U36" i="177"/>
  <c r="S47" i="177"/>
  <c r="AG35" i="177"/>
  <c r="Z35" i="177"/>
  <c r="AC35" i="177" s="1"/>
  <c r="Y35" i="177"/>
  <c r="X35" i="177"/>
  <c r="W35" i="177"/>
  <c r="V35" i="177"/>
  <c r="U35" i="177"/>
  <c r="S158" i="177"/>
  <c r="AG34" i="177"/>
  <c r="Z34" i="177"/>
  <c r="AC34" i="177" s="1"/>
  <c r="Y34" i="177"/>
  <c r="X34" i="177"/>
  <c r="W34" i="177"/>
  <c r="V34" i="177"/>
  <c r="U34" i="177"/>
  <c r="S157" i="177"/>
  <c r="AG33" i="177"/>
  <c r="Z33" i="177"/>
  <c r="AC33" i="177" s="1"/>
  <c r="Y33" i="177"/>
  <c r="X33" i="177"/>
  <c r="W33" i="177"/>
  <c r="V33" i="177"/>
  <c r="U33" i="177"/>
  <c r="S43" i="177"/>
  <c r="AG32" i="177"/>
  <c r="Z32" i="177"/>
  <c r="AC32" i="177" s="1"/>
  <c r="Y32" i="177"/>
  <c r="X32" i="177"/>
  <c r="W32" i="177"/>
  <c r="V32" i="177"/>
  <c r="U32" i="177"/>
  <c r="S42" i="177"/>
  <c r="Z31" i="177"/>
  <c r="AD31" i="177" s="1"/>
  <c r="Y31" i="177"/>
  <c r="X31" i="177"/>
  <c r="W31" i="177"/>
  <c r="V31" i="177"/>
  <c r="U31" i="177"/>
  <c r="S44" i="177"/>
  <c r="Z30" i="177"/>
  <c r="AC30" i="177" s="1"/>
  <c r="Y30" i="177"/>
  <c r="X30" i="177"/>
  <c r="W30" i="177"/>
  <c r="V30" i="177"/>
  <c r="U30" i="177"/>
  <c r="S149" i="177"/>
  <c r="Z29" i="177"/>
  <c r="AE29" i="177" s="1"/>
  <c r="Y29" i="177"/>
  <c r="X29" i="177"/>
  <c r="W29" i="177"/>
  <c r="V29" i="177"/>
  <c r="U29" i="177"/>
  <c r="S148" i="177"/>
  <c r="Z28" i="177"/>
  <c r="AA28" i="177" s="1"/>
  <c r="Y28" i="177"/>
  <c r="X28" i="177"/>
  <c r="W28" i="177"/>
  <c r="V28" i="177"/>
  <c r="U28" i="177"/>
  <c r="S45" i="177"/>
  <c r="Z27" i="177"/>
  <c r="AC27" i="177" s="1"/>
  <c r="Y27" i="177"/>
  <c r="X27" i="177"/>
  <c r="W27" i="177"/>
  <c r="V27" i="177"/>
  <c r="U27" i="177"/>
  <c r="S41" i="177"/>
  <c r="Z26" i="177"/>
  <c r="AC26" i="177" s="1"/>
  <c r="Y26" i="177"/>
  <c r="X26" i="177"/>
  <c r="W26" i="177"/>
  <c r="V26" i="177"/>
  <c r="U26" i="177"/>
  <c r="S46" i="177"/>
  <c r="Z25" i="177"/>
  <c r="AE25" i="177" s="1"/>
  <c r="Y25" i="177"/>
  <c r="X25" i="177"/>
  <c r="W25" i="177"/>
  <c r="V25" i="177"/>
  <c r="U25" i="177"/>
  <c r="S151" i="177"/>
  <c r="Z24" i="177"/>
  <c r="AD24" i="177" s="1"/>
  <c r="Y24" i="177"/>
  <c r="X24" i="177"/>
  <c r="W24" i="177"/>
  <c r="V24" i="177"/>
  <c r="U24" i="177"/>
  <c r="S156" i="177"/>
  <c r="Z23" i="177"/>
  <c r="Y23" i="177"/>
  <c r="X23" i="177"/>
  <c r="W23" i="177"/>
  <c r="V23" i="177"/>
  <c r="U23" i="177"/>
  <c r="S155" i="177"/>
  <c r="Z22" i="177"/>
  <c r="AC22" i="177" s="1"/>
  <c r="Y22" i="177"/>
  <c r="X22" i="177"/>
  <c r="W22" i="177"/>
  <c r="V22" i="177"/>
  <c r="U22" i="177"/>
  <c r="S150" i="177"/>
  <c r="Z21" i="177"/>
  <c r="AC21" i="177" s="1"/>
  <c r="Y21" i="177"/>
  <c r="X21" i="177"/>
  <c r="W21" i="177"/>
  <c r="V21" i="177"/>
  <c r="U21" i="177"/>
  <c r="S10" i="177"/>
  <c r="Z20" i="177"/>
  <c r="AE20" i="177" s="1"/>
  <c r="Y20" i="177"/>
  <c r="X20" i="177"/>
  <c r="W20" i="177"/>
  <c r="V20" i="177"/>
  <c r="U20" i="177"/>
  <c r="S11" i="177"/>
  <c r="Z19" i="177"/>
  <c r="AD19" i="177" s="1"/>
  <c r="Y19" i="177"/>
  <c r="X19" i="177"/>
  <c r="W19" i="177"/>
  <c r="V19" i="177"/>
  <c r="U19" i="177"/>
  <c r="S111" i="177"/>
  <c r="Z18" i="177"/>
  <c r="AE18" i="177" s="1"/>
  <c r="Y18" i="177"/>
  <c r="X18" i="177"/>
  <c r="W18" i="177"/>
  <c r="V18" i="177"/>
  <c r="U18" i="177"/>
  <c r="S110" i="177"/>
  <c r="Z17" i="177"/>
  <c r="Y17" i="177"/>
  <c r="X17" i="177"/>
  <c r="W17" i="177"/>
  <c r="V17" i="177"/>
  <c r="U17" i="177"/>
  <c r="S9" i="177"/>
  <c r="Z16" i="177"/>
  <c r="AC16" i="177" s="1"/>
  <c r="Y16" i="177"/>
  <c r="X16" i="177"/>
  <c r="W16" i="177"/>
  <c r="V16" i="177"/>
  <c r="U16" i="177"/>
  <c r="S154" i="177"/>
  <c r="Z15" i="177"/>
  <c r="AE15" i="177" s="1"/>
  <c r="Y15" i="177"/>
  <c r="X15" i="177"/>
  <c r="W15" i="177"/>
  <c r="V15" i="177"/>
  <c r="U15" i="177"/>
  <c r="S13" i="177"/>
  <c r="Z14" i="177"/>
  <c r="Y14" i="177"/>
  <c r="X14" i="177"/>
  <c r="W14" i="177"/>
  <c r="V14" i="177"/>
  <c r="U14" i="177"/>
  <c r="S153" i="177"/>
  <c r="Z13" i="177"/>
  <c r="AD13" i="177" s="1"/>
  <c r="Y13" i="177"/>
  <c r="X13" i="177"/>
  <c r="W13" i="177"/>
  <c r="V13" i="177"/>
  <c r="U13" i="177"/>
  <c r="S12" i="177"/>
  <c r="Z12" i="177"/>
  <c r="AE12" i="177" s="1"/>
  <c r="Y12" i="177"/>
  <c r="X12" i="177"/>
  <c r="W12" i="177"/>
  <c r="V12" i="177"/>
  <c r="U12" i="177"/>
  <c r="S34" i="177"/>
  <c r="Z11" i="177"/>
  <c r="AC11" i="177" s="1"/>
  <c r="Y11" i="177"/>
  <c r="X11" i="177"/>
  <c r="W11" i="177"/>
  <c r="V11" i="177"/>
  <c r="U11" i="177"/>
  <c r="S35" i="177"/>
  <c r="Z10" i="177"/>
  <c r="AE10" i="177" s="1"/>
  <c r="Y10" i="177"/>
  <c r="X10" i="177"/>
  <c r="W10" i="177"/>
  <c r="V10" i="177"/>
  <c r="U10" i="177"/>
  <c r="S113" i="177"/>
  <c r="Z9" i="177"/>
  <c r="AA9" i="177" s="1"/>
  <c r="Y9" i="177"/>
  <c r="X9" i="177"/>
  <c r="W9" i="177"/>
  <c r="V9" i="177"/>
  <c r="U9" i="177"/>
  <c r="S112" i="177"/>
  <c r="Z8" i="177"/>
  <c r="AE8" i="177" s="1"/>
  <c r="Y8" i="177"/>
  <c r="X8" i="177"/>
  <c r="W8" i="177"/>
  <c r="V8" i="177"/>
  <c r="U8" i="177"/>
  <c r="S64" i="177"/>
  <c r="AF7" i="177"/>
  <c r="AG7" i="177" s="1"/>
  <c r="Z7" i="177"/>
  <c r="Y7" i="177"/>
  <c r="X7" i="177"/>
  <c r="W7" i="177"/>
  <c r="V7" i="177"/>
  <c r="U7" i="177"/>
  <c r="S65" i="177"/>
  <c r="A7" i="177"/>
  <c r="A8" i="177" s="1"/>
  <c r="A9" i="177" s="1"/>
  <c r="A10" i="177" s="1"/>
  <c r="A11" i="177" s="1"/>
  <c r="A12" i="177" s="1"/>
  <c r="A13" i="177" s="1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A45" i="177" s="1"/>
  <c r="A46" i="177" s="1"/>
  <c r="A47" i="177" s="1"/>
  <c r="A48" i="177" s="1"/>
  <c r="A49" i="177" s="1"/>
  <c r="A50" i="177" s="1"/>
  <c r="A51" i="177" s="1"/>
  <c r="A52" i="177" s="1"/>
  <c r="A53" i="177" s="1"/>
  <c r="A54" i="177" s="1"/>
  <c r="A55" i="177" s="1"/>
  <c r="A56" i="177" s="1"/>
  <c r="A57" i="177" s="1"/>
  <c r="A58" i="177" s="1"/>
  <c r="A59" i="177" s="1"/>
  <c r="A60" i="177" s="1"/>
  <c r="A61" i="177" s="1"/>
  <c r="A62" i="177" s="1"/>
  <c r="A63" i="177" s="1"/>
  <c r="A64" i="177" s="1"/>
  <c r="A65" i="177" s="1"/>
  <c r="A66" i="177" s="1"/>
  <c r="A67" i="177" s="1"/>
  <c r="A68" i="177" s="1"/>
  <c r="A69" i="177" s="1"/>
  <c r="A70" i="177" s="1"/>
  <c r="A71" i="177" s="1"/>
  <c r="A72" i="177" s="1"/>
  <c r="A73" i="177" s="1"/>
  <c r="A74" i="177" s="1"/>
  <c r="A75" i="177" s="1"/>
  <c r="A76" i="177" s="1"/>
  <c r="A77" i="177" s="1"/>
  <c r="A78" i="177" s="1"/>
  <c r="A79" i="177" s="1"/>
  <c r="A80" i="177" s="1"/>
  <c r="A81" i="177" s="1"/>
  <c r="A82" i="177" s="1"/>
  <c r="A83" i="177" s="1"/>
  <c r="A84" i="177" s="1"/>
  <c r="A85" i="177" s="1"/>
  <c r="A86" i="177" s="1"/>
  <c r="A87" i="177" s="1"/>
  <c r="A88" i="177" s="1"/>
  <c r="A89" i="177" s="1"/>
  <c r="A90" i="177" s="1"/>
  <c r="A91" i="177" s="1"/>
  <c r="A92" i="177" s="1"/>
  <c r="A93" i="177" s="1"/>
  <c r="A94" i="177" s="1"/>
  <c r="A95" i="177" s="1"/>
  <c r="A96" i="177" s="1"/>
  <c r="A97" i="177" s="1"/>
  <c r="A98" i="177" s="1"/>
  <c r="A99" i="177" s="1"/>
  <c r="A100" i="177" s="1"/>
  <c r="A101" i="177" s="1"/>
  <c r="A102" i="177" s="1"/>
  <c r="A103" i="177" s="1"/>
  <c r="A104" i="177" s="1"/>
  <c r="A105" i="177" s="1"/>
  <c r="A106" i="177" s="1"/>
  <c r="A107" i="177" s="1"/>
  <c r="A108" i="177" s="1"/>
  <c r="A109" i="177" s="1"/>
  <c r="A110" i="177" s="1"/>
  <c r="A111" i="177" s="1"/>
  <c r="A112" i="177" s="1"/>
  <c r="A113" i="177" s="1"/>
  <c r="A114" i="177" s="1"/>
  <c r="A115" i="177" s="1"/>
  <c r="A116" i="177" s="1"/>
  <c r="A117" i="177" s="1"/>
  <c r="A118" i="177" s="1"/>
  <c r="A119" i="177" s="1"/>
  <c r="A120" i="177" s="1"/>
  <c r="A121" i="177" s="1"/>
  <c r="A122" i="177" s="1"/>
  <c r="A123" i="177" s="1"/>
  <c r="A124" i="177" s="1"/>
  <c r="A125" i="177" s="1"/>
  <c r="A126" i="177" s="1"/>
  <c r="A127" i="177" s="1"/>
  <c r="A128" i="177" s="1"/>
  <c r="A129" i="177" s="1"/>
  <c r="A130" i="177" s="1"/>
  <c r="A131" i="177" s="1"/>
  <c r="A132" i="177" s="1"/>
  <c r="A133" i="177" s="1"/>
  <c r="A134" i="177" s="1"/>
  <c r="A135" i="177" s="1"/>
  <c r="A136" i="177" s="1"/>
  <c r="A137" i="177" s="1"/>
  <c r="A138" i="177" s="1"/>
  <c r="A139" i="177" s="1"/>
  <c r="A140" i="177" s="1"/>
  <c r="A141" i="177" s="1"/>
  <c r="A142" i="177" s="1"/>
  <c r="A143" i="177" s="1"/>
  <c r="A144" i="177" s="1"/>
  <c r="A145" i="177" s="1"/>
  <c r="A146" i="177" s="1"/>
  <c r="A147" i="177" s="1"/>
  <c r="A148" i="177" s="1"/>
  <c r="A149" i="177" s="1"/>
  <c r="A150" i="177" s="1"/>
  <c r="A151" i="177" s="1"/>
  <c r="A152" i="177" s="1"/>
  <c r="A153" i="177" s="1"/>
  <c r="A154" i="177" s="1"/>
  <c r="A155" i="177" s="1"/>
  <c r="A156" i="177" s="1"/>
  <c r="A157" i="177" s="1"/>
  <c r="A158" i="177" s="1"/>
  <c r="A159" i="177" s="1"/>
  <c r="A160" i="177" s="1"/>
  <c r="A161" i="177" s="1"/>
  <c r="A162" i="177" s="1"/>
  <c r="A163" i="177" s="1"/>
  <c r="A164" i="177" s="1"/>
  <c r="A165" i="177" s="1"/>
  <c r="A166" i="177" s="1"/>
  <c r="A167" i="177" s="1"/>
  <c r="A168" i="177" s="1"/>
  <c r="A169" i="177" s="1"/>
  <c r="A170" i="177" s="1"/>
  <c r="A171" i="177" s="1"/>
  <c r="A172" i="177" s="1"/>
  <c r="A173" i="177" s="1"/>
  <c r="A174" i="177" s="1"/>
  <c r="A175" i="177" s="1"/>
  <c r="A176" i="177" s="1"/>
  <c r="A177" i="177" s="1"/>
  <c r="A178" i="177" s="1"/>
  <c r="A179" i="177" s="1"/>
  <c r="A180" i="177" s="1"/>
  <c r="A181" i="177" s="1"/>
  <c r="A182" i="177" s="1"/>
  <c r="A183" i="177" s="1"/>
  <c r="A184" i="177" s="1"/>
  <c r="A185" i="177" s="1"/>
  <c r="A186" i="177" s="1"/>
  <c r="A187" i="177" s="1"/>
  <c r="A188" i="177" s="1"/>
  <c r="A189" i="177" s="1"/>
  <c r="A190" i="177" s="1"/>
  <c r="A191" i="177" s="1"/>
  <c r="A192" i="177" s="1"/>
  <c r="A193" i="177" s="1"/>
  <c r="A194" i="177" s="1"/>
  <c r="A195" i="177" s="1"/>
  <c r="A196" i="177" s="1"/>
  <c r="A197" i="177" s="1"/>
  <c r="A198" i="177" s="1"/>
  <c r="A199" i="177" s="1"/>
  <c r="A200" i="177" s="1"/>
  <c r="A201" i="177" s="1"/>
  <c r="A202" i="177" s="1"/>
  <c r="A203" i="177" s="1"/>
  <c r="A204" i="177" s="1"/>
  <c r="A205" i="177" s="1"/>
  <c r="A206" i="177" s="1"/>
  <c r="A207" i="177" s="1"/>
  <c r="A208" i="177" s="1"/>
  <c r="A209" i="177" s="1"/>
  <c r="A210" i="177" s="1"/>
  <c r="A211" i="177" s="1"/>
  <c r="A212" i="177" s="1"/>
  <c r="A213" i="177" s="1"/>
  <c r="A214" i="177" s="1"/>
  <c r="A215" i="177" s="1"/>
  <c r="A216" i="177" s="1"/>
  <c r="A217" i="177" s="1"/>
  <c r="A218" i="177" s="1"/>
  <c r="A219" i="177" s="1"/>
  <c r="A220" i="177" s="1"/>
  <c r="A221" i="177" s="1"/>
  <c r="A222" i="177" s="1"/>
  <c r="A223" i="177" s="1"/>
  <c r="A224" i="177" s="1"/>
  <c r="A225" i="177" s="1"/>
  <c r="A226" i="177" s="1"/>
  <c r="A227" i="177" s="1"/>
  <c r="A228" i="177" s="1"/>
  <c r="A229" i="177" s="1"/>
  <c r="A230" i="177" s="1"/>
  <c r="A231" i="177" s="1"/>
  <c r="A232" i="177" s="1"/>
  <c r="A233" i="177" s="1"/>
  <c r="A234" i="177" s="1"/>
  <c r="A235" i="177" s="1"/>
  <c r="A236" i="177" s="1"/>
  <c r="A237" i="177" s="1"/>
  <c r="A238" i="177" s="1"/>
  <c r="A239" i="177" s="1"/>
  <c r="A240" i="177" s="1"/>
  <c r="A241" i="177" s="1"/>
  <c r="A242" i="177" s="1"/>
  <c r="A243" i="177" s="1"/>
  <c r="A244" i="177" s="1"/>
  <c r="A245" i="177" s="1"/>
  <c r="A246" i="177" s="1"/>
  <c r="A247" i="177" s="1"/>
  <c r="A248" i="177" s="1"/>
  <c r="A249" i="177" s="1"/>
  <c r="A250" i="177" s="1"/>
  <c r="A251" i="177" s="1"/>
  <c r="A252" i="177" s="1"/>
  <c r="A253" i="177" s="1"/>
  <c r="A254" i="177" s="1"/>
  <c r="A255" i="177" s="1"/>
  <c r="A256" i="177" s="1"/>
  <c r="A257" i="177" s="1"/>
  <c r="A258" i="177" s="1"/>
  <c r="A259" i="177" s="1"/>
  <c r="A260" i="177" s="1"/>
  <c r="A261" i="177" s="1"/>
  <c r="A262" i="177" s="1"/>
  <c r="A263" i="177" s="1"/>
  <c r="A264" i="177" s="1"/>
  <c r="A265" i="177" s="1"/>
  <c r="A266" i="177" s="1"/>
  <c r="A267" i="177" s="1"/>
  <c r="A268" i="177" s="1"/>
  <c r="A269" i="177" s="1"/>
  <c r="A270" i="177" s="1"/>
  <c r="A271" i="177" s="1"/>
  <c r="A272" i="177" s="1"/>
  <c r="A273" i="177" s="1"/>
  <c r="A274" i="177" s="1"/>
  <c r="Z6" i="177"/>
  <c r="AE6" i="177" s="1"/>
  <c r="Y6" i="177"/>
  <c r="X6" i="177"/>
  <c r="W6" i="177"/>
  <c r="V6" i="177"/>
  <c r="U6" i="177"/>
  <c r="S152" i="177"/>
  <c r="Q1" i="177"/>
  <c r="S283" i="177" s="1"/>
  <c r="E254" i="9"/>
  <c r="M243" i="9"/>
  <c r="M234" i="9"/>
  <c r="M235" i="9"/>
  <c r="F262" i="9"/>
  <c r="C261" i="9"/>
  <c r="F260" i="9"/>
  <c r="E261" i="9"/>
  <c r="D261" i="9"/>
  <c r="G254" i="9"/>
  <c r="C254" i="9"/>
  <c r="M253" i="9"/>
  <c r="K253" i="9"/>
  <c r="M252" i="9"/>
  <c r="L252" i="9"/>
  <c r="N252" i="9" s="1"/>
  <c r="K252" i="9"/>
  <c r="J252" i="9"/>
  <c r="M251" i="9"/>
  <c r="L251" i="9"/>
  <c r="K251" i="9"/>
  <c r="J251" i="9"/>
  <c r="K250" i="9"/>
  <c r="J250" i="9"/>
  <c r="M250" i="9"/>
  <c r="L250" i="9"/>
  <c r="M249" i="9"/>
  <c r="L249" i="9"/>
  <c r="K249" i="9"/>
  <c r="J249" i="9"/>
  <c r="K248" i="9"/>
  <c r="I254" i="9"/>
  <c r="I256" i="9" s="1"/>
  <c r="L248" i="9"/>
  <c r="M247" i="9"/>
  <c r="L247" i="9"/>
  <c r="K247" i="9"/>
  <c r="J247" i="9"/>
  <c r="M246" i="9"/>
  <c r="K246" i="9"/>
  <c r="J246" i="9"/>
  <c r="K245" i="9"/>
  <c r="J245" i="9"/>
  <c r="M245" i="9"/>
  <c r="L245" i="9"/>
  <c r="L244" i="9"/>
  <c r="K244" i="9"/>
  <c r="J244" i="9"/>
  <c r="M244" i="9"/>
  <c r="L243" i="9"/>
  <c r="K243" i="9"/>
  <c r="J243" i="9"/>
  <c r="M242" i="9"/>
  <c r="L242" i="9"/>
  <c r="K242" i="9"/>
  <c r="J242" i="9"/>
  <c r="M241" i="9"/>
  <c r="L241" i="9"/>
  <c r="K241" i="9"/>
  <c r="J241" i="9"/>
  <c r="M240" i="9"/>
  <c r="L240" i="9"/>
  <c r="K240" i="9"/>
  <c r="J240" i="9"/>
  <c r="M239" i="9"/>
  <c r="L239" i="9"/>
  <c r="K239" i="9"/>
  <c r="J239" i="9"/>
  <c r="M238" i="9"/>
  <c r="L238" i="9"/>
  <c r="K238" i="9"/>
  <c r="J238" i="9"/>
  <c r="K237" i="9"/>
  <c r="J237" i="9"/>
  <c r="M237" i="9"/>
  <c r="D254" i="9"/>
  <c r="M236" i="9"/>
  <c r="L236" i="9"/>
  <c r="K236" i="9"/>
  <c r="J236" i="9"/>
  <c r="A236" i="9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K235" i="9"/>
  <c r="J235" i="9"/>
  <c r="L234" i="9"/>
  <c r="K234" i="9"/>
  <c r="J234" i="9"/>
  <c r="M283" i="176"/>
  <c r="Z287" i="175"/>
  <c r="Z288" i="175"/>
  <c r="Z286" i="175"/>
  <c r="Z285" i="175"/>
  <c r="AB281" i="175"/>
  <c r="Z51" i="175"/>
  <c r="AE51" i="175" s="1"/>
  <c r="AF87" i="175"/>
  <c r="AF86" i="175"/>
  <c r="AF85" i="175"/>
  <c r="AF84" i="175"/>
  <c r="AF83" i="175"/>
  <c r="AF82" i="175"/>
  <c r="AF81" i="175"/>
  <c r="AF80" i="175"/>
  <c r="AF79" i="175"/>
  <c r="AF96" i="175"/>
  <c r="AF95" i="175"/>
  <c r="AG95" i="175" s="1"/>
  <c r="AF94" i="175"/>
  <c r="AG94" i="175" s="1"/>
  <c r="AF93" i="175"/>
  <c r="AF92" i="175"/>
  <c r="AG92" i="175" s="1"/>
  <c r="AF91" i="175"/>
  <c r="AF90" i="175"/>
  <c r="AF89" i="175"/>
  <c r="AF88" i="175"/>
  <c r="AF120" i="175"/>
  <c r="AG120" i="175" s="1"/>
  <c r="AF119" i="175"/>
  <c r="AF118" i="175"/>
  <c r="AG118" i="175" s="1"/>
  <c r="AF117" i="175"/>
  <c r="AG117" i="175" s="1"/>
  <c r="AF116" i="175"/>
  <c r="AG116" i="175" s="1"/>
  <c r="AF115" i="175"/>
  <c r="AF114" i="175"/>
  <c r="AF113" i="175"/>
  <c r="AF112" i="175"/>
  <c r="AG112" i="175" s="1"/>
  <c r="AF111" i="175"/>
  <c r="AF110" i="175"/>
  <c r="AG110" i="175" s="1"/>
  <c r="AF109" i="175"/>
  <c r="AF108" i="175"/>
  <c r="AG108" i="175" s="1"/>
  <c r="AF107" i="175"/>
  <c r="AG107" i="175" s="1"/>
  <c r="AF106" i="175"/>
  <c r="AF105" i="175"/>
  <c r="AG105" i="175" s="1"/>
  <c r="AF104" i="175"/>
  <c r="AG104" i="175" s="1"/>
  <c r="AF103" i="175"/>
  <c r="AG103" i="175" s="1"/>
  <c r="AF102" i="175"/>
  <c r="AG102" i="175" s="1"/>
  <c r="AF101" i="175"/>
  <c r="AG101" i="175" s="1"/>
  <c r="AF100" i="175"/>
  <c r="AG100" i="175" s="1"/>
  <c r="AF99" i="175"/>
  <c r="AG99" i="175" s="1"/>
  <c r="AF98" i="175"/>
  <c r="AF97" i="175"/>
  <c r="AG93" i="175"/>
  <c r="AG96" i="175"/>
  <c r="AG97" i="175"/>
  <c r="AG98" i="175"/>
  <c r="AG106" i="175"/>
  <c r="AG109" i="175"/>
  <c r="AG111" i="175"/>
  <c r="AG113" i="175"/>
  <c r="AG114" i="175"/>
  <c r="AG115" i="175"/>
  <c r="AG119" i="175"/>
  <c r="AC51" i="175"/>
  <c r="AF7" i="175"/>
  <c r="Z92" i="175"/>
  <c r="AC92" i="175" s="1"/>
  <c r="Z93" i="175"/>
  <c r="AC93" i="175" s="1"/>
  <c r="Z94" i="175"/>
  <c r="AC94" i="175" s="1"/>
  <c r="Z95" i="175"/>
  <c r="AC95" i="175" s="1"/>
  <c r="Z96" i="175"/>
  <c r="Z97" i="175"/>
  <c r="AC97" i="175" s="1"/>
  <c r="Z98" i="175"/>
  <c r="AC98" i="175" s="1"/>
  <c r="Z99" i="175"/>
  <c r="AC99" i="175" s="1"/>
  <c r="Z100" i="175"/>
  <c r="AC100" i="175" s="1"/>
  <c r="Z101" i="175"/>
  <c r="AC101" i="175" s="1"/>
  <c r="Z102" i="175"/>
  <c r="AC102" i="175" s="1"/>
  <c r="Z103" i="175"/>
  <c r="AC103" i="175" s="1"/>
  <c r="Z104" i="175"/>
  <c r="AC104" i="175" s="1"/>
  <c r="Z105" i="175"/>
  <c r="AC105" i="175" s="1"/>
  <c r="Z106" i="175"/>
  <c r="AC106" i="175" s="1"/>
  <c r="Z107" i="175"/>
  <c r="AC107" i="175" s="1"/>
  <c r="Z108" i="175"/>
  <c r="AC108" i="175" s="1"/>
  <c r="Z109" i="175"/>
  <c r="AC109" i="175" s="1"/>
  <c r="Z110" i="175"/>
  <c r="AC110" i="175" s="1"/>
  <c r="Z111" i="175"/>
  <c r="AC111" i="175" s="1"/>
  <c r="Z112" i="175"/>
  <c r="AC112" i="175" s="1"/>
  <c r="Z113" i="175"/>
  <c r="AC113" i="175" s="1"/>
  <c r="Z114" i="175"/>
  <c r="AC114" i="175" s="1"/>
  <c r="Z115" i="175"/>
  <c r="AC115" i="175" s="1"/>
  <c r="Z116" i="175"/>
  <c r="AC116" i="175" s="1"/>
  <c r="Z117" i="175"/>
  <c r="AC117" i="175" s="1"/>
  <c r="Z118" i="175"/>
  <c r="AC118" i="175" s="1"/>
  <c r="Z119" i="175"/>
  <c r="AC119" i="175" s="1"/>
  <c r="Z120" i="175"/>
  <c r="AC120" i="175" s="1"/>
  <c r="Z91" i="175"/>
  <c r="AC91" i="175" s="1"/>
  <c r="V92" i="175"/>
  <c r="W92" i="175"/>
  <c r="X92" i="175"/>
  <c r="Y92" i="175"/>
  <c r="V93" i="175"/>
  <c r="W93" i="175"/>
  <c r="X93" i="175"/>
  <c r="Y93" i="175"/>
  <c r="V94" i="175"/>
  <c r="W94" i="175"/>
  <c r="X94" i="175"/>
  <c r="Y94" i="175"/>
  <c r="V95" i="175"/>
  <c r="W95" i="175"/>
  <c r="X95" i="175"/>
  <c r="Y95" i="175"/>
  <c r="V96" i="175"/>
  <c r="W96" i="175"/>
  <c r="X96" i="175"/>
  <c r="Y96" i="175"/>
  <c r="V97" i="175"/>
  <c r="W97" i="175"/>
  <c r="X97" i="175"/>
  <c r="Y97" i="175"/>
  <c r="V98" i="175"/>
  <c r="W98" i="175"/>
  <c r="X98" i="175"/>
  <c r="Y98" i="175"/>
  <c r="V99" i="175"/>
  <c r="W99" i="175"/>
  <c r="X99" i="175"/>
  <c r="Y99" i="175"/>
  <c r="V100" i="175"/>
  <c r="W100" i="175"/>
  <c r="X100" i="175"/>
  <c r="Y100" i="175"/>
  <c r="V101" i="175"/>
  <c r="W101" i="175"/>
  <c r="X101" i="175"/>
  <c r="Y101" i="175"/>
  <c r="V102" i="175"/>
  <c r="W102" i="175"/>
  <c r="X102" i="175"/>
  <c r="Y102" i="175"/>
  <c r="V103" i="175"/>
  <c r="W103" i="175"/>
  <c r="X103" i="175"/>
  <c r="Y103" i="175"/>
  <c r="V104" i="175"/>
  <c r="W104" i="175"/>
  <c r="X104" i="175"/>
  <c r="Y104" i="175"/>
  <c r="V105" i="175"/>
  <c r="W105" i="175"/>
  <c r="X105" i="175"/>
  <c r="Y105" i="175"/>
  <c r="V106" i="175"/>
  <c r="W106" i="175"/>
  <c r="X106" i="175"/>
  <c r="Y106" i="175"/>
  <c r="V107" i="175"/>
  <c r="W107" i="175"/>
  <c r="X107" i="175"/>
  <c r="Y107" i="175"/>
  <c r="V108" i="175"/>
  <c r="W108" i="175"/>
  <c r="X108" i="175"/>
  <c r="Y108" i="175"/>
  <c r="V109" i="175"/>
  <c r="W109" i="175"/>
  <c r="X109" i="175"/>
  <c r="Y109" i="175"/>
  <c r="V110" i="175"/>
  <c r="W110" i="175"/>
  <c r="X110" i="175"/>
  <c r="Y110" i="175"/>
  <c r="V111" i="175"/>
  <c r="W111" i="175"/>
  <c r="X111" i="175"/>
  <c r="Y111" i="175"/>
  <c r="V112" i="175"/>
  <c r="W112" i="175"/>
  <c r="X112" i="175"/>
  <c r="Y112" i="175"/>
  <c r="V113" i="175"/>
  <c r="W113" i="175"/>
  <c r="X113" i="175"/>
  <c r="Y113" i="175"/>
  <c r="V114" i="175"/>
  <c r="W114" i="175"/>
  <c r="X114" i="175"/>
  <c r="Y114" i="175"/>
  <c r="V115" i="175"/>
  <c r="W115" i="175"/>
  <c r="X115" i="175"/>
  <c r="Y115" i="175"/>
  <c r="V116" i="175"/>
  <c r="W116" i="175"/>
  <c r="X116" i="175"/>
  <c r="Y116" i="175"/>
  <c r="V117" i="175"/>
  <c r="W117" i="175"/>
  <c r="X117" i="175"/>
  <c r="Y117" i="175"/>
  <c r="V118" i="175"/>
  <c r="W118" i="175"/>
  <c r="X118" i="175"/>
  <c r="Y118" i="175"/>
  <c r="V119" i="175"/>
  <c r="W119" i="175"/>
  <c r="X119" i="175"/>
  <c r="Y119" i="175"/>
  <c r="V120" i="175"/>
  <c r="W120" i="175"/>
  <c r="X120" i="175"/>
  <c r="Y120" i="175"/>
  <c r="U92" i="175"/>
  <c r="U93" i="175"/>
  <c r="U94" i="175"/>
  <c r="U95" i="175"/>
  <c r="U96" i="175"/>
  <c r="U97" i="175"/>
  <c r="U98" i="175"/>
  <c r="U99" i="175"/>
  <c r="U100" i="175"/>
  <c r="U101" i="175"/>
  <c r="U102" i="175"/>
  <c r="U103" i="175"/>
  <c r="U104" i="175"/>
  <c r="U105" i="175"/>
  <c r="U106" i="175"/>
  <c r="U107" i="175"/>
  <c r="U108" i="175"/>
  <c r="U109" i="175"/>
  <c r="U110" i="175"/>
  <c r="U111" i="175"/>
  <c r="U112" i="175"/>
  <c r="U113" i="175"/>
  <c r="U114" i="175"/>
  <c r="U115" i="175"/>
  <c r="U116" i="175"/>
  <c r="U117" i="175"/>
  <c r="U118" i="175"/>
  <c r="U119" i="175"/>
  <c r="U120" i="175"/>
  <c r="AF282" i="175"/>
  <c r="S209" i="175"/>
  <c r="S210" i="175"/>
  <c r="S68" i="175"/>
  <c r="S70" i="175"/>
  <c r="S211" i="175"/>
  <c r="S71" i="175"/>
  <c r="S212" i="175"/>
  <c r="S213" i="175"/>
  <c r="S214" i="175"/>
  <c r="S69" i="175"/>
  <c r="S215" i="175"/>
  <c r="S151" i="175"/>
  <c r="S152" i="175"/>
  <c r="S153" i="175"/>
  <c r="S154" i="175"/>
  <c r="S72" i="175"/>
  <c r="S216" i="175"/>
  <c r="S155" i="175"/>
  <c r="S156" i="175"/>
  <c r="S74" i="175"/>
  <c r="S75" i="175"/>
  <c r="S73" i="175"/>
  <c r="S6" i="175"/>
  <c r="S7" i="175"/>
  <c r="S217" i="175"/>
  <c r="S24" i="175"/>
  <c r="S22" i="175"/>
  <c r="S218" i="175"/>
  <c r="S23" i="175"/>
  <c r="S20" i="175"/>
  <c r="S21" i="175"/>
  <c r="S25" i="175"/>
  <c r="S27" i="175"/>
  <c r="S121" i="175"/>
  <c r="S122" i="175"/>
  <c r="S26" i="175"/>
  <c r="S13" i="175"/>
  <c r="S127" i="175"/>
  <c r="S128" i="175"/>
  <c r="S15" i="175"/>
  <c r="S14" i="175"/>
  <c r="S129" i="175"/>
  <c r="S130" i="175"/>
  <c r="S19" i="175"/>
  <c r="S16" i="175"/>
  <c r="S17" i="175"/>
  <c r="S18" i="175"/>
  <c r="S219" i="175"/>
  <c r="S220" i="175"/>
  <c r="S221" i="175"/>
  <c r="S222" i="175"/>
  <c r="S223" i="175"/>
  <c r="S224" i="175"/>
  <c r="S225" i="175"/>
  <c r="S226" i="175"/>
  <c r="S149" i="175"/>
  <c r="S40" i="175"/>
  <c r="S150" i="175"/>
  <c r="S41" i="175"/>
  <c r="S145" i="175"/>
  <c r="S146" i="175"/>
  <c r="S147" i="175"/>
  <c r="S148" i="175"/>
  <c r="S39" i="175"/>
  <c r="S77" i="175"/>
  <c r="S125" i="175"/>
  <c r="S126" i="175"/>
  <c r="S76" i="175"/>
  <c r="S227" i="175"/>
  <c r="S228" i="175"/>
  <c r="S229" i="175"/>
  <c r="S230" i="175"/>
  <c r="S95" i="175"/>
  <c r="S96" i="175"/>
  <c r="S231" i="175"/>
  <c r="S159" i="175"/>
  <c r="S160" i="175"/>
  <c r="S85" i="175"/>
  <c r="S157" i="175"/>
  <c r="S158" i="175"/>
  <c r="S79" i="175"/>
  <c r="S82" i="175"/>
  <c r="S83" i="175"/>
  <c r="S80" i="175"/>
  <c r="S86" i="175"/>
  <c r="S84" i="175"/>
  <c r="S81" i="175"/>
  <c r="S94" i="175"/>
  <c r="S90" i="175"/>
  <c r="S92" i="175"/>
  <c r="S91" i="175"/>
  <c r="S93" i="175"/>
  <c r="S89" i="175"/>
  <c r="S88" i="175"/>
  <c r="S173" i="175"/>
  <c r="S110" i="175"/>
  <c r="S104" i="175"/>
  <c r="S118" i="175"/>
  <c r="S87" i="175"/>
  <c r="S174" i="175"/>
  <c r="S112" i="175"/>
  <c r="S101" i="175"/>
  <c r="S103" i="175"/>
  <c r="S163" i="175"/>
  <c r="S164" i="175"/>
  <c r="S106" i="175"/>
  <c r="S232" i="175"/>
  <c r="S233" i="175"/>
  <c r="S117" i="175"/>
  <c r="S119" i="175"/>
  <c r="S109" i="175"/>
  <c r="S105" i="175"/>
  <c r="S169" i="175"/>
  <c r="S100" i="175"/>
  <c r="S175" i="175"/>
  <c r="S176" i="175"/>
  <c r="S114" i="175"/>
  <c r="S234" i="175"/>
  <c r="S102" i="175"/>
  <c r="S107" i="175"/>
  <c r="S170" i="175"/>
  <c r="S108" i="175"/>
  <c r="S171" i="175"/>
  <c r="S172" i="175"/>
  <c r="S111" i="175"/>
  <c r="S113" i="175"/>
  <c r="S165" i="175"/>
  <c r="S166" i="175"/>
  <c r="S116" i="175"/>
  <c r="S177" i="175"/>
  <c r="S178" i="175"/>
  <c r="S115" i="175"/>
  <c r="S235" i="175"/>
  <c r="S236" i="175"/>
  <c r="S120" i="175"/>
  <c r="S97" i="175"/>
  <c r="S98" i="175"/>
  <c r="S167" i="175"/>
  <c r="S168" i="175"/>
  <c r="S179" i="175"/>
  <c r="S180" i="175"/>
  <c r="S161" i="175"/>
  <c r="S162" i="175"/>
  <c r="S99" i="175"/>
  <c r="S31" i="175"/>
  <c r="S237" i="175"/>
  <c r="S238" i="175"/>
  <c r="S239" i="175"/>
  <c r="S240" i="175"/>
  <c r="S241" i="175"/>
  <c r="S242" i="175"/>
  <c r="S243" i="175"/>
  <c r="S244" i="175"/>
  <c r="S245" i="175"/>
  <c r="S246" i="175"/>
  <c r="S247" i="175"/>
  <c r="S248" i="175"/>
  <c r="S249" i="175"/>
  <c r="S250" i="175"/>
  <c r="S251" i="175"/>
  <c r="S252" i="175"/>
  <c r="S253" i="175"/>
  <c r="S254" i="175"/>
  <c r="S255" i="175"/>
  <c r="S256" i="175"/>
  <c r="S257" i="175"/>
  <c r="S258" i="175"/>
  <c r="S259" i="175"/>
  <c r="S260" i="175"/>
  <c r="S261" i="175"/>
  <c r="S262" i="175"/>
  <c r="S263" i="175"/>
  <c r="S264" i="175"/>
  <c r="S265" i="175"/>
  <c r="S266" i="175"/>
  <c r="S267" i="175"/>
  <c r="S268" i="175"/>
  <c r="S269" i="175"/>
  <c r="S270" i="175"/>
  <c r="S271" i="175"/>
  <c r="S272" i="175"/>
  <c r="S273" i="175"/>
  <c r="S274" i="175"/>
  <c r="S275" i="175"/>
  <c r="S276" i="175"/>
  <c r="S277" i="175"/>
  <c r="S278" i="175"/>
  <c r="S279" i="175"/>
  <c r="Z289" i="175" l="1"/>
  <c r="AA89" i="177"/>
  <c r="F254" i="9"/>
  <c r="AD51" i="175"/>
  <c r="AA17" i="177"/>
  <c r="AA69" i="177"/>
  <c r="AD20" i="177"/>
  <c r="AE21" i="177"/>
  <c r="AC24" i="177"/>
  <c r="AD25" i="177"/>
  <c r="AE26" i="177"/>
  <c r="AC28" i="177"/>
  <c r="AD29" i="177"/>
  <c r="AE30" i="177"/>
  <c r="AC37" i="177"/>
  <c r="AD38" i="177"/>
  <c r="AE39" i="177"/>
  <c r="AC41" i="177"/>
  <c r="AD62" i="177"/>
  <c r="AE61" i="177"/>
  <c r="AE63" i="177"/>
  <c r="AE66" i="177"/>
  <c r="AE67" i="177"/>
  <c r="AE68" i="177"/>
  <c r="AE69" i="177"/>
  <c r="AD71" i="177"/>
  <c r="AD72" i="177"/>
  <c r="AD73" i="177"/>
  <c r="AD74" i="177"/>
  <c r="AC70" i="177"/>
  <c r="AE80" i="177"/>
  <c r="AE75" i="177"/>
  <c r="AE76" i="177"/>
  <c r="AE77" i="177"/>
  <c r="AE78" i="177"/>
  <c r="AE79" i="177"/>
  <c r="AA13" i="177"/>
  <c r="AA27" i="177"/>
  <c r="AA33" i="177"/>
  <c r="AA54" i="177"/>
  <c r="AA64" i="177"/>
  <c r="AA79" i="177"/>
  <c r="AC20" i="177"/>
  <c r="AF20" i="177" s="1"/>
  <c r="AD21" i="177"/>
  <c r="AF21" i="177" s="1"/>
  <c r="AG21" i="177" s="1"/>
  <c r="AE22" i="177"/>
  <c r="AC25" i="177"/>
  <c r="AF25" i="177" s="1"/>
  <c r="AD26" i="177"/>
  <c r="AF26" i="177" s="1"/>
  <c r="AG26" i="177" s="1"/>
  <c r="AE27" i="177"/>
  <c r="AC29" i="177"/>
  <c r="AD30" i="177"/>
  <c r="AE36" i="177"/>
  <c r="AC38" i="177"/>
  <c r="AD39" i="177"/>
  <c r="AC40" i="177"/>
  <c r="AC62" i="177"/>
  <c r="AD61" i="177"/>
  <c r="AD63" i="177"/>
  <c r="AD66" i="177"/>
  <c r="AD67" i="177"/>
  <c r="AD68" i="177"/>
  <c r="AD69" i="177"/>
  <c r="AC71" i="177"/>
  <c r="AC72" i="177"/>
  <c r="AC73" i="177"/>
  <c r="AC74" i="177"/>
  <c r="AE70" i="177"/>
  <c r="AD80" i="177"/>
  <c r="AD75" i="177"/>
  <c r="AD76" i="177"/>
  <c r="AD77" i="177"/>
  <c r="AD78" i="177"/>
  <c r="AD79" i="177"/>
  <c r="AA8" i="177"/>
  <c r="AA12" i="177"/>
  <c r="AA22" i="177"/>
  <c r="AA31" i="177"/>
  <c r="AA47" i="177"/>
  <c r="AA63" i="177"/>
  <c r="AA74" i="177"/>
  <c r="AA85" i="177"/>
  <c r="AD22" i="177"/>
  <c r="AE24" i="177"/>
  <c r="AD27" i="177"/>
  <c r="AE28" i="177"/>
  <c r="AD36" i="177"/>
  <c r="AF36" i="177" s="1"/>
  <c r="AG36" i="177" s="1"/>
  <c r="AE37" i="177"/>
  <c r="AD40" i="177"/>
  <c r="AE41" i="177"/>
  <c r="AC66" i="177"/>
  <c r="AC80" i="177"/>
  <c r="AA6" i="177"/>
  <c r="AA11" i="177"/>
  <c r="AA19" i="177"/>
  <c r="AA29" i="177"/>
  <c r="AA40" i="177"/>
  <c r="Z99" i="177" s="1"/>
  <c r="AA62" i="177"/>
  <c r="AA96" i="175"/>
  <c r="AD28" i="177"/>
  <c r="AA10" i="177"/>
  <c r="AA35" i="177"/>
  <c r="AA283" i="177" s="1"/>
  <c r="AA57" i="177"/>
  <c r="AA65" i="177"/>
  <c r="N240" i="9"/>
  <c r="N242" i="9"/>
  <c r="M290" i="177"/>
  <c r="Z284" i="177"/>
  <c r="AE57" i="177"/>
  <c r="AC8" i="177"/>
  <c r="AC13" i="177"/>
  <c r="AC18" i="177"/>
  <c r="AC57" i="177"/>
  <c r="AC85" i="177"/>
  <c r="AE65" i="177"/>
  <c r="AC65" i="177"/>
  <c r="AD87" i="177"/>
  <c r="AC19" i="177"/>
  <c r="AC53" i="177"/>
  <c r="AD84" i="177"/>
  <c r="AE53" i="177"/>
  <c r="AC83" i="177"/>
  <c r="AE55" i="177"/>
  <c r="AE59" i="177"/>
  <c r="AD81" i="177"/>
  <c r="AC6" i="177"/>
  <c r="AC31" i="177"/>
  <c r="AC55" i="177"/>
  <c r="AC59" i="177"/>
  <c r="AC81" i="177"/>
  <c r="AE83" i="177"/>
  <c r="AD85" i="177"/>
  <c r="Y100" i="177"/>
  <c r="S281" i="177"/>
  <c r="AE11" i="177"/>
  <c r="AE16" i="177"/>
  <c r="AD11" i="177"/>
  <c r="AD16" i="177"/>
  <c r="AE52" i="177"/>
  <c r="AE54" i="177"/>
  <c r="AE56" i="177"/>
  <c r="AE58" i="177"/>
  <c r="AE60" i="177"/>
  <c r="AE64" i="177"/>
  <c r="AE88" i="177"/>
  <c r="AD6" i="177"/>
  <c r="AF6" i="177" s="1"/>
  <c r="AD8" i="177"/>
  <c r="AD10" i="177"/>
  <c r="AD15" i="177"/>
  <c r="AC52" i="177"/>
  <c r="AC54" i="177"/>
  <c r="AC56" i="177"/>
  <c r="AC58" i="177"/>
  <c r="AC60" i="177"/>
  <c r="AC64" i="177"/>
  <c r="AD88" i="177"/>
  <c r="N288" i="177"/>
  <c r="AE93" i="177"/>
  <c r="AE9" i="177"/>
  <c r="AC10" i="177"/>
  <c r="AD12" i="177"/>
  <c r="AC15" i="177"/>
  <c r="AE17" i="177"/>
  <c r="AD18" i="177"/>
  <c r="AF18" i="177" s="1"/>
  <c r="AG18" i="177" s="1"/>
  <c r="AE32" i="177"/>
  <c r="AE33" i="177"/>
  <c r="AE34" i="177"/>
  <c r="AE35" i="177"/>
  <c r="AE42" i="177"/>
  <c r="AE43" i="177"/>
  <c r="AE44" i="177"/>
  <c r="AE45" i="177"/>
  <c r="AE46" i="177"/>
  <c r="AE47" i="177"/>
  <c r="AE48" i="177"/>
  <c r="AE49" i="177"/>
  <c r="AE50" i="177"/>
  <c r="AD51" i="177"/>
  <c r="AD52" i="177"/>
  <c r="AE82" i="177"/>
  <c r="AC84" i="177"/>
  <c r="AC87" i="177"/>
  <c r="AE89" i="177"/>
  <c r="AD9" i="177"/>
  <c r="AC12" i="177"/>
  <c r="AF12" i="177" s="1"/>
  <c r="AG12" i="177" s="1"/>
  <c r="AE13" i="177"/>
  <c r="AD17" i="177"/>
  <c r="AE19" i="177"/>
  <c r="AF19" i="177" s="1"/>
  <c r="AG19" i="177" s="1"/>
  <c r="AE31" i="177"/>
  <c r="AD32" i="177"/>
  <c r="AD33" i="177"/>
  <c r="AD34" i="177"/>
  <c r="AD35" i="177"/>
  <c r="AD42" i="177"/>
  <c r="AD43" i="177"/>
  <c r="AD44" i="177"/>
  <c r="AD45" i="177"/>
  <c r="AD46" i="177"/>
  <c r="AD47" i="177"/>
  <c r="AD48" i="177"/>
  <c r="AD49" i="177"/>
  <c r="AD50" i="177"/>
  <c r="AC51" i="177"/>
  <c r="AG76" i="177"/>
  <c r="AG77" i="177"/>
  <c r="AD82" i="177"/>
  <c r="AD89" i="177"/>
  <c r="Z96" i="177"/>
  <c r="AC9" i="177"/>
  <c r="AG14" i="177"/>
  <c r="AC17" i="177"/>
  <c r="AC42" i="177"/>
  <c r="AE97" i="175"/>
  <c r="AE98" i="175"/>
  <c r="AE99" i="175"/>
  <c r="AE100" i="175"/>
  <c r="AE101" i="175"/>
  <c r="AE102" i="175"/>
  <c r="AE103" i="175"/>
  <c r="AE104" i="175"/>
  <c r="AE105" i="175"/>
  <c r="AE106" i="175"/>
  <c r="AE107" i="175"/>
  <c r="AE108" i="175"/>
  <c r="AE109" i="175"/>
  <c r="AE110" i="175"/>
  <c r="AE111" i="175"/>
  <c r="AE112" i="175"/>
  <c r="AE113" i="175"/>
  <c r="AE114" i="175"/>
  <c r="AE115" i="175"/>
  <c r="AE116" i="175"/>
  <c r="AE117" i="175"/>
  <c r="AE118" i="175"/>
  <c r="AE119" i="175"/>
  <c r="AE120" i="175"/>
  <c r="AE91" i="175"/>
  <c r="AE92" i="175"/>
  <c r="AE93" i="175"/>
  <c r="AE94" i="175"/>
  <c r="AE95" i="175"/>
  <c r="AE96" i="175"/>
  <c r="AA120" i="175"/>
  <c r="AD97" i="175"/>
  <c r="AD98" i="175"/>
  <c r="AD99" i="175"/>
  <c r="AD100" i="175"/>
  <c r="AD101" i="175"/>
  <c r="AD102" i="175"/>
  <c r="AD103" i="175"/>
  <c r="AD104" i="175"/>
  <c r="AD105" i="175"/>
  <c r="AD106" i="175"/>
  <c r="AD107" i="175"/>
  <c r="AD108" i="175"/>
  <c r="AD109" i="175"/>
  <c r="AD110" i="175"/>
  <c r="AD111" i="175"/>
  <c r="AD112" i="175"/>
  <c r="AD113" i="175"/>
  <c r="AD114" i="175"/>
  <c r="AD115" i="175"/>
  <c r="AD116" i="175"/>
  <c r="AD117" i="175"/>
  <c r="AD118" i="175"/>
  <c r="AD119" i="175"/>
  <c r="AD120" i="175"/>
  <c r="AD91" i="175"/>
  <c r="AD92" i="175"/>
  <c r="AD93" i="175"/>
  <c r="AD94" i="175"/>
  <c r="AD95" i="175"/>
  <c r="AD96" i="175"/>
  <c r="AA99" i="175"/>
  <c r="AC96" i="175"/>
  <c r="N241" i="9"/>
  <c r="C263" i="9"/>
  <c r="N243" i="9"/>
  <c r="N239" i="9"/>
  <c r="N249" i="9"/>
  <c r="N238" i="9"/>
  <c r="N247" i="9"/>
  <c r="N251" i="9"/>
  <c r="N236" i="9"/>
  <c r="K254" i="9"/>
  <c r="D256" i="9"/>
  <c r="D263" i="9"/>
  <c r="N244" i="9"/>
  <c r="E256" i="9"/>
  <c r="E263" i="9"/>
  <c r="N245" i="9"/>
  <c r="N250" i="9"/>
  <c r="L246" i="9"/>
  <c r="N246" i="9" s="1"/>
  <c r="J248" i="9"/>
  <c r="J254" i="9" s="1"/>
  <c r="N234" i="9"/>
  <c r="L235" i="9"/>
  <c r="N235" i="9" s="1"/>
  <c r="L237" i="9"/>
  <c r="N237" i="9" s="1"/>
  <c r="M248" i="9"/>
  <c r="N248" i="9" s="1"/>
  <c r="F259" i="9"/>
  <c r="F261" i="9" s="1"/>
  <c r="H254" i="9"/>
  <c r="H256" i="9" s="1"/>
  <c r="R290" i="176"/>
  <c r="M290" i="176"/>
  <c r="M292" i="176" s="1"/>
  <c r="S287" i="176"/>
  <c r="Q287" i="176"/>
  <c r="R283" i="176"/>
  <c r="Q283" i="176"/>
  <c r="Q290" i="176" s="1"/>
  <c r="P283" i="176"/>
  <c r="O283" i="176"/>
  <c r="N283" i="176"/>
  <c r="N285" i="176" s="1"/>
  <c r="S276" i="176"/>
  <c r="S275" i="176"/>
  <c r="S274" i="176"/>
  <c r="S273" i="176"/>
  <c r="S272" i="176"/>
  <c r="S271" i="176"/>
  <c r="S270" i="176"/>
  <c r="S269" i="176"/>
  <c r="S268" i="176"/>
  <c r="S267" i="176"/>
  <c r="S266" i="176"/>
  <c r="S265" i="176"/>
  <c r="S264" i="176"/>
  <c r="S263" i="176"/>
  <c r="S262" i="176"/>
  <c r="S261" i="176"/>
  <c r="S260" i="176"/>
  <c r="S259" i="176"/>
  <c r="S258" i="176"/>
  <c r="S257" i="176"/>
  <c r="S256" i="176"/>
  <c r="S255" i="176"/>
  <c r="S254" i="176"/>
  <c r="S253" i="176"/>
  <c r="S252" i="176"/>
  <c r="S251" i="176"/>
  <c r="S250" i="176"/>
  <c r="S249" i="176"/>
  <c r="S248" i="176"/>
  <c r="S247" i="176"/>
  <c r="S246" i="176"/>
  <c r="S245" i="176"/>
  <c r="S244" i="176"/>
  <c r="S243" i="176"/>
  <c r="S242" i="176"/>
  <c r="S241" i="176"/>
  <c r="S240" i="176"/>
  <c r="S239" i="176"/>
  <c r="S238" i="176"/>
  <c r="S237" i="176"/>
  <c r="S236" i="176"/>
  <c r="S235" i="176"/>
  <c r="S234" i="176"/>
  <c r="S233" i="176"/>
  <c r="S232" i="176"/>
  <c r="S231" i="176"/>
  <c r="S230" i="176"/>
  <c r="S229" i="176"/>
  <c r="S228" i="176"/>
  <c r="S227" i="176"/>
  <c r="S226" i="176"/>
  <c r="S225" i="176"/>
  <c r="S224" i="176"/>
  <c r="S223" i="176"/>
  <c r="S222" i="176"/>
  <c r="S221" i="176"/>
  <c r="S220" i="176"/>
  <c r="S219" i="176"/>
  <c r="S218" i="176"/>
  <c r="S217" i="176"/>
  <c r="S216" i="176"/>
  <c r="S215" i="176"/>
  <c r="S214" i="176"/>
  <c r="S213" i="176"/>
  <c r="S212" i="176"/>
  <c r="S211" i="176"/>
  <c r="S210" i="176"/>
  <c r="S209" i="176"/>
  <c r="S208" i="176"/>
  <c r="S207" i="176"/>
  <c r="S206" i="176"/>
  <c r="S205" i="176"/>
  <c r="S204" i="176"/>
  <c r="S203" i="176"/>
  <c r="S202" i="176"/>
  <c r="S201" i="176"/>
  <c r="S200" i="176"/>
  <c r="S199" i="176"/>
  <c r="S198" i="176"/>
  <c r="S197" i="176"/>
  <c r="S196" i="176"/>
  <c r="S195" i="176"/>
  <c r="S194" i="176"/>
  <c r="S193" i="176"/>
  <c r="S192" i="176"/>
  <c r="S191" i="176"/>
  <c r="S190" i="176"/>
  <c r="S189" i="176"/>
  <c r="S188" i="176"/>
  <c r="S187" i="176"/>
  <c r="S186" i="176"/>
  <c r="S185" i="176"/>
  <c r="S184" i="176"/>
  <c r="S183" i="176"/>
  <c r="S182" i="176"/>
  <c r="S181" i="176"/>
  <c r="S180" i="176"/>
  <c r="S179" i="176"/>
  <c r="S178" i="176"/>
  <c r="S177" i="176"/>
  <c r="S176" i="176"/>
  <c r="S175" i="176"/>
  <c r="S174" i="176"/>
  <c r="S173" i="176"/>
  <c r="S172" i="176"/>
  <c r="S171" i="176"/>
  <c r="S170" i="176"/>
  <c r="S169" i="176"/>
  <c r="S168" i="176"/>
  <c r="S167" i="176"/>
  <c r="S166" i="176"/>
  <c r="S165" i="176"/>
  <c r="S164" i="176"/>
  <c r="S163" i="176"/>
  <c r="S162" i="176"/>
  <c r="S161" i="176"/>
  <c r="S160" i="176"/>
  <c r="S159" i="176"/>
  <c r="S158" i="176"/>
  <c r="S157" i="176"/>
  <c r="S156" i="176"/>
  <c r="S155" i="176"/>
  <c r="S154" i="176"/>
  <c r="S153" i="176"/>
  <c r="S152" i="176"/>
  <c r="S151" i="176"/>
  <c r="S150" i="176"/>
  <c r="S149" i="176"/>
  <c r="S148" i="176"/>
  <c r="S147" i="176"/>
  <c r="S146" i="176"/>
  <c r="S145" i="176"/>
  <c r="S144" i="176"/>
  <c r="S143" i="176"/>
  <c r="S142" i="176"/>
  <c r="S141" i="176"/>
  <c r="S140" i="176"/>
  <c r="S139" i="176"/>
  <c r="S138" i="176"/>
  <c r="S137" i="176"/>
  <c r="S136" i="176"/>
  <c r="S135" i="176"/>
  <c r="S134" i="176"/>
  <c r="S133" i="176"/>
  <c r="S132" i="176"/>
  <c r="S131" i="176"/>
  <c r="S130" i="176"/>
  <c r="S129" i="176"/>
  <c r="S128" i="176"/>
  <c r="S127" i="176"/>
  <c r="S126" i="176"/>
  <c r="S125" i="176"/>
  <c r="S124" i="176"/>
  <c r="S123" i="176"/>
  <c r="S122" i="176"/>
  <c r="S121" i="176"/>
  <c r="Z120" i="176"/>
  <c r="S120" i="176"/>
  <c r="Z119" i="176"/>
  <c r="S119" i="176"/>
  <c r="Z118" i="176"/>
  <c r="S118" i="176"/>
  <c r="Z117" i="176"/>
  <c r="Z121" i="176" s="1"/>
  <c r="S117" i="176"/>
  <c r="S116" i="176"/>
  <c r="S115" i="176"/>
  <c r="S114" i="176"/>
  <c r="AB113" i="176"/>
  <c r="Y113" i="176"/>
  <c r="S113" i="176"/>
  <c r="S112" i="176"/>
  <c r="S111" i="176"/>
  <c r="S110" i="176"/>
  <c r="AF109" i="176"/>
  <c r="AG109" i="176" s="1"/>
  <c r="Z109" i="176"/>
  <c r="AD109" i="176" s="1"/>
  <c r="Y109" i="176"/>
  <c r="X109" i="176"/>
  <c r="W109" i="176"/>
  <c r="V109" i="176"/>
  <c r="U109" i="176"/>
  <c r="S109" i="176"/>
  <c r="AF108" i="176"/>
  <c r="AG108" i="176" s="1"/>
  <c r="Z108" i="176"/>
  <c r="AC108" i="176" s="1"/>
  <c r="Y108" i="176"/>
  <c r="X108" i="176"/>
  <c r="W108" i="176"/>
  <c r="V108" i="176"/>
  <c r="U108" i="176"/>
  <c r="S108" i="176"/>
  <c r="AF107" i="176"/>
  <c r="AG107" i="176" s="1"/>
  <c r="Z107" i="176"/>
  <c r="AC107" i="176" s="1"/>
  <c r="Y107" i="176"/>
  <c r="X107" i="176"/>
  <c r="W107" i="176"/>
  <c r="V107" i="176"/>
  <c r="U107" i="176"/>
  <c r="S107" i="176"/>
  <c r="AF106" i="176"/>
  <c r="AG106" i="176" s="1"/>
  <c r="Z106" i="176"/>
  <c r="AD106" i="176" s="1"/>
  <c r="Y106" i="176"/>
  <c r="X106" i="176"/>
  <c r="W106" i="176"/>
  <c r="V106" i="176"/>
  <c r="U106" i="176"/>
  <c r="S106" i="176"/>
  <c r="AF105" i="176"/>
  <c r="AG105" i="176" s="1"/>
  <c r="Z105" i="176"/>
  <c r="AE105" i="176" s="1"/>
  <c r="Y105" i="176"/>
  <c r="X105" i="176"/>
  <c r="W105" i="176"/>
  <c r="V105" i="176"/>
  <c r="U105" i="176"/>
  <c r="S105" i="176"/>
  <c r="AF104" i="176"/>
  <c r="AG104" i="176" s="1"/>
  <c r="Z104" i="176"/>
  <c r="AC104" i="176" s="1"/>
  <c r="Y104" i="176"/>
  <c r="X104" i="176"/>
  <c r="W104" i="176"/>
  <c r="V104" i="176"/>
  <c r="U104" i="176"/>
  <c r="S104" i="176"/>
  <c r="AF103" i="176"/>
  <c r="AG103" i="176" s="1"/>
  <c r="Z103" i="176"/>
  <c r="AD103" i="176" s="1"/>
  <c r="Y103" i="176"/>
  <c r="X103" i="176"/>
  <c r="W103" i="176"/>
  <c r="V103" i="176"/>
  <c r="U103" i="176"/>
  <c r="S103" i="176"/>
  <c r="AF102" i="176"/>
  <c r="AG102" i="176" s="1"/>
  <c r="AD102" i="176"/>
  <c r="Z102" i="176"/>
  <c r="AE102" i="176" s="1"/>
  <c r="Y102" i="176"/>
  <c r="X102" i="176"/>
  <c r="W102" i="176"/>
  <c r="V102" i="176"/>
  <c r="U102" i="176"/>
  <c r="S102" i="176"/>
  <c r="AF101" i="176"/>
  <c r="AG101" i="176" s="1"/>
  <c r="Z101" i="176"/>
  <c r="AE101" i="176" s="1"/>
  <c r="Y101" i="176"/>
  <c r="X101" i="176"/>
  <c r="W101" i="176"/>
  <c r="V101" i="176"/>
  <c r="U101" i="176"/>
  <c r="S101" i="176"/>
  <c r="AF100" i="176"/>
  <c r="AG100" i="176" s="1"/>
  <c r="Z100" i="176"/>
  <c r="AC100" i="176" s="1"/>
  <c r="Y100" i="176"/>
  <c r="X100" i="176"/>
  <c r="W100" i="176"/>
  <c r="V100" i="176"/>
  <c r="U100" i="176"/>
  <c r="S100" i="176"/>
  <c r="AF99" i="176"/>
  <c r="AG99" i="176" s="1"/>
  <c r="Z99" i="176"/>
  <c r="AD99" i="176" s="1"/>
  <c r="Y99" i="176"/>
  <c r="X99" i="176"/>
  <c r="W99" i="176"/>
  <c r="V99" i="176"/>
  <c r="U99" i="176"/>
  <c r="S99" i="176"/>
  <c r="AF98" i="176"/>
  <c r="AG98" i="176" s="1"/>
  <c r="Z98" i="176"/>
  <c r="AE98" i="176" s="1"/>
  <c r="Y98" i="176"/>
  <c r="X98" i="176"/>
  <c r="W98" i="176"/>
  <c r="V98" i="176"/>
  <c r="U98" i="176"/>
  <c r="S98" i="176"/>
  <c r="AF97" i="176"/>
  <c r="AG97" i="176" s="1"/>
  <c r="Z97" i="176"/>
  <c r="AE97" i="176" s="1"/>
  <c r="Y97" i="176"/>
  <c r="X97" i="176"/>
  <c r="W97" i="176"/>
  <c r="V97" i="176"/>
  <c r="U97" i="176"/>
  <c r="S97" i="176"/>
  <c r="AF96" i="176"/>
  <c r="AG96" i="176" s="1"/>
  <c r="Z96" i="176"/>
  <c r="AC96" i="176" s="1"/>
  <c r="Y96" i="176"/>
  <c r="X96" i="176"/>
  <c r="W96" i="176"/>
  <c r="V96" i="176"/>
  <c r="U96" i="176"/>
  <c r="S96" i="176"/>
  <c r="AF95" i="176"/>
  <c r="AG95" i="176" s="1"/>
  <c r="Z95" i="176"/>
  <c r="AD95" i="176" s="1"/>
  <c r="Y95" i="176"/>
  <c r="X95" i="176"/>
  <c r="W95" i="176"/>
  <c r="V95" i="176"/>
  <c r="U95" i="176"/>
  <c r="S95" i="176"/>
  <c r="AG94" i="176"/>
  <c r="AF94" i="176"/>
  <c r="Z94" i="176"/>
  <c r="AE94" i="176" s="1"/>
  <c r="Y94" i="176"/>
  <c r="X94" i="176"/>
  <c r="W94" i="176"/>
  <c r="V94" i="176"/>
  <c r="U94" i="176"/>
  <c r="S94" i="176"/>
  <c r="AF93" i="176"/>
  <c r="AG93" i="176" s="1"/>
  <c r="Z93" i="176"/>
  <c r="AD93" i="176" s="1"/>
  <c r="Y93" i="176"/>
  <c r="X93" i="176"/>
  <c r="W93" i="176"/>
  <c r="V93" i="176"/>
  <c r="U93" i="176"/>
  <c r="S93" i="176"/>
  <c r="AF92" i="176"/>
  <c r="AG92" i="176" s="1"/>
  <c r="Z92" i="176"/>
  <c r="AC92" i="176" s="1"/>
  <c r="Y92" i="176"/>
  <c r="X92" i="176"/>
  <c r="W92" i="176"/>
  <c r="V92" i="176"/>
  <c r="U92" i="176"/>
  <c r="S92" i="176"/>
  <c r="AG91" i="176"/>
  <c r="AF91" i="176"/>
  <c r="Z91" i="176"/>
  <c r="AD91" i="176" s="1"/>
  <c r="Y91" i="176"/>
  <c r="X91" i="176"/>
  <c r="W91" i="176"/>
  <c r="V91" i="176"/>
  <c r="U91" i="176"/>
  <c r="S91" i="176"/>
  <c r="AF90" i="176"/>
  <c r="AG90" i="176" s="1"/>
  <c r="AD90" i="176"/>
  <c r="Z90" i="176"/>
  <c r="AE90" i="176" s="1"/>
  <c r="Y90" i="176"/>
  <c r="X90" i="176"/>
  <c r="W90" i="176"/>
  <c r="V90" i="176"/>
  <c r="U90" i="176"/>
  <c r="S90" i="176"/>
  <c r="AF89" i="176"/>
  <c r="AG89" i="176" s="1"/>
  <c r="Z89" i="176"/>
  <c r="AC89" i="176" s="1"/>
  <c r="Y89" i="176"/>
  <c r="X89" i="176"/>
  <c r="W89" i="176"/>
  <c r="V89" i="176"/>
  <c r="U89" i="176"/>
  <c r="S89" i="176"/>
  <c r="AF88" i="176"/>
  <c r="AG88" i="176" s="1"/>
  <c r="Z88" i="176"/>
  <c r="AE88" i="176" s="1"/>
  <c r="Y88" i="176"/>
  <c r="X88" i="176"/>
  <c r="W88" i="176"/>
  <c r="V88" i="176"/>
  <c r="U88" i="176"/>
  <c r="S88" i="176"/>
  <c r="AF87" i="176"/>
  <c r="AG87" i="176" s="1"/>
  <c r="Z87" i="176"/>
  <c r="AC87" i="176" s="1"/>
  <c r="Y87" i="176"/>
  <c r="X87" i="176"/>
  <c r="W87" i="176"/>
  <c r="V87" i="176"/>
  <c r="U87" i="176"/>
  <c r="S87" i="176"/>
  <c r="AF86" i="176"/>
  <c r="AG86" i="176" s="1"/>
  <c r="Z86" i="176"/>
  <c r="AE86" i="176" s="1"/>
  <c r="Y86" i="176"/>
  <c r="X86" i="176"/>
  <c r="W86" i="176"/>
  <c r="V86" i="176"/>
  <c r="U86" i="176"/>
  <c r="S86" i="176"/>
  <c r="AF85" i="176"/>
  <c r="AG85" i="176" s="1"/>
  <c r="Z85" i="176"/>
  <c r="AE85" i="176" s="1"/>
  <c r="Y85" i="176"/>
  <c r="X85" i="176"/>
  <c r="W85" i="176"/>
  <c r="V85" i="176"/>
  <c r="U85" i="176"/>
  <c r="S85" i="176"/>
  <c r="AF84" i="176"/>
  <c r="AG84" i="176" s="1"/>
  <c r="AA84" i="176"/>
  <c r="Z84" i="176"/>
  <c r="AC84" i="176" s="1"/>
  <c r="Y84" i="176"/>
  <c r="X84" i="176"/>
  <c r="W84" i="176"/>
  <c r="V84" i="176"/>
  <c r="U84" i="176"/>
  <c r="S84" i="176"/>
  <c r="AF83" i="176"/>
  <c r="AG83" i="176" s="1"/>
  <c r="Z83" i="176"/>
  <c r="AE83" i="176" s="1"/>
  <c r="Y83" i="176"/>
  <c r="X83" i="176"/>
  <c r="W83" i="176"/>
  <c r="V83" i="176"/>
  <c r="U83" i="176"/>
  <c r="S83" i="176"/>
  <c r="AF82" i="176"/>
  <c r="AG82" i="176" s="1"/>
  <c r="Z82" i="176"/>
  <c r="AA83" i="176" s="1"/>
  <c r="Y82" i="176"/>
  <c r="X82" i="176"/>
  <c r="W82" i="176"/>
  <c r="V82" i="176"/>
  <c r="U82" i="176"/>
  <c r="S82" i="176"/>
  <c r="AF81" i="176"/>
  <c r="AG81" i="176" s="1"/>
  <c r="Z81" i="176"/>
  <c r="AC81" i="176" s="1"/>
  <c r="Y81" i="176"/>
  <c r="X81" i="176"/>
  <c r="W81" i="176"/>
  <c r="V81" i="176"/>
  <c r="U81" i="176"/>
  <c r="S81" i="176"/>
  <c r="AF80" i="176"/>
  <c r="AG80" i="176" s="1"/>
  <c r="Z80" i="176"/>
  <c r="AE80" i="176" s="1"/>
  <c r="Y80" i="176"/>
  <c r="X80" i="176"/>
  <c r="W80" i="176"/>
  <c r="V80" i="176"/>
  <c r="U80" i="176"/>
  <c r="S80" i="176"/>
  <c r="AF79" i="176"/>
  <c r="AG79" i="176" s="1"/>
  <c r="AC79" i="176"/>
  <c r="Z79" i="176"/>
  <c r="AE79" i="176" s="1"/>
  <c r="Y79" i="176"/>
  <c r="X79" i="176"/>
  <c r="W79" i="176"/>
  <c r="V79" i="176"/>
  <c r="U79" i="176"/>
  <c r="S79" i="176"/>
  <c r="AG78" i="176"/>
  <c r="AF78" i="176"/>
  <c r="Z78" i="176"/>
  <c r="AE78" i="176" s="1"/>
  <c r="Y78" i="176"/>
  <c r="X78" i="176"/>
  <c r="W78" i="176"/>
  <c r="V78" i="176"/>
  <c r="U78" i="176"/>
  <c r="S78" i="176"/>
  <c r="AF77" i="176"/>
  <c r="AG77" i="176" s="1"/>
  <c r="Z77" i="176"/>
  <c r="AE77" i="176" s="1"/>
  <c r="Y77" i="176"/>
  <c r="X77" i="176"/>
  <c r="W77" i="176"/>
  <c r="V77" i="176"/>
  <c r="U77" i="176"/>
  <c r="S77" i="176"/>
  <c r="AF76" i="176"/>
  <c r="AG76" i="176" s="1"/>
  <c r="Z76" i="176"/>
  <c r="AE76" i="176" s="1"/>
  <c r="Y76" i="176"/>
  <c r="X76" i="176"/>
  <c r="W76" i="176"/>
  <c r="V76" i="176"/>
  <c r="U76" i="176"/>
  <c r="S76" i="176"/>
  <c r="AG75" i="176"/>
  <c r="Z75" i="176"/>
  <c r="AE75" i="176" s="1"/>
  <c r="Y75" i="176"/>
  <c r="X75" i="176"/>
  <c r="W75" i="176"/>
  <c r="V75" i="176"/>
  <c r="U75" i="176"/>
  <c r="S75" i="176"/>
  <c r="AG74" i="176"/>
  <c r="Z74" i="176"/>
  <c r="AE74" i="176" s="1"/>
  <c r="Y74" i="176"/>
  <c r="X74" i="176"/>
  <c r="W74" i="176"/>
  <c r="V74" i="176"/>
  <c r="U74" i="176"/>
  <c r="S74" i="176"/>
  <c r="AG73" i="176"/>
  <c r="Z73" i="176"/>
  <c r="AC73" i="176" s="1"/>
  <c r="Y73" i="176"/>
  <c r="X73" i="176"/>
  <c r="W73" i="176"/>
  <c r="V73" i="176"/>
  <c r="U73" i="176"/>
  <c r="S73" i="176"/>
  <c r="AF72" i="176"/>
  <c r="AG72" i="176" s="1"/>
  <c r="Z72" i="176"/>
  <c r="AD72" i="176" s="1"/>
  <c r="Y72" i="176"/>
  <c r="X72" i="176"/>
  <c r="W72" i="176"/>
  <c r="V72" i="176"/>
  <c r="U72" i="176"/>
  <c r="S72" i="176"/>
  <c r="AF71" i="176"/>
  <c r="AG71" i="176" s="1"/>
  <c r="AC71" i="176"/>
  <c r="Z71" i="176"/>
  <c r="AE71" i="176" s="1"/>
  <c r="Y71" i="176"/>
  <c r="X71" i="176"/>
  <c r="W71" i="176"/>
  <c r="V71" i="176"/>
  <c r="U71" i="176"/>
  <c r="S71" i="176"/>
  <c r="AG70" i="176"/>
  <c r="Z70" i="176"/>
  <c r="AD70" i="176" s="1"/>
  <c r="Y70" i="176"/>
  <c r="X70" i="176"/>
  <c r="W70" i="176"/>
  <c r="V70" i="176"/>
  <c r="U70" i="176"/>
  <c r="S70" i="176"/>
  <c r="Z69" i="176"/>
  <c r="AE69" i="176" s="1"/>
  <c r="Y69" i="176"/>
  <c r="X69" i="176"/>
  <c r="W69" i="176"/>
  <c r="V69" i="176"/>
  <c r="U69" i="176"/>
  <c r="S69" i="176"/>
  <c r="AG68" i="176"/>
  <c r="Z68" i="176"/>
  <c r="AC68" i="176" s="1"/>
  <c r="Y68" i="176"/>
  <c r="X68" i="176"/>
  <c r="W68" i="176"/>
  <c r="V68" i="176"/>
  <c r="U68" i="176"/>
  <c r="S68" i="176"/>
  <c r="AG67" i="176"/>
  <c r="Z67" i="176"/>
  <c r="AD67" i="176" s="1"/>
  <c r="Y67" i="176"/>
  <c r="X67" i="176"/>
  <c r="W67" i="176"/>
  <c r="V67" i="176"/>
  <c r="U67" i="176"/>
  <c r="S67" i="176"/>
  <c r="AG66" i="176"/>
  <c r="Z66" i="176"/>
  <c r="AD66" i="176" s="1"/>
  <c r="Y66" i="176"/>
  <c r="X66" i="176"/>
  <c r="W66" i="176"/>
  <c r="V66" i="176"/>
  <c r="U66" i="176"/>
  <c r="S66" i="176"/>
  <c r="AG65" i="176"/>
  <c r="Z65" i="176"/>
  <c r="AD65" i="176" s="1"/>
  <c r="Y65" i="176"/>
  <c r="X65" i="176"/>
  <c r="W65" i="176"/>
  <c r="V65" i="176"/>
  <c r="U65" i="176"/>
  <c r="S65" i="176"/>
  <c r="AG64" i="176"/>
  <c r="Z64" i="176"/>
  <c r="AD64" i="176" s="1"/>
  <c r="Y64" i="176"/>
  <c r="X64" i="176"/>
  <c r="W64" i="176"/>
  <c r="V64" i="176"/>
  <c r="U64" i="176"/>
  <c r="S64" i="176"/>
  <c r="AG63" i="176"/>
  <c r="Z63" i="176"/>
  <c r="AD63" i="176" s="1"/>
  <c r="Y63" i="176"/>
  <c r="X63" i="176"/>
  <c r="W63" i="176"/>
  <c r="V63" i="176"/>
  <c r="U63" i="176"/>
  <c r="S63" i="176"/>
  <c r="AG62" i="176"/>
  <c r="Z62" i="176"/>
  <c r="AE62" i="176" s="1"/>
  <c r="Y62" i="176"/>
  <c r="X62" i="176"/>
  <c r="W62" i="176"/>
  <c r="V62" i="176"/>
  <c r="U62" i="176"/>
  <c r="S62" i="176"/>
  <c r="AG61" i="176"/>
  <c r="AD61" i="176"/>
  <c r="AC61" i="176"/>
  <c r="Z61" i="176"/>
  <c r="AE61" i="176" s="1"/>
  <c r="Y61" i="176"/>
  <c r="X61" i="176"/>
  <c r="W61" i="176"/>
  <c r="V61" i="176"/>
  <c r="U61" i="176"/>
  <c r="S61" i="176"/>
  <c r="AG60" i="176"/>
  <c r="Z60" i="176"/>
  <c r="AE60" i="176" s="1"/>
  <c r="Y60" i="176"/>
  <c r="X60" i="176"/>
  <c r="W60" i="176"/>
  <c r="V60" i="176"/>
  <c r="U60" i="176"/>
  <c r="S60" i="176"/>
  <c r="AG59" i="176"/>
  <c r="Z59" i="176"/>
  <c r="AD59" i="176" s="1"/>
  <c r="Y59" i="176"/>
  <c r="X59" i="176"/>
  <c r="W59" i="176"/>
  <c r="V59" i="176"/>
  <c r="U59" i="176"/>
  <c r="S59" i="176"/>
  <c r="AG58" i="176"/>
  <c r="Z58" i="176"/>
  <c r="AE58" i="176" s="1"/>
  <c r="Y58" i="176"/>
  <c r="X58" i="176"/>
  <c r="W58" i="176"/>
  <c r="V58" i="176"/>
  <c r="U58" i="176"/>
  <c r="S58" i="176"/>
  <c r="AG57" i="176"/>
  <c r="AE57" i="176"/>
  <c r="Z57" i="176"/>
  <c r="AD57" i="176" s="1"/>
  <c r="Y57" i="176"/>
  <c r="X57" i="176"/>
  <c r="W57" i="176"/>
  <c r="V57" i="176"/>
  <c r="U57" i="176"/>
  <c r="S57" i="176"/>
  <c r="AG56" i="176"/>
  <c r="AD56" i="176"/>
  <c r="Z56" i="176"/>
  <c r="AE56" i="176" s="1"/>
  <c r="Y56" i="176"/>
  <c r="X56" i="176"/>
  <c r="W56" i="176"/>
  <c r="V56" i="176"/>
  <c r="U56" i="176"/>
  <c r="S56" i="176"/>
  <c r="AG55" i="176"/>
  <c r="Z55" i="176"/>
  <c r="AC55" i="176" s="1"/>
  <c r="Y55" i="176"/>
  <c r="X55" i="176"/>
  <c r="W55" i="176"/>
  <c r="V55" i="176"/>
  <c r="U55" i="176"/>
  <c r="S55" i="176"/>
  <c r="AG54" i="176"/>
  <c r="Z54" i="176"/>
  <c r="AE54" i="176" s="1"/>
  <c r="Y54" i="176"/>
  <c r="X54" i="176"/>
  <c r="W54" i="176"/>
  <c r="V54" i="176"/>
  <c r="U54" i="176"/>
  <c r="S54" i="176"/>
  <c r="AG53" i="176"/>
  <c r="Z53" i="176"/>
  <c r="AC53" i="176" s="1"/>
  <c r="Y53" i="176"/>
  <c r="X53" i="176"/>
  <c r="W53" i="176"/>
  <c r="V53" i="176"/>
  <c r="U53" i="176"/>
  <c r="S53" i="176"/>
  <c r="AG52" i="176"/>
  <c r="Z52" i="176"/>
  <c r="Y52" i="176"/>
  <c r="X52" i="176"/>
  <c r="W52" i="176"/>
  <c r="V52" i="176"/>
  <c r="U52" i="176"/>
  <c r="S52" i="176"/>
  <c r="Z51" i="176"/>
  <c r="AD51" i="176" s="1"/>
  <c r="Y51" i="176"/>
  <c r="X51" i="176"/>
  <c r="W51" i="176"/>
  <c r="V51" i="176"/>
  <c r="U51" i="176"/>
  <c r="S51" i="176"/>
  <c r="Z50" i="176"/>
  <c r="AC50" i="176" s="1"/>
  <c r="Y50" i="176"/>
  <c r="X50" i="176"/>
  <c r="W50" i="176"/>
  <c r="V50" i="176"/>
  <c r="U50" i="176"/>
  <c r="S50" i="176"/>
  <c r="Z49" i="176"/>
  <c r="Y49" i="176"/>
  <c r="X49" i="176"/>
  <c r="W49" i="176"/>
  <c r="V49" i="176"/>
  <c r="U49" i="176"/>
  <c r="S49" i="176"/>
  <c r="Z48" i="176"/>
  <c r="AD48" i="176" s="1"/>
  <c r="Y48" i="176"/>
  <c r="X48" i="176"/>
  <c r="W48" i="176"/>
  <c r="V48" i="176"/>
  <c r="U48" i="176"/>
  <c r="S48" i="176"/>
  <c r="Z47" i="176"/>
  <c r="AE47" i="176" s="1"/>
  <c r="Y47" i="176"/>
  <c r="X47" i="176"/>
  <c r="W47" i="176"/>
  <c r="V47" i="176"/>
  <c r="U47" i="176"/>
  <c r="S47" i="176"/>
  <c r="Z46" i="176"/>
  <c r="AD46" i="176" s="1"/>
  <c r="Y46" i="176"/>
  <c r="X46" i="176"/>
  <c r="W46" i="176"/>
  <c r="V46" i="176"/>
  <c r="U46" i="176"/>
  <c r="S46" i="176"/>
  <c r="Z45" i="176"/>
  <c r="AC45" i="176" s="1"/>
  <c r="Y45" i="176"/>
  <c r="X45" i="176"/>
  <c r="W45" i="176"/>
  <c r="V45" i="176"/>
  <c r="U45" i="176"/>
  <c r="S45" i="176"/>
  <c r="Z44" i="176"/>
  <c r="AD44" i="176" s="1"/>
  <c r="Y44" i="176"/>
  <c r="X44" i="176"/>
  <c r="W44" i="176"/>
  <c r="V44" i="176"/>
  <c r="U44" i="176"/>
  <c r="S44" i="176"/>
  <c r="AC43" i="176"/>
  <c r="Z43" i="176"/>
  <c r="AE43" i="176" s="1"/>
  <c r="Y43" i="176"/>
  <c r="X43" i="176"/>
  <c r="W43" i="176"/>
  <c r="V43" i="176"/>
  <c r="U43" i="176"/>
  <c r="S43" i="176"/>
  <c r="Z42" i="176"/>
  <c r="AC42" i="176" s="1"/>
  <c r="Y42" i="176"/>
  <c r="X42" i="176"/>
  <c r="W42" i="176"/>
  <c r="V42" i="176"/>
  <c r="U42" i="176"/>
  <c r="S42" i="176"/>
  <c r="Z41" i="176"/>
  <c r="AC41" i="176" s="1"/>
  <c r="Y41" i="176"/>
  <c r="X41" i="176"/>
  <c r="W41" i="176"/>
  <c r="V41" i="176"/>
  <c r="U41" i="176"/>
  <c r="S41" i="176"/>
  <c r="AG40" i="176"/>
  <c r="Z40" i="176"/>
  <c r="Y40" i="176"/>
  <c r="X40" i="176"/>
  <c r="W40" i="176"/>
  <c r="V40" i="176"/>
  <c r="U40" i="176"/>
  <c r="S40" i="176"/>
  <c r="AG39" i="176"/>
  <c r="Z39" i="176"/>
  <c r="Y39" i="176"/>
  <c r="X39" i="176"/>
  <c r="W39" i="176"/>
  <c r="V39" i="176"/>
  <c r="U39" i="176"/>
  <c r="S39" i="176"/>
  <c r="AG38" i="176"/>
  <c r="Z38" i="176"/>
  <c r="Y38" i="176"/>
  <c r="X38" i="176"/>
  <c r="W38" i="176"/>
  <c r="V38" i="176"/>
  <c r="U38" i="176"/>
  <c r="S38" i="176"/>
  <c r="AF37" i="176"/>
  <c r="AG37" i="176" s="1"/>
  <c r="Z37" i="176"/>
  <c r="Y37" i="176"/>
  <c r="X37" i="176"/>
  <c r="W37" i="176"/>
  <c r="V37" i="176"/>
  <c r="U37" i="176"/>
  <c r="S37" i="176"/>
  <c r="AG36" i="176"/>
  <c r="Z36" i="176"/>
  <c r="AE36" i="176" s="1"/>
  <c r="Y36" i="176"/>
  <c r="X36" i="176"/>
  <c r="W36" i="176"/>
  <c r="V36" i="176"/>
  <c r="U36" i="176"/>
  <c r="S36" i="176"/>
  <c r="AG35" i="176"/>
  <c r="Z35" i="176"/>
  <c r="AE35" i="176" s="1"/>
  <c r="Y35" i="176"/>
  <c r="X35" i="176"/>
  <c r="W35" i="176"/>
  <c r="V35" i="176"/>
  <c r="U35" i="176"/>
  <c r="S35" i="176"/>
  <c r="AG34" i="176"/>
  <c r="Z34" i="176"/>
  <c r="AE34" i="176" s="1"/>
  <c r="Y34" i="176"/>
  <c r="X34" i="176"/>
  <c r="W34" i="176"/>
  <c r="V34" i="176"/>
  <c r="U34" i="176"/>
  <c r="S34" i="176"/>
  <c r="AG33" i="176"/>
  <c r="Z33" i="176"/>
  <c r="AE33" i="176" s="1"/>
  <c r="Y33" i="176"/>
  <c r="X33" i="176"/>
  <c r="W33" i="176"/>
  <c r="V33" i="176"/>
  <c r="U33" i="176"/>
  <c r="S33" i="176"/>
  <c r="AG32" i="176"/>
  <c r="Z32" i="176"/>
  <c r="AE32" i="176" s="1"/>
  <c r="Y32" i="176"/>
  <c r="X32" i="176"/>
  <c r="W32" i="176"/>
  <c r="V32" i="176"/>
  <c r="U32" i="176"/>
  <c r="S32" i="176"/>
  <c r="AG31" i="176"/>
  <c r="AD31" i="176"/>
  <c r="AC31" i="176"/>
  <c r="Z31" i="176"/>
  <c r="AE31" i="176" s="1"/>
  <c r="Y31" i="176"/>
  <c r="X31" i="176"/>
  <c r="W31" i="176"/>
  <c r="V31" i="176"/>
  <c r="U31" i="176"/>
  <c r="S31" i="176"/>
  <c r="AG30" i="176"/>
  <c r="AC30" i="176"/>
  <c r="Z30" i="176"/>
  <c r="AE30" i="176" s="1"/>
  <c r="Y30" i="176"/>
  <c r="X30" i="176"/>
  <c r="W30" i="176"/>
  <c r="V30" i="176"/>
  <c r="U30" i="176"/>
  <c r="S30" i="176"/>
  <c r="AF29" i="176"/>
  <c r="AG29" i="176" s="1"/>
  <c r="Z29" i="176"/>
  <c r="Y29" i="176"/>
  <c r="X29" i="176"/>
  <c r="W29" i="176"/>
  <c r="V29" i="176"/>
  <c r="U29" i="176"/>
  <c r="S29" i="176"/>
  <c r="AG28" i="176"/>
  <c r="Z28" i="176"/>
  <c r="AC28" i="176" s="1"/>
  <c r="Y28" i="176"/>
  <c r="X28" i="176"/>
  <c r="W28" i="176"/>
  <c r="V28" i="176"/>
  <c r="U28" i="176"/>
  <c r="S28" i="176"/>
  <c r="AG27" i="176"/>
  <c r="Z27" i="176"/>
  <c r="AC27" i="176" s="1"/>
  <c r="Y27" i="176"/>
  <c r="X27" i="176"/>
  <c r="W27" i="176"/>
  <c r="V27" i="176"/>
  <c r="U27" i="176"/>
  <c r="S27" i="176"/>
  <c r="AG26" i="176"/>
  <c r="Z26" i="176"/>
  <c r="AD26" i="176" s="1"/>
  <c r="Y26" i="176"/>
  <c r="X26" i="176"/>
  <c r="W26" i="176"/>
  <c r="V26" i="176"/>
  <c r="U26" i="176"/>
  <c r="S26" i="176"/>
  <c r="AG25" i="176"/>
  <c r="Z25" i="176"/>
  <c r="AD25" i="176" s="1"/>
  <c r="Y25" i="176"/>
  <c r="X25" i="176"/>
  <c r="W25" i="176"/>
  <c r="V25" i="176"/>
  <c r="U25" i="176"/>
  <c r="S25" i="176"/>
  <c r="Z24" i="176"/>
  <c r="AE24" i="176" s="1"/>
  <c r="Y24" i="176"/>
  <c r="X24" i="176"/>
  <c r="W24" i="176"/>
  <c r="V24" i="176"/>
  <c r="U24" i="176"/>
  <c r="S24" i="176"/>
  <c r="Z23" i="176"/>
  <c r="AC23" i="176" s="1"/>
  <c r="Y23" i="176"/>
  <c r="X23" i="176"/>
  <c r="W23" i="176"/>
  <c r="V23" i="176"/>
  <c r="U23" i="176"/>
  <c r="S23" i="176"/>
  <c r="Z22" i="176"/>
  <c r="AE22" i="176" s="1"/>
  <c r="Y22" i="176"/>
  <c r="X22" i="176"/>
  <c r="W22" i="176"/>
  <c r="V22" i="176"/>
  <c r="U22" i="176"/>
  <c r="S22" i="176"/>
  <c r="Z21" i="176"/>
  <c r="Y21" i="176"/>
  <c r="X21" i="176"/>
  <c r="W21" i="176"/>
  <c r="V21" i="176"/>
  <c r="U21" i="176"/>
  <c r="S21" i="176"/>
  <c r="Z20" i="176"/>
  <c r="AD20" i="176" s="1"/>
  <c r="Y20" i="176"/>
  <c r="X20" i="176"/>
  <c r="W20" i="176"/>
  <c r="V20" i="176"/>
  <c r="U20" i="176"/>
  <c r="S20" i="176"/>
  <c r="Z19" i="176"/>
  <c r="AE19" i="176" s="1"/>
  <c r="Y19" i="176"/>
  <c r="X19" i="176"/>
  <c r="W19" i="176"/>
  <c r="V19" i="176"/>
  <c r="U19" i="176"/>
  <c r="S19" i="176"/>
  <c r="Z18" i="176"/>
  <c r="AD18" i="176" s="1"/>
  <c r="Y18" i="176"/>
  <c r="X18" i="176"/>
  <c r="W18" i="176"/>
  <c r="V18" i="176"/>
  <c r="U18" i="176"/>
  <c r="S18" i="176"/>
  <c r="Z17" i="176"/>
  <c r="AC17" i="176" s="1"/>
  <c r="Y17" i="176"/>
  <c r="X17" i="176"/>
  <c r="W17" i="176"/>
  <c r="V17" i="176"/>
  <c r="U17" i="176"/>
  <c r="S17" i="176"/>
  <c r="Z16" i="176"/>
  <c r="AE16" i="176" s="1"/>
  <c r="Y16" i="176"/>
  <c r="X16" i="176"/>
  <c r="W16" i="176"/>
  <c r="V16" i="176"/>
  <c r="U16" i="176"/>
  <c r="S16" i="176"/>
  <c r="Z15" i="176"/>
  <c r="AC15" i="176" s="1"/>
  <c r="Y15" i="176"/>
  <c r="X15" i="176"/>
  <c r="W15" i="176"/>
  <c r="V15" i="176"/>
  <c r="U15" i="176"/>
  <c r="S15" i="176"/>
  <c r="AC14" i="176"/>
  <c r="Z14" i="176"/>
  <c r="AE14" i="176" s="1"/>
  <c r="Y14" i="176"/>
  <c r="X14" i="176"/>
  <c r="W14" i="176"/>
  <c r="V14" i="176"/>
  <c r="U14" i="176"/>
  <c r="S14" i="176"/>
  <c r="Z13" i="176"/>
  <c r="Y13" i="176"/>
  <c r="X13" i="176"/>
  <c r="W13" i="176"/>
  <c r="V13" i="176"/>
  <c r="U13" i="176"/>
  <c r="S13" i="176"/>
  <c r="Z12" i="176"/>
  <c r="AD12" i="176" s="1"/>
  <c r="Y12" i="176"/>
  <c r="X12" i="176"/>
  <c r="W12" i="176"/>
  <c r="V12" i="176"/>
  <c r="U12" i="176"/>
  <c r="S12" i="176"/>
  <c r="Z11" i="176"/>
  <c r="Y11" i="176"/>
  <c r="X11" i="176"/>
  <c r="W11" i="176"/>
  <c r="V11" i="176"/>
  <c r="U11" i="176"/>
  <c r="S11" i="176"/>
  <c r="Z10" i="176"/>
  <c r="AD10" i="176" s="1"/>
  <c r="Y10" i="176"/>
  <c r="X10" i="176"/>
  <c r="W10" i="176"/>
  <c r="V10" i="176"/>
  <c r="U10" i="176"/>
  <c r="S10" i="176"/>
  <c r="Z9" i="176"/>
  <c r="AD9" i="176" s="1"/>
  <c r="Y9" i="176"/>
  <c r="X9" i="176"/>
  <c r="W9" i="176"/>
  <c r="V9" i="176"/>
  <c r="U9" i="176"/>
  <c r="S9" i="176"/>
  <c r="Z8" i="176"/>
  <c r="AC8" i="176" s="1"/>
  <c r="Y8" i="176"/>
  <c r="X8" i="176"/>
  <c r="W8" i="176"/>
  <c r="V8" i="176"/>
  <c r="U8" i="176"/>
  <c r="S8" i="176"/>
  <c r="AC7" i="176"/>
  <c r="Z7" i="176"/>
  <c r="AD7" i="176" s="1"/>
  <c r="Y7" i="176"/>
  <c r="X7" i="176"/>
  <c r="W7" i="176"/>
  <c r="V7" i="176"/>
  <c r="U7" i="176"/>
  <c r="S7" i="176"/>
  <c r="A7" i="176"/>
  <c r="A8" i="176" s="1"/>
  <c r="A9" i="176" s="1"/>
  <c r="A10" i="176" s="1"/>
  <c r="A11" i="176" s="1"/>
  <c r="A12" i="176" s="1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A45" i="176" s="1"/>
  <c r="A46" i="176" s="1"/>
  <c r="A47" i="176" s="1"/>
  <c r="A48" i="176" s="1"/>
  <c r="A49" i="176" s="1"/>
  <c r="A50" i="176" s="1"/>
  <c r="A51" i="176" s="1"/>
  <c r="A52" i="176" s="1"/>
  <c r="A53" i="176" s="1"/>
  <c r="A54" i="176" s="1"/>
  <c r="A55" i="176" s="1"/>
  <c r="A56" i="176" s="1"/>
  <c r="A57" i="176" s="1"/>
  <c r="A58" i="176" s="1"/>
  <c r="A59" i="176" s="1"/>
  <c r="A60" i="176" s="1"/>
  <c r="A61" i="176" s="1"/>
  <c r="A62" i="176" s="1"/>
  <c r="A63" i="176" s="1"/>
  <c r="A64" i="176" s="1"/>
  <c r="A65" i="176" s="1"/>
  <c r="A158" i="176" s="1"/>
  <c r="A159" i="176" s="1"/>
  <c r="A66" i="176" s="1"/>
  <c r="A67" i="176" s="1"/>
  <c r="A68" i="176" s="1"/>
  <c r="A69" i="176" s="1"/>
  <c r="A70" i="176" s="1"/>
  <c r="A71" i="176" s="1"/>
  <c r="A72" i="176" s="1"/>
  <c r="A73" i="176" s="1"/>
  <c r="A74" i="176" s="1"/>
  <c r="A75" i="176" s="1"/>
  <c r="A76" i="176" s="1"/>
  <c r="A77" i="176" s="1"/>
  <c r="A78" i="176" s="1"/>
  <c r="A79" i="176" s="1"/>
  <c r="A80" i="176" s="1"/>
  <c r="A81" i="176" s="1"/>
  <c r="A82" i="176" s="1"/>
  <c r="A83" i="176" s="1"/>
  <c r="A84" i="176" s="1"/>
  <c r="A85" i="176" s="1"/>
  <c r="A86" i="176" s="1"/>
  <c r="A87" i="176" s="1"/>
  <c r="A88" i="176" s="1"/>
  <c r="A89" i="176" s="1"/>
  <c r="A90" i="176" s="1"/>
  <c r="A91" i="176" s="1"/>
  <c r="A92" i="176" s="1"/>
  <c r="A93" i="176" s="1"/>
  <c r="A94" i="176" s="1"/>
  <c r="A95" i="176" s="1"/>
  <c r="A143" i="176" s="1"/>
  <c r="A96" i="176" s="1"/>
  <c r="A97" i="176" s="1"/>
  <c r="A98" i="176" s="1"/>
  <c r="A144" i="176" s="1"/>
  <c r="A99" i="176" s="1"/>
  <c r="A100" i="176" s="1"/>
  <c r="A101" i="176" s="1"/>
  <c r="A102" i="176" s="1"/>
  <c r="A103" i="176" s="1"/>
  <c r="A104" i="176" s="1"/>
  <c r="A105" i="176" s="1"/>
  <c r="A106" i="176" s="1"/>
  <c r="A107" i="176" s="1"/>
  <c r="A108" i="176" s="1"/>
  <c r="A109" i="176" s="1"/>
  <c r="A110" i="176" s="1"/>
  <c r="A111" i="176" s="1"/>
  <c r="A112" i="176" s="1"/>
  <c r="A113" i="176" s="1"/>
  <c r="A114" i="176" s="1"/>
  <c r="A115" i="176" s="1"/>
  <c r="A116" i="176" s="1"/>
  <c r="A117" i="176" s="1"/>
  <c r="A118" i="176" s="1"/>
  <c r="A119" i="176" s="1"/>
  <c r="A120" i="176" s="1"/>
  <c r="A121" i="176" s="1"/>
  <c r="A122" i="176" s="1"/>
  <c r="A123" i="176" s="1"/>
  <c r="A124" i="176" s="1"/>
  <c r="A125" i="176" s="1"/>
  <c r="A126" i="176" s="1"/>
  <c r="A127" i="176" s="1"/>
  <c r="A128" i="176" s="1"/>
  <c r="A129" i="176" s="1"/>
  <c r="A130" i="176" s="1"/>
  <c r="A131" i="176" s="1"/>
  <c r="A132" i="176" s="1"/>
  <c r="A133" i="176" s="1"/>
  <c r="A134" i="176" s="1"/>
  <c r="A135" i="176" s="1"/>
  <c r="A136" i="176" s="1"/>
  <c r="A137" i="176" s="1"/>
  <c r="A138" i="176" s="1"/>
  <c r="A139" i="176" s="1"/>
  <c r="A140" i="176" s="1"/>
  <c r="A141" i="176" s="1"/>
  <c r="A142" i="176" s="1"/>
  <c r="A145" i="176" s="1"/>
  <c r="A146" i="176" s="1"/>
  <c r="A147" i="176" s="1"/>
  <c r="A148" i="176" s="1"/>
  <c r="A149" i="176" s="1"/>
  <c r="A150" i="176" s="1"/>
  <c r="A151" i="176" s="1"/>
  <c r="A152" i="176" s="1"/>
  <c r="A153" i="176" s="1"/>
  <c r="A154" i="176" s="1"/>
  <c r="A155" i="176" s="1"/>
  <c r="A156" i="176" s="1"/>
  <c r="A157" i="176" s="1"/>
  <c r="A160" i="176" s="1"/>
  <c r="A161" i="176" s="1"/>
  <c r="A162" i="176" s="1"/>
  <c r="A163" i="176" s="1"/>
  <c r="A164" i="176" s="1"/>
  <c r="A165" i="176" s="1"/>
  <c r="A166" i="176" s="1"/>
  <c r="A167" i="176" s="1"/>
  <c r="A168" i="176" s="1"/>
  <c r="A169" i="176" s="1"/>
  <c r="A170" i="176" s="1"/>
  <c r="A171" i="176" s="1"/>
  <c r="A172" i="176" s="1"/>
  <c r="A173" i="176" s="1"/>
  <c r="A174" i="176" s="1"/>
  <c r="A175" i="176" s="1"/>
  <c r="A176" i="176" s="1"/>
  <c r="A177" i="176" s="1"/>
  <c r="A178" i="176" s="1"/>
  <c r="A179" i="176" s="1"/>
  <c r="A180" i="176" s="1"/>
  <c r="A181" i="176" s="1"/>
  <c r="A182" i="176" s="1"/>
  <c r="A183" i="176" s="1"/>
  <c r="A184" i="176" s="1"/>
  <c r="A185" i="176" s="1"/>
  <c r="A186" i="176" s="1"/>
  <c r="A187" i="176" s="1"/>
  <c r="A188" i="176" s="1"/>
  <c r="A189" i="176" s="1"/>
  <c r="A190" i="176" s="1"/>
  <c r="A191" i="176" s="1"/>
  <c r="A192" i="176" s="1"/>
  <c r="A193" i="176" s="1"/>
  <c r="A194" i="176" s="1"/>
  <c r="A195" i="176" s="1"/>
  <c r="A196" i="176" s="1"/>
  <c r="A197" i="176" s="1"/>
  <c r="A198" i="176" s="1"/>
  <c r="A199" i="176" s="1"/>
  <c r="A200" i="176" s="1"/>
  <c r="A201" i="176" s="1"/>
  <c r="A202" i="176" s="1"/>
  <c r="A203" i="176" s="1"/>
  <c r="A204" i="176" s="1"/>
  <c r="A205" i="176" s="1"/>
  <c r="A206" i="176" s="1"/>
  <c r="A207" i="176" s="1"/>
  <c r="A208" i="176" s="1"/>
  <c r="A209" i="176" s="1"/>
  <c r="A210" i="176" s="1"/>
  <c r="A211" i="176" s="1"/>
  <c r="A212" i="176" s="1"/>
  <c r="A213" i="176" s="1"/>
  <c r="A214" i="176" s="1"/>
  <c r="A215" i="176" s="1"/>
  <c r="A216" i="176" s="1"/>
  <c r="A217" i="176" s="1"/>
  <c r="A218" i="176" s="1"/>
  <c r="A219" i="176" s="1"/>
  <c r="A220" i="176" s="1"/>
  <c r="A221" i="176" s="1"/>
  <c r="A222" i="176" s="1"/>
  <c r="A223" i="176" s="1"/>
  <c r="A224" i="176" s="1"/>
  <c r="A225" i="176" s="1"/>
  <c r="A226" i="176" s="1"/>
  <c r="A227" i="176" s="1"/>
  <c r="A228" i="176" s="1"/>
  <c r="A229" i="176" s="1"/>
  <c r="A230" i="176" s="1"/>
  <c r="A231" i="176" s="1"/>
  <c r="A232" i="176" s="1"/>
  <c r="A233" i="176" s="1"/>
  <c r="A234" i="176" s="1"/>
  <c r="A235" i="176" s="1"/>
  <c r="A236" i="176" s="1"/>
  <c r="A237" i="176" s="1"/>
  <c r="A238" i="176" s="1"/>
  <c r="A239" i="176" s="1"/>
  <c r="A240" i="176" s="1"/>
  <c r="A241" i="176" s="1"/>
  <c r="A242" i="176" s="1"/>
  <c r="A243" i="176" s="1"/>
  <c r="A244" i="176" s="1"/>
  <c r="A245" i="176" s="1"/>
  <c r="A246" i="176" s="1"/>
  <c r="A247" i="176" s="1"/>
  <c r="A248" i="176" s="1"/>
  <c r="Z6" i="176"/>
  <c r="Y6" i="176"/>
  <c r="X6" i="176"/>
  <c r="W6" i="176"/>
  <c r="V6" i="176"/>
  <c r="U6" i="176"/>
  <c r="S6" i="176"/>
  <c r="Q1" i="176"/>
  <c r="S285" i="176" s="1"/>
  <c r="E298" i="9"/>
  <c r="E297" i="9"/>
  <c r="I286" i="9"/>
  <c r="I288" i="9"/>
  <c r="I273" i="9"/>
  <c r="E286" i="9"/>
  <c r="F286" i="9" s="1"/>
  <c r="E284" i="9"/>
  <c r="E283" i="9"/>
  <c r="M283" i="9" s="1"/>
  <c r="E282" i="9"/>
  <c r="M282" i="9" s="1"/>
  <c r="E288" i="9"/>
  <c r="E281" i="9"/>
  <c r="M281" i="9" s="1"/>
  <c r="E279" i="9"/>
  <c r="M279" i="9" s="1"/>
  <c r="E275" i="9"/>
  <c r="M275" i="9" s="1"/>
  <c r="E272" i="9"/>
  <c r="E273" i="9"/>
  <c r="C299" i="9"/>
  <c r="D298" i="9"/>
  <c r="D297" i="9"/>
  <c r="D299" i="9" s="1"/>
  <c r="H286" i="9"/>
  <c r="H288" i="9"/>
  <c r="H273" i="9"/>
  <c r="D288" i="9"/>
  <c r="D286" i="9"/>
  <c r="L286" i="9" s="1"/>
  <c r="D284" i="9"/>
  <c r="D283" i="9"/>
  <c r="L283" i="9" s="1"/>
  <c r="D282" i="9"/>
  <c r="L282" i="9" s="1"/>
  <c r="D281" i="9"/>
  <c r="D279" i="9"/>
  <c r="L279" i="9" s="1"/>
  <c r="D275" i="9"/>
  <c r="L275" i="9" s="1"/>
  <c r="D273" i="9"/>
  <c r="F300" i="9"/>
  <c r="G292" i="9"/>
  <c r="C292" i="9"/>
  <c r="M291" i="9"/>
  <c r="K291" i="9"/>
  <c r="F291" i="9"/>
  <c r="M290" i="9"/>
  <c r="L290" i="9"/>
  <c r="K290" i="9"/>
  <c r="J290" i="9"/>
  <c r="F290" i="9"/>
  <c r="M289" i="9"/>
  <c r="L289" i="9"/>
  <c r="K289" i="9"/>
  <c r="J289" i="9"/>
  <c r="F289" i="9"/>
  <c r="K288" i="9"/>
  <c r="M287" i="9"/>
  <c r="L287" i="9"/>
  <c r="K287" i="9"/>
  <c r="J287" i="9"/>
  <c r="F287" i="9"/>
  <c r="K286" i="9"/>
  <c r="M285" i="9"/>
  <c r="L285" i="9"/>
  <c r="K285" i="9"/>
  <c r="J285" i="9"/>
  <c r="F285" i="9"/>
  <c r="K284" i="9"/>
  <c r="J284" i="9"/>
  <c r="M284" i="9"/>
  <c r="L284" i="9"/>
  <c r="K283" i="9"/>
  <c r="J283" i="9"/>
  <c r="K282" i="9"/>
  <c r="J282" i="9"/>
  <c r="K281" i="9"/>
  <c r="J281" i="9"/>
  <c r="M280" i="9"/>
  <c r="L280" i="9"/>
  <c r="K280" i="9"/>
  <c r="J280" i="9"/>
  <c r="F280" i="9"/>
  <c r="K279" i="9"/>
  <c r="J279" i="9"/>
  <c r="M278" i="9"/>
  <c r="L278" i="9"/>
  <c r="K278" i="9"/>
  <c r="J278" i="9"/>
  <c r="F278" i="9"/>
  <c r="M277" i="9"/>
  <c r="L277" i="9"/>
  <c r="K277" i="9"/>
  <c r="J277" i="9"/>
  <c r="F277" i="9"/>
  <c r="M276" i="9"/>
  <c r="L276" i="9"/>
  <c r="K276" i="9"/>
  <c r="J276" i="9"/>
  <c r="F276" i="9"/>
  <c r="K275" i="9"/>
  <c r="J275" i="9"/>
  <c r="M274" i="9"/>
  <c r="L274" i="9"/>
  <c r="K274" i="9"/>
  <c r="J274" i="9"/>
  <c r="F274" i="9"/>
  <c r="A274" i="9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L273" i="9"/>
  <c r="K273" i="9"/>
  <c r="L272" i="9"/>
  <c r="K272" i="9"/>
  <c r="J272" i="9"/>
  <c r="E323" i="9"/>
  <c r="E321" i="9"/>
  <c r="E320" i="9"/>
  <c r="E319" i="9"/>
  <c r="M319" i="9" s="1"/>
  <c r="E324" i="9"/>
  <c r="M324" i="9" s="1"/>
  <c r="E322" i="9"/>
  <c r="E316" i="9"/>
  <c r="E312" i="9"/>
  <c r="E309" i="9"/>
  <c r="E310" i="9"/>
  <c r="M310" i="9" s="1"/>
  <c r="F337" i="9"/>
  <c r="E335" i="9"/>
  <c r="E336" i="9" s="1"/>
  <c r="D335" i="9"/>
  <c r="D336" i="9" s="1"/>
  <c r="F334" i="9"/>
  <c r="G329" i="9"/>
  <c r="C329" i="9"/>
  <c r="M328" i="9"/>
  <c r="K328" i="9"/>
  <c r="F328" i="9"/>
  <c r="M327" i="9"/>
  <c r="L327" i="9"/>
  <c r="K327" i="9"/>
  <c r="J327" i="9"/>
  <c r="F327" i="9"/>
  <c r="M326" i="9"/>
  <c r="L326" i="9"/>
  <c r="K326" i="9"/>
  <c r="J326" i="9"/>
  <c r="F326" i="9"/>
  <c r="M325" i="9"/>
  <c r="L325" i="9"/>
  <c r="K325" i="9"/>
  <c r="J325" i="9"/>
  <c r="F325" i="9"/>
  <c r="K324" i="9"/>
  <c r="J324" i="9"/>
  <c r="D324" i="9"/>
  <c r="L324" i="9" s="1"/>
  <c r="K323" i="9"/>
  <c r="I323" i="9"/>
  <c r="H323" i="9"/>
  <c r="D323" i="9"/>
  <c r="M322" i="9"/>
  <c r="K322" i="9"/>
  <c r="J322" i="9"/>
  <c r="D322" i="9"/>
  <c r="L322" i="9" s="1"/>
  <c r="K321" i="9"/>
  <c r="I321" i="9"/>
  <c r="H321" i="9"/>
  <c r="D321" i="9"/>
  <c r="K320" i="9"/>
  <c r="I320" i="9"/>
  <c r="M320" i="9" s="1"/>
  <c r="H320" i="9"/>
  <c r="D320" i="9"/>
  <c r="K319" i="9"/>
  <c r="J319" i="9"/>
  <c r="D319" i="9"/>
  <c r="L319" i="9" s="1"/>
  <c r="K318" i="9"/>
  <c r="I318" i="9"/>
  <c r="M318" i="9" s="1"/>
  <c r="H318" i="9"/>
  <c r="L318" i="9" s="1"/>
  <c r="F318" i="9"/>
  <c r="M317" i="9"/>
  <c r="L317" i="9"/>
  <c r="K317" i="9"/>
  <c r="J317" i="9"/>
  <c r="F317" i="9"/>
  <c r="M316" i="9"/>
  <c r="K316" i="9"/>
  <c r="J316" i="9"/>
  <c r="D316" i="9"/>
  <c r="L316" i="9" s="1"/>
  <c r="M315" i="9"/>
  <c r="L315" i="9"/>
  <c r="N315" i="9" s="1"/>
  <c r="K315" i="9"/>
  <c r="J315" i="9"/>
  <c r="F315" i="9"/>
  <c r="M314" i="9"/>
  <c r="L314" i="9"/>
  <c r="K314" i="9"/>
  <c r="J314" i="9"/>
  <c r="F314" i="9"/>
  <c r="M313" i="9"/>
  <c r="L313" i="9"/>
  <c r="K313" i="9"/>
  <c r="J313" i="9"/>
  <c r="F313" i="9"/>
  <c r="K312" i="9"/>
  <c r="J312" i="9"/>
  <c r="M312" i="9"/>
  <c r="D312" i="9"/>
  <c r="M311" i="9"/>
  <c r="L311" i="9"/>
  <c r="K311" i="9"/>
  <c r="J311" i="9"/>
  <c r="F311" i="9"/>
  <c r="A311" i="9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K310" i="9"/>
  <c r="J310" i="9"/>
  <c r="D310" i="9"/>
  <c r="L309" i="9"/>
  <c r="K309" i="9"/>
  <c r="J309" i="9"/>
  <c r="J320" i="9" l="1"/>
  <c r="N277" i="9"/>
  <c r="M288" i="9"/>
  <c r="M323" i="9"/>
  <c r="F321" i="9"/>
  <c r="E292" i="9"/>
  <c r="AA76" i="176"/>
  <c r="AC56" i="176"/>
  <c r="AF16" i="177"/>
  <c r="AG16" i="177" s="1"/>
  <c r="AC102" i="176"/>
  <c r="AF17" i="177"/>
  <c r="AG17" i="177" s="1"/>
  <c r="L323" i="9"/>
  <c r="AA24" i="176"/>
  <c r="AC51" i="176"/>
  <c r="AC105" i="176"/>
  <c r="AD24" i="176"/>
  <c r="AF27" i="177"/>
  <c r="AG27" i="177" s="1"/>
  <c r="AC64" i="176"/>
  <c r="AC93" i="176"/>
  <c r="AF22" i="177"/>
  <c r="AG22" i="177" s="1"/>
  <c r="AF63" i="177"/>
  <c r="AG63" i="177" s="1"/>
  <c r="AA280" i="177"/>
  <c r="AC33" i="176"/>
  <c r="AA63" i="176"/>
  <c r="N279" i="9"/>
  <c r="F279" i="9"/>
  <c r="AA54" i="176"/>
  <c r="AC24" i="176"/>
  <c r="AC36" i="176"/>
  <c r="AF39" i="177"/>
  <c r="F288" i="9"/>
  <c r="AD33" i="176"/>
  <c r="AC95" i="176"/>
  <c r="AF38" i="177"/>
  <c r="AG38" i="177" s="1"/>
  <c r="AC109" i="176"/>
  <c r="AD105" i="176"/>
  <c r="F281" i="9"/>
  <c r="J288" i="9"/>
  <c r="AC101" i="176"/>
  <c r="AF30" i="177"/>
  <c r="AG30" i="177" s="1"/>
  <c r="J273" i="9"/>
  <c r="J286" i="9"/>
  <c r="AD101" i="176"/>
  <c r="AF29" i="177"/>
  <c r="AG29" i="177" s="1"/>
  <c r="N322" i="9"/>
  <c r="N317" i="9"/>
  <c r="J318" i="9"/>
  <c r="D292" i="9"/>
  <c r="D294" i="9" s="1"/>
  <c r="M321" i="9"/>
  <c r="J323" i="9"/>
  <c r="L281" i="9"/>
  <c r="L292" i="9" s="1"/>
  <c r="M273" i="9"/>
  <c r="N273" i="9" s="1"/>
  <c r="Z113" i="176"/>
  <c r="AC9" i="176"/>
  <c r="AA17" i="176"/>
  <c r="AC18" i="176"/>
  <c r="AC20" i="176"/>
  <c r="AC32" i="176"/>
  <c r="AC35" i="176"/>
  <c r="AD42" i="176"/>
  <c r="AF42" i="176" s="1"/>
  <c r="AG42" i="176" s="1"/>
  <c r="AD47" i="176"/>
  <c r="AC48" i="176"/>
  <c r="AD50" i="176"/>
  <c r="AF50" i="176" s="1"/>
  <c r="AG50" i="176" s="1"/>
  <c r="AA62" i="176"/>
  <c r="AC57" i="176"/>
  <c r="AC60" i="176"/>
  <c r="AC66" i="176"/>
  <c r="AC70" i="176"/>
  <c r="AC72" i="176"/>
  <c r="AC83" i="176"/>
  <c r="AA90" i="176"/>
  <c r="AC91" i="176"/>
  <c r="AC94" i="176"/>
  <c r="AC99" i="176"/>
  <c r="AC106" i="176"/>
  <c r="AD35" i="176"/>
  <c r="AE42" i="176"/>
  <c r="AE50" i="176"/>
  <c r="AD60" i="176"/>
  <c r="AC90" i="176"/>
  <c r="AF11" i="177"/>
  <c r="AG11" i="177" s="1"/>
  <c r="F284" i="9"/>
  <c r="E329" i="9"/>
  <c r="E338" i="9" s="1"/>
  <c r="N316" i="9"/>
  <c r="L288" i="9"/>
  <c r="N288" i="9" s="1"/>
  <c r="M286" i="9"/>
  <c r="F297" i="9"/>
  <c r="AA12" i="176"/>
  <c r="AC25" i="176"/>
  <c r="AC34" i="176"/>
  <c r="AC46" i="176"/>
  <c r="AF46" i="176" s="1"/>
  <c r="AG46" i="176" s="1"/>
  <c r="AC47" i="176"/>
  <c r="AF47" i="176" s="1"/>
  <c r="AG47" i="176" s="1"/>
  <c r="AC59" i="176"/>
  <c r="AC65" i="176"/>
  <c r="AC77" i="176"/>
  <c r="F275" i="9"/>
  <c r="N313" i="9"/>
  <c r="F324" i="9"/>
  <c r="N326" i="9"/>
  <c r="F282" i="9"/>
  <c r="S283" i="176"/>
  <c r="AC6" i="176"/>
  <c r="AC16" i="176"/>
  <c r="AA21" i="176"/>
  <c r="AD19" i="176"/>
  <c r="AD22" i="176"/>
  <c r="AA23" i="176"/>
  <c r="AA27" i="176"/>
  <c r="AA29" i="176"/>
  <c r="AA40" i="176"/>
  <c r="AA120" i="176" s="1"/>
  <c r="AE46" i="176"/>
  <c r="AE55" i="176"/>
  <c r="AD58" i="176"/>
  <c r="AE59" i="176"/>
  <c r="AC62" i="176"/>
  <c r="AA68" i="176"/>
  <c r="AC75" i="176"/>
  <c r="AD85" i="176"/>
  <c r="AD86" i="176"/>
  <c r="AC88" i="176"/>
  <c r="AE93" i="176"/>
  <c r="AD97" i="176"/>
  <c r="AD98" i="176"/>
  <c r="AA281" i="177"/>
  <c r="AA282" i="177"/>
  <c r="AF40" i="177"/>
  <c r="AG40" i="177" s="1"/>
  <c r="F312" i="9"/>
  <c r="D329" i="9"/>
  <c r="L320" i="9"/>
  <c r="N320" i="9" s="1"/>
  <c r="J321" i="9"/>
  <c r="N325" i="9"/>
  <c r="E299" i="9"/>
  <c r="C301" i="9"/>
  <c r="AA6" i="176"/>
  <c r="AE9" i="176"/>
  <c r="AF9" i="176" s="1"/>
  <c r="AG9" i="176" s="1"/>
  <c r="AC10" i="176"/>
  <c r="AC12" i="176"/>
  <c r="AD14" i="176"/>
  <c r="AA15" i="176"/>
  <c r="AA16" i="176"/>
  <c r="AE18" i="176"/>
  <c r="AC19" i="176"/>
  <c r="AF19" i="176" s="1"/>
  <c r="AG19" i="176" s="1"/>
  <c r="AC22" i="176"/>
  <c r="AF22" i="176" s="1"/>
  <c r="AG22" i="176" s="1"/>
  <c r="AC26" i="176"/>
  <c r="AD30" i="176"/>
  <c r="AD32" i="176"/>
  <c r="AD34" i="176"/>
  <c r="AD36" i="176"/>
  <c r="AD43" i="176"/>
  <c r="AC44" i="176"/>
  <c r="AD55" i="176"/>
  <c r="AC58" i="176"/>
  <c r="AC63" i="176"/>
  <c r="AC67" i="176"/>
  <c r="AA74" i="176"/>
  <c r="AD71" i="176"/>
  <c r="AA75" i="176"/>
  <c r="AA118" i="176" s="1"/>
  <c r="AC76" i="176"/>
  <c r="AC78" i="176"/>
  <c r="AC80" i="176"/>
  <c r="AC85" i="176"/>
  <c r="AC86" i="176"/>
  <c r="AA88" i="176"/>
  <c r="AA89" i="176"/>
  <c r="AD94" i="176"/>
  <c r="AC97" i="176"/>
  <c r="AC98" i="176"/>
  <c r="AC103" i="176"/>
  <c r="AE108" i="176"/>
  <c r="AA276" i="177"/>
  <c r="AF37" i="177"/>
  <c r="AG37" i="177" s="1"/>
  <c r="AA87" i="176"/>
  <c r="AF28" i="177"/>
  <c r="AG28" i="177" s="1"/>
  <c r="N285" i="9"/>
  <c r="AD6" i="176"/>
  <c r="AD16" i="176"/>
  <c r="AD62" i="176"/>
  <c r="AD75" i="176"/>
  <c r="AA81" i="176"/>
  <c r="AD88" i="176"/>
  <c r="AF24" i="177"/>
  <c r="AG24" i="177" s="1"/>
  <c r="L312" i="9"/>
  <c r="K329" i="9"/>
  <c r="F319" i="9"/>
  <c r="N327" i="9"/>
  <c r="N314" i="9"/>
  <c r="F316" i="9"/>
  <c r="L321" i="9"/>
  <c r="F322" i="9"/>
  <c r="F323" i="9"/>
  <c r="J329" i="9"/>
  <c r="L310" i="9"/>
  <c r="N310" i="9" s="1"/>
  <c r="N324" i="9"/>
  <c r="N280" i="9"/>
  <c r="AG39" i="177"/>
  <c r="AG41" i="177"/>
  <c r="AF31" i="177"/>
  <c r="AG31" i="177" s="1"/>
  <c r="AF13" i="177"/>
  <c r="AG13" i="177" s="1"/>
  <c r="AG25" i="177"/>
  <c r="AF8" i="177"/>
  <c r="AG8" i="177" s="1"/>
  <c r="AF15" i="177"/>
  <c r="AG15" i="177" s="1"/>
  <c r="AG23" i="177"/>
  <c r="AF9" i="177"/>
  <c r="AG9" i="177" s="1"/>
  <c r="AG20" i="177"/>
  <c r="AF10" i="177"/>
  <c r="AG10" i="177" s="1"/>
  <c r="Z98" i="177"/>
  <c r="Z92" i="177"/>
  <c r="AG6" i="177"/>
  <c r="Z97" i="177"/>
  <c r="L254" i="9"/>
  <c r="F263" i="9"/>
  <c r="G261" i="9" s="1"/>
  <c r="N254" i="9"/>
  <c r="M254" i="9"/>
  <c r="N290" i="176"/>
  <c r="AF114" i="176"/>
  <c r="AF24" i="176"/>
  <c r="AG24" i="176" s="1"/>
  <c r="AE21" i="176"/>
  <c r="AE28" i="176"/>
  <c r="AE41" i="176"/>
  <c r="AE45" i="176"/>
  <c r="AE49" i="176"/>
  <c r="AA51" i="176"/>
  <c r="AE52" i="176"/>
  <c r="AE53" i="176"/>
  <c r="AD54" i="176"/>
  <c r="AE68" i="176"/>
  <c r="AD69" i="176"/>
  <c r="AE73" i="176"/>
  <c r="AD74" i="176"/>
  <c r="AE84" i="176"/>
  <c r="AE87" i="176"/>
  <c r="AE89" i="176"/>
  <c r="AE92" i="176"/>
  <c r="AE96" i="176"/>
  <c r="AE100" i="176"/>
  <c r="AE104" i="176"/>
  <c r="AE29" i="176"/>
  <c r="AE8" i="176"/>
  <c r="AA10" i="176"/>
  <c r="AD13" i="176"/>
  <c r="AE27" i="176"/>
  <c r="AD29" i="176"/>
  <c r="AE10" i="176"/>
  <c r="AD17" i="176"/>
  <c r="AE20" i="176"/>
  <c r="AF20" i="176" s="1"/>
  <c r="AG20" i="176" s="1"/>
  <c r="AC21" i="176"/>
  <c r="AD23" i="176"/>
  <c r="AE26" i="176"/>
  <c r="AD41" i="176"/>
  <c r="AF41" i="176" s="1"/>
  <c r="AG41" i="176" s="1"/>
  <c r="AF43" i="176"/>
  <c r="AG43" i="176" s="1"/>
  <c r="AE48" i="176"/>
  <c r="AF48" i="176" s="1"/>
  <c r="AG48" i="176" s="1"/>
  <c r="AE51" i="176"/>
  <c r="AF51" i="176" s="1"/>
  <c r="AG51" i="176" s="1"/>
  <c r="AD52" i="176"/>
  <c r="AD53" i="176"/>
  <c r="AC54" i="176"/>
  <c r="AE63" i="176"/>
  <c r="AE64" i="176"/>
  <c r="AE65" i="176"/>
  <c r="AE66" i="176"/>
  <c r="AD68" i="176"/>
  <c r="AD84" i="176"/>
  <c r="AD96" i="176"/>
  <c r="AE107" i="176"/>
  <c r="AD108" i="176"/>
  <c r="AA109" i="176"/>
  <c r="AE11" i="176"/>
  <c r="AE13" i="176"/>
  <c r="AD11" i="176"/>
  <c r="AE15" i="176"/>
  <c r="AE17" i="176"/>
  <c r="AD21" i="176"/>
  <c r="AE23" i="176"/>
  <c r="AE7" i="176"/>
  <c r="AF7" i="176" s="1"/>
  <c r="AG7" i="176" s="1"/>
  <c r="AD8" i="176"/>
  <c r="AC11" i="176"/>
  <c r="AE12" i="176"/>
  <c r="AF12" i="176" s="1"/>
  <c r="AG12" i="176" s="1"/>
  <c r="AC13" i="176"/>
  <c r="AF13" i="176" s="1"/>
  <c r="AG13" i="176" s="1"/>
  <c r="AF14" i="176"/>
  <c r="AG14" i="176" s="1"/>
  <c r="AD15" i="176"/>
  <c r="AE25" i="176"/>
  <c r="AD27" i="176"/>
  <c r="AD28" i="176"/>
  <c r="AC29" i="176"/>
  <c r="AE44" i="176"/>
  <c r="AF44" i="176" s="1"/>
  <c r="AG44" i="176" s="1"/>
  <c r="AD45" i="176"/>
  <c r="AD49" i="176"/>
  <c r="AE67" i="176"/>
  <c r="AC69" i="176"/>
  <c r="AE72" i="176"/>
  <c r="AD73" i="176"/>
  <c r="AC74" i="176"/>
  <c r="AE81" i="176"/>
  <c r="AD87" i="176"/>
  <c r="AD89" i="176"/>
  <c r="AE91" i="176"/>
  <c r="AD92" i="176"/>
  <c r="AE95" i="176"/>
  <c r="AE99" i="176"/>
  <c r="AD100" i="176"/>
  <c r="AE103" i="176"/>
  <c r="AD104" i="176"/>
  <c r="AE6" i="176"/>
  <c r="AF6" i="176" s="1"/>
  <c r="AA11" i="176"/>
  <c r="AA13" i="176"/>
  <c r="AF18" i="176"/>
  <c r="AG18" i="176" s="1"/>
  <c r="AC49" i="176"/>
  <c r="AF49" i="176" s="1"/>
  <c r="AG49" i="176" s="1"/>
  <c r="AC52" i="176"/>
  <c r="AA69" i="176"/>
  <c r="AA119" i="176" s="1"/>
  <c r="AE70" i="176"/>
  <c r="AE106" i="176"/>
  <c r="AD107" i="176"/>
  <c r="AE109" i="176"/>
  <c r="N287" i="9"/>
  <c r="K292" i="9"/>
  <c r="N278" i="9"/>
  <c r="N290" i="9"/>
  <c r="N289" i="9"/>
  <c r="N282" i="9"/>
  <c r="N276" i="9"/>
  <c r="N274" i="9"/>
  <c r="E294" i="9"/>
  <c r="E301" i="9"/>
  <c r="N275" i="9"/>
  <c r="N283" i="9"/>
  <c r="N284" i="9"/>
  <c r="D301" i="9"/>
  <c r="N286" i="9"/>
  <c r="F272" i="9"/>
  <c r="M272" i="9"/>
  <c r="F273" i="9"/>
  <c r="F283" i="9"/>
  <c r="F298" i="9"/>
  <c r="I292" i="9"/>
  <c r="I294" i="9" s="1"/>
  <c r="H292" i="9"/>
  <c r="H294" i="9" s="1"/>
  <c r="N319" i="9"/>
  <c r="N311" i="9"/>
  <c r="E331" i="9"/>
  <c r="D331" i="9"/>
  <c r="D338" i="9"/>
  <c r="N312" i="9"/>
  <c r="N318" i="9"/>
  <c r="N323" i="9"/>
  <c r="F309" i="9"/>
  <c r="M309" i="9"/>
  <c r="M329" i="9" s="1"/>
  <c r="F310" i="9"/>
  <c r="F320" i="9"/>
  <c r="F335" i="9"/>
  <c r="F336" i="9" s="1"/>
  <c r="I329" i="9"/>
  <c r="I331" i="9" s="1"/>
  <c r="H329" i="9"/>
  <c r="H331" i="9" s="1"/>
  <c r="N281" i="9" l="1"/>
  <c r="N321" i="9"/>
  <c r="J292" i="9"/>
  <c r="L329" i="9"/>
  <c r="AA117" i="176"/>
  <c r="F299" i="9"/>
  <c r="AF8" i="176"/>
  <c r="AG8" i="176" s="1"/>
  <c r="AF10" i="176"/>
  <c r="AG10" i="176" s="1"/>
  <c r="AF69" i="176"/>
  <c r="AG69" i="176" s="1"/>
  <c r="M292" i="9"/>
  <c r="AF45" i="176"/>
  <c r="AG45" i="176" s="1"/>
  <c r="AA284" i="177"/>
  <c r="AF17" i="176"/>
  <c r="AG17" i="176" s="1"/>
  <c r="AA113" i="176"/>
  <c r="AF15" i="176"/>
  <c r="AG15" i="176" s="1"/>
  <c r="AF23" i="176"/>
  <c r="AG23" i="176" s="1"/>
  <c r="AF11" i="176"/>
  <c r="AG11" i="176" s="1"/>
  <c r="AF21" i="176"/>
  <c r="AG21" i="176" s="1"/>
  <c r="AF16" i="176"/>
  <c r="AG16" i="176" s="1"/>
  <c r="F329" i="9"/>
  <c r="F338" i="9" s="1"/>
  <c r="G336" i="9" s="1"/>
  <c r="Z100" i="177"/>
  <c r="Z276" i="177" s="1"/>
  <c r="AG276" i="177"/>
  <c r="AF95" i="177"/>
  <c r="AF276" i="177" s="1"/>
  <c r="AG6" i="176"/>
  <c r="AA121" i="176"/>
  <c r="N272" i="9"/>
  <c r="N292" i="9" s="1"/>
  <c r="F292" i="9"/>
  <c r="F301" i="9" s="1"/>
  <c r="G299" i="9" s="1"/>
  <c r="N309" i="9"/>
  <c r="N329" i="9" l="1"/>
  <c r="AF113" i="176"/>
  <c r="AF116" i="176" s="1"/>
  <c r="AG116" i="176"/>
  <c r="Y92" i="177"/>
  <c r="AE92" i="177"/>
  <c r="AE95" i="177" s="1"/>
  <c r="Z171" i="175"/>
  <c r="Z170" i="175"/>
  <c r="Z169" i="175"/>
  <c r="Z168" i="175"/>
  <c r="AB164" i="175"/>
  <c r="AF37" i="175"/>
  <c r="AF151" i="175"/>
  <c r="AG151" i="175" s="1"/>
  <c r="AF152" i="175"/>
  <c r="AG152" i="175" s="1"/>
  <c r="AF153" i="175"/>
  <c r="AG153" i="175" s="1"/>
  <c r="AF154" i="175"/>
  <c r="AG154" i="175" s="1"/>
  <c r="AF155" i="175"/>
  <c r="AG155" i="175" s="1"/>
  <c r="AF156" i="175"/>
  <c r="AG156" i="175" s="1"/>
  <c r="AF157" i="175"/>
  <c r="AG157" i="175" s="1"/>
  <c r="AF158" i="175"/>
  <c r="AG158" i="175" s="1"/>
  <c r="AF159" i="175"/>
  <c r="AG159" i="175" s="1"/>
  <c r="AF160" i="175"/>
  <c r="AG160" i="175" s="1"/>
  <c r="U151" i="175"/>
  <c r="V151" i="175"/>
  <c r="W151" i="175"/>
  <c r="X151" i="175"/>
  <c r="Y151" i="175"/>
  <c r="Z151" i="175"/>
  <c r="AE151" i="175" s="1"/>
  <c r="U152" i="175"/>
  <c r="V152" i="175"/>
  <c r="W152" i="175"/>
  <c r="X152" i="175"/>
  <c r="Y152" i="175"/>
  <c r="Z152" i="175"/>
  <c r="AE152" i="175" s="1"/>
  <c r="U153" i="175"/>
  <c r="V153" i="175"/>
  <c r="W153" i="175"/>
  <c r="X153" i="175"/>
  <c r="Y153" i="175"/>
  <c r="Z153" i="175"/>
  <c r="AE153" i="175" s="1"/>
  <c r="U154" i="175"/>
  <c r="V154" i="175"/>
  <c r="W154" i="175"/>
  <c r="X154" i="175"/>
  <c r="Y154" i="175"/>
  <c r="Z154" i="175"/>
  <c r="AE154" i="175" s="1"/>
  <c r="U155" i="175"/>
  <c r="V155" i="175"/>
  <c r="W155" i="175"/>
  <c r="X155" i="175"/>
  <c r="Y155" i="175"/>
  <c r="Z155" i="175"/>
  <c r="AE155" i="175" s="1"/>
  <c r="U156" i="175"/>
  <c r="V156" i="175"/>
  <c r="W156" i="175"/>
  <c r="X156" i="175"/>
  <c r="Y156" i="175"/>
  <c r="Z156" i="175"/>
  <c r="AE156" i="175" s="1"/>
  <c r="U157" i="175"/>
  <c r="V157" i="175"/>
  <c r="W157" i="175"/>
  <c r="X157" i="175"/>
  <c r="Y157" i="175"/>
  <c r="Z157" i="175"/>
  <c r="AD157" i="175" s="1"/>
  <c r="U158" i="175"/>
  <c r="V158" i="175"/>
  <c r="W158" i="175"/>
  <c r="X158" i="175"/>
  <c r="Y158" i="175"/>
  <c r="Z158" i="175"/>
  <c r="AC158" i="175" s="1"/>
  <c r="U159" i="175"/>
  <c r="V159" i="175"/>
  <c r="W159" i="175"/>
  <c r="X159" i="175"/>
  <c r="Y159" i="175"/>
  <c r="Z159" i="175"/>
  <c r="AC159" i="175" s="1"/>
  <c r="U160" i="175"/>
  <c r="V160" i="175"/>
  <c r="W160" i="175"/>
  <c r="X160" i="175"/>
  <c r="Y160" i="175"/>
  <c r="Z160" i="175"/>
  <c r="AC160" i="175" s="1"/>
  <c r="AE160" i="175" l="1"/>
  <c r="AE158" i="175"/>
  <c r="AC156" i="175"/>
  <c r="AC154" i="175"/>
  <c r="AD152" i="175"/>
  <c r="AC153" i="175"/>
  <c r="AD160" i="175"/>
  <c r="AD159" i="175"/>
  <c r="AD158" i="175"/>
  <c r="AE157" i="175"/>
  <c r="AC152" i="175"/>
  <c r="AC151" i="175"/>
  <c r="AE159" i="175"/>
  <c r="AD151" i="175"/>
  <c r="AC155" i="175"/>
  <c r="AC157" i="175"/>
  <c r="AD156" i="175"/>
  <c r="AD155" i="175"/>
  <c r="AD154" i="175"/>
  <c r="AD153" i="175"/>
  <c r="R293" i="175"/>
  <c r="M293" i="175"/>
  <c r="S290" i="175"/>
  <c r="Q290" i="175"/>
  <c r="R286" i="175"/>
  <c r="Q286" i="175"/>
  <c r="Q293" i="175" s="1"/>
  <c r="P286" i="175"/>
  <c r="O286" i="175"/>
  <c r="N286" i="175"/>
  <c r="N288" i="175" s="1"/>
  <c r="AF165" i="175" s="1"/>
  <c r="M286" i="175"/>
  <c r="S28" i="175"/>
  <c r="S29" i="175"/>
  <c r="S30" i="175"/>
  <c r="S56" i="175"/>
  <c r="S208" i="175"/>
  <c r="S65" i="175"/>
  <c r="S64" i="175"/>
  <c r="S63" i="175"/>
  <c r="S182" i="175"/>
  <c r="S52" i="175"/>
  <c r="S59" i="175"/>
  <c r="S54" i="175"/>
  <c r="S66" i="175"/>
  <c r="S61" i="175"/>
  <c r="S57" i="175"/>
  <c r="S204" i="175"/>
  <c r="S199" i="175"/>
  <c r="S50" i="175"/>
  <c r="S197" i="175"/>
  <c r="S45" i="175"/>
  <c r="S189" i="175"/>
  <c r="S202" i="175"/>
  <c r="S201" i="175"/>
  <c r="S198" i="175"/>
  <c r="S203" i="175"/>
  <c r="S200" i="175"/>
  <c r="S53" i="175"/>
  <c r="S32" i="175"/>
  <c r="S144" i="175"/>
  <c r="S35" i="175"/>
  <c r="S38" i="175"/>
  <c r="S143" i="175"/>
  <c r="S142" i="175"/>
  <c r="S11" i="175"/>
  <c r="S191" i="175"/>
  <c r="S192" i="175"/>
  <c r="S123" i="175"/>
  <c r="S183" i="175"/>
  <c r="S184" i="175"/>
  <c r="S185" i="175"/>
  <c r="Y164" i="175"/>
  <c r="S62" i="175"/>
  <c r="AF150" i="175"/>
  <c r="AG150" i="175" s="1"/>
  <c r="Z150" i="175"/>
  <c r="AD150" i="175" s="1"/>
  <c r="Y150" i="175"/>
  <c r="X150" i="175"/>
  <c r="W150" i="175"/>
  <c r="V150" i="175"/>
  <c r="U150" i="175"/>
  <c r="S58" i="175"/>
  <c r="AF149" i="175"/>
  <c r="AG149" i="175" s="1"/>
  <c r="Z149" i="175"/>
  <c r="AD149" i="175" s="1"/>
  <c r="Y149" i="175"/>
  <c r="X149" i="175"/>
  <c r="W149" i="175"/>
  <c r="V149" i="175"/>
  <c r="U149" i="175"/>
  <c r="AF148" i="175"/>
  <c r="AG148" i="175" s="1"/>
  <c r="Z148" i="175"/>
  <c r="AE148" i="175" s="1"/>
  <c r="Y148" i="175"/>
  <c r="X148" i="175"/>
  <c r="W148" i="175"/>
  <c r="V148" i="175"/>
  <c r="U148" i="175"/>
  <c r="AF147" i="175"/>
  <c r="AG147" i="175" s="1"/>
  <c r="Z147" i="175"/>
  <c r="AC147" i="175" s="1"/>
  <c r="Y147" i="175"/>
  <c r="X147" i="175"/>
  <c r="W147" i="175"/>
  <c r="V147" i="175"/>
  <c r="U147" i="175"/>
  <c r="AF146" i="175"/>
  <c r="AG146" i="175" s="1"/>
  <c r="Z146" i="175"/>
  <c r="AC146" i="175" s="1"/>
  <c r="Y146" i="175"/>
  <c r="X146" i="175"/>
  <c r="W146" i="175"/>
  <c r="V146" i="175"/>
  <c r="U146" i="175"/>
  <c r="AF145" i="175"/>
  <c r="AG145" i="175" s="1"/>
  <c r="Z145" i="175"/>
  <c r="AD145" i="175" s="1"/>
  <c r="Y145" i="175"/>
  <c r="X145" i="175"/>
  <c r="W145" i="175"/>
  <c r="V145" i="175"/>
  <c r="U145" i="175"/>
  <c r="S51" i="175"/>
  <c r="AF144" i="175"/>
  <c r="AG144" i="175" s="1"/>
  <c r="Z144" i="175"/>
  <c r="AE144" i="175" s="1"/>
  <c r="Y144" i="175"/>
  <c r="X144" i="175"/>
  <c r="W144" i="175"/>
  <c r="V144" i="175"/>
  <c r="U144" i="175"/>
  <c r="AF143" i="175"/>
  <c r="AG143" i="175" s="1"/>
  <c r="Z143" i="175"/>
  <c r="AC143" i="175" s="1"/>
  <c r="Y143" i="175"/>
  <c r="X143" i="175"/>
  <c r="W143" i="175"/>
  <c r="V143" i="175"/>
  <c r="U143" i="175"/>
  <c r="S194" i="175"/>
  <c r="AG91" i="175"/>
  <c r="Y91" i="175"/>
  <c r="X91" i="175"/>
  <c r="W91" i="175"/>
  <c r="V91" i="175"/>
  <c r="U91" i="175"/>
  <c r="AG90" i="175"/>
  <c r="Z90" i="175"/>
  <c r="Y90" i="175"/>
  <c r="X90" i="175"/>
  <c r="W90" i="175"/>
  <c r="V90" i="175"/>
  <c r="U90" i="175"/>
  <c r="S193" i="175"/>
  <c r="AG89" i="175"/>
  <c r="Z89" i="175"/>
  <c r="Y89" i="175"/>
  <c r="X89" i="175"/>
  <c r="W89" i="175"/>
  <c r="V89" i="175"/>
  <c r="U89" i="175"/>
  <c r="AG88" i="175"/>
  <c r="Z88" i="175"/>
  <c r="Y88" i="175"/>
  <c r="X88" i="175"/>
  <c r="W88" i="175"/>
  <c r="V88" i="175"/>
  <c r="U88" i="175"/>
  <c r="S132" i="175"/>
  <c r="AG87" i="175"/>
  <c r="Z87" i="175"/>
  <c r="Y87" i="175"/>
  <c r="X87" i="175"/>
  <c r="W87" i="175"/>
  <c r="V87" i="175"/>
  <c r="U87" i="175"/>
  <c r="AG86" i="175"/>
  <c r="Z86" i="175"/>
  <c r="Y86" i="175"/>
  <c r="X86" i="175"/>
  <c r="W86" i="175"/>
  <c r="V86" i="175"/>
  <c r="U86" i="175"/>
  <c r="S131" i="175"/>
  <c r="AG85" i="175"/>
  <c r="Z85" i="175"/>
  <c r="Y85" i="175"/>
  <c r="X85" i="175"/>
  <c r="W85" i="175"/>
  <c r="V85" i="175"/>
  <c r="U85" i="175"/>
  <c r="S12" i="175"/>
  <c r="AG84" i="175"/>
  <c r="Z84" i="175"/>
  <c r="Y84" i="175"/>
  <c r="X84" i="175"/>
  <c r="W84" i="175"/>
  <c r="V84" i="175"/>
  <c r="U84" i="175"/>
  <c r="AG83" i="175"/>
  <c r="Z83" i="175"/>
  <c r="Y83" i="175"/>
  <c r="X83" i="175"/>
  <c r="W83" i="175"/>
  <c r="V83" i="175"/>
  <c r="U83" i="175"/>
  <c r="AG82" i="175"/>
  <c r="Z82" i="175"/>
  <c r="Y82" i="175"/>
  <c r="X82" i="175"/>
  <c r="W82" i="175"/>
  <c r="V82" i="175"/>
  <c r="U82" i="175"/>
  <c r="AG81" i="175"/>
  <c r="Z81" i="175"/>
  <c r="Y81" i="175"/>
  <c r="X81" i="175"/>
  <c r="W81" i="175"/>
  <c r="V81" i="175"/>
  <c r="U81" i="175"/>
  <c r="AG80" i="175"/>
  <c r="Z80" i="175"/>
  <c r="Y80" i="175"/>
  <c r="X80" i="175"/>
  <c r="W80" i="175"/>
  <c r="V80" i="175"/>
  <c r="U80" i="175"/>
  <c r="AG79" i="175"/>
  <c r="Z79" i="175"/>
  <c r="Y79" i="175"/>
  <c r="X79" i="175"/>
  <c r="W79" i="175"/>
  <c r="V79" i="175"/>
  <c r="U79" i="175"/>
  <c r="S42" i="175"/>
  <c r="AG78" i="175"/>
  <c r="Z78" i="175"/>
  <c r="Y78" i="175"/>
  <c r="X78" i="175"/>
  <c r="W78" i="175"/>
  <c r="V78" i="175"/>
  <c r="U78" i="175"/>
  <c r="Z77" i="175"/>
  <c r="Y77" i="175"/>
  <c r="X77" i="175"/>
  <c r="W77" i="175"/>
  <c r="V77" i="175"/>
  <c r="U77" i="175"/>
  <c r="Z76" i="175"/>
  <c r="Y76" i="175"/>
  <c r="X76" i="175"/>
  <c r="W76" i="175"/>
  <c r="V76" i="175"/>
  <c r="U76" i="175"/>
  <c r="S46" i="175"/>
  <c r="AG75" i="175"/>
  <c r="Z75" i="175"/>
  <c r="Y75" i="175"/>
  <c r="X75" i="175"/>
  <c r="W75" i="175"/>
  <c r="V75" i="175"/>
  <c r="U75" i="175"/>
  <c r="S205" i="175"/>
  <c r="AG74" i="175"/>
  <c r="Z74" i="175"/>
  <c r="Y74" i="175"/>
  <c r="X74" i="175"/>
  <c r="W74" i="175"/>
  <c r="V74" i="175"/>
  <c r="U74" i="175"/>
  <c r="AG73" i="175"/>
  <c r="Z73" i="175"/>
  <c r="Y73" i="175"/>
  <c r="X73" i="175"/>
  <c r="W73" i="175"/>
  <c r="V73" i="175"/>
  <c r="U73" i="175"/>
  <c r="S44" i="175"/>
  <c r="AG72" i="175"/>
  <c r="Z72" i="175"/>
  <c r="Y72" i="175"/>
  <c r="X72" i="175"/>
  <c r="W72" i="175"/>
  <c r="V72" i="175"/>
  <c r="U72" i="175"/>
  <c r="S206" i="175"/>
  <c r="AG71" i="175"/>
  <c r="Z71" i="175"/>
  <c r="Y71" i="175"/>
  <c r="X71" i="175"/>
  <c r="W71" i="175"/>
  <c r="V71" i="175"/>
  <c r="U71" i="175"/>
  <c r="AG70" i="175"/>
  <c r="Z70" i="175"/>
  <c r="Y70" i="175"/>
  <c r="X70" i="175"/>
  <c r="W70" i="175"/>
  <c r="V70" i="175"/>
  <c r="U70" i="175"/>
  <c r="Z69" i="175"/>
  <c r="Y69" i="175"/>
  <c r="X69" i="175"/>
  <c r="W69" i="175"/>
  <c r="V69" i="175"/>
  <c r="U69" i="175"/>
  <c r="AG68" i="175"/>
  <c r="Z68" i="175"/>
  <c r="Y68" i="175"/>
  <c r="X68" i="175"/>
  <c r="W68" i="175"/>
  <c r="V68" i="175"/>
  <c r="U68" i="175"/>
  <c r="AG67" i="175"/>
  <c r="Z67" i="175"/>
  <c r="Y67" i="175"/>
  <c r="X67" i="175"/>
  <c r="W67" i="175"/>
  <c r="V67" i="175"/>
  <c r="U67" i="175"/>
  <c r="AG66" i="175"/>
  <c r="Z66" i="175"/>
  <c r="Y66" i="175"/>
  <c r="X66" i="175"/>
  <c r="W66" i="175"/>
  <c r="V66" i="175"/>
  <c r="U66" i="175"/>
  <c r="S207" i="175"/>
  <c r="AG65" i="175"/>
  <c r="Z65" i="175"/>
  <c r="Y65" i="175"/>
  <c r="X65" i="175"/>
  <c r="W65" i="175"/>
  <c r="V65" i="175"/>
  <c r="U65" i="175"/>
  <c r="S47" i="175"/>
  <c r="AG64" i="175"/>
  <c r="Z64" i="175"/>
  <c r="Y64" i="175"/>
  <c r="X64" i="175"/>
  <c r="W64" i="175"/>
  <c r="V64" i="175"/>
  <c r="U64" i="175"/>
  <c r="AG63" i="175"/>
  <c r="Z63" i="175"/>
  <c r="Y63" i="175"/>
  <c r="X63" i="175"/>
  <c r="W63" i="175"/>
  <c r="V63" i="175"/>
  <c r="U63" i="175"/>
  <c r="AG62" i="175"/>
  <c r="Z62" i="175"/>
  <c r="Y62" i="175"/>
  <c r="X62" i="175"/>
  <c r="W62" i="175"/>
  <c r="V62" i="175"/>
  <c r="U62" i="175"/>
  <c r="S43" i="175"/>
  <c r="AG61" i="175"/>
  <c r="Z61" i="175"/>
  <c r="Y61" i="175"/>
  <c r="X61" i="175"/>
  <c r="W61" i="175"/>
  <c r="V61" i="175"/>
  <c r="U61" i="175"/>
  <c r="S49" i="175"/>
  <c r="AG60" i="175"/>
  <c r="Z60" i="175"/>
  <c r="Y60" i="175"/>
  <c r="X60" i="175"/>
  <c r="W60" i="175"/>
  <c r="V60" i="175"/>
  <c r="U60" i="175"/>
  <c r="AG59" i="175"/>
  <c r="Z59" i="175"/>
  <c r="Y59" i="175"/>
  <c r="X59" i="175"/>
  <c r="W59" i="175"/>
  <c r="V59" i="175"/>
  <c r="U59" i="175"/>
  <c r="S190" i="175"/>
  <c r="AG58" i="175"/>
  <c r="Z58" i="175"/>
  <c r="Y58" i="175"/>
  <c r="X58" i="175"/>
  <c r="W58" i="175"/>
  <c r="V58" i="175"/>
  <c r="U58" i="175"/>
  <c r="S48" i="175"/>
  <c r="AG57" i="175"/>
  <c r="Z57" i="175"/>
  <c r="Y57" i="175"/>
  <c r="X57" i="175"/>
  <c r="W57" i="175"/>
  <c r="V57" i="175"/>
  <c r="U57" i="175"/>
  <c r="AG56" i="175"/>
  <c r="Z56" i="175"/>
  <c r="Y56" i="175"/>
  <c r="X56" i="175"/>
  <c r="W56" i="175"/>
  <c r="V56" i="175"/>
  <c r="U56" i="175"/>
  <c r="AG55" i="175"/>
  <c r="Z55" i="175"/>
  <c r="Y55" i="175"/>
  <c r="X55" i="175"/>
  <c r="W55" i="175"/>
  <c r="V55" i="175"/>
  <c r="U55" i="175"/>
  <c r="AG54" i="175"/>
  <c r="Z54" i="175"/>
  <c r="Y54" i="175"/>
  <c r="X54" i="175"/>
  <c r="W54" i="175"/>
  <c r="V54" i="175"/>
  <c r="U54" i="175"/>
  <c r="AG53" i="175"/>
  <c r="Z53" i="175"/>
  <c r="Y53" i="175"/>
  <c r="X53" i="175"/>
  <c r="W53" i="175"/>
  <c r="V53" i="175"/>
  <c r="U53" i="175"/>
  <c r="S140" i="175"/>
  <c r="AG52" i="175"/>
  <c r="Z52" i="175"/>
  <c r="Y52" i="175"/>
  <c r="X52" i="175"/>
  <c r="W52" i="175"/>
  <c r="V52" i="175"/>
  <c r="U52" i="175"/>
  <c r="Y51" i="175"/>
  <c r="X51" i="175"/>
  <c r="W51" i="175"/>
  <c r="V51" i="175"/>
  <c r="U51" i="175"/>
  <c r="S34" i="175"/>
  <c r="Z50" i="175"/>
  <c r="Y50" i="175"/>
  <c r="X50" i="175"/>
  <c r="W50" i="175"/>
  <c r="V50" i="175"/>
  <c r="U50" i="175"/>
  <c r="Z49" i="175"/>
  <c r="Y49" i="175"/>
  <c r="X49" i="175"/>
  <c r="W49" i="175"/>
  <c r="V49" i="175"/>
  <c r="U49" i="175"/>
  <c r="S124" i="175"/>
  <c r="Z48" i="175"/>
  <c r="Y48" i="175"/>
  <c r="X48" i="175"/>
  <c r="W48" i="175"/>
  <c r="V48" i="175"/>
  <c r="U48" i="175"/>
  <c r="Z47" i="175"/>
  <c r="Y47" i="175"/>
  <c r="X47" i="175"/>
  <c r="W47" i="175"/>
  <c r="V47" i="175"/>
  <c r="U47" i="175"/>
  <c r="S37" i="175"/>
  <c r="Z46" i="175"/>
  <c r="Y46" i="175"/>
  <c r="X46" i="175"/>
  <c r="W46" i="175"/>
  <c r="V46" i="175"/>
  <c r="U46" i="175"/>
  <c r="Z45" i="175"/>
  <c r="Y45" i="175"/>
  <c r="X45" i="175"/>
  <c r="W45" i="175"/>
  <c r="V45" i="175"/>
  <c r="U45" i="175"/>
  <c r="Z44" i="175"/>
  <c r="Y44" i="175"/>
  <c r="X44" i="175"/>
  <c r="W44" i="175"/>
  <c r="V44" i="175"/>
  <c r="U44" i="175"/>
  <c r="S139" i="175"/>
  <c r="Z43" i="175"/>
  <c r="Y43" i="175"/>
  <c r="X43" i="175"/>
  <c r="W43" i="175"/>
  <c r="V43" i="175"/>
  <c r="U43" i="175"/>
  <c r="S78" i="175"/>
  <c r="Z42" i="175"/>
  <c r="Y42" i="175"/>
  <c r="X42" i="175"/>
  <c r="W42" i="175"/>
  <c r="V42" i="175"/>
  <c r="U42" i="175"/>
  <c r="Z41" i="175"/>
  <c r="Y41" i="175"/>
  <c r="X41" i="175"/>
  <c r="W41" i="175"/>
  <c r="V41" i="175"/>
  <c r="U41" i="175"/>
  <c r="S36" i="175"/>
  <c r="Z40" i="175"/>
  <c r="Y40" i="175"/>
  <c r="X40" i="175"/>
  <c r="W40" i="175"/>
  <c r="V40" i="175"/>
  <c r="U40" i="175"/>
  <c r="S141" i="175"/>
  <c r="Z39" i="175"/>
  <c r="Y39" i="175"/>
  <c r="X39" i="175"/>
  <c r="W39" i="175"/>
  <c r="V39" i="175"/>
  <c r="U39" i="175"/>
  <c r="AG38" i="175"/>
  <c r="Z38" i="175"/>
  <c r="Y38" i="175"/>
  <c r="X38" i="175"/>
  <c r="W38" i="175"/>
  <c r="V38" i="175"/>
  <c r="U38" i="175"/>
  <c r="S33" i="175"/>
  <c r="AG37" i="175"/>
  <c r="Z37" i="175"/>
  <c r="Y37" i="175"/>
  <c r="X37" i="175"/>
  <c r="W37" i="175"/>
  <c r="V37" i="175"/>
  <c r="U37" i="175"/>
  <c r="AG36" i="175"/>
  <c r="Z36" i="175"/>
  <c r="AE36" i="175" s="1"/>
  <c r="Y36" i="175"/>
  <c r="X36" i="175"/>
  <c r="W36" i="175"/>
  <c r="V36" i="175"/>
  <c r="U36" i="175"/>
  <c r="AG35" i="175"/>
  <c r="Z35" i="175"/>
  <c r="AD35" i="175" s="1"/>
  <c r="Y35" i="175"/>
  <c r="X35" i="175"/>
  <c r="W35" i="175"/>
  <c r="V35" i="175"/>
  <c r="U35" i="175"/>
  <c r="S137" i="175"/>
  <c r="AG34" i="175"/>
  <c r="Z34" i="175"/>
  <c r="AE34" i="175" s="1"/>
  <c r="Y34" i="175"/>
  <c r="X34" i="175"/>
  <c r="W34" i="175"/>
  <c r="V34" i="175"/>
  <c r="U34" i="175"/>
  <c r="S134" i="175"/>
  <c r="AG33" i="175"/>
  <c r="Z33" i="175"/>
  <c r="AD33" i="175" s="1"/>
  <c r="Y33" i="175"/>
  <c r="X33" i="175"/>
  <c r="W33" i="175"/>
  <c r="V33" i="175"/>
  <c r="U33" i="175"/>
  <c r="S9" i="175"/>
  <c r="AG32" i="175"/>
  <c r="Z32" i="175"/>
  <c r="Y32" i="175"/>
  <c r="X32" i="175"/>
  <c r="W32" i="175"/>
  <c r="V32" i="175"/>
  <c r="U32" i="175"/>
  <c r="Z31" i="175"/>
  <c r="Y31" i="175"/>
  <c r="X31" i="175"/>
  <c r="W31" i="175"/>
  <c r="V31" i="175"/>
  <c r="U31" i="175"/>
  <c r="Z30" i="175"/>
  <c r="Y30" i="175"/>
  <c r="X30" i="175"/>
  <c r="W30" i="175"/>
  <c r="V30" i="175"/>
  <c r="U30" i="175"/>
  <c r="S133" i="175"/>
  <c r="AF29" i="175"/>
  <c r="AG29" i="175" s="1"/>
  <c r="Z29" i="175"/>
  <c r="Y29" i="175"/>
  <c r="X29" i="175"/>
  <c r="W29" i="175"/>
  <c r="V29" i="175"/>
  <c r="U29" i="175"/>
  <c r="Z28" i="175"/>
  <c r="Y28" i="175"/>
  <c r="X28" i="175"/>
  <c r="W28" i="175"/>
  <c r="V28" i="175"/>
  <c r="U28" i="175"/>
  <c r="S196" i="175"/>
  <c r="Z27" i="175"/>
  <c r="Y27" i="175"/>
  <c r="X27" i="175"/>
  <c r="W27" i="175"/>
  <c r="V27" i="175"/>
  <c r="U27" i="175"/>
  <c r="S195" i="175"/>
  <c r="Z26" i="175"/>
  <c r="Y26" i="175"/>
  <c r="X26" i="175"/>
  <c r="W26" i="175"/>
  <c r="V26" i="175"/>
  <c r="U26" i="175"/>
  <c r="S10" i="175"/>
  <c r="Z25" i="175"/>
  <c r="Y25" i="175"/>
  <c r="X25" i="175"/>
  <c r="W25" i="175"/>
  <c r="V25" i="175"/>
  <c r="U25" i="175"/>
  <c r="S8" i="175"/>
  <c r="Z24" i="175"/>
  <c r="Y24" i="175"/>
  <c r="X24" i="175"/>
  <c r="W24" i="175"/>
  <c r="V24" i="175"/>
  <c r="U24" i="175"/>
  <c r="Z23" i="175"/>
  <c r="Y23" i="175"/>
  <c r="X23" i="175"/>
  <c r="W23" i="175"/>
  <c r="V23" i="175"/>
  <c r="U23" i="175"/>
  <c r="S135" i="175"/>
  <c r="Z22" i="175"/>
  <c r="AD22" i="175" s="1"/>
  <c r="Y22" i="175"/>
  <c r="X22" i="175"/>
  <c r="W22" i="175"/>
  <c r="V22" i="175"/>
  <c r="U22" i="175"/>
  <c r="S136" i="175"/>
  <c r="Z21" i="175"/>
  <c r="Y21" i="175"/>
  <c r="X21" i="175"/>
  <c r="W21" i="175"/>
  <c r="V21" i="175"/>
  <c r="U21" i="175"/>
  <c r="Z20" i="175"/>
  <c r="Y20" i="175"/>
  <c r="X20" i="175"/>
  <c r="W20" i="175"/>
  <c r="V20" i="175"/>
  <c r="U20" i="175"/>
  <c r="Z19" i="175"/>
  <c r="Y19" i="175"/>
  <c r="X19" i="175"/>
  <c r="W19" i="175"/>
  <c r="V19" i="175"/>
  <c r="U19" i="175"/>
  <c r="Z18" i="175"/>
  <c r="Y18" i="175"/>
  <c r="X18" i="175"/>
  <c r="W18" i="175"/>
  <c r="V18" i="175"/>
  <c r="U18" i="175"/>
  <c r="S138" i="175"/>
  <c r="Z17" i="175"/>
  <c r="Y17" i="175"/>
  <c r="X17" i="175"/>
  <c r="W17" i="175"/>
  <c r="V17" i="175"/>
  <c r="U17" i="175"/>
  <c r="S186" i="175"/>
  <c r="Z16" i="175"/>
  <c r="Y16" i="175"/>
  <c r="X16" i="175"/>
  <c r="W16" i="175"/>
  <c r="V16" i="175"/>
  <c r="U16" i="175"/>
  <c r="S60" i="175"/>
  <c r="Z15" i="175"/>
  <c r="Y15" i="175"/>
  <c r="X15" i="175"/>
  <c r="W15" i="175"/>
  <c r="V15" i="175"/>
  <c r="U15" i="175"/>
  <c r="Z14" i="175"/>
  <c r="AD14" i="175" s="1"/>
  <c r="Y14" i="175"/>
  <c r="X14" i="175"/>
  <c r="W14" i="175"/>
  <c r="V14" i="175"/>
  <c r="U14" i="175"/>
  <c r="Z13" i="175"/>
  <c r="AA13" i="175" s="1"/>
  <c r="Y13" i="175"/>
  <c r="X13" i="175"/>
  <c r="W13" i="175"/>
  <c r="V13" i="175"/>
  <c r="U13" i="175"/>
  <c r="S188" i="175"/>
  <c r="Z12" i="175"/>
  <c r="Y12" i="175"/>
  <c r="X12" i="175"/>
  <c r="W12" i="175"/>
  <c r="V12" i="175"/>
  <c r="U12" i="175"/>
  <c r="Z11" i="175"/>
  <c r="Y11" i="175"/>
  <c r="X11" i="175"/>
  <c r="W11" i="175"/>
  <c r="V11" i="175"/>
  <c r="U11" i="175"/>
  <c r="S187" i="175"/>
  <c r="Z10" i="175"/>
  <c r="Y10" i="175"/>
  <c r="X10" i="175"/>
  <c r="W10" i="175"/>
  <c r="V10" i="175"/>
  <c r="U10" i="175"/>
  <c r="S55" i="175"/>
  <c r="Z9" i="175"/>
  <c r="AE9" i="175" s="1"/>
  <c r="Y9" i="175"/>
  <c r="X9" i="175"/>
  <c r="W9" i="175"/>
  <c r="V9" i="175"/>
  <c r="U9" i="175"/>
  <c r="Z8" i="175"/>
  <c r="AE8" i="175" s="1"/>
  <c r="Y8" i="175"/>
  <c r="X8" i="175"/>
  <c r="W8" i="175"/>
  <c r="V8" i="175"/>
  <c r="U8" i="175"/>
  <c r="Z7" i="175"/>
  <c r="Y7" i="175"/>
  <c r="X7" i="175"/>
  <c r="W7" i="175"/>
  <c r="V7" i="175"/>
  <c r="U7" i="175"/>
  <c r="S181" i="175"/>
  <c r="A7" i="175"/>
  <c r="A8" i="175" s="1"/>
  <c r="A9" i="175" s="1"/>
  <c r="A10" i="175" s="1"/>
  <c r="A11" i="175" s="1"/>
  <c r="A12" i="175" s="1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A45" i="175" s="1"/>
  <c r="A46" i="175" s="1"/>
  <c r="A47" i="175" s="1"/>
  <c r="A48" i="175" s="1"/>
  <c r="A49" i="175" s="1"/>
  <c r="A50" i="175" s="1"/>
  <c r="A51" i="175" s="1"/>
  <c r="A52" i="175" s="1"/>
  <c r="A53" i="175" s="1"/>
  <c r="A54" i="175" s="1"/>
  <c r="A55" i="175" s="1"/>
  <c r="A56" i="175" s="1"/>
  <c r="A57" i="175" s="1"/>
  <c r="A58" i="175" s="1"/>
  <c r="A59" i="175" s="1"/>
  <c r="A60" i="175" s="1"/>
  <c r="A61" i="175" s="1"/>
  <c r="A62" i="175" s="1"/>
  <c r="A63" i="175" s="1"/>
  <c r="A64" i="175" s="1"/>
  <c r="A65" i="175" s="1"/>
  <c r="A66" i="175" s="1"/>
  <c r="A67" i="175" s="1"/>
  <c r="A68" i="175" s="1"/>
  <c r="A69" i="175" s="1"/>
  <c r="A70" i="175" s="1"/>
  <c r="A71" i="175" s="1"/>
  <c r="A72" i="175" s="1"/>
  <c r="A73" i="175" s="1"/>
  <c r="A74" i="175" s="1"/>
  <c r="A75" i="175" s="1"/>
  <c r="A76" i="175" s="1"/>
  <c r="A77" i="175" s="1"/>
  <c r="A78" i="175" s="1"/>
  <c r="A79" i="175" s="1"/>
  <c r="A80" i="175" s="1"/>
  <c r="A81" i="175" s="1"/>
  <c r="A82" i="175" s="1"/>
  <c r="A83" i="175" s="1"/>
  <c r="A84" i="175" s="1"/>
  <c r="A85" i="175" s="1"/>
  <c r="A86" i="175" s="1"/>
  <c r="A87" i="175" s="1"/>
  <c r="A88" i="175" s="1"/>
  <c r="A89" i="175" s="1"/>
  <c r="A90" i="175" s="1"/>
  <c r="A91" i="175" s="1"/>
  <c r="A92" i="175" s="1"/>
  <c r="A93" i="175" s="1"/>
  <c r="A94" i="175" s="1"/>
  <c r="A95" i="175" s="1"/>
  <c r="A96" i="175" s="1"/>
  <c r="A97" i="175" s="1"/>
  <c r="A98" i="175" s="1"/>
  <c r="A99" i="175" s="1"/>
  <c r="A100" i="175" s="1"/>
  <c r="A101" i="175" s="1"/>
  <c r="A102" i="175" s="1"/>
  <c r="A103" i="175" s="1"/>
  <c r="A104" i="175" s="1"/>
  <c r="A105" i="175" s="1"/>
  <c r="A106" i="175" s="1"/>
  <c r="A107" i="175" s="1"/>
  <c r="A108" i="175" s="1"/>
  <c r="A109" i="175" s="1"/>
  <c r="A110" i="175" s="1"/>
  <c r="A111" i="175" s="1"/>
  <c r="A112" i="175" s="1"/>
  <c r="A113" i="175" s="1"/>
  <c r="A114" i="175" s="1"/>
  <c r="A115" i="175" s="1"/>
  <c r="A116" i="175" s="1"/>
  <c r="A117" i="175" s="1"/>
  <c r="A118" i="175" s="1"/>
  <c r="A119" i="175" s="1"/>
  <c r="A120" i="175" s="1"/>
  <c r="A121" i="175" s="1"/>
  <c r="A122" i="175" s="1"/>
  <c r="A123" i="175" s="1"/>
  <c r="A124" i="175" s="1"/>
  <c r="A125" i="175" s="1"/>
  <c r="A126" i="175" s="1"/>
  <c r="A127" i="175" s="1"/>
  <c r="A128" i="175" s="1"/>
  <c r="A129" i="175" s="1"/>
  <c r="A130" i="175" s="1"/>
  <c r="A131" i="175" s="1"/>
  <c r="A132" i="175" s="1"/>
  <c r="A133" i="175" s="1"/>
  <c r="A134" i="175" s="1"/>
  <c r="A135" i="175" s="1"/>
  <c r="A136" i="175" s="1"/>
  <c r="A137" i="175" s="1"/>
  <c r="A138" i="175" s="1"/>
  <c r="A139" i="175" s="1"/>
  <c r="A140" i="175" s="1"/>
  <c r="A141" i="175" s="1"/>
  <c r="A142" i="175" s="1"/>
  <c r="A143" i="175" s="1"/>
  <c r="A144" i="175" s="1"/>
  <c r="A145" i="175" s="1"/>
  <c r="A146" i="175" s="1"/>
  <c r="A147" i="175" s="1"/>
  <c r="A148" i="175" s="1"/>
  <c r="A149" i="175" s="1"/>
  <c r="A150" i="175" s="1"/>
  <c r="A151" i="175" s="1"/>
  <c r="A152" i="175" s="1"/>
  <c r="A153" i="175" s="1"/>
  <c r="A154" i="175" s="1"/>
  <c r="A155" i="175" s="1"/>
  <c r="A156" i="175" s="1"/>
  <c r="A157" i="175" s="1"/>
  <c r="A158" i="175" s="1"/>
  <c r="A159" i="175" s="1"/>
  <c r="A160" i="175" s="1"/>
  <c r="A161" i="175" s="1"/>
  <c r="A162" i="175" s="1"/>
  <c r="A163" i="175" s="1"/>
  <c r="A164" i="175" s="1"/>
  <c r="A165" i="175" s="1"/>
  <c r="A166" i="175" s="1"/>
  <c r="A167" i="175" s="1"/>
  <c r="A168" i="175" s="1"/>
  <c r="A169" i="175" s="1"/>
  <c r="A170" i="175" s="1"/>
  <c r="A171" i="175" s="1"/>
  <c r="A172" i="175" s="1"/>
  <c r="A173" i="175" s="1"/>
  <c r="A174" i="175" s="1"/>
  <c r="A175" i="175" s="1"/>
  <c r="A176" i="175" s="1"/>
  <c r="A177" i="175" s="1"/>
  <c r="A178" i="175" s="1"/>
  <c r="A179" i="175" s="1"/>
  <c r="A180" i="175" s="1"/>
  <c r="A181" i="175" s="1"/>
  <c r="A182" i="175" s="1"/>
  <c r="A183" i="175" s="1"/>
  <c r="A184" i="175" s="1"/>
  <c r="A185" i="175" s="1"/>
  <c r="A186" i="175" s="1"/>
  <c r="A187" i="175" s="1"/>
  <c r="A188" i="175" s="1"/>
  <c r="A189" i="175" s="1"/>
  <c r="A190" i="175" s="1"/>
  <c r="A191" i="175" s="1"/>
  <c r="A192" i="175" s="1"/>
  <c r="A193" i="175" s="1"/>
  <c r="A194" i="175" s="1"/>
  <c r="A195" i="175" s="1"/>
  <c r="A196" i="175" s="1"/>
  <c r="A197" i="175" s="1"/>
  <c r="A198" i="175" s="1"/>
  <c r="A199" i="175" s="1"/>
  <c r="A200" i="175" s="1"/>
  <c r="A201" i="175" s="1"/>
  <c r="A202" i="175" s="1"/>
  <c r="A203" i="175" s="1"/>
  <c r="A204" i="175" s="1"/>
  <c r="A205" i="175" s="1"/>
  <c r="A206" i="175" s="1"/>
  <c r="A207" i="175" s="1"/>
  <c r="A208" i="175" s="1"/>
  <c r="A209" i="175" s="1"/>
  <c r="A210" i="175" s="1"/>
  <c r="A211" i="175" s="1"/>
  <c r="A212" i="175" s="1"/>
  <c r="A213" i="175" s="1"/>
  <c r="A214" i="175" s="1"/>
  <c r="A215" i="175" s="1"/>
  <c r="A216" i="175" s="1"/>
  <c r="A217" i="175" s="1"/>
  <c r="A218" i="175" s="1"/>
  <c r="A219" i="175" s="1"/>
  <c r="A220" i="175" s="1"/>
  <c r="A221" i="175" s="1"/>
  <c r="A222" i="175" s="1"/>
  <c r="A223" i="175" s="1"/>
  <c r="A224" i="175" s="1"/>
  <c r="A225" i="175" s="1"/>
  <c r="A226" i="175" s="1"/>
  <c r="A227" i="175" s="1"/>
  <c r="A228" i="175" s="1"/>
  <c r="A229" i="175" s="1"/>
  <c r="A230" i="175" s="1"/>
  <c r="A231" i="175" s="1"/>
  <c r="A232" i="175" s="1"/>
  <c r="A233" i="175" s="1"/>
  <c r="A234" i="175" s="1"/>
  <c r="A235" i="175" s="1"/>
  <c r="A236" i="175" s="1"/>
  <c r="A237" i="175" s="1"/>
  <c r="A238" i="175" s="1"/>
  <c r="A239" i="175" s="1"/>
  <c r="A240" i="175" s="1"/>
  <c r="A241" i="175" s="1"/>
  <c r="A242" i="175" s="1"/>
  <c r="A243" i="175" s="1"/>
  <c r="A244" i="175" s="1"/>
  <c r="A245" i="175" s="1"/>
  <c r="A246" i="175" s="1"/>
  <c r="A247" i="175" s="1"/>
  <c r="A248" i="175" s="1"/>
  <c r="A249" i="175" s="1"/>
  <c r="A250" i="175" s="1"/>
  <c r="A251" i="175" s="1"/>
  <c r="A252" i="175" s="1"/>
  <c r="A253" i="175" s="1"/>
  <c r="A254" i="175" s="1"/>
  <c r="A255" i="175" s="1"/>
  <c r="A256" i="175" s="1"/>
  <c r="A257" i="175" s="1"/>
  <c r="A258" i="175" s="1"/>
  <c r="A259" i="175" s="1"/>
  <c r="A260" i="175" s="1"/>
  <c r="A261" i="175" s="1"/>
  <c r="A262" i="175" s="1"/>
  <c r="A263" i="175" s="1"/>
  <c r="A264" i="175" s="1"/>
  <c r="A265" i="175" s="1"/>
  <c r="A266" i="175" s="1"/>
  <c r="A267" i="175" s="1"/>
  <c r="A268" i="175" s="1"/>
  <c r="A269" i="175" s="1"/>
  <c r="A270" i="175" s="1"/>
  <c r="A271" i="175" s="1"/>
  <c r="A272" i="175" s="1"/>
  <c r="A273" i="175" s="1"/>
  <c r="A274" i="175" s="1"/>
  <c r="A275" i="175" s="1"/>
  <c r="A276" i="175" s="1"/>
  <c r="A277" i="175" s="1"/>
  <c r="A278" i="175" s="1"/>
  <c r="A279" i="175" s="1"/>
  <c r="Z6" i="175"/>
  <c r="Y6" i="175"/>
  <c r="X6" i="175"/>
  <c r="W6" i="175"/>
  <c r="V6" i="175"/>
  <c r="U6" i="175"/>
  <c r="S67" i="175"/>
  <c r="Q1" i="175"/>
  <c r="S288" i="175" s="1"/>
  <c r="AA38" i="175" l="1"/>
  <c r="AA288" i="175" s="1"/>
  <c r="AD19" i="175"/>
  <c r="AA19" i="175"/>
  <c r="AC21" i="175"/>
  <c r="AA21" i="175"/>
  <c r="AD28" i="175"/>
  <c r="AA28" i="175"/>
  <c r="AA31" i="175"/>
  <c r="AC31" i="175"/>
  <c r="AD31" i="175"/>
  <c r="AE31" i="175"/>
  <c r="AC43" i="175"/>
  <c r="AD43" i="175"/>
  <c r="AE43" i="175"/>
  <c r="AC48" i="175"/>
  <c r="AD48" i="175"/>
  <c r="AE48" i="175"/>
  <c r="AD54" i="175"/>
  <c r="AE54" i="175"/>
  <c r="AC54" i="175"/>
  <c r="AC60" i="175"/>
  <c r="AD60" i="175"/>
  <c r="AE60" i="175"/>
  <c r="AC61" i="175"/>
  <c r="AD61" i="175"/>
  <c r="AE61" i="175"/>
  <c r="AD62" i="175"/>
  <c r="AE62" i="175"/>
  <c r="AC62" i="175"/>
  <c r="AC68" i="175"/>
  <c r="AA71" i="175"/>
  <c r="AD68" i="175"/>
  <c r="AE68" i="175"/>
  <c r="AE71" i="175"/>
  <c r="AC71" i="175"/>
  <c r="AD71" i="175"/>
  <c r="AC72" i="175"/>
  <c r="AD72" i="175"/>
  <c r="AA75" i="175"/>
  <c r="AE72" i="175"/>
  <c r="AC73" i="175"/>
  <c r="AD73" i="175"/>
  <c r="AE73" i="175"/>
  <c r="AC80" i="175"/>
  <c r="AD80" i="175"/>
  <c r="AE80" i="175"/>
  <c r="AC84" i="175"/>
  <c r="AD84" i="175"/>
  <c r="AE84" i="175"/>
  <c r="AC85" i="175"/>
  <c r="AD85" i="175"/>
  <c r="AE85" i="175"/>
  <c r="AC86" i="175"/>
  <c r="AD86" i="175"/>
  <c r="AE86" i="175"/>
  <c r="AA24" i="175"/>
  <c r="AA27" i="175"/>
  <c r="AD25" i="175"/>
  <c r="AE25" i="175"/>
  <c r="AC25" i="175"/>
  <c r="AC39" i="175"/>
  <c r="AD39" i="175"/>
  <c r="AE39" i="175"/>
  <c r="AD40" i="175"/>
  <c r="AE40" i="175"/>
  <c r="AC40" i="175"/>
  <c r="AC44" i="175"/>
  <c r="AD44" i="175"/>
  <c r="AE44" i="175"/>
  <c r="AE46" i="175"/>
  <c r="AC46" i="175"/>
  <c r="AD46" i="175"/>
  <c r="AD49" i="175"/>
  <c r="AE49" i="175"/>
  <c r="AC49" i="175"/>
  <c r="AE55" i="175"/>
  <c r="AC55" i="175"/>
  <c r="AD55" i="175"/>
  <c r="AE63" i="175"/>
  <c r="AC63" i="175"/>
  <c r="AD63" i="175"/>
  <c r="AC69" i="175"/>
  <c r="AD69" i="175"/>
  <c r="AE69" i="175"/>
  <c r="AD74" i="175"/>
  <c r="AE74" i="175"/>
  <c r="AC74" i="175"/>
  <c r="AE75" i="175"/>
  <c r="AC75" i="175"/>
  <c r="AD75" i="175"/>
  <c r="AA76" i="175"/>
  <c r="AC76" i="175"/>
  <c r="AD76" i="175"/>
  <c r="AE76" i="175"/>
  <c r="AC81" i="175"/>
  <c r="AD81" i="175"/>
  <c r="AE81" i="175"/>
  <c r="AC87" i="175"/>
  <c r="AD87" i="175"/>
  <c r="AE87" i="175"/>
  <c r="AA94" i="175"/>
  <c r="AC88" i="175"/>
  <c r="AD88" i="175"/>
  <c r="AE88" i="175"/>
  <c r="AA41" i="175"/>
  <c r="AE26" i="175"/>
  <c r="AC26" i="175"/>
  <c r="AD26" i="175"/>
  <c r="AC47" i="175"/>
  <c r="AD47" i="175"/>
  <c r="AE47" i="175"/>
  <c r="AC56" i="175"/>
  <c r="AD56" i="175"/>
  <c r="AE56" i="175"/>
  <c r="AC64" i="175"/>
  <c r="AD64" i="175"/>
  <c r="AE64" i="175"/>
  <c r="AC65" i="175"/>
  <c r="AD65" i="175"/>
  <c r="AE65" i="175"/>
  <c r="AD66" i="175"/>
  <c r="AE66" i="175"/>
  <c r="AC66" i="175"/>
  <c r="AA77" i="175"/>
  <c r="AC77" i="175"/>
  <c r="AD77" i="175"/>
  <c r="AE77" i="175"/>
  <c r="AC82" i="175"/>
  <c r="AD82" i="175"/>
  <c r="AE82" i="175"/>
  <c r="AC89" i="175"/>
  <c r="AD89" i="175"/>
  <c r="AE89" i="175"/>
  <c r="AC90" i="175"/>
  <c r="AD90" i="175"/>
  <c r="AE90" i="175"/>
  <c r="AA7" i="175"/>
  <c r="AA12" i="175"/>
  <c r="AA30" i="175"/>
  <c r="AC10" i="175"/>
  <c r="AA10" i="175"/>
  <c r="AE27" i="175"/>
  <c r="AC27" i="175"/>
  <c r="AD27" i="175"/>
  <c r="AA51" i="175"/>
  <c r="AE42" i="175"/>
  <c r="AC42" i="175"/>
  <c r="AD42" i="175"/>
  <c r="AD45" i="175"/>
  <c r="AE45" i="175"/>
  <c r="AC45" i="175"/>
  <c r="AE50" i="175"/>
  <c r="AC50" i="175"/>
  <c r="AD50" i="175"/>
  <c r="AA67" i="175"/>
  <c r="AC52" i="175"/>
  <c r="AD52" i="175"/>
  <c r="AE52" i="175"/>
  <c r="AC53" i="175"/>
  <c r="AD53" i="175"/>
  <c r="AE53" i="175"/>
  <c r="AC57" i="175"/>
  <c r="AD57" i="175"/>
  <c r="AE57" i="175"/>
  <c r="AD58" i="175"/>
  <c r="AE58" i="175"/>
  <c r="AC58" i="175"/>
  <c r="AE59" i="175"/>
  <c r="AC59" i="175"/>
  <c r="AD59" i="175"/>
  <c r="AE67" i="175"/>
  <c r="AC67" i="175"/>
  <c r="AD67" i="175"/>
  <c r="AD70" i="175"/>
  <c r="AE70" i="175"/>
  <c r="AC70" i="175"/>
  <c r="AE78" i="175"/>
  <c r="AA78" i="175"/>
  <c r="AC78" i="175"/>
  <c r="AD78" i="175"/>
  <c r="AC79" i="175"/>
  <c r="AD79" i="175"/>
  <c r="AA87" i="175"/>
  <c r="AE79" i="175"/>
  <c r="AC83" i="175"/>
  <c r="AD83" i="175"/>
  <c r="AE83" i="175"/>
  <c r="Z281" i="175"/>
  <c r="AA15" i="175"/>
  <c r="AE6" i="175"/>
  <c r="Z164" i="175"/>
  <c r="AE16" i="175"/>
  <c r="AD24" i="175"/>
  <c r="AA160" i="175"/>
  <c r="AD17" i="175"/>
  <c r="AD30" i="175"/>
  <c r="AA171" i="175"/>
  <c r="AE18" i="175"/>
  <c r="AC41" i="175"/>
  <c r="AD41" i="175"/>
  <c r="AE41" i="175"/>
  <c r="AE11" i="175"/>
  <c r="AD11" i="175"/>
  <c r="AC11" i="175"/>
  <c r="AC15" i="175"/>
  <c r="AD15" i="175"/>
  <c r="AE15" i="175"/>
  <c r="AD12" i="175"/>
  <c r="AC12" i="175"/>
  <c r="AD13" i="175"/>
  <c r="AC13" i="175"/>
  <c r="AC29" i="175"/>
  <c r="AD29" i="175"/>
  <c r="AE29" i="175"/>
  <c r="M295" i="175"/>
  <c r="AD146" i="175"/>
  <c r="AD9" i="175"/>
  <c r="AC24" i="175"/>
  <c r="AC28" i="175"/>
  <c r="AE33" i="175"/>
  <c r="AE24" i="175"/>
  <c r="AE13" i="175"/>
  <c r="AC33" i="175"/>
  <c r="AC35" i="175"/>
  <c r="AC150" i="175"/>
  <c r="Z172" i="175"/>
  <c r="AC17" i="175"/>
  <c r="AD34" i="175"/>
  <c r="AC14" i="175"/>
  <c r="AE35" i="175"/>
  <c r="N293" i="175"/>
  <c r="AC9" i="175"/>
  <c r="AE21" i="175"/>
  <c r="AC22" i="175"/>
  <c r="AE32" i="175"/>
  <c r="AC34" i="175"/>
  <c r="AD36" i="175"/>
  <c r="AE143" i="175"/>
  <c r="AE147" i="175"/>
  <c r="AD6" i="175"/>
  <c r="AD16" i="175"/>
  <c r="AC19" i="175"/>
  <c r="AD21" i="175"/>
  <c r="AD32" i="175"/>
  <c r="AC36" i="175"/>
  <c r="AD143" i="175"/>
  <c r="AE145" i="175"/>
  <c r="AD147" i="175"/>
  <c r="AE149" i="175"/>
  <c r="AC6" i="175"/>
  <c r="AC16" i="175"/>
  <c r="AC30" i="175"/>
  <c r="AC32" i="175"/>
  <c r="AC145" i="175"/>
  <c r="AC149" i="175"/>
  <c r="AC8" i="175"/>
  <c r="AD8" i="175"/>
  <c r="AC20" i="175"/>
  <c r="AD20" i="175"/>
  <c r="AE20" i="175"/>
  <c r="AC23" i="175"/>
  <c r="AD23" i="175"/>
  <c r="AE23" i="175"/>
  <c r="S286" i="175"/>
  <c r="AD18" i="175"/>
  <c r="AC18" i="175"/>
  <c r="AD144" i="175"/>
  <c r="AD148" i="175"/>
  <c r="AE150" i="175"/>
  <c r="AC144" i="175"/>
  <c r="AE146" i="175"/>
  <c r="AC148" i="175"/>
  <c r="AE22" i="175"/>
  <c r="AE28" i="175"/>
  <c r="AE10" i="175"/>
  <c r="AE12" i="175"/>
  <c r="AD10" i="175"/>
  <c r="AE14" i="175"/>
  <c r="AE17" i="175"/>
  <c r="AE19" i="175"/>
  <c r="AE30" i="175"/>
  <c r="AG30" i="175" s="1"/>
  <c r="AG50" i="175"/>
  <c r="AG46" i="175"/>
  <c r="Z110" i="174"/>
  <c r="Z109" i="174"/>
  <c r="Z108" i="174"/>
  <c r="Z107" i="174"/>
  <c r="AB103" i="174"/>
  <c r="AF29" i="174"/>
  <c r="AF99" i="174"/>
  <c r="AF98" i="174"/>
  <c r="AF97" i="174"/>
  <c r="AG97" i="174" s="1"/>
  <c r="AF96" i="174"/>
  <c r="AF95" i="174"/>
  <c r="AF94" i="174"/>
  <c r="AF93" i="174"/>
  <c r="AG93" i="174" s="1"/>
  <c r="AF92" i="174"/>
  <c r="AG92" i="174" s="1"/>
  <c r="AF91" i="174"/>
  <c r="AF90" i="174"/>
  <c r="AF89" i="174"/>
  <c r="AG89" i="174" s="1"/>
  <c r="AF88" i="174"/>
  <c r="AF87" i="174"/>
  <c r="AG87" i="174" s="1"/>
  <c r="AF86" i="174"/>
  <c r="AF85" i="174"/>
  <c r="AG85" i="174" s="1"/>
  <c r="AF84" i="174"/>
  <c r="AF82" i="174"/>
  <c r="AG82" i="174" s="1"/>
  <c r="AF83" i="174"/>
  <c r="AG83" i="174" s="1"/>
  <c r="AF81" i="174"/>
  <c r="AG81" i="174" s="1"/>
  <c r="AF80" i="174"/>
  <c r="AF79" i="174"/>
  <c r="AG79" i="174" s="1"/>
  <c r="AF78" i="174"/>
  <c r="AG78" i="174" s="1"/>
  <c r="AF77" i="174"/>
  <c r="AG77" i="174" s="1"/>
  <c r="AF76" i="174"/>
  <c r="AF72" i="174"/>
  <c r="AF71" i="174"/>
  <c r="R266" i="174"/>
  <c r="O264" i="174" s="1"/>
  <c r="R264" i="174" s="1"/>
  <c r="R260" i="174"/>
  <c r="M260" i="174"/>
  <c r="S258" i="174"/>
  <c r="T258" i="174" s="1"/>
  <c r="S257" i="174"/>
  <c r="Q257" i="174"/>
  <c r="R253" i="174"/>
  <c r="Q253" i="174"/>
  <c r="Q260" i="174" s="1"/>
  <c r="P253" i="174"/>
  <c r="O253" i="174"/>
  <c r="N253" i="174"/>
  <c r="N255" i="174" s="1"/>
  <c r="M253" i="174"/>
  <c r="S248" i="174"/>
  <c r="S247" i="174"/>
  <c r="S246" i="174"/>
  <c r="S245" i="174"/>
  <c r="S32" i="174"/>
  <c r="S169" i="174"/>
  <c r="S168" i="174"/>
  <c r="S244" i="174"/>
  <c r="S243" i="174"/>
  <c r="S242" i="174"/>
  <c r="S241" i="174"/>
  <c r="S240" i="174"/>
  <c r="S239" i="174"/>
  <c r="S238" i="174"/>
  <c r="S237" i="174"/>
  <c r="S236" i="174"/>
  <c r="S235" i="174"/>
  <c r="S234" i="174"/>
  <c r="S233" i="174"/>
  <c r="S232" i="174"/>
  <c r="S231" i="174"/>
  <c r="S230" i="174"/>
  <c r="S229" i="174"/>
  <c r="S228" i="174"/>
  <c r="S227" i="174"/>
  <c r="S226" i="174"/>
  <c r="S225" i="174"/>
  <c r="S224" i="174"/>
  <c r="S223" i="174"/>
  <c r="S222" i="174"/>
  <c r="S221" i="174"/>
  <c r="S220" i="174"/>
  <c r="S83" i="174"/>
  <c r="S115" i="174"/>
  <c r="S114" i="174"/>
  <c r="S82" i="174"/>
  <c r="S84" i="174"/>
  <c r="S85" i="174"/>
  <c r="S159" i="174"/>
  <c r="S158" i="174"/>
  <c r="S155" i="174"/>
  <c r="S154" i="174"/>
  <c r="S99" i="174"/>
  <c r="S219" i="174"/>
  <c r="S96" i="174"/>
  <c r="S98" i="174"/>
  <c r="S97" i="174"/>
  <c r="S94" i="174"/>
  <c r="S218" i="174"/>
  <c r="S88" i="174"/>
  <c r="S93" i="174"/>
  <c r="S86" i="174"/>
  <c r="S217" i="174"/>
  <c r="S91" i="174"/>
  <c r="S90" i="174"/>
  <c r="S89" i="174"/>
  <c r="S95" i="174"/>
  <c r="S163" i="174"/>
  <c r="S92" i="174"/>
  <c r="S157" i="174"/>
  <c r="S156" i="174"/>
  <c r="S162" i="174"/>
  <c r="S161" i="174"/>
  <c r="S87" i="174"/>
  <c r="S160" i="174"/>
  <c r="S216" i="174"/>
  <c r="S215" i="174"/>
  <c r="S214" i="174"/>
  <c r="S213" i="174"/>
  <c r="S80" i="174"/>
  <c r="S153" i="174"/>
  <c r="S152" i="174"/>
  <c r="S212" i="174"/>
  <c r="S79" i="174"/>
  <c r="S78" i="174"/>
  <c r="S77" i="174"/>
  <c r="S76" i="174"/>
  <c r="S151" i="174"/>
  <c r="S150" i="174"/>
  <c r="S81" i="174"/>
  <c r="S113" i="174"/>
  <c r="S72" i="174"/>
  <c r="S71" i="174"/>
  <c r="S112" i="174"/>
  <c r="S51" i="174"/>
  <c r="S145" i="174"/>
  <c r="S144" i="174"/>
  <c r="S141" i="174"/>
  <c r="S49" i="174"/>
  <c r="S50" i="174"/>
  <c r="S143" i="174"/>
  <c r="S48" i="174"/>
  <c r="S140" i="174"/>
  <c r="S142" i="174"/>
  <c r="S47" i="174"/>
  <c r="S139" i="174"/>
  <c r="S138" i="174"/>
  <c r="S46" i="174"/>
  <c r="S211" i="174"/>
  <c r="S19" i="174"/>
  <c r="S16" i="174"/>
  <c r="S18" i="174"/>
  <c r="S17" i="174"/>
  <c r="S109" i="174"/>
  <c r="S108" i="174"/>
  <c r="S111" i="174"/>
  <c r="S110" i="174"/>
  <c r="Y103" i="174"/>
  <c r="S15" i="174"/>
  <c r="S107" i="174"/>
  <c r="S106" i="174"/>
  <c r="S105" i="174"/>
  <c r="S104" i="174"/>
  <c r="S13" i="174"/>
  <c r="S14" i="174"/>
  <c r="S30" i="174"/>
  <c r="S210" i="174"/>
  <c r="S29" i="174"/>
  <c r="S26" i="174"/>
  <c r="S28" i="174"/>
  <c r="S27" i="174"/>
  <c r="S209" i="174"/>
  <c r="S21" i="174"/>
  <c r="S22" i="174"/>
  <c r="S208" i="174"/>
  <c r="S20" i="174"/>
  <c r="S207" i="174"/>
  <c r="S25" i="174"/>
  <c r="S101" i="174"/>
  <c r="S100" i="174"/>
  <c r="S23" i="174"/>
  <c r="S24" i="174"/>
  <c r="S70" i="174"/>
  <c r="S149" i="174"/>
  <c r="S69" i="174"/>
  <c r="S148" i="174"/>
  <c r="S68" i="174"/>
  <c r="S67" i="174"/>
  <c r="S206" i="174"/>
  <c r="S205" i="174"/>
  <c r="S64" i="174"/>
  <c r="S147" i="174"/>
  <c r="S146" i="174"/>
  <c r="S204" i="174"/>
  <c r="S65" i="174"/>
  <c r="S203" i="174"/>
  <c r="S66" i="174"/>
  <c r="S202" i="174"/>
  <c r="S33" i="174"/>
  <c r="S34" i="174"/>
  <c r="AG99" i="174"/>
  <c r="Z99" i="174"/>
  <c r="AC99" i="174" s="1"/>
  <c r="Y99" i="174"/>
  <c r="X99" i="174"/>
  <c r="W99" i="174"/>
  <c r="V99" i="174"/>
  <c r="U99" i="174"/>
  <c r="S35" i="174"/>
  <c r="AG98" i="174"/>
  <c r="Z98" i="174"/>
  <c r="AC98" i="174" s="1"/>
  <c r="Y98" i="174"/>
  <c r="X98" i="174"/>
  <c r="W98" i="174"/>
  <c r="V98" i="174"/>
  <c r="U98" i="174"/>
  <c r="S173" i="174"/>
  <c r="Z97" i="174"/>
  <c r="AC97" i="174" s="1"/>
  <c r="Y97" i="174"/>
  <c r="X97" i="174"/>
  <c r="W97" i="174"/>
  <c r="V97" i="174"/>
  <c r="U97" i="174"/>
  <c r="S172" i="174"/>
  <c r="AG96" i="174"/>
  <c r="Z96" i="174"/>
  <c r="AC96" i="174" s="1"/>
  <c r="Y96" i="174"/>
  <c r="X96" i="174"/>
  <c r="W96" i="174"/>
  <c r="V96" i="174"/>
  <c r="U96" i="174"/>
  <c r="S171" i="174"/>
  <c r="AG95" i="174"/>
  <c r="Z95" i="174"/>
  <c r="AC95" i="174" s="1"/>
  <c r="Y95" i="174"/>
  <c r="X95" i="174"/>
  <c r="W95" i="174"/>
  <c r="V95" i="174"/>
  <c r="U95" i="174"/>
  <c r="S170" i="174"/>
  <c r="AG94" i="174"/>
  <c r="Z94" i="174"/>
  <c r="AC94" i="174" s="1"/>
  <c r="Y94" i="174"/>
  <c r="X94" i="174"/>
  <c r="W94" i="174"/>
  <c r="V94" i="174"/>
  <c r="U94" i="174"/>
  <c r="S201" i="174"/>
  <c r="Z93" i="174"/>
  <c r="AC93" i="174" s="1"/>
  <c r="Y93" i="174"/>
  <c r="X93" i="174"/>
  <c r="W93" i="174"/>
  <c r="V93" i="174"/>
  <c r="U93" i="174"/>
  <c r="S200" i="174"/>
  <c r="Z92" i="174"/>
  <c r="AC92" i="174" s="1"/>
  <c r="Y92" i="174"/>
  <c r="X92" i="174"/>
  <c r="W92" i="174"/>
  <c r="V92" i="174"/>
  <c r="U92" i="174"/>
  <c r="S199" i="174"/>
  <c r="AG91" i="174"/>
  <c r="Z91" i="174"/>
  <c r="AC91" i="174" s="1"/>
  <c r="Y91" i="174"/>
  <c r="X91" i="174"/>
  <c r="W91" i="174"/>
  <c r="V91" i="174"/>
  <c r="U91" i="174"/>
  <c r="S198" i="174"/>
  <c r="AG90" i="174"/>
  <c r="Z90" i="174"/>
  <c r="AC90" i="174" s="1"/>
  <c r="Y90" i="174"/>
  <c r="X90" i="174"/>
  <c r="W90" i="174"/>
  <c r="V90" i="174"/>
  <c r="U90" i="174"/>
  <c r="S36" i="174"/>
  <c r="Z89" i="174"/>
  <c r="AC89" i="174" s="1"/>
  <c r="Y89" i="174"/>
  <c r="X89" i="174"/>
  <c r="W89" i="174"/>
  <c r="V89" i="174"/>
  <c r="U89" i="174"/>
  <c r="S197" i="174"/>
  <c r="AG88" i="174"/>
  <c r="Z88" i="174"/>
  <c r="AC88" i="174" s="1"/>
  <c r="Y88" i="174"/>
  <c r="X88" i="174"/>
  <c r="W88" i="174"/>
  <c r="V88" i="174"/>
  <c r="U88" i="174"/>
  <c r="S31" i="174"/>
  <c r="Z87" i="174"/>
  <c r="AC87" i="174" s="1"/>
  <c r="Y87" i="174"/>
  <c r="X87" i="174"/>
  <c r="W87" i="174"/>
  <c r="V87" i="174"/>
  <c r="U87" i="174"/>
  <c r="S59" i="174"/>
  <c r="Z86" i="174"/>
  <c r="AC86" i="174" s="1"/>
  <c r="Y86" i="174"/>
  <c r="X86" i="174"/>
  <c r="W86" i="174"/>
  <c r="V86" i="174"/>
  <c r="U86" i="174"/>
  <c r="S196" i="174"/>
  <c r="Z85" i="174"/>
  <c r="Y85" i="174"/>
  <c r="X85" i="174"/>
  <c r="W85" i="174"/>
  <c r="V85" i="174"/>
  <c r="U85" i="174"/>
  <c r="S195" i="174"/>
  <c r="AG84" i="174"/>
  <c r="Z84" i="174"/>
  <c r="AC84" i="174" s="1"/>
  <c r="Y84" i="174"/>
  <c r="X84" i="174"/>
  <c r="W84" i="174"/>
  <c r="V84" i="174"/>
  <c r="U84" i="174"/>
  <c r="S194" i="174"/>
  <c r="Z83" i="174"/>
  <c r="AC83" i="174" s="1"/>
  <c r="Y83" i="174"/>
  <c r="X83" i="174"/>
  <c r="W83" i="174"/>
  <c r="V83" i="174"/>
  <c r="U83" i="174"/>
  <c r="S193" i="174"/>
  <c r="Z82" i="174"/>
  <c r="Y82" i="174"/>
  <c r="X82" i="174"/>
  <c r="W82" i="174"/>
  <c r="V82" i="174"/>
  <c r="U82" i="174"/>
  <c r="S61" i="174"/>
  <c r="Z81" i="174"/>
  <c r="AE81" i="174" s="1"/>
  <c r="Y81" i="174"/>
  <c r="X81" i="174"/>
  <c r="W81" i="174"/>
  <c r="V81" i="174"/>
  <c r="U81" i="174"/>
  <c r="S62" i="174"/>
  <c r="AG80" i="174"/>
  <c r="Z80" i="174"/>
  <c r="AE80" i="174" s="1"/>
  <c r="Y80" i="174"/>
  <c r="X80" i="174"/>
  <c r="W80" i="174"/>
  <c r="V80" i="174"/>
  <c r="U80" i="174"/>
  <c r="S167" i="174"/>
  <c r="Z79" i="174"/>
  <c r="AE79" i="174" s="1"/>
  <c r="Y79" i="174"/>
  <c r="X79" i="174"/>
  <c r="W79" i="174"/>
  <c r="V79" i="174"/>
  <c r="U79" i="174"/>
  <c r="S166" i="174"/>
  <c r="Z78" i="174"/>
  <c r="AC78" i="174" s="1"/>
  <c r="Y78" i="174"/>
  <c r="X78" i="174"/>
  <c r="W78" i="174"/>
  <c r="V78" i="174"/>
  <c r="U78" i="174"/>
  <c r="S165" i="174"/>
  <c r="Z77" i="174"/>
  <c r="AE77" i="174" s="1"/>
  <c r="Y77" i="174"/>
  <c r="X77" i="174"/>
  <c r="W77" i="174"/>
  <c r="V77" i="174"/>
  <c r="U77" i="174"/>
  <c r="S164" i="174"/>
  <c r="AG76" i="174"/>
  <c r="Z76" i="174"/>
  <c r="AE76" i="174" s="1"/>
  <c r="Y76" i="174"/>
  <c r="X76" i="174"/>
  <c r="W76" i="174"/>
  <c r="V76" i="174"/>
  <c r="U76" i="174"/>
  <c r="S63" i="174"/>
  <c r="AG75" i="174"/>
  <c r="Z75" i="174"/>
  <c r="AA75" i="174" s="1"/>
  <c r="Y75" i="174"/>
  <c r="X75" i="174"/>
  <c r="W75" i="174"/>
  <c r="V75" i="174"/>
  <c r="U75" i="174"/>
  <c r="S192" i="174"/>
  <c r="AG74" i="174"/>
  <c r="Z74" i="174"/>
  <c r="AC74" i="174" s="1"/>
  <c r="Y74" i="174"/>
  <c r="X74" i="174"/>
  <c r="W74" i="174"/>
  <c r="V74" i="174"/>
  <c r="U74" i="174"/>
  <c r="S191" i="174"/>
  <c r="AG73" i="174"/>
  <c r="Z73" i="174"/>
  <c r="AE73" i="174" s="1"/>
  <c r="Y73" i="174"/>
  <c r="X73" i="174"/>
  <c r="W73" i="174"/>
  <c r="V73" i="174"/>
  <c r="U73" i="174"/>
  <c r="S190" i="174"/>
  <c r="AG72" i="174"/>
  <c r="Z72" i="174"/>
  <c r="AE72" i="174" s="1"/>
  <c r="Y72" i="174"/>
  <c r="X72" i="174"/>
  <c r="W72" i="174"/>
  <c r="V72" i="174"/>
  <c r="U72" i="174"/>
  <c r="S60" i="174"/>
  <c r="AG71" i="174"/>
  <c r="Z71" i="174"/>
  <c r="AE71" i="174" s="1"/>
  <c r="Y71" i="174"/>
  <c r="X71" i="174"/>
  <c r="W71" i="174"/>
  <c r="V71" i="174"/>
  <c r="U71" i="174"/>
  <c r="S189" i="174"/>
  <c r="AG70" i="174"/>
  <c r="Z70" i="174"/>
  <c r="AE70" i="174" s="1"/>
  <c r="Y70" i="174"/>
  <c r="X70" i="174"/>
  <c r="W70" i="174"/>
  <c r="V70" i="174"/>
  <c r="U70" i="174"/>
  <c r="S57" i="174"/>
  <c r="AG69" i="174"/>
  <c r="Z69" i="174"/>
  <c r="AD69" i="174" s="1"/>
  <c r="Y69" i="174"/>
  <c r="X69" i="174"/>
  <c r="W69" i="174"/>
  <c r="V69" i="174"/>
  <c r="U69" i="174"/>
  <c r="S56" i="174"/>
  <c r="AG68" i="174"/>
  <c r="Z68" i="174"/>
  <c r="AC68" i="174" s="1"/>
  <c r="Y68" i="174"/>
  <c r="X68" i="174"/>
  <c r="W68" i="174"/>
  <c r="V68" i="174"/>
  <c r="U68" i="174"/>
  <c r="S58" i="174"/>
  <c r="AG67" i="174"/>
  <c r="Z67" i="174"/>
  <c r="AE67" i="174" s="1"/>
  <c r="Y67" i="174"/>
  <c r="X67" i="174"/>
  <c r="W67" i="174"/>
  <c r="V67" i="174"/>
  <c r="U67" i="174"/>
  <c r="S54" i="174"/>
  <c r="AG66" i="174"/>
  <c r="Z66" i="174"/>
  <c r="Y66" i="174"/>
  <c r="X66" i="174"/>
  <c r="W66" i="174"/>
  <c r="V66" i="174"/>
  <c r="U66" i="174"/>
  <c r="S53" i="174"/>
  <c r="AG65" i="174"/>
  <c r="Z65" i="174"/>
  <c r="AD65" i="174" s="1"/>
  <c r="Y65" i="174"/>
  <c r="X65" i="174"/>
  <c r="W65" i="174"/>
  <c r="V65" i="174"/>
  <c r="U65" i="174"/>
  <c r="S55" i="174"/>
  <c r="AG64" i="174"/>
  <c r="Z64" i="174"/>
  <c r="AC64" i="174" s="1"/>
  <c r="Y64" i="174"/>
  <c r="X64" i="174"/>
  <c r="W64" i="174"/>
  <c r="V64" i="174"/>
  <c r="U64" i="174"/>
  <c r="S52" i="174"/>
  <c r="AG63" i="174"/>
  <c r="Z63" i="174"/>
  <c r="AE63" i="174" s="1"/>
  <c r="Y63" i="174"/>
  <c r="X63" i="174"/>
  <c r="W63" i="174"/>
  <c r="V63" i="174"/>
  <c r="U63" i="174"/>
  <c r="S10" i="174"/>
  <c r="AG62" i="174"/>
  <c r="Z62" i="174"/>
  <c r="AE62" i="174" s="1"/>
  <c r="Y62" i="174"/>
  <c r="X62" i="174"/>
  <c r="W62" i="174"/>
  <c r="V62" i="174"/>
  <c r="U62" i="174"/>
  <c r="S9" i="174"/>
  <c r="AG61" i="174"/>
  <c r="Z61" i="174"/>
  <c r="AD61" i="174" s="1"/>
  <c r="Y61" i="174"/>
  <c r="X61" i="174"/>
  <c r="W61" i="174"/>
  <c r="V61" i="174"/>
  <c r="U61" i="174"/>
  <c r="S188" i="174"/>
  <c r="AG60" i="174"/>
  <c r="Z60" i="174"/>
  <c r="AC60" i="174" s="1"/>
  <c r="Y60" i="174"/>
  <c r="X60" i="174"/>
  <c r="W60" i="174"/>
  <c r="V60" i="174"/>
  <c r="U60" i="174"/>
  <c r="S187" i="174"/>
  <c r="AG59" i="174"/>
  <c r="Z59" i="174"/>
  <c r="AA63" i="174" s="1"/>
  <c r="Y59" i="174"/>
  <c r="X59" i="174"/>
  <c r="W59" i="174"/>
  <c r="V59" i="174"/>
  <c r="U59" i="174"/>
  <c r="S186" i="174"/>
  <c r="AG58" i="174"/>
  <c r="Z58" i="174"/>
  <c r="AE58" i="174" s="1"/>
  <c r="Y58" i="174"/>
  <c r="X58" i="174"/>
  <c r="W58" i="174"/>
  <c r="V58" i="174"/>
  <c r="U58" i="174"/>
  <c r="S185" i="174"/>
  <c r="AG57" i="174"/>
  <c r="Z57" i="174"/>
  <c r="AD57" i="174" s="1"/>
  <c r="Y57" i="174"/>
  <c r="X57" i="174"/>
  <c r="W57" i="174"/>
  <c r="V57" i="174"/>
  <c r="U57" i="174"/>
  <c r="S8" i="174"/>
  <c r="Z56" i="174"/>
  <c r="AC56" i="174" s="1"/>
  <c r="Y56" i="174"/>
  <c r="X56" i="174"/>
  <c r="W56" i="174"/>
  <c r="V56" i="174"/>
  <c r="U56" i="174"/>
  <c r="S117" i="174"/>
  <c r="Z55" i="174"/>
  <c r="AE55" i="174" s="1"/>
  <c r="Y55" i="174"/>
  <c r="X55" i="174"/>
  <c r="W55" i="174"/>
  <c r="V55" i="174"/>
  <c r="U55" i="174"/>
  <c r="S116" i="174"/>
  <c r="Z54" i="174"/>
  <c r="AE54" i="174" s="1"/>
  <c r="Y54" i="174"/>
  <c r="X54" i="174"/>
  <c r="W54" i="174"/>
  <c r="V54" i="174"/>
  <c r="U54" i="174"/>
  <c r="S123" i="174"/>
  <c r="Z53" i="174"/>
  <c r="AD53" i="174" s="1"/>
  <c r="Y53" i="174"/>
  <c r="X53" i="174"/>
  <c r="W53" i="174"/>
  <c r="V53" i="174"/>
  <c r="U53" i="174"/>
  <c r="S7" i="174"/>
  <c r="Z52" i="174"/>
  <c r="AC52" i="174" s="1"/>
  <c r="Y52" i="174"/>
  <c r="X52" i="174"/>
  <c r="W52" i="174"/>
  <c r="V52" i="174"/>
  <c r="U52" i="174"/>
  <c r="S127" i="174"/>
  <c r="Z51" i="174"/>
  <c r="AE51" i="174" s="1"/>
  <c r="Y51" i="174"/>
  <c r="X51" i="174"/>
  <c r="W51" i="174"/>
  <c r="V51" i="174"/>
  <c r="U51" i="174"/>
  <c r="S126" i="174"/>
  <c r="Z50" i="174"/>
  <c r="AE50" i="174" s="1"/>
  <c r="Y50" i="174"/>
  <c r="X50" i="174"/>
  <c r="W50" i="174"/>
  <c r="V50" i="174"/>
  <c r="U50" i="174"/>
  <c r="S6" i="174"/>
  <c r="Z49" i="174"/>
  <c r="AD49" i="174" s="1"/>
  <c r="Y49" i="174"/>
  <c r="X49" i="174"/>
  <c r="W49" i="174"/>
  <c r="V49" i="174"/>
  <c r="U49" i="174"/>
  <c r="S122" i="174"/>
  <c r="Z48" i="174"/>
  <c r="AC48" i="174" s="1"/>
  <c r="Y48" i="174"/>
  <c r="X48" i="174"/>
  <c r="W48" i="174"/>
  <c r="V48" i="174"/>
  <c r="U48" i="174"/>
  <c r="S121" i="174"/>
  <c r="Z47" i="174"/>
  <c r="AE47" i="174" s="1"/>
  <c r="Y47" i="174"/>
  <c r="X47" i="174"/>
  <c r="W47" i="174"/>
  <c r="V47" i="174"/>
  <c r="U47" i="174"/>
  <c r="S120" i="174"/>
  <c r="Z46" i="174"/>
  <c r="AE46" i="174" s="1"/>
  <c r="Y46" i="174"/>
  <c r="X46" i="174"/>
  <c r="W46" i="174"/>
  <c r="V46" i="174"/>
  <c r="U46" i="174"/>
  <c r="S12" i="174"/>
  <c r="AG45" i="174"/>
  <c r="Z45" i="174"/>
  <c r="AD45" i="174" s="1"/>
  <c r="Y45" i="174"/>
  <c r="X45" i="174"/>
  <c r="W45" i="174"/>
  <c r="V45" i="174"/>
  <c r="U45" i="174"/>
  <c r="S125" i="174"/>
  <c r="Z44" i="174"/>
  <c r="AC44" i="174" s="1"/>
  <c r="Y44" i="174"/>
  <c r="X44" i="174"/>
  <c r="W44" i="174"/>
  <c r="V44" i="174"/>
  <c r="U44" i="174"/>
  <c r="S124" i="174"/>
  <c r="Z43" i="174"/>
  <c r="AE43" i="174" s="1"/>
  <c r="Y43" i="174"/>
  <c r="X43" i="174"/>
  <c r="W43" i="174"/>
  <c r="V43" i="174"/>
  <c r="U43" i="174"/>
  <c r="S184" i="174"/>
  <c r="Z42" i="174"/>
  <c r="AE42" i="174" s="1"/>
  <c r="Y42" i="174"/>
  <c r="X42" i="174"/>
  <c r="W42" i="174"/>
  <c r="V42" i="174"/>
  <c r="U42" i="174"/>
  <c r="S183" i="174"/>
  <c r="Z41" i="174"/>
  <c r="AD41" i="174" s="1"/>
  <c r="Y41" i="174"/>
  <c r="X41" i="174"/>
  <c r="W41" i="174"/>
  <c r="V41" i="174"/>
  <c r="U41" i="174"/>
  <c r="S11" i="174"/>
  <c r="Z40" i="174"/>
  <c r="AC40" i="174" s="1"/>
  <c r="Y40" i="174"/>
  <c r="X40" i="174"/>
  <c r="W40" i="174"/>
  <c r="V40" i="174"/>
  <c r="U40" i="174"/>
  <c r="S119" i="174"/>
  <c r="Z39" i="174"/>
  <c r="AE39" i="174" s="1"/>
  <c r="Y39" i="174"/>
  <c r="X39" i="174"/>
  <c r="W39" i="174"/>
  <c r="V39" i="174"/>
  <c r="U39" i="174"/>
  <c r="S118" i="174"/>
  <c r="Z38" i="174"/>
  <c r="AE38" i="174" s="1"/>
  <c r="Y38" i="174"/>
  <c r="X38" i="174"/>
  <c r="W38" i="174"/>
  <c r="V38" i="174"/>
  <c r="U38" i="174"/>
  <c r="S42" i="174"/>
  <c r="Z37" i="174"/>
  <c r="Y37" i="174"/>
  <c r="X37" i="174"/>
  <c r="W37" i="174"/>
  <c r="V37" i="174"/>
  <c r="U37" i="174"/>
  <c r="S133" i="174"/>
  <c r="Z36" i="174"/>
  <c r="AE36" i="174" s="1"/>
  <c r="Y36" i="174"/>
  <c r="X36" i="174"/>
  <c r="W36" i="174"/>
  <c r="V36" i="174"/>
  <c r="U36" i="174"/>
  <c r="S43" i="174"/>
  <c r="Z35" i="174"/>
  <c r="AD35" i="174" s="1"/>
  <c r="Y35" i="174"/>
  <c r="X35" i="174"/>
  <c r="W35" i="174"/>
  <c r="V35" i="174"/>
  <c r="U35" i="174"/>
  <c r="S137" i="174"/>
  <c r="Z34" i="174"/>
  <c r="AC34" i="174" s="1"/>
  <c r="Y34" i="174"/>
  <c r="X34" i="174"/>
  <c r="W34" i="174"/>
  <c r="V34" i="174"/>
  <c r="U34" i="174"/>
  <c r="S132" i="174"/>
  <c r="AG33" i="174"/>
  <c r="Z33" i="174"/>
  <c r="AE33" i="174" s="1"/>
  <c r="Y33" i="174"/>
  <c r="X33" i="174"/>
  <c r="W33" i="174"/>
  <c r="V33" i="174"/>
  <c r="U33" i="174"/>
  <c r="S41" i="174"/>
  <c r="Z32" i="174"/>
  <c r="AC32" i="174" s="1"/>
  <c r="Y32" i="174"/>
  <c r="X32" i="174"/>
  <c r="W32" i="174"/>
  <c r="V32" i="174"/>
  <c r="U32" i="174"/>
  <c r="S136" i="174"/>
  <c r="Z31" i="174"/>
  <c r="AE31" i="174" s="1"/>
  <c r="Y31" i="174"/>
  <c r="X31" i="174"/>
  <c r="W31" i="174"/>
  <c r="V31" i="174"/>
  <c r="U31" i="174"/>
  <c r="S135" i="174"/>
  <c r="Z30" i="174"/>
  <c r="AE30" i="174" s="1"/>
  <c r="Y30" i="174"/>
  <c r="X30" i="174"/>
  <c r="W30" i="174"/>
  <c r="V30" i="174"/>
  <c r="U30" i="174"/>
  <c r="S134" i="174"/>
  <c r="Z29" i="174"/>
  <c r="Y29" i="174"/>
  <c r="X29" i="174"/>
  <c r="W29" i="174"/>
  <c r="V29" i="174"/>
  <c r="U29" i="174"/>
  <c r="S44" i="174"/>
  <c r="Z28" i="174"/>
  <c r="AE28" i="174" s="1"/>
  <c r="Y28" i="174"/>
  <c r="X28" i="174"/>
  <c r="W28" i="174"/>
  <c r="V28" i="174"/>
  <c r="U28" i="174"/>
  <c r="S39" i="174"/>
  <c r="Z27" i="174"/>
  <c r="AC27" i="174" s="1"/>
  <c r="Y27" i="174"/>
  <c r="X27" i="174"/>
  <c r="W27" i="174"/>
  <c r="V27" i="174"/>
  <c r="U27" i="174"/>
  <c r="S40" i="174"/>
  <c r="Z26" i="174"/>
  <c r="AD26" i="174" s="1"/>
  <c r="Y26" i="174"/>
  <c r="X26" i="174"/>
  <c r="W26" i="174"/>
  <c r="V26" i="174"/>
  <c r="U26" i="174"/>
  <c r="S131" i="174"/>
  <c r="Z25" i="174"/>
  <c r="AD25" i="174" s="1"/>
  <c r="Y25" i="174"/>
  <c r="X25" i="174"/>
  <c r="W25" i="174"/>
  <c r="V25" i="174"/>
  <c r="U25" i="174"/>
  <c r="S130" i="174"/>
  <c r="Z24" i="174"/>
  <c r="AC24" i="174" s="1"/>
  <c r="Y24" i="174"/>
  <c r="X24" i="174"/>
  <c r="W24" i="174"/>
  <c r="V24" i="174"/>
  <c r="U24" i="174"/>
  <c r="S182" i="174"/>
  <c r="Z23" i="174"/>
  <c r="AD23" i="174" s="1"/>
  <c r="Y23" i="174"/>
  <c r="X23" i="174"/>
  <c r="W23" i="174"/>
  <c r="V23" i="174"/>
  <c r="U23" i="174"/>
  <c r="S129" i="174"/>
  <c r="Z22" i="174"/>
  <c r="AD22" i="174" s="1"/>
  <c r="Y22" i="174"/>
  <c r="X22" i="174"/>
  <c r="W22" i="174"/>
  <c r="V22" i="174"/>
  <c r="U22" i="174"/>
  <c r="S128" i="174"/>
  <c r="Z21" i="174"/>
  <c r="AD21" i="174" s="1"/>
  <c r="Y21" i="174"/>
  <c r="X21" i="174"/>
  <c r="W21" i="174"/>
  <c r="V21" i="174"/>
  <c r="U21" i="174"/>
  <c r="S181" i="174"/>
  <c r="Z20" i="174"/>
  <c r="AC20" i="174" s="1"/>
  <c r="Y20" i="174"/>
  <c r="X20" i="174"/>
  <c r="W20" i="174"/>
  <c r="V20" i="174"/>
  <c r="U20" i="174"/>
  <c r="S180" i="174"/>
  <c r="Z19" i="174"/>
  <c r="AE19" i="174" s="1"/>
  <c r="Y19" i="174"/>
  <c r="X19" i="174"/>
  <c r="W19" i="174"/>
  <c r="V19" i="174"/>
  <c r="U19" i="174"/>
  <c r="S179" i="174"/>
  <c r="Z18" i="174"/>
  <c r="AE18" i="174" s="1"/>
  <c r="Y18" i="174"/>
  <c r="X18" i="174"/>
  <c r="W18" i="174"/>
  <c r="V18" i="174"/>
  <c r="U18" i="174"/>
  <c r="S38" i="174"/>
  <c r="Z17" i="174"/>
  <c r="AD17" i="174" s="1"/>
  <c r="Y17" i="174"/>
  <c r="X17" i="174"/>
  <c r="W17" i="174"/>
  <c r="V17" i="174"/>
  <c r="U17" i="174"/>
  <c r="S45" i="174"/>
  <c r="Z16" i="174"/>
  <c r="AE16" i="174" s="1"/>
  <c r="Y16" i="174"/>
  <c r="X16" i="174"/>
  <c r="W16" i="174"/>
  <c r="V16" i="174"/>
  <c r="U16" i="174"/>
  <c r="S37" i="174"/>
  <c r="Z15" i="174"/>
  <c r="AD15" i="174" s="1"/>
  <c r="Y15" i="174"/>
  <c r="X15" i="174"/>
  <c r="W15" i="174"/>
  <c r="V15" i="174"/>
  <c r="U15" i="174"/>
  <c r="S178" i="174"/>
  <c r="Z14" i="174"/>
  <c r="AE14" i="174" s="1"/>
  <c r="Y14" i="174"/>
  <c r="X14" i="174"/>
  <c r="W14" i="174"/>
  <c r="V14" i="174"/>
  <c r="U14" i="174"/>
  <c r="S177" i="174"/>
  <c r="Z13" i="174"/>
  <c r="AC13" i="174" s="1"/>
  <c r="Y13" i="174"/>
  <c r="X13" i="174"/>
  <c r="W13" i="174"/>
  <c r="V13" i="174"/>
  <c r="U13" i="174"/>
  <c r="S73" i="174"/>
  <c r="Z12" i="174"/>
  <c r="AE12" i="174" s="1"/>
  <c r="Y12" i="174"/>
  <c r="X12" i="174"/>
  <c r="W12" i="174"/>
  <c r="V12" i="174"/>
  <c r="U12" i="174"/>
  <c r="S74" i="174"/>
  <c r="Z11" i="174"/>
  <c r="AE11" i="174" s="1"/>
  <c r="Y11" i="174"/>
  <c r="X11" i="174"/>
  <c r="W11" i="174"/>
  <c r="V11" i="174"/>
  <c r="U11" i="174"/>
  <c r="S103" i="174"/>
  <c r="Z10" i="174"/>
  <c r="AE10" i="174" s="1"/>
  <c r="Y10" i="174"/>
  <c r="X10" i="174"/>
  <c r="W10" i="174"/>
  <c r="V10" i="174"/>
  <c r="U10" i="174"/>
  <c r="S102" i="174"/>
  <c r="Z9" i="174"/>
  <c r="AC9" i="174" s="1"/>
  <c r="Y9" i="174"/>
  <c r="X9" i="174"/>
  <c r="W9" i="174"/>
  <c r="V9" i="174"/>
  <c r="U9" i="174"/>
  <c r="S176" i="174"/>
  <c r="Z8" i="174"/>
  <c r="AD8" i="174" s="1"/>
  <c r="Y8" i="174"/>
  <c r="X8" i="174"/>
  <c r="W8" i="174"/>
  <c r="V8" i="174"/>
  <c r="U8" i="174"/>
  <c r="S175" i="174"/>
  <c r="Z7" i="174"/>
  <c r="AC7" i="174" s="1"/>
  <c r="Y7" i="174"/>
  <c r="X7" i="174"/>
  <c r="W7" i="174"/>
  <c r="V7" i="174"/>
  <c r="U7" i="174"/>
  <c r="S174" i="174"/>
  <c r="A7" i="174"/>
  <c r="A8" i="174" s="1"/>
  <c r="A9" i="174" s="1"/>
  <c r="A10" i="174" s="1"/>
  <c r="A11" i="174" s="1"/>
  <c r="A12" i="174" s="1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A45" i="174" s="1"/>
  <c r="A46" i="174" s="1"/>
  <c r="A47" i="174" s="1"/>
  <c r="A48" i="174" s="1"/>
  <c r="A49" i="174" s="1"/>
  <c r="A50" i="174" s="1"/>
  <c r="A51" i="174" s="1"/>
  <c r="A52" i="174" s="1"/>
  <c r="A53" i="174" s="1"/>
  <c r="A54" i="174" s="1"/>
  <c r="A55" i="174" s="1"/>
  <c r="A56" i="174" s="1"/>
  <c r="A57" i="174" s="1"/>
  <c r="A58" i="174" s="1"/>
  <c r="A59" i="174" s="1"/>
  <c r="A60" i="174" s="1"/>
  <c r="A61" i="174" s="1"/>
  <c r="A62" i="174" s="1"/>
  <c r="A63" i="174" s="1"/>
  <c r="A64" i="174" s="1"/>
  <c r="A65" i="174" s="1"/>
  <c r="A158" i="174" s="1"/>
  <c r="A159" i="174" s="1"/>
  <c r="A66" i="174" s="1"/>
  <c r="A67" i="174" s="1"/>
  <c r="A68" i="174" s="1"/>
  <c r="A69" i="174" s="1"/>
  <c r="A70" i="174" s="1"/>
  <c r="A71" i="174" s="1"/>
  <c r="A72" i="174" s="1"/>
  <c r="A73" i="174" s="1"/>
  <c r="A74" i="174" s="1"/>
  <c r="A75" i="174" s="1"/>
  <c r="A76" i="174" s="1"/>
  <c r="A77" i="174" s="1"/>
  <c r="A78" i="174" s="1"/>
  <c r="A79" i="174" s="1"/>
  <c r="A80" i="174" s="1"/>
  <c r="A81" i="174" s="1"/>
  <c r="A82" i="174" s="1"/>
  <c r="A83" i="174" s="1"/>
  <c r="A84" i="174" s="1"/>
  <c r="A85" i="174" s="1"/>
  <c r="A86" i="174" s="1"/>
  <c r="A87" i="174" s="1"/>
  <c r="A88" i="174" s="1"/>
  <c r="A89" i="174" s="1"/>
  <c r="A90" i="174" s="1"/>
  <c r="A91" i="174" s="1"/>
  <c r="A92" i="174" s="1"/>
  <c r="A93" i="174" s="1"/>
  <c r="A94" i="174" s="1"/>
  <c r="A95" i="174" s="1"/>
  <c r="A143" i="174" s="1"/>
  <c r="A96" i="174" s="1"/>
  <c r="A97" i="174" s="1"/>
  <c r="A98" i="174" s="1"/>
  <c r="A144" i="174" s="1"/>
  <c r="A99" i="174" s="1"/>
  <c r="A100" i="174" s="1"/>
  <c r="A101" i="174" s="1"/>
  <c r="A102" i="174" s="1"/>
  <c r="A103" i="174" s="1"/>
  <c r="A104" i="174" s="1"/>
  <c r="A105" i="174" s="1"/>
  <c r="A106" i="174" s="1"/>
  <c r="A107" i="174" s="1"/>
  <c r="A108" i="174" s="1"/>
  <c r="A109" i="174" s="1"/>
  <c r="A110" i="174" s="1"/>
  <c r="A111" i="174" s="1"/>
  <c r="A112" i="174" s="1"/>
  <c r="A113" i="174" s="1"/>
  <c r="A114" i="174" s="1"/>
  <c r="A115" i="174" s="1"/>
  <c r="A116" i="174" s="1"/>
  <c r="A117" i="174" s="1"/>
  <c r="A118" i="174" s="1"/>
  <c r="A119" i="174" s="1"/>
  <c r="A120" i="174" s="1"/>
  <c r="A121" i="174" s="1"/>
  <c r="A122" i="174" s="1"/>
  <c r="A123" i="174" s="1"/>
  <c r="A124" i="174" s="1"/>
  <c r="A125" i="174" s="1"/>
  <c r="A126" i="174" s="1"/>
  <c r="A127" i="174" s="1"/>
  <c r="A128" i="174" s="1"/>
  <c r="A129" i="174" s="1"/>
  <c r="A130" i="174" s="1"/>
  <c r="A131" i="174" s="1"/>
  <c r="A132" i="174" s="1"/>
  <c r="A133" i="174" s="1"/>
  <c r="A134" i="174" s="1"/>
  <c r="A135" i="174" s="1"/>
  <c r="A136" i="174" s="1"/>
  <c r="A137" i="174" s="1"/>
  <c r="A138" i="174" s="1"/>
  <c r="A139" i="174" s="1"/>
  <c r="A140" i="174" s="1"/>
  <c r="A141" i="174" s="1"/>
  <c r="A142" i="174" s="1"/>
  <c r="A145" i="174" s="1"/>
  <c r="A146" i="174" s="1"/>
  <c r="A147" i="174" s="1"/>
  <c r="A148" i="174" s="1"/>
  <c r="A149" i="174" s="1"/>
  <c r="A150" i="174" s="1"/>
  <c r="A151" i="174" s="1"/>
  <c r="A152" i="174" s="1"/>
  <c r="A153" i="174" s="1"/>
  <c r="A154" i="174" s="1"/>
  <c r="A155" i="174" s="1"/>
  <c r="A156" i="174" s="1"/>
  <c r="A157" i="174" s="1"/>
  <c r="A160" i="174" s="1"/>
  <c r="A161" i="174" s="1"/>
  <c r="A162" i="174" s="1"/>
  <c r="A163" i="174" s="1"/>
  <c r="A164" i="174" s="1"/>
  <c r="A165" i="174" s="1"/>
  <c r="A166" i="174" s="1"/>
  <c r="A167" i="174" s="1"/>
  <c r="A168" i="174" s="1"/>
  <c r="A169" i="174" s="1"/>
  <c r="A170" i="174" s="1"/>
  <c r="A171" i="174" s="1"/>
  <c r="A172" i="174" s="1"/>
  <c r="A173" i="174" s="1"/>
  <c r="A174" i="174" s="1"/>
  <c r="A175" i="174" s="1"/>
  <c r="A176" i="174" s="1"/>
  <c r="A177" i="174" s="1"/>
  <c r="A178" i="174" s="1"/>
  <c r="A179" i="174" s="1"/>
  <c r="A180" i="174" s="1"/>
  <c r="A181" i="174" s="1"/>
  <c r="A182" i="174" s="1"/>
  <c r="A183" i="174" s="1"/>
  <c r="A184" i="174" s="1"/>
  <c r="A185" i="174" s="1"/>
  <c r="A186" i="174" s="1"/>
  <c r="A187" i="174" s="1"/>
  <c r="A188" i="174" s="1"/>
  <c r="A189" i="174" s="1"/>
  <c r="A190" i="174" s="1"/>
  <c r="A191" i="174" s="1"/>
  <c r="A192" i="174" s="1"/>
  <c r="A193" i="174" s="1"/>
  <c r="A194" i="174" s="1"/>
  <c r="A195" i="174" s="1"/>
  <c r="A196" i="174" s="1"/>
  <c r="A197" i="174" s="1"/>
  <c r="A198" i="174" s="1"/>
  <c r="A199" i="174" s="1"/>
  <c r="A200" i="174" s="1"/>
  <c r="A201" i="174" s="1"/>
  <c r="A202" i="174" s="1"/>
  <c r="A203" i="174" s="1"/>
  <c r="A204" i="174" s="1"/>
  <c r="A205" i="174" s="1"/>
  <c r="A206" i="174" s="1"/>
  <c r="A207" i="174" s="1"/>
  <c r="A208" i="174" s="1"/>
  <c r="A209" i="174" s="1"/>
  <c r="A210" i="174" s="1"/>
  <c r="A211" i="174" s="1"/>
  <c r="A212" i="174" s="1"/>
  <c r="A213" i="174" s="1"/>
  <c r="A214" i="174" s="1"/>
  <c r="A215" i="174" s="1"/>
  <c r="A216" i="174" s="1"/>
  <c r="A217" i="174" s="1"/>
  <c r="A218" i="174" s="1"/>
  <c r="A219" i="174" s="1"/>
  <c r="A220" i="174" s="1"/>
  <c r="A221" i="174" s="1"/>
  <c r="A222" i="174" s="1"/>
  <c r="A223" i="174" s="1"/>
  <c r="A224" i="174" s="1"/>
  <c r="A225" i="174" s="1"/>
  <c r="A226" i="174" s="1"/>
  <c r="A227" i="174" s="1"/>
  <c r="A228" i="174" s="1"/>
  <c r="A229" i="174" s="1"/>
  <c r="A230" i="174" s="1"/>
  <c r="A231" i="174" s="1"/>
  <c r="A232" i="174" s="1"/>
  <c r="A233" i="174" s="1"/>
  <c r="A234" i="174" s="1"/>
  <c r="A235" i="174" s="1"/>
  <c r="A236" i="174" s="1"/>
  <c r="A237" i="174" s="1"/>
  <c r="A238" i="174" s="1"/>
  <c r="A239" i="174" s="1"/>
  <c r="A240" i="174" s="1"/>
  <c r="A241" i="174" s="1"/>
  <c r="A242" i="174" s="1"/>
  <c r="A243" i="174" s="1"/>
  <c r="A244" i="174" s="1"/>
  <c r="A245" i="174" s="1"/>
  <c r="A246" i="174" s="1"/>
  <c r="A247" i="174" s="1"/>
  <c r="A248" i="174" s="1"/>
  <c r="Z6" i="174"/>
  <c r="Y6" i="174"/>
  <c r="X6" i="174"/>
  <c r="W6" i="174"/>
  <c r="V6" i="174"/>
  <c r="U6" i="174"/>
  <c r="S75" i="174"/>
  <c r="Q1" i="174"/>
  <c r="S255" i="174" s="1"/>
  <c r="E373" i="9"/>
  <c r="E372" i="9"/>
  <c r="I358" i="9"/>
  <c r="I357" i="9"/>
  <c r="I348" i="9"/>
  <c r="E361" i="9"/>
  <c r="M361" i="9" s="1"/>
  <c r="E359" i="9"/>
  <c r="M359" i="9" s="1"/>
  <c r="E358" i="9"/>
  <c r="E357" i="9"/>
  <c r="E362" i="9"/>
  <c r="M362" i="9" s="1"/>
  <c r="E363" i="9"/>
  <c r="E356" i="9"/>
  <c r="M356" i="9" s="1"/>
  <c r="E354" i="9"/>
  <c r="M354" i="9" s="1"/>
  <c r="E350" i="9"/>
  <c r="M350" i="9" s="1"/>
  <c r="E348" i="9"/>
  <c r="D373" i="9"/>
  <c r="D372" i="9"/>
  <c r="H358" i="9"/>
  <c r="J358" i="9" s="1"/>
  <c r="H357" i="9"/>
  <c r="H348" i="9"/>
  <c r="J348" i="9" s="1"/>
  <c r="D361" i="9"/>
  <c r="L361" i="9" s="1"/>
  <c r="D359" i="9"/>
  <c r="L359" i="9" s="1"/>
  <c r="D358" i="9"/>
  <c r="D357" i="9"/>
  <c r="D363" i="9"/>
  <c r="L363" i="9" s="1"/>
  <c r="D356" i="9"/>
  <c r="D354" i="9"/>
  <c r="L354" i="9" s="1"/>
  <c r="D350" i="9"/>
  <c r="L350" i="9" s="1"/>
  <c r="D348" i="9"/>
  <c r="F375" i="9"/>
  <c r="F371" i="9"/>
  <c r="M366" i="9"/>
  <c r="K366" i="9"/>
  <c r="F366" i="9"/>
  <c r="L365" i="9"/>
  <c r="K365" i="9"/>
  <c r="J365" i="9"/>
  <c r="M365" i="9"/>
  <c r="F365" i="9"/>
  <c r="M364" i="9"/>
  <c r="L364" i="9"/>
  <c r="K364" i="9"/>
  <c r="J364" i="9"/>
  <c r="F364" i="9"/>
  <c r="K363" i="9"/>
  <c r="J363" i="9"/>
  <c r="L362" i="9"/>
  <c r="K362" i="9"/>
  <c r="J362" i="9"/>
  <c r="K361" i="9"/>
  <c r="J361" i="9"/>
  <c r="L360" i="9"/>
  <c r="K360" i="9"/>
  <c r="J360" i="9"/>
  <c r="M360" i="9"/>
  <c r="K359" i="9"/>
  <c r="J359" i="9"/>
  <c r="K358" i="9"/>
  <c r="M358" i="9"/>
  <c r="K357" i="9"/>
  <c r="K356" i="9"/>
  <c r="J356" i="9"/>
  <c r="M355" i="9"/>
  <c r="L355" i="9"/>
  <c r="K355" i="9"/>
  <c r="J355" i="9"/>
  <c r="F355" i="9"/>
  <c r="K354" i="9"/>
  <c r="J354" i="9"/>
  <c r="M353" i="9"/>
  <c r="L353" i="9"/>
  <c r="K353" i="9"/>
  <c r="J353" i="9"/>
  <c r="F353" i="9"/>
  <c r="M352" i="9"/>
  <c r="L352" i="9"/>
  <c r="K352" i="9"/>
  <c r="J352" i="9"/>
  <c r="F352" i="9"/>
  <c r="M351" i="9"/>
  <c r="L351" i="9"/>
  <c r="K351" i="9"/>
  <c r="J351" i="9"/>
  <c r="F351" i="9"/>
  <c r="K350" i="9"/>
  <c r="J350" i="9"/>
  <c r="M349" i="9"/>
  <c r="L349" i="9"/>
  <c r="K349" i="9"/>
  <c r="J349" i="9"/>
  <c r="F349" i="9"/>
  <c r="A349" i="9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M348" i="9"/>
  <c r="K348" i="9"/>
  <c r="K347" i="9"/>
  <c r="L347" i="9"/>
  <c r="F347" i="9"/>
  <c r="F413" i="9"/>
  <c r="E411" i="9"/>
  <c r="D411" i="9"/>
  <c r="D412" i="9" s="1"/>
  <c r="E410" i="9"/>
  <c r="F410" i="9" s="1"/>
  <c r="F409" i="9"/>
  <c r="M404" i="9"/>
  <c r="K404" i="9"/>
  <c r="F404" i="9"/>
  <c r="K403" i="9"/>
  <c r="J403" i="9"/>
  <c r="E403" i="9"/>
  <c r="M403" i="9" s="1"/>
  <c r="D403" i="9"/>
  <c r="M402" i="9"/>
  <c r="L402" i="9"/>
  <c r="K402" i="9"/>
  <c r="J402" i="9"/>
  <c r="F402" i="9"/>
  <c r="K401" i="9"/>
  <c r="I401" i="9"/>
  <c r="H401" i="9"/>
  <c r="L401" i="9" s="1"/>
  <c r="E401" i="9"/>
  <c r="F401" i="9" s="1"/>
  <c r="M400" i="9"/>
  <c r="L400" i="9"/>
  <c r="K400" i="9"/>
  <c r="J400" i="9"/>
  <c r="F400" i="9"/>
  <c r="K399" i="9"/>
  <c r="J399" i="9"/>
  <c r="E399" i="9"/>
  <c r="M399" i="9" s="1"/>
  <c r="D399" i="9"/>
  <c r="K398" i="9"/>
  <c r="J398" i="9"/>
  <c r="E398" i="9"/>
  <c r="M398" i="9" s="1"/>
  <c r="D398" i="9"/>
  <c r="K397" i="9"/>
  <c r="J397" i="9"/>
  <c r="E397" i="9"/>
  <c r="M397" i="9" s="1"/>
  <c r="D397" i="9"/>
  <c r="K396" i="9"/>
  <c r="I396" i="9"/>
  <c r="E396" i="9"/>
  <c r="D396" i="9"/>
  <c r="K395" i="9"/>
  <c r="J395" i="9"/>
  <c r="E395" i="9"/>
  <c r="M395" i="9" s="1"/>
  <c r="D395" i="9"/>
  <c r="L395" i="9" s="1"/>
  <c r="K394" i="9"/>
  <c r="J394" i="9"/>
  <c r="E394" i="9"/>
  <c r="M394" i="9" s="1"/>
  <c r="D394" i="9"/>
  <c r="M393" i="9"/>
  <c r="L393" i="9"/>
  <c r="K393" i="9"/>
  <c r="J393" i="9"/>
  <c r="F393" i="9"/>
  <c r="K392" i="9"/>
  <c r="J392" i="9"/>
  <c r="E392" i="9"/>
  <c r="M392" i="9" s="1"/>
  <c r="D392" i="9"/>
  <c r="M391" i="9"/>
  <c r="L391" i="9"/>
  <c r="K391" i="9"/>
  <c r="J391" i="9"/>
  <c r="F391" i="9"/>
  <c r="M390" i="9"/>
  <c r="L390" i="9"/>
  <c r="K390" i="9"/>
  <c r="J390" i="9"/>
  <c r="F390" i="9"/>
  <c r="M389" i="9"/>
  <c r="L389" i="9"/>
  <c r="K389" i="9"/>
  <c r="J389" i="9"/>
  <c r="F389" i="9"/>
  <c r="K388" i="9"/>
  <c r="J388" i="9"/>
  <c r="E388" i="9"/>
  <c r="M388" i="9" s="1"/>
  <c r="D388" i="9"/>
  <c r="M387" i="9"/>
  <c r="L387" i="9"/>
  <c r="K387" i="9"/>
  <c r="J387" i="9"/>
  <c r="F387" i="9"/>
  <c r="A387" i="9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K386" i="9"/>
  <c r="J386" i="9"/>
  <c r="E386" i="9"/>
  <c r="M386" i="9" s="1"/>
  <c r="D386" i="9"/>
  <c r="K385" i="9"/>
  <c r="I385" i="9"/>
  <c r="H385" i="9"/>
  <c r="E385" i="9"/>
  <c r="N400" i="9" l="1"/>
  <c r="D374" i="9"/>
  <c r="L358" i="9"/>
  <c r="AF26" i="175"/>
  <c r="AG26" i="175" s="1"/>
  <c r="AF22" i="175"/>
  <c r="AG22" i="175" s="1"/>
  <c r="F359" i="9"/>
  <c r="AA287" i="175"/>
  <c r="H405" i="9"/>
  <c r="H407" i="9" s="1"/>
  <c r="F372" i="9"/>
  <c r="F373" i="9"/>
  <c r="F362" i="9"/>
  <c r="F363" i="9"/>
  <c r="L357" i="9"/>
  <c r="M357" i="9"/>
  <c r="F388" i="9"/>
  <c r="N389" i="9"/>
  <c r="N359" i="9"/>
  <c r="Z103" i="174"/>
  <c r="AF39" i="175"/>
  <c r="AG39" i="175" s="1"/>
  <c r="AF31" i="175"/>
  <c r="AG31" i="175" s="1"/>
  <c r="F386" i="9"/>
  <c r="L386" i="9"/>
  <c r="N386" i="9" s="1"/>
  <c r="F394" i="9"/>
  <c r="F396" i="9"/>
  <c r="L396" i="9"/>
  <c r="AF76" i="175"/>
  <c r="AG76" i="175" s="1"/>
  <c r="N395" i="9"/>
  <c r="N387" i="9"/>
  <c r="J385" i="9"/>
  <c r="F399" i="9"/>
  <c r="N402" i="9"/>
  <c r="AA285" i="175"/>
  <c r="AF27" i="175"/>
  <c r="AG27" i="175" s="1"/>
  <c r="AA281" i="175"/>
  <c r="AF77" i="175"/>
  <c r="AG77" i="175" s="1"/>
  <c r="AF40" i="175"/>
  <c r="AG40" i="175" s="1"/>
  <c r="AF25" i="175"/>
  <c r="AG25" i="175" s="1"/>
  <c r="AA286" i="175"/>
  <c r="AF17" i="175"/>
  <c r="AG17" i="175" s="1"/>
  <c r="AG45" i="175"/>
  <c r="AG43" i="175"/>
  <c r="AA168" i="175"/>
  <c r="AA169" i="175"/>
  <c r="AG42" i="175"/>
  <c r="AG69" i="175"/>
  <c r="AA164" i="175"/>
  <c r="AG7" i="175"/>
  <c r="AF15" i="175"/>
  <c r="AG15" i="175" s="1"/>
  <c r="AG44" i="175"/>
  <c r="AF41" i="175"/>
  <c r="AG41" i="175" s="1"/>
  <c r="AA170" i="175"/>
  <c r="AG47" i="175"/>
  <c r="AG49" i="175"/>
  <c r="AF9" i="175"/>
  <c r="AG9" i="175" s="1"/>
  <c r="AF6" i="175"/>
  <c r="AF24" i="175"/>
  <c r="AG24" i="175" s="1"/>
  <c r="AF13" i="175"/>
  <c r="AG13" i="175" s="1"/>
  <c r="F397" i="9"/>
  <c r="F398" i="9"/>
  <c r="F354" i="9"/>
  <c r="AA66" i="174"/>
  <c r="AA85" i="174"/>
  <c r="L388" i="9"/>
  <c r="N388" i="9" s="1"/>
  <c r="N391" i="9"/>
  <c r="L399" i="9"/>
  <c r="N399" i="9" s="1"/>
  <c r="I405" i="9"/>
  <c r="I407" i="9" s="1"/>
  <c r="F403" i="9"/>
  <c r="L403" i="9"/>
  <c r="N403" i="9" s="1"/>
  <c r="E412" i="9"/>
  <c r="J357" i="9"/>
  <c r="AA45" i="174"/>
  <c r="AA110" i="174" s="1"/>
  <c r="AG28" i="175"/>
  <c r="AF16" i="175"/>
  <c r="AG16" i="175" s="1"/>
  <c r="AF11" i="175"/>
  <c r="AG11" i="175" s="1"/>
  <c r="AF19" i="175"/>
  <c r="AG19" i="175" s="1"/>
  <c r="AF10" i="175"/>
  <c r="AG10" i="175" s="1"/>
  <c r="AF14" i="175"/>
  <c r="AG14" i="175" s="1"/>
  <c r="AF21" i="175"/>
  <c r="AG21" i="175" s="1"/>
  <c r="AG48" i="175"/>
  <c r="AG51" i="175"/>
  <c r="AF12" i="175"/>
  <c r="AG12" i="175" s="1"/>
  <c r="AF18" i="175"/>
  <c r="AG18" i="175" s="1"/>
  <c r="AF8" i="175"/>
  <c r="AG8" i="175" s="1"/>
  <c r="AF23" i="175"/>
  <c r="AG23" i="175" s="1"/>
  <c r="AF20" i="175"/>
  <c r="AG20" i="175" s="1"/>
  <c r="N260" i="174"/>
  <c r="AF104" i="174"/>
  <c r="L394" i="9"/>
  <c r="D405" i="9"/>
  <c r="D414" i="9" s="1"/>
  <c r="F392" i="9"/>
  <c r="L392" i="9"/>
  <c r="N393" i="9"/>
  <c r="I367" i="9"/>
  <c r="I369" i="9" s="1"/>
  <c r="N352" i="9"/>
  <c r="AC19" i="174"/>
  <c r="AD20" i="174"/>
  <c r="AE15" i="174"/>
  <c r="AC33" i="174"/>
  <c r="AD34" i="174"/>
  <c r="AE35" i="174"/>
  <c r="AC31" i="174"/>
  <c r="AD32" i="174"/>
  <c r="AE37" i="174"/>
  <c r="AC39" i="174"/>
  <c r="AD40" i="174"/>
  <c r="AE41" i="174"/>
  <c r="AC43" i="174"/>
  <c r="AD44" i="174"/>
  <c r="AE45" i="174"/>
  <c r="AC47" i="174"/>
  <c r="AD48" i="174"/>
  <c r="AE49" i="174"/>
  <c r="AC51" i="174"/>
  <c r="AD52" i="174"/>
  <c r="AE53" i="174"/>
  <c r="AC55" i="174"/>
  <c r="AD56" i="174"/>
  <c r="AE57" i="174"/>
  <c r="AC59" i="174"/>
  <c r="AD60" i="174"/>
  <c r="AE61" i="174"/>
  <c r="AC63" i="174"/>
  <c r="AD64" i="174"/>
  <c r="AE65" i="174"/>
  <c r="AC67" i="174"/>
  <c r="AD68" i="174"/>
  <c r="AE69" i="174"/>
  <c r="AC71" i="174"/>
  <c r="AC72" i="174"/>
  <c r="AC73" i="174"/>
  <c r="AD74" i="174"/>
  <c r="AE75" i="174"/>
  <c r="AC77" i="174"/>
  <c r="AE78" i="174"/>
  <c r="AC81" i="174"/>
  <c r="AE83" i="174"/>
  <c r="AD84" i="174"/>
  <c r="AD85" i="174"/>
  <c r="AD86" i="174"/>
  <c r="AD87" i="174"/>
  <c r="AD88" i="174"/>
  <c r="AD89" i="174"/>
  <c r="AD90" i="174"/>
  <c r="AD91" i="174"/>
  <c r="AD92" i="174"/>
  <c r="AD93" i="174"/>
  <c r="AD94" i="174"/>
  <c r="AD95" i="174"/>
  <c r="AD96" i="174"/>
  <c r="AD97" i="174"/>
  <c r="AD98" i="174"/>
  <c r="AD99" i="174"/>
  <c r="AA12" i="174"/>
  <c r="AA19" i="174"/>
  <c r="AA30" i="174"/>
  <c r="AA51" i="174"/>
  <c r="AA70" i="174"/>
  <c r="AA77" i="174"/>
  <c r="AA99" i="174"/>
  <c r="N390" i="9"/>
  <c r="M401" i="9"/>
  <c r="E367" i="9"/>
  <c r="E369" i="9" s="1"/>
  <c r="AC16" i="174"/>
  <c r="AD19" i="174"/>
  <c r="AE20" i="174"/>
  <c r="AC12" i="174"/>
  <c r="AD33" i="174"/>
  <c r="AE34" i="174"/>
  <c r="AC36" i="174"/>
  <c r="AD31" i="174"/>
  <c r="AE32" i="174"/>
  <c r="AC38" i="174"/>
  <c r="AD39" i="174"/>
  <c r="AE40" i="174"/>
  <c r="AC42" i="174"/>
  <c r="AD43" i="174"/>
  <c r="AE44" i="174"/>
  <c r="AC46" i="174"/>
  <c r="AD47" i="174"/>
  <c r="AE48" i="174"/>
  <c r="AC50" i="174"/>
  <c r="AD51" i="174"/>
  <c r="AE52" i="174"/>
  <c r="AC54" i="174"/>
  <c r="AD55" i="174"/>
  <c r="AE56" i="174"/>
  <c r="AC58" i="174"/>
  <c r="AD59" i="174"/>
  <c r="AE60" i="174"/>
  <c r="AC62" i="174"/>
  <c r="AD63" i="174"/>
  <c r="AE64" i="174"/>
  <c r="AC66" i="174"/>
  <c r="AD67" i="174"/>
  <c r="AE68" i="174"/>
  <c r="AC70" i="174"/>
  <c r="AD71" i="174"/>
  <c r="AD72" i="174"/>
  <c r="AD73" i="174"/>
  <c r="AE74" i="174"/>
  <c r="AC76" i="174"/>
  <c r="AC80" i="174"/>
  <c r="AE84" i="174"/>
  <c r="AE85" i="174"/>
  <c r="AE86" i="174"/>
  <c r="AE87" i="174"/>
  <c r="AE88" i="174"/>
  <c r="AE89" i="174"/>
  <c r="AE90" i="174"/>
  <c r="AE91" i="174"/>
  <c r="AE92" i="174"/>
  <c r="AE93" i="174"/>
  <c r="AE94" i="174"/>
  <c r="AE95" i="174"/>
  <c r="AE96" i="174"/>
  <c r="AE97" i="174"/>
  <c r="AE98" i="174"/>
  <c r="AE99" i="174"/>
  <c r="AA8" i="174"/>
  <c r="AA14" i="174"/>
  <c r="AA22" i="174"/>
  <c r="AA31" i="174"/>
  <c r="AA58" i="174"/>
  <c r="AA72" i="174"/>
  <c r="AA80" i="174"/>
  <c r="AD16" i="174"/>
  <c r="AC15" i="174"/>
  <c r="AD12" i="174"/>
  <c r="AC35" i="174"/>
  <c r="AD36" i="174"/>
  <c r="AC37" i="174"/>
  <c r="AD38" i="174"/>
  <c r="AC41" i="174"/>
  <c r="AD42" i="174"/>
  <c r="AC45" i="174"/>
  <c r="AD46" i="174"/>
  <c r="AC49" i="174"/>
  <c r="AF49" i="174" s="1"/>
  <c r="AG49" i="174" s="1"/>
  <c r="AD50" i="174"/>
  <c r="AC53" i="174"/>
  <c r="AD54" i="174"/>
  <c r="AC57" i="174"/>
  <c r="AD58" i="174"/>
  <c r="AE59" i="174"/>
  <c r="AC61" i="174"/>
  <c r="AD62" i="174"/>
  <c r="AC65" i="174"/>
  <c r="AD66" i="174"/>
  <c r="AC69" i="174"/>
  <c r="AD70" i="174"/>
  <c r="AC75" i="174"/>
  <c r="AC79" i="174"/>
  <c r="AA10" i="174"/>
  <c r="AA15" i="174"/>
  <c r="AA25" i="174"/>
  <c r="AA36" i="174"/>
  <c r="AA74" i="174"/>
  <c r="AA83" i="174"/>
  <c r="L397" i="9"/>
  <c r="N397" i="9" s="1"/>
  <c r="E405" i="9"/>
  <c r="E414" i="9" s="1"/>
  <c r="K405" i="9"/>
  <c r="M396" i="9"/>
  <c r="F356" i="9"/>
  <c r="AD37" i="174"/>
  <c r="AE66" i="174"/>
  <c r="AD75" i="174"/>
  <c r="AC85" i="174"/>
  <c r="AA11" i="174"/>
  <c r="AA18" i="174"/>
  <c r="AA26" i="174"/>
  <c r="Z111" i="174"/>
  <c r="M262" i="174"/>
  <c r="AC23" i="174"/>
  <c r="AC14" i="174"/>
  <c r="AC17" i="174"/>
  <c r="AC18" i="174"/>
  <c r="AC26" i="174"/>
  <c r="AD7" i="174"/>
  <c r="AE13" i="174"/>
  <c r="AD10" i="174"/>
  <c r="AD13" i="174"/>
  <c r="AD28" i="174"/>
  <c r="AC10" i="174"/>
  <c r="AE17" i="174"/>
  <c r="AE7" i="174"/>
  <c r="AC11" i="174"/>
  <c r="AD14" i="174"/>
  <c r="AC21" i="174"/>
  <c r="AD11" i="174"/>
  <c r="AC6" i="174"/>
  <c r="AC25" i="174"/>
  <c r="AC28" i="174"/>
  <c r="AE6" i="174"/>
  <c r="S253" i="174"/>
  <c r="AD6" i="174"/>
  <c r="AC8" i="174"/>
  <c r="AE9" i="174"/>
  <c r="AE22" i="174"/>
  <c r="AD24" i="174"/>
  <c r="AE24" i="174"/>
  <c r="AD9" i="174"/>
  <c r="AD18" i="174"/>
  <c r="AF18" i="174" s="1"/>
  <c r="AG18" i="174" s="1"/>
  <c r="AE25" i="174"/>
  <c r="AG31" i="174"/>
  <c r="AC22" i="174"/>
  <c r="AD27" i="174"/>
  <c r="AE27" i="174"/>
  <c r="AC30" i="174"/>
  <c r="AD30" i="174"/>
  <c r="AG36" i="174"/>
  <c r="AE8" i="174"/>
  <c r="S266" i="174"/>
  <c r="AG32" i="174"/>
  <c r="AG37" i="174"/>
  <c r="AG42" i="174"/>
  <c r="AG53" i="174"/>
  <c r="AE21" i="174"/>
  <c r="AG44" i="174"/>
  <c r="AG52" i="174"/>
  <c r="AG56" i="174"/>
  <c r="AE23" i="174"/>
  <c r="AE26" i="174"/>
  <c r="AG34" i="174"/>
  <c r="N353" i="9"/>
  <c r="N350" i="9"/>
  <c r="N354" i="9"/>
  <c r="D367" i="9"/>
  <c r="D369" i="9" s="1"/>
  <c r="L356" i="9"/>
  <c r="N356" i="9" s="1"/>
  <c r="K367" i="9"/>
  <c r="N360" i="9"/>
  <c r="N362" i="9"/>
  <c r="N355" i="9"/>
  <c r="N349" i="9"/>
  <c r="N361" i="9"/>
  <c r="N365" i="9"/>
  <c r="N351" i="9"/>
  <c r="N357" i="9"/>
  <c r="N364" i="9"/>
  <c r="N358" i="9"/>
  <c r="H367" i="9"/>
  <c r="H369" i="9" s="1"/>
  <c r="J347" i="9"/>
  <c r="M363" i="9"/>
  <c r="N363" i="9" s="1"/>
  <c r="M347" i="9"/>
  <c r="F348" i="9"/>
  <c r="F350" i="9"/>
  <c r="F358" i="9"/>
  <c r="F361" i="9"/>
  <c r="E374" i="9"/>
  <c r="L348" i="9"/>
  <c r="N348" i="9" s="1"/>
  <c r="F357" i="9"/>
  <c r="F360" i="9"/>
  <c r="D407" i="9"/>
  <c r="N394" i="9"/>
  <c r="N392" i="9"/>
  <c r="N401" i="9"/>
  <c r="M385" i="9"/>
  <c r="L385" i="9"/>
  <c r="F395" i="9"/>
  <c r="F385" i="9"/>
  <c r="J396" i="9"/>
  <c r="L398" i="9"/>
  <c r="N398" i="9" s="1"/>
  <c r="J401" i="9"/>
  <c r="J405" i="9" s="1"/>
  <c r="F411" i="9"/>
  <c r="F412" i="9" s="1"/>
  <c r="F374" i="9" l="1"/>
  <c r="E407" i="9"/>
  <c r="J367" i="9"/>
  <c r="AF23" i="174"/>
  <c r="AG23" i="174" s="1"/>
  <c r="AF21" i="174"/>
  <c r="AG21" i="174" s="1"/>
  <c r="E376" i="9"/>
  <c r="N396" i="9"/>
  <c r="AF26" i="174"/>
  <c r="AG26" i="174" s="1"/>
  <c r="M405" i="9"/>
  <c r="AF14" i="174"/>
  <c r="AG14" i="174" s="1"/>
  <c r="AF17" i="174"/>
  <c r="AG17" i="174" s="1"/>
  <c r="AF15" i="174"/>
  <c r="AG15" i="174" s="1"/>
  <c r="AF28" i="174"/>
  <c r="AG28" i="174" s="1"/>
  <c r="AA108" i="174"/>
  <c r="AF22" i="174"/>
  <c r="AG22" i="174" s="1"/>
  <c r="AA289" i="175"/>
  <c r="AF281" i="175"/>
  <c r="AG6" i="175"/>
  <c r="AF164" i="175"/>
  <c r="AF167" i="175" s="1"/>
  <c r="AF8" i="174"/>
  <c r="AG8" i="174" s="1"/>
  <c r="AF10" i="174"/>
  <c r="AG10" i="174" s="1"/>
  <c r="AF48" i="174"/>
  <c r="AG48" i="174" s="1"/>
  <c r="AF20" i="174"/>
  <c r="AG20" i="174" s="1"/>
  <c r="AA172" i="175"/>
  <c r="AF46" i="174"/>
  <c r="AG46" i="174" s="1"/>
  <c r="AF12" i="174"/>
  <c r="AG12" i="174" s="1"/>
  <c r="AF47" i="174"/>
  <c r="AG47" i="174" s="1"/>
  <c r="AF50" i="174"/>
  <c r="AG50" i="174" s="1"/>
  <c r="AF51" i="174"/>
  <c r="AG51" i="174" s="1"/>
  <c r="AA109" i="174"/>
  <c r="AA103" i="174"/>
  <c r="AF16" i="174"/>
  <c r="AG16" i="174" s="1"/>
  <c r="AA107" i="174"/>
  <c r="AF19" i="174"/>
  <c r="AG19" i="174" s="1"/>
  <c r="AG86" i="174"/>
  <c r="AG39" i="174"/>
  <c r="AF9" i="174"/>
  <c r="AG9" i="174" s="1"/>
  <c r="AF6" i="174"/>
  <c r="AF7" i="174"/>
  <c r="AG7" i="174" s="1"/>
  <c r="AG40" i="174"/>
  <c r="AF30" i="174"/>
  <c r="AG30" i="174" s="1"/>
  <c r="AG38" i="174"/>
  <c r="AG43" i="174"/>
  <c r="AF25" i="174"/>
  <c r="AG25" i="174" s="1"/>
  <c r="AG55" i="174"/>
  <c r="AG29" i="174"/>
  <c r="AF11" i="174"/>
  <c r="AG11" i="174" s="1"/>
  <c r="AF13" i="174"/>
  <c r="AG13" i="174" s="1"/>
  <c r="AF27" i="174"/>
  <c r="AG27" i="174" s="1"/>
  <c r="AG35" i="174"/>
  <c r="AG41" i="174"/>
  <c r="AF24" i="174"/>
  <c r="AG24" i="174" s="1"/>
  <c r="AG54" i="174"/>
  <c r="M367" i="9"/>
  <c r="D376" i="9"/>
  <c r="F367" i="9"/>
  <c r="L367" i="9"/>
  <c r="N347" i="9"/>
  <c r="N367" i="9" s="1"/>
  <c r="N385" i="9"/>
  <c r="N405" i="9" s="1"/>
  <c r="L405" i="9"/>
  <c r="F405" i="9"/>
  <c r="F414" i="9" s="1"/>
  <c r="G412" i="9" s="1"/>
  <c r="F376" i="9" l="1"/>
  <c r="G374" i="9" s="1"/>
  <c r="AG167" i="175"/>
  <c r="AG281" i="175"/>
  <c r="AG6" i="174"/>
  <c r="AG106" i="174" s="1"/>
  <c r="AF103" i="174"/>
  <c r="AF106" i="174" s="1"/>
  <c r="AA111" i="174"/>
  <c r="Z148" i="173"/>
  <c r="Z147" i="173"/>
  <c r="AB141" i="173"/>
  <c r="Z146" i="173"/>
  <c r="Z145" i="173"/>
  <c r="Z149" i="173" l="1"/>
  <c r="AF88" i="173"/>
  <c r="AF87" i="173"/>
  <c r="AF142" i="173"/>
  <c r="AF137" i="173"/>
  <c r="AG137" i="173" s="1"/>
  <c r="AF136" i="173"/>
  <c r="AF135" i="173"/>
  <c r="AF134" i="173"/>
  <c r="AF133" i="173"/>
  <c r="AF132" i="173"/>
  <c r="AF131" i="173"/>
  <c r="AF130" i="173"/>
  <c r="AF129" i="173"/>
  <c r="AF128" i="173"/>
  <c r="AF127" i="173"/>
  <c r="AF126" i="173"/>
  <c r="AF125" i="173"/>
  <c r="AF124" i="173"/>
  <c r="AF123" i="173"/>
  <c r="AF122" i="173"/>
  <c r="AF121" i="173"/>
  <c r="AF120" i="173"/>
  <c r="AG120" i="173" s="1"/>
  <c r="AF119" i="173"/>
  <c r="AF118" i="173"/>
  <c r="AF117" i="173"/>
  <c r="AG117" i="173" s="1"/>
  <c r="AF116" i="173"/>
  <c r="AG116" i="173" s="1"/>
  <c r="AF115" i="173"/>
  <c r="AF114" i="173"/>
  <c r="AF113" i="173"/>
  <c r="AG113" i="173" s="1"/>
  <c r="AF112" i="173"/>
  <c r="AG112" i="173" s="1"/>
  <c r="AF111" i="173"/>
  <c r="AF110" i="173"/>
  <c r="AF109" i="173"/>
  <c r="AG109" i="173" s="1"/>
  <c r="AF108" i="173"/>
  <c r="AG108" i="173" s="1"/>
  <c r="AF107" i="173"/>
  <c r="AF106" i="173"/>
  <c r="AF105" i="173"/>
  <c r="AF104" i="173"/>
  <c r="AF103" i="173"/>
  <c r="AF102" i="173"/>
  <c r="AF101" i="173"/>
  <c r="AF99" i="173"/>
  <c r="AF98" i="173"/>
  <c r="AF97" i="173"/>
  <c r="AF96" i="173"/>
  <c r="AF95" i="173"/>
  <c r="AF94" i="173"/>
  <c r="AF93" i="173"/>
  <c r="AG92" i="173"/>
  <c r="AG91" i="173"/>
  <c r="AF100" i="173"/>
  <c r="AG100" i="173" s="1"/>
  <c r="AF20" i="173"/>
  <c r="U137" i="173"/>
  <c r="V137" i="173"/>
  <c r="W137" i="173"/>
  <c r="X137" i="173"/>
  <c r="Y137" i="173"/>
  <c r="Z137" i="173"/>
  <c r="AD137" i="173" s="1"/>
  <c r="U138" i="173"/>
  <c r="V138" i="173"/>
  <c r="W138" i="173"/>
  <c r="X138" i="173"/>
  <c r="Y138" i="173"/>
  <c r="Z138" i="173"/>
  <c r="AD138" i="173" s="1"/>
  <c r="AG138" i="173"/>
  <c r="S50" i="173"/>
  <c r="S162" i="173"/>
  <c r="S170" i="173"/>
  <c r="S236" i="173"/>
  <c r="S14" i="173"/>
  <c r="S178" i="173"/>
  <c r="S156" i="173"/>
  <c r="S81" i="173"/>
  <c r="S221" i="173"/>
  <c r="S224" i="173"/>
  <c r="S29" i="173"/>
  <c r="S187" i="173"/>
  <c r="S140" i="173"/>
  <c r="S114" i="173"/>
  <c r="S109" i="173"/>
  <c r="S151" i="173"/>
  <c r="S39" i="173"/>
  <c r="S238" i="173"/>
  <c r="S239" i="173"/>
  <c r="S47" i="173"/>
  <c r="S160" i="173"/>
  <c r="S183" i="173"/>
  <c r="S80" i="173"/>
  <c r="S237" i="173"/>
  <c r="S86" i="173"/>
  <c r="S143" i="173"/>
  <c r="S149" i="173"/>
  <c r="S150" i="173"/>
  <c r="S89" i="173"/>
  <c r="S90" i="173"/>
  <c r="S144" i="173"/>
  <c r="S91" i="173"/>
  <c r="S24" i="173"/>
  <c r="S241" i="173"/>
  <c r="S164" i="173"/>
  <c r="S87" i="173"/>
  <c r="S240" i="173"/>
  <c r="S210" i="173"/>
  <c r="S88" i="173"/>
  <c r="S83" i="173"/>
  <c r="S179" i="173"/>
  <c r="S147" i="173"/>
  <c r="S148" i="173"/>
  <c r="S10" i="173"/>
  <c r="S45" i="173"/>
  <c r="S112" i="173"/>
  <c r="S113" i="173"/>
  <c r="S18" i="173"/>
  <c r="S58" i="173"/>
  <c r="S115" i="173"/>
  <c r="S131" i="173"/>
  <c r="S228" i="173"/>
  <c r="S9" i="173"/>
  <c r="S85" i="173"/>
  <c r="S232" i="173"/>
  <c r="S37" i="173"/>
  <c r="S233" i="173"/>
  <c r="S141" i="173"/>
  <c r="S125" i="173"/>
  <c r="S117" i="173"/>
  <c r="S165" i="173"/>
  <c r="S61" i="173"/>
  <c r="S191" i="173"/>
  <c r="S192" i="173"/>
  <c r="S139" i="173"/>
  <c r="S38" i="173"/>
  <c r="S234" i="173"/>
  <c r="S62" i="173"/>
  <c r="S251" i="173"/>
  <c r="S48" i="173"/>
  <c r="S250" i="173"/>
  <c r="S154" i="173"/>
  <c r="S93" i="173"/>
  <c r="S94" i="173"/>
  <c r="S97" i="173"/>
  <c r="S188" i="173"/>
  <c r="S96" i="173"/>
  <c r="S44" i="173"/>
  <c r="S25" i="173"/>
  <c r="S105" i="173"/>
  <c r="S104" i="173"/>
  <c r="S43" i="173"/>
  <c r="S99" i="173"/>
  <c r="S101" i="173"/>
  <c r="S218" i="173"/>
  <c r="S111" i="173"/>
  <c r="S102" i="173"/>
  <c r="S193" i="173"/>
  <c r="S40" i="173"/>
  <c r="S27" i="173"/>
  <c r="S195" i="173"/>
  <c r="S196" i="173"/>
  <c r="S98" i="173"/>
  <c r="S197" i="173"/>
  <c r="S198" i="173"/>
  <c r="S95" i="173"/>
  <c r="S30" i="173"/>
  <c r="S194" i="173"/>
  <c r="S103" i="173"/>
  <c r="S229" i="173"/>
  <c r="S82" i="173"/>
  <c r="S7" i="173"/>
  <c r="S159" i="173"/>
  <c r="S155" i="173"/>
  <c r="S145" i="173"/>
  <c r="S206" i="173"/>
  <c r="S207" i="173"/>
  <c r="S124" i="173"/>
  <c r="S21" i="173"/>
  <c r="S60" i="173"/>
  <c r="S129" i="173"/>
  <c r="S33" i="173"/>
  <c r="S32" i="173"/>
  <c r="S8" i="173"/>
  <c r="S31" i="173"/>
  <c r="S169" i="173"/>
  <c r="S35" i="173"/>
  <c r="S51" i="173"/>
  <c r="S63" i="173"/>
  <c r="S130" i="173"/>
  <c r="S119" i="173"/>
  <c r="S22" i="173"/>
  <c r="S23" i="173"/>
  <c r="S184" i="173"/>
  <c r="S190" i="173"/>
  <c r="S36" i="173"/>
  <c r="S230" i="173"/>
  <c r="S231" i="173"/>
  <c r="S11" i="173"/>
  <c r="S166" i="173"/>
  <c r="S77" i="173"/>
  <c r="S152" i="173"/>
  <c r="S110" i="173"/>
  <c r="S153" i="173"/>
  <c r="S12" i="173"/>
  <c r="S163" i="173"/>
  <c r="S57" i="173"/>
  <c r="S20" i="173"/>
  <c r="S161" i="173"/>
  <c r="S222" i="173"/>
  <c r="S100" i="173"/>
  <c r="S242" i="173"/>
  <c r="S217" i="173"/>
  <c r="S28" i="173"/>
  <c r="S123" i="173"/>
  <c r="S74" i="173"/>
  <c r="S120" i="173"/>
  <c r="S132" i="173"/>
  <c r="S209" i="173"/>
  <c r="S180" i="173"/>
  <c r="S208" i="173"/>
  <c r="S138" i="173"/>
  <c r="S108" i="173"/>
  <c r="S54" i="173"/>
  <c r="S56" i="173"/>
  <c r="S55" i="173"/>
  <c r="S64" i="173"/>
  <c r="S171" i="173"/>
  <c r="S172" i="173"/>
  <c r="S78" i="173"/>
  <c r="S168" i="173"/>
  <c r="S246" i="173"/>
  <c r="S49" i="173"/>
  <c r="S158" i="173"/>
  <c r="S134" i="173"/>
  <c r="S215" i="173"/>
  <c r="S167" i="173"/>
  <c r="S216" i="173"/>
  <c r="S137" i="173"/>
  <c r="S189" i="173"/>
  <c r="S6" i="173"/>
  <c r="S142" i="173"/>
  <c r="S157" i="173"/>
  <c r="S17" i="173"/>
  <c r="S126" i="173"/>
  <c r="S211" i="173"/>
  <c r="S15" i="173"/>
  <c r="S219" i="173"/>
  <c r="S220" i="173"/>
  <c r="S213" i="173"/>
  <c r="S214" i="173"/>
  <c r="S26" i="173"/>
  <c r="S203" i="173"/>
  <c r="S135" i="173"/>
  <c r="S16" i="173"/>
  <c r="S204" i="173"/>
  <c r="S205" i="173"/>
  <c r="S223" i="173"/>
  <c r="S59" i="173"/>
  <c r="S133" i="173"/>
  <c r="S68" i="173"/>
  <c r="S121" i="173"/>
  <c r="S225" i="173"/>
  <c r="S248" i="173"/>
  <c r="S249" i="173"/>
  <c r="S247" i="173"/>
  <c r="S42" i="173"/>
  <c r="S181" i="173"/>
  <c r="S65" i="173"/>
  <c r="S227" i="173"/>
  <c r="S174" i="173"/>
  <c r="S67" i="173"/>
  <c r="S118" i="173"/>
  <c r="S175" i="173"/>
  <c r="S243" i="173"/>
  <c r="S244" i="173"/>
  <c r="S70" i="173"/>
  <c r="S66" i="173"/>
  <c r="S127" i="173"/>
  <c r="S212" i="173"/>
  <c r="S226" i="173"/>
  <c r="S76" i="173"/>
  <c r="S173" i="173"/>
  <c r="S34" i="173"/>
  <c r="S72" i="173"/>
  <c r="S245" i="173"/>
  <c r="S122" i="173"/>
  <c r="S176" i="173"/>
  <c r="S235" i="173"/>
  <c r="S136" i="173"/>
  <c r="S84" i="173"/>
  <c r="S69" i="173"/>
  <c r="S128" i="173"/>
  <c r="S116" i="173"/>
  <c r="S146" i="173"/>
  <c r="S182" i="173"/>
  <c r="S177" i="173"/>
  <c r="S53" i="173"/>
  <c r="S52" i="173"/>
  <c r="S19" i="173"/>
  <c r="S41" i="173"/>
  <c r="S269" i="173"/>
  <c r="S263" i="173"/>
  <c r="S265" i="173"/>
  <c r="S75" i="173"/>
  <c r="S271" i="173"/>
  <c r="S272" i="173"/>
  <c r="S267" i="173"/>
  <c r="S13" i="173"/>
  <c r="S185" i="173"/>
  <c r="S270" i="173"/>
  <c r="S73" i="173"/>
  <c r="S275" i="173"/>
  <c r="S262" i="173"/>
  <c r="S256" i="173"/>
  <c r="S257" i="173"/>
  <c r="S258" i="173"/>
  <c r="S264" i="173"/>
  <c r="S71" i="173"/>
  <c r="S255" i="173"/>
  <c r="S252" i="173"/>
  <c r="S253" i="173"/>
  <c r="S254" i="173"/>
  <c r="S266" i="173"/>
  <c r="S260" i="173"/>
  <c r="S201" i="173"/>
  <c r="S202" i="173"/>
  <c r="S261" i="173"/>
  <c r="S79" i="173"/>
  <c r="S186" i="173"/>
  <c r="S92" i="173"/>
  <c r="S199" i="173"/>
  <c r="S200" i="173"/>
  <c r="S46" i="173"/>
  <c r="S268" i="173"/>
  <c r="S274" i="173"/>
  <c r="S259" i="173"/>
  <c r="S273" i="173"/>
  <c r="S107" i="173"/>
  <c r="S106" i="173"/>
  <c r="AA138" i="173" l="1"/>
  <c r="AG102" i="173"/>
  <c r="AG106" i="173"/>
  <c r="AG118" i="173"/>
  <c r="AG110" i="173"/>
  <c r="AG114" i="173"/>
  <c r="AG103" i="173"/>
  <c r="AG107" i="173"/>
  <c r="AG111" i="173"/>
  <c r="AG115" i="173"/>
  <c r="AG119" i="173"/>
  <c r="AG98" i="173"/>
  <c r="AE138" i="173"/>
  <c r="AC138" i="173"/>
  <c r="AE137" i="173"/>
  <c r="AC137" i="173"/>
  <c r="AF73" i="173" l="1"/>
  <c r="AG73" i="173" s="1"/>
  <c r="AF33" i="173"/>
  <c r="AG33" i="173" s="1"/>
  <c r="AG20" i="173"/>
  <c r="AF15" i="173"/>
  <c r="AG45" i="173"/>
  <c r="AG46" i="173"/>
  <c r="AG47" i="173"/>
  <c r="AG48" i="173"/>
  <c r="AG49" i="173"/>
  <c r="AG50" i="173"/>
  <c r="AG51" i="173"/>
  <c r="Q1" i="173"/>
  <c r="Q280" i="173"/>
  <c r="Q287" i="173" s="1"/>
  <c r="Q284" i="173"/>
  <c r="R280" i="173"/>
  <c r="R287" i="173"/>
  <c r="R293" i="173"/>
  <c r="N280" i="173" l="1"/>
  <c r="Z136" i="173" l="1"/>
  <c r="Y136" i="173"/>
  <c r="X136" i="173"/>
  <c r="W136" i="173"/>
  <c r="V136" i="173"/>
  <c r="U136" i="173"/>
  <c r="Z135" i="173"/>
  <c r="Y135" i="173"/>
  <c r="X135" i="173"/>
  <c r="W135" i="173"/>
  <c r="V135" i="173"/>
  <c r="U135" i="173"/>
  <c r="Z134" i="173"/>
  <c r="Y134" i="173"/>
  <c r="X134" i="173"/>
  <c r="W134" i="173"/>
  <c r="V134" i="173"/>
  <c r="U134" i="173"/>
  <c r="Z133" i="173"/>
  <c r="Y133" i="173"/>
  <c r="X133" i="173"/>
  <c r="W133" i="173"/>
  <c r="V133" i="173"/>
  <c r="U133" i="173"/>
  <c r="Z132" i="173"/>
  <c r="Y132" i="173"/>
  <c r="X132" i="173"/>
  <c r="W132" i="173"/>
  <c r="V132" i="173"/>
  <c r="U132" i="173"/>
  <c r="Z131" i="173"/>
  <c r="Y131" i="173"/>
  <c r="X131" i="173"/>
  <c r="W131" i="173"/>
  <c r="V131" i="173"/>
  <c r="U131" i="173"/>
  <c r="Z130" i="173"/>
  <c r="Y130" i="173"/>
  <c r="X130" i="173"/>
  <c r="W130" i="173"/>
  <c r="V130" i="173"/>
  <c r="U130" i="173"/>
  <c r="Z129" i="173"/>
  <c r="Y129" i="173"/>
  <c r="X129" i="173"/>
  <c r="W129" i="173"/>
  <c r="V129" i="173"/>
  <c r="U129" i="173"/>
  <c r="Z128" i="173"/>
  <c r="Y128" i="173"/>
  <c r="X128" i="173"/>
  <c r="W128" i="173"/>
  <c r="V128" i="173"/>
  <c r="U128" i="173"/>
  <c r="Z127" i="173"/>
  <c r="Y127" i="173"/>
  <c r="X127" i="173"/>
  <c r="W127" i="173"/>
  <c r="V127" i="173"/>
  <c r="U127" i="173"/>
  <c r="Z126" i="173"/>
  <c r="Y126" i="173"/>
  <c r="X126" i="173"/>
  <c r="W126" i="173"/>
  <c r="V126" i="173"/>
  <c r="U126" i="173"/>
  <c r="Z125" i="173"/>
  <c r="Y125" i="173"/>
  <c r="X125" i="173"/>
  <c r="W125" i="173"/>
  <c r="V125" i="173"/>
  <c r="U125" i="173"/>
  <c r="Z124" i="173"/>
  <c r="Y124" i="173"/>
  <c r="X124" i="173"/>
  <c r="W124" i="173"/>
  <c r="V124" i="173"/>
  <c r="U124" i="173"/>
  <c r="Z123" i="173"/>
  <c r="Y123" i="173"/>
  <c r="X123" i="173"/>
  <c r="W123" i="173"/>
  <c r="V123" i="173"/>
  <c r="U123" i="173"/>
  <c r="Z122" i="173"/>
  <c r="Y122" i="173"/>
  <c r="X122" i="173"/>
  <c r="W122" i="173"/>
  <c r="V122" i="173"/>
  <c r="U122" i="173"/>
  <c r="Z121" i="173"/>
  <c r="Y121" i="173"/>
  <c r="X121" i="173"/>
  <c r="W121" i="173"/>
  <c r="V121" i="173"/>
  <c r="U121" i="173"/>
  <c r="Z120" i="173"/>
  <c r="Y120" i="173"/>
  <c r="X120" i="173"/>
  <c r="W120" i="173"/>
  <c r="V120" i="173"/>
  <c r="U120" i="173"/>
  <c r="Z119" i="173"/>
  <c r="Y119" i="173"/>
  <c r="X119" i="173"/>
  <c r="W119" i="173"/>
  <c r="V119" i="173"/>
  <c r="U119" i="173"/>
  <c r="Z118" i="173"/>
  <c r="Y118" i="173"/>
  <c r="X118" i="173"/>
  <c r="W118" i="173"/>
  <c r="V118" i="173"/>
  <c r="U118" i="173"/>
  <c r="Z117" i="173"/>
  <c r="Y117" i="173"/>
  <c r="X117" i="173"/>
  <c r="W117" i="173"/>
  <c r="V117" i="173"/>
  <c r="U117" i="173"/>
  <c r="Z116" i="173"/>
  <c r="Y116" i="173"/>
  <c r="X116" i="173"/>
  <c r="W116" i="173"/>
  <c r="V116" i="173"/>
  <c r="U116" i="173"/>
  <c r="Z115" i="173"/>
  <c r="Y115" i="173"/>
  <c r="X115" i="173"/>
  <c r="W115" i="173"/>
  <c r="V115" i="173"/>
  <c r="U115" i="173"/>
  <c r="Z114" i="173"/>
  <c r="Y114" i="173"/>
  <c r="X114" i="173"/>
  <c r="W114" i="173"/>
  <c r="V114" i="173"/>
  <c r="U114" i="173"/>
  <c r="Z113" i="173"/>
  <c r="Y113" i="173"/>
  <c r="X113" i="173"/>
  <c r="W113" i="173"/>
  <c r="V113" i="173"/>
  <c r="U113" i="173"/>
  <c r="Z112" i="173"/>
  <c r="Y112" i="173"/>
  <c r="X112" i="173"/>
  <c r="W112" i="173"/>
  <c r="V112" i="173"/>
  <c r="U112" i="173"/>
  <c r="Z111" i="173"/>
  <c r="AA111" i="173" s="1"/>
  <c r="Y111" i="173"/>
  <c r="X111" i="173"/>
  <c r="W111" i="173"/>
  <c r="V111" i="173"/>
  <c r="U111" i="173"/>
  <c r="Z110" i="173"/>
  <c r="Y110" i="173"/>
  <c r="X110" i="173"/>
  <c r="W110" i="173"/>
  <c r="V110" i="173"/>
  <c r="U110" i="173"/>
  <c r="Z109" i="173"/>
  <c r="Y109" i="173"/>
  <c r="X109" i="173"/>
  <c r="W109" i="173"/>
  <c r="V109" i="173"/>
  <c r="U109" i="173"/>
  <c r="Z108" i="173"/>
  <c r="Y108" i="173"/>
  <c r="X108" i="173"/>
  <c r="W108" i="173"/>
  <c r="V108" i="173"/>
  <c r="U108" i="173"/>
  <c r="Z107" i="173"/>
  <c r="Y107" i="173"/>
  <c r="X107" i="173"/>
  <c r="W107" i="173"/>
  <c r="V107" i="173"/>
  <c r="U107" i="173"/>
  <c r="Z106" i="173"/>
  <c r="Y106" i="173"/>
  <c r="X106" i="173"/>
  <c r="W106" i="173"/>
  <c r="V106" i="173"/>
  <c r="U106" i="173"/>
  <c r="Z105" i="173"/>
  <c r="Y105" i="173"/>
  <c r="X105" i="173"/>
  <c r="W105" i="173"/>
  <c r="V105" i="173"/>
  <c r="U105" i="173"/>
  <c r="Z104" i="173"/>
  <c r="Y104" i="173"/>
  <c r="X104" i="173"/>
  <c r="W104" i="173"/>
  <c r="V104" i="173"/>
  <c r="U104" i="173"/>
  <c r="Z103" i="173"/>
  <c r="Y103" i="173"/>
  <c r="X103" i="173"/>
  <c r="W103" i="173"/>
  <c r="V103" i="173"/>
  <c r="U103" i="173"/>
  <c r="Z102" i="173"/>
  <c r="Y102" i="173"/>
  <c r="X102" i="173"/>
  <c r="W102" i="173"/>
  <c r="V102" i="173"/>
  <c r="U102" i="173"/>
  <c r="Z101" i="173"/>
  <c r="Y101" i="173"/>
  <c r="X101" i="173"/>
  <c r="W101" i="173"/>
  <c r="V101" i="173"/>
  <c r="U101" i="173"/>
  <c r="Z100" i="173"/>
  <c r="Y100" i="173"/>
  <c r="X100" i="173"/>
  <c r="W100" i="173"/>
  <c r="V100" i="173"/>
  <c r="U100" i="173"/>
  <c r="Z99" i="173"/>
  <c r="Y99" i="173"/>
  <c r="X99" i="173"/>
  <c r="W99" i="173"/>
  <c r="V99" i="173"/>
  <c r="U99" i="173"/>
  <c r="Z98" i="173"/>
  <c r="Y98" i="173"/>
  <c r="X98" i="173"/>
  <c r="W98" i="173"/>
  <c r="V98" i="173"/>
  <c r="U98" i="173"/>
  <c r="Z97" i="173"/>
  <c r="Y97" i="173"/>
  <c r="X97" i="173"/>
  <c r="W97" i="173"/>
  <c r="V97" i="173"/>
  <c r="U97" i="173"/>
  <c r="Z96" i="173"/>
  <c r="Y96" i="173"/>
  <c r="X96" i="173"/>
  <c r="W96" i="173"/>
  <c r="V96" i="173"/>
  <c r="U96" i="173"/>
  <c r="Z95" i="173"/>
  <c r="Y95" i="173"/>
  <c r="X95" i="173"/>
  <c r="W95" i="173"/>
  <c r="V95" i="173"/>
  <c r="U95" i="173"/>
  <c r="Z94" i="173"/>
  <c r="Y94" i="173"/>
  <c r="X94" i="173"/>
  <c r="W94" i="173"/>
  <c r="V94" i="173"/>
  <c r="U94" i="173"/>
  <c r="Z93" i="173"/>
  <c r="Y93" i="173"/>
  <c r="X93" i="173"/>
  <c r="W93" i="173"/>
  <c r="V93" i="173"/>
  <c r="U93" i="173"/>
  <c r="Z92" i="173"/>
  <c r="Y92" i="173"/>
  <c r="X92" i="173"/>
  <c r="W92" i="173"/>
  <c r="V92" i="173"/>
  <c r="U92" i="173"/>
  <c r="Z91" i="173"/>
  <c r="Y91" i="173"/>
  <c r="X91" i="173"/>
  <c r="W91" i="173"/>
  <c r="V91" i="173"/>
  <c r="U91" i="173"/>
  <c r="Z90" i="173"/>
  <c r="Y90" i="173"/>
  <c r="X90" i="173"/>
  <c r="W90" i="173"/>
  <c r="V90" i="173"/>
  <c r="U90" i="173"/>
  <c r="Z89" i="173"/>
  <c r="Y89" i="173"/>
  <c r="X89" i="173"/>
  <c r="W89" i="173"/>
  <c r="V89" i="173"/>
  <c r="U89" i="173"/>
  <c r="Z88" i="173"/>
  <c r="Y88" i="173"/>
  <c r="X88" i="173"/>
  <c r="W88" i="173"/>
  <c r="V88" i="173"/>
  <c r="U88" i="173"/>
  <c r="Z87" i="173"/>
  <c r="Y87" i="173"/>
  <c r="X87" i="173"/>
  <c r="W87" i="173"/>
  <c r="V87" i="173"/>
  <c r="U87" i="173"/>
  <c r="Z86" i="173"/>
  <c r="AA86" i="173" s="1"/>
  <c r="Y86" i="173"/>
  <c r="X86" i="173"/>
  <c r="W86" i="173"/>
  <c r="V86" i="173"/>
  <c r="U86" i="173"/>
  <c r="Z85" i="173"/>
  <c r="Y85" i="173"/>
  <c r="X85" i="173"/>
  <c r="W85" i="173"/>
  <c r="V85" i="173"/>
  <c r="U85" i="173"/>
  <c r="Z84" i="173"/>
  <c r="Y84" i="173"/>
  <c r="X84" i="173"/>
  <c r="W84" i="173"/>
  <c r="V84" i="173"/>
  <c r="U84" i="173"/>
  <c r="Z83" i="173"/>
  <c r="Y83" i="173"/>
  <c r="X83" i="173"/>
  <c r="W83" i="173"/>
  <c r="V83" i="173"/>
  <c r="U83" i="173"/>
  <c r="Z82" i="173"/>
  <c r="Y82" i="173"/>
  <c r="X82" i="173"/>
  <c r="W82" i="173"/>
  <c r="V82" i="173"/>
  <c r="U82" i="173"/>
  <c r="Z81" i="173"/>
  <c r="Y81" i="173"/>
  <c r="X81" i="173"/>
  <c r="W81" i="173"/>
  <c r="V81" i="173"/>
  <c r="U81" i="173"/>
  <c r="Z80" i="173"/>
  <c r="Y80" i="173"/>
  <c r="X80" i="173"/>
  <c r="W80" i="173"/>
  <c r="V80" i="173"/>
  <c r="U80" i="173"/>
  <c r="Z79" i="173"/>
  <c r="Y79" i="173"/>
  <c r="X79" i="173"/>
  <c r="W79" i="173"/>
  <c r="V79" i="173"/>
  <c r="U79" i="173"/>
  <c r="Z78" i="173"/>
  <c r="Y78" i="173"/>
  <c r="X78" i="173"/>
  <c r="W78" i="173"/>
  <c r="V78" i="173"/>
  <c r="U78" i="173"/>
  <c r="Z77" i="173"/>
  <c r="Y77" i="173"/>
  <c r="X77" i="173"/>
  <c r="W77" i="173"/>
  <c r="V77" i="173"/>
  <c r="U77" i="173"/>
  <c r="Z76" i="173"/>
  <c r="Y76" i="173"/>
  <c r="X76" i="173"/>
  <c r="W76" i="173"/>
  <c r="V76" i="173"/>
  <c r="U76" i="173"/>
  <c r="Z75" i="173"/>
  <c r="Y75" i="173"/>
  <c r="X75" i="173"/>
  <c r="W75" i="173"/>
  <c r="V75" i="173"/>
  <c r="U75" i="173"/>
  <c r="Z74" i="173"/>
  <c r="Y74" i="173"/>
  <c r="X74" i="173"/>
  <c r="W74" i="173"/>
  <c r="V74" i="173"/>
  <c r="U74" i="173"/>
  <c r="Z73" i="173"/>
  <c r="Y73" i="173"/>
  <c r="X73" i="173"/>
  <c r="W73" i="173"/>
  <c r="V73" i="173"/>
  <c r="U73" i="173"/>
  <c r="Z72" i="173"/>
  <c r="Y72" i="173"/>
  <c r="X72" i="173"/>
  <c r="W72" i="173"/>
  <c r="V72" i="173"/>
  <c r="U72" i="173"/>
  <c r="Z71" i="173"/>
  <c r="Y71" i="173"/>
  <c r="X71" i="173"/>
  <c r="W71" i="173"/>
  <c r="V71" i="173"/>
  <c r="U71" i="173"/>
  <c r="Z70" i="173"/>
  <c r="Y70" i="173"/>
  <c r="X70" i="173"/>
  <c r="W70" i="173"/>
  <c r="V70" i="173"/>
  <c r="U70" i="173"/>
  <c r="Z69" i="173"/>
  <c r="Y69" i="173"/>
  <c r="X69" i="173"/>
  <c r="W69" i="173"/>
  <c r="V69" i="173"/>
  <c r="U69" i="173"/>
  <c r="Z68" i="173"/>
  <c r="Y68" i="173"/>
  <c r="X68" i="173"/>
  <c r="W68" i="173"/>
  <c r="V68" i="173"/>
  <c r="U68" i="173"/>
  <c r="Z67" i="173"/>
  <c r="Y67" i="173"/>
  <c r="X67" i="173"/>
  <c r="W67" i="173"/>
  <c r="V67" i="173"/>
  <c r="U67" i="173"/>
  <c r="Z66" i="173"/>
  <c r="Y66" i="173"/>
  <c r="X66" i="173"/>
  <c r="W66" i="173"/>
  <c r="V66" i="173"/>
  <c r="U66" i="173"/>
  <c r="Z65" i="173"/>
  <c r="Y65" i="173"/>
  <c r="X65" i="173"/>
  <c r="W65" i="173"/>
  <c r="V65" i="173"/>
  <c r="U65" i="173"/>
  <c r="Z64" i="173"/>
  <c r="Y64" i="173"/>
  <c r="X64" i="173"/>
  <c r="W64" i="173"/>
  <c r="V64" i="173"/>
  <c r="U64" i="173"/>
  <c r="Z63" i="173"/>
  <c r="Y63" i="173"/>
  <c r="X63" i="173"/>
  <c r="W63" i="173"/>
  <c r="V63" i="173"/>
  <c r="U63" i="173"/>
  <c r="Z62" i="173"/>
  <c r="Y62" i="173"/>
  <c r="X62" i="173"/>
  <c r="W62" i="173"/>
  <c r="V62" i="173"/>
  <c r="U62" i="173"/>
  <c r="Z61" i="173"/>
  <c r="Y61" i="173"/>
  <c r="X61" i="173"/>
  <c r="W61" i="173"/>
  <c r="V61" i="173"/>
  <c r="U61" i="173"/>
  <c r="Z60" i="173"/>
  <c r="Y60" i="173"/>
  <c r="X60" i="173"/>
  <c r="W60" i="173"/>
  <c r="V60" i="173"/>
  <c r="U60" i="173"/>
  <c r="Z59" i="173"/>
  <c r="Y59" i="173"/>
  <c r="X59" i="173"/>
  <c r="W59" i="173"/>
  <c r="V59" i="173"/>
  <c r="U59" i="173"/>
  <c r="Z58" i="173"/>
  <c r="Y58" i="173"/>
  <c r="X58" i="173"/>
  <c r="W58" i="173"/>
  <c r="V58" i="173"/>
  <c r="U58" i="173"/>
  <c r="Z57" i="173"/>
  <c r="Y57" i="173"/>
  <c r="X57" i="173"/>
  <c r="W57" i="173"/>
  <c r="V57" i="173"/>
  <c r="U57" i="173"/>
  <c r="Z56" i="173"/>
  <c r="Y56" i="173"/>
  <c r="X56" i="173"/>
  <c r="W56" i="173"/>
  <c r="V56" i="173"/>
  <c r="U56" i="173"/>
  <c r="Z55" i="173"/>
  <c r="Y55" i="173"/>
  <c r="X55" i="173"/>
  <c r="W55" i="173"/>
  <c r="V55" i="173"/>
  <c r="U55" i="173"/>
  <c r="Z54" i="173"/>
  <c r="Y54" i="173"/>
  <c r="X54" i="173"/>
  <c r="W54" i="173"/>
  <c r="V54" i="173"/>
  <c r="U54" i="173"/>
  <c r="Z53" i="173"/>
  <c r="Y53" i="173"/>
  <c r="X53" i="173"/>
  <c r="W53" i="173"/>
  <c r="V53" i="173"/>
  <c r="U53" i="173"/>
  <c r="Z52" i="173"/>
  <c r="Y52" i="173"/>
  <c r="X52" i="173"/>
  <c r="W52" i="173"/>
  <c r="V52" i="173"/>
  <c r="U52" i="173"/>
  <c r="Z51" i="173"/>
  <c r="Y51" i="173"/>
  <c r="X51" i="173"/>
  <c r="W51" i="173"/>
  <c r="V51" i="173"/>
  <c r="U51" i="173"/>
  <c r="Z50" i="173"/>
  <c r="Y50" i="173"/>
  <c r="X50" i="173"/>
  <c r="W50" i="173"/>
  <c r="V50" i="173"/>
  <c r="U50" i="173"/>
  <c r="Z49" i="173"/>
  <c r="Y49" i="173"/>
  <c r="X49" i="173"/>
  <c r="W49" i="173"/>
  <c r="V49" i="173"/>
  <c r="U49" i="173"/>
  <c r="Z48" i="173"/>
  <c r="Y48" i="173"/>
  <c r="X48" i="173"/>
  <c r="W48" i="173"/>
  <c r="V48" i="173"/>
  <c r="U48" i="173"/>
  <c r="Z47" i="173"/>
  <c r="Y47" i="173"/>
  <c r="X47" i="173"/>
  <c r="W47" i="173"/>
  <c r="V47" i="173"/>
  <c r="U47" i="173"/>
  <c r="Z46" i="173"/>
  <c r="Y46" i="173"/>
  <c r="X46" i="173"/>
  <c r="W46" i="173"/>
  <c r="V46" i="173"/>
  <c r="U46" i="173"/>
  <c r="Z45" i="173"/>
  <c r="Y45" i="173"/>
  <c r="X45" i="173"/>
  <c r="W45" i="173"/>
  <c r="V45" i="173"/>
  <c r="U45" i="173"/>
  <c r="Z44" i="173"/>
  <c r="AA44" i="173" s="1"/>
  <c r="Y44" i="173"/>
  <c r="X44" i="173"/>
  <c r="W44" i="173"/>
  <c r="V44" i="173"/>
  <c r="U44" i="173"/>
  <c r="Z43" i="173"/>
  <c r="AA43" i="173" s="1"/>
  <c r="Y43" i="173"/>
  <c r="X43" i="173"/>
  <c r="W43" i="173"/>
  <c r="V43" i="173"/>
  <c r="U43" i="173"/>
  <c r="Z42" i="173"/>
  <c r="AA42" i="173" s="1"/>
  <c r="Y42" i="173"/>
  <c r="X42" i="173"/>
  <c r="W42" i="173"/>
  <c r="V42" i="173"/>
  <c r="U42" i="173"/>
  <c r="Z41" i="173"/>
  <c r="Y41" i="173"/>
  <c r="X41" i="173"/>
  <c r="W41" i="173"/>
  <c r="V41" i="173"/>
  <c r="U41" i="173"/>
  <c r="Z40" i="173"/>
  <c r="Y40" i="173"/>
  <c r="X40" i="173"/>
  <c r="W40" i="173"/>
  <c r="V40" i="173"/>
  <c r="U40" i="173"/>
  <c r="Z39" i="173"/>
  <c r="Y39" i="173"/>
  <c r="X39" i="173"/>
  <c r="W39" i="173"/>
  <c r="V39" i="173"/>
  <c r="U39" i="173"/>
  <c r="Z38" i="173"/>
  <c r="Y38" i="173"/>
  <c r="X38" i="173"/>
  <c r="W38" i="173"/>
  <c r="V38" i="173"/>
  <c r="U38" i="173"/>
  <c r="Z37" i="173"/>
  <c r="AA37" i="173" s="1"/>
  <c r="Y37" i="173"/>
  <c r="X37" i="173"/>
  <c r="W37" i="173"/>
  <c r="V37" i="173"/>
  <c r="U37" i="173"/>
  <c r="Z36" i="173"/>
  <c r="Y36" i="173"/>
  <c r="X36" i="173"/>
  <c r="W36" i="173"/>
  <c r="V36" i="173"/>
  <c r="U36" i="173"/>
  <c r="Z35" i="173"/>
  <c r="Y35" i="173"/>
  <c r="X35" i="173"/>
  <c r="W35" i="173"/>
  <c r="V35" i="173"/>
  <c r="U35" i="173"/>
  <c r="Z34" i="173"/>
  <c r="Y34" i="173"/>
  <c r="X34" i="173"/>
  <c r="W34" i="173"/>
  <c r="V34" i="173"/>
  <c r="U34" i="173"/>
  <c r="Z33" i="173"/>
  <c r="Y33" i="173"/>
  <c r="X33" i="173"/>
  <c r="W33" i="173"/>
  <c r="V33" i="173"/>
  <c r="U33" i="173"/>
  <c r="Z32" i="173"/>
  <c r="Y32" i="173"/>
  <c r="X32" i="173"/>
  <c r="W32" i="173"/>
  <c r="V32" i="173"/>
  <c r="U32" i="173"/>
  <c r="Z31" i="173"/>
  <c r="Y31" i="173"/>
  <c r="X31" i="173"/>
  <c r="W31" i="173"/>
  <c r="V31" i="173"/>
  <c r="U31" i="173"/>
  <c r="Z30" i="173"/>
  <c r="Y30" i="173"/>
  <c r="X30" i="173"/>
  <c r="W30" i="173"/>
  <c r="V30" i="173"/>
  <c r="U30" i="173"/>
  <c r="Z29" i="173"/>
  <c r="AD29" i="173" s="1"/>
  <c r="Y29" i="173"/>
  <c r="X29" i="173"/>
  <c r="W29" i="173"/>
  <c r="V29" i="173"/>
  <c r="U29" i="173"/>
  <c r="Z28" i="173"/>
  <c r="AC28" i="173" s="1"/>
  <c r="Y28" i="173"/>
  <c r="X28" i="173"/>
  <c r="W28" i="173"/>
  <c r="V28" i="173"/>
  <c r="U28" i="173"/>
  <c r="Z27" i="173"/>
  <c r="AE27" i="173" s="1"/>
  <c r="Y27" i="173"/>
  <c r="X27" i="173"/>
  <c r="W27" i="173"/>
  <c r="V27" i="173"/>
  <c r="U27" i="173"/>
  <c r="Z26" i="173"/>
  <c r="Y26" i="173"/>
  <c r="X26" i="173"/>
  <c r="W26" i="173"/>
  <c r="V26" i="173"/>
  <c r="U26" i="173"/>
  <c r="Z25" i="173"/>
  <c r="AD25" i="173" s="1"/>
  <c r="Y25" i="173"/>
  <c r="X25" i="173"/>
  <c r="W25" i="173"/>
  <c r="V25" i="173"/>
  <c r="U25" i="173"/>
  <c r="Z24" i="173"/>
  <c r="Y24" i="173"/>
  <c r="X24" i="173"/>
  <c r="W24" i="173"/>
  <c r="V24" i="173"/>
  <c r="U24" i="173"/>
  <c r="Z23" i="173"/>
  <c r="Y23" i="173"/>
  <c r="X23" i="173"/>
  <c r="W23" i="173"/>
  <c r="V23" i="173"/>
  <c r="U23" i="173"/>
  <c r="Z22" i="173"/>
  <c r="AA22" i="173" s="1"/>
  <c r="Y22" i="173"/>
  <c r="X22" i="173"/>
  <c r="W22" i="173"/>
  <c r="V22" i="173"/>
  <c r="U22" i="173"/>
  <c r="Z21" i="173"/>
  <c r="Y21" i="173"/>
  <c r="X21" i="173"/>
  <c r="W21" i="173"/>
  <c r="V21" i="173"/>
  <c r="U21" i="173"/>
  <c r="Z20" i="173"/>
  <c r="Y20" i="173"/>
  <c r="X20" i="173"/>
  <c r="W20" i="173"/>
  <c r="V20" i="173"/>
  <c r="U20" i="173"/>
  <c r="Z19" i="173"/>
  <c r="Y19" i="173"/>
  <c r="X19" i="173"/>
  <c r="W19" i="173"/>
  <c r="V19" i="173"/>
  <c r="U19" i="173"/>
  <c r="Z18" i="173"/>
  <c r="Y18" i="173"/>
  <c r="X18" i="173"/>
  <c r="W18" i="173"/>
  <c r="V18" i="173"/>
  <c r="U18" i="173"/>
  <c r="Z17" i="173"/>
  <c r="Y17" i="173"/>
  <c r="X17" i="173"/>
  <c r="W17" i="173"/>
  <c r="V17" i="173"/>
  <c r="U17" i="173"/>
  <c r="Z16" i="173"/>
  <c r="Y16" i="173"/>
  <c r="X16" i="173"/>
  <c r="W16" i="173"/>
  <c r="V16" i="173"/>
  <c r="U16" i="173"/>
  <c r="Z15" i="173"/>
  <c r="Y15" i="173"/>
  <c r="X15" i="173"/>
  <c r="W15" i="173"/>
  <c r="V15" i="173"/>
  <c r="U15" i="173"/>
  <c r="Z14" i="173"/>
  <c r="AC14" i="173" s="1"/>
  <c r="Y14" i="173"/>
  <c r="X14" i="173"/>
  <c r="W14" i="173"/>
  <c r="V14" i="173"/>
  <c r="U14" i="173"/>
  <c r="Z13" i="173"/>
  <c r="Y13" i="173"/>
  <c r="X13" i="173"/>
  <c r="W13" i="173"/>
  <c r="V13" i="173"/>
  <c r="U13" i="173"/>
  <c r="Z12" i="173"/>
  <c r="Y12" i="173"/>
  <c r="X12" i="173"/>
  <c r="W12" i="173"/>
  <c r="V12" i="173"/>
  <c r="U12" i="173"/>
  <c r="Z11" i="173"/>
  <c r="Y11" i="173"/>
  <c r="X11" i="173"/>
  <c r="W11" i="173"/>
  <c r="V11" i="173"/>
  <c r="U11" i="173"/>
  <c r="Z10" i="173"/>
  <c r="AC10" i="173" s="1"/>
  <c r="Y10" i="173"/>
  <c r="X10" i="173"/>
  <c r="W10" i="173"/>
  <c r="V10" i="173"/>
  <c r="U10" i="173"/>
  <c r="Z9" i="173"/>
  <c r="Y9" i="173"/>
  <c r="X9" i="173"/>
  <c r="W9" i="173"/>
  <c r="V9" i="173"/>
  <c r="U9" i="173"/>
  <c r="Z8" i="173"/>
  <c r="Y8" i="173"/>
  <c r="X8" i="173"/>
  <c r="W8" i="173"/>
  <c r="V8" i="173"/>
  <c r="U8" i="173"/>
  <c r="Z7" i="173"/>
  <c r="Y7" i="173"/>
  <c r="X7" i="173"/>
  <c r="W7" i="173"/>
  <c r="V7" i="173"/>
  <c r="U7" i="173"/>
  <c r="U6" i="173"/>
  <c r="V6" i="173"/>
  <c r="W6" i="173"/>
  <c r="X6" i="173"/>
  <c r="Y6" i="173"/>
  <c r="Z6" i="173"/>
  <c r="AA25" i="173" l="1"/>
  <c r="AA39" i="173"/>
  <c r="AA51" i="173"/>
  <c r="AA148" i="173" s="1"/>
  <c r="AA64" i="173"/>
  <c r="AA75" i="173"/>
  <c r="AA88" i="173"/>
  <c r="AA91" i="173"/>
  <c r="AA14" i="173"/>
  <c r="AA20" i="173"/>
  <c r="AA100" i="173"/>
  <c r="AA110" i="173"/>
  <c r="AA137" i="173"/>
  <c r="AD26" i="173"/>
  <c r="AA28" i="173"/>
  <c r="AE30" i="173"/>
  <c r="AA30" i="173"/>
  <c r="AC92" i="173"/>
  <c r="AE92" i="173"/>
  <c r="AA92" i="173"/>
  <c r="AD92" i="173"/>
  <c r="AC98" i="173"/>
  <c r="AE98" i="173"/>
  <c r="AC102" i="173"/>
  <c r="AE102" i="173"/>
  <c r="AC104" i="173"/>
  <c r="AG104" i="173" s="1"/>
  <c r="AE104" i="173"/>
  <c r="AA8" i="173"/>
  <c r="AA36" i="173"/>
  <c r="AA41" i="173"/>
  <c r="AA56" i="173"/>
  <c r="AA77" i="173"/>
  <c r="AA85" i="173"/>
  <c r="AA108" i="173"/>
  <c r="AA114" i="173"/>
  <c r="Z141" i="173"/>
  <c r="AA6" i="173"/>
  <c r="AC91" i="173"/>
  <c r="AD91" i="173"/>
  <c r="AE91" i="173"/>
  <c r="AE99" i="173"/>
  <c r="AC99" i="173"/>
  <c r="AG99" i="173" s="1"/>
  <c r="AC101" i="173"/>
  <c r="AG101" i="173" s="1"/>
  <c r="AA105" i="173"/>
  <c r="AE101" i="173"/>
  <c r="AC103" i="173"/>
  <c r="AE103" i="173"/>
  <c r="AC105" i="173"/>
  <c r="AG105" i="173" s="1"/>
  <c r="AE105" i="173"/>
  <c r="AE21" i="173"/>
  <c r="AA21" i="173"/>
  <c r="AE31" i="173"/>
  <c r="AA33" i="173"/>
  <c r="AD16" i="173"/>
  <c r="AC16" i="173"/>
  <c r="AE16" i="173"/>
  <c r="AE36" i="173"/>
  <c r="AD36" i="173"/>
  <c r="AC36" i="173"/>
  <c r="AD38" i="173"/>
  <c r="AC38" i="173"/>
  <c r="AE38" i="173"/>
  <c r="AD42" i="173"/>
  <c r="AC42" i="173"/>
  <c r="AE42" i="173"/>
  <c r="AE17" i="173"/>
  <c r="AD17" i="173"/>
  <c r="AC17" i="173"/>
  <c r="AC19" i="173"/>
  <c r="AE19" i="173"/>
  <c r="AD19" i="173"/>
  <c r="AD23" i="173"/>
  <c r="AC23" i="173"/>
  <c r="AE23" i="173"/>
  <c r="AE35" i="173"/>
  <c r="AD35" i="173"/>
  <c r="AC35" i="173"/>
  <c r="AC37" i="173"/>
  <c r="AE37" i="173"/>
  <c r="AD37" i="173"/>
  <c r="AE39" i="173"/>
  <c r="AD39" i="173"/>
  <c r="AC39" i="173"/>
  <c r="AC41" i="173"/>
  <c r="AE41" i="173"/>
  <c r="AD41" i="173"/>
  <c r="AE43" i="173"/>
  <c r="AD43" i="173"/>
  <c r="AC43" i="173"/>
  <c r="AE6" i="173"/>
  <c r="AC6" i="173"/>
  <c r="AD6" i="173"/>
  <c r="AE18" i="173"/>
  <c r="AD18" i="173"/>
  <c r="AC18" i="173"/>
  <c r="AC22" i="173"/>
  <c r="AE22" i="173"/>
  <c r="AD22" i="173"/>
  <c r="AE40" i="173"/>
  <c r="AD40" i="173"/>
  <c r="AC40" i="173"/>
  <c r="AC96" i="173"/>
  <c r="AE96" i="173"/>
  <c r="AD122" i="173"/>
  <c r="AG122" i="173" s="1"/>
  <c r="AD124" i="173"/>
  <c r="AG124" i="173" s="1"/>
  <c r="AD126" i="173"/>
  <c r="AG126" i="173" s="1"/>
  <c r="AD128" i="173"/>
  <c r="AG128" i="173" s="1"/>
  <c r="AD130" i="173"/>
  <c r="AG130" i="173" s="1"/>
  <c r="AD132" i="173"/>
  <c r="AG132" i="173" s="1"/>
  <c r="AD134" i="173"/>
  <c r="AG134" i="173" s="1"/>
  <c r="AD136" i="173"/>
  <c r="AE136" i="173"/>
  <c r="AC136" i="173"/>
  <c r="AG136" i="173" s="1"/>
  <c r="AC94" i="173"/>
  <c r="AE94" i="173"/>
  <c r="AC95" i="173"/>
  <c r="AE95" i="173"/>
  <c r="AD121" i="173"/>
  <c r="AG121" i="173" s="1"/>
  <c r="AD123" i="173"/>
  <c r="AG123" i="173" s="1"/>
  <c r="AD125" i="173"/>
  <c r="AG125" i="173" s="1"/>
  <c r="AD127" i="173"/>
  <c r="AG127" i="173" s="1"/>
  <c r="AD129" i="173"/>
  <c r="AG129" i="173" s="1"/>
  <c r="AD131" i="173"/>
  <c r="AG131" i="173" s="1"/>
  <c r="AD133" i="173"/>
  <c r="AG133" i="173" s="1"/>
  <c r="AD135" i="173"/>
  <c r="AG135" i="173" s="1"/>
  <c r="AC93" i="173"/>
  <c r="AE93" i="173"/>
  <c r="AC97" i="173"/>
  <c r="AE97" i="173"/>
  <c r="AE25" i="173"/>
  <c r="AC8" i="173"/>
  <c r="AD8" i="173"/>
  <c r="AE8" i="173"/>
  <c r="AE12" i="173"/>
  <c r="AC12" i="173"/>
  <c r="AD7" i="173"/>
  <c r="AC7" i="173"/>
  <c r="AD9" i="173"/>
  <c r="AC9" i="173"/>
  <c r="AE9" i="173"/>
  <c r="AD11" i="173"/>
  <c r="AC11" i="173"/>
  <c r="AE13" i="173"/>
  <c r="AC13" i="173"/>
  <c r="AE32" i="173"/>
  <c r="AD32" i="173"/>
  <c r="AC32" i="173"/>
  <c r="AD34" i="173"/>
  <c r="AC34" i="173"/>
  <c r="AE34" i="173"/>
  <c r="AE44" i="173"/>
  <c r="AD44" i="173"/>
  <c r="AC44" i="173"/>
  <c r="AC46" i="173"/>
  <c r="AE46" i="173"/>
  <c r="AD46" i="173"/>
  <c r="AE48" i="173"/>
  <c r="AD48" i="173"/>
  <c r="AC48" i="173"/>
  <c r="AC50" i="173"/>
  <c r="AE50" i="173"/>
  <c r="AD50" i="173"/>
  <c r="AE52" i="173"/>
  <c r="AD52" i="173"/>
  <c r="AC52" i="173"/>
  <c r="AC54" i="173"/>
  <c r="AE54" i="173"/>
  <c r="AD54" i="173"/>
  <c r="AE56" i="173"/>
  <c r="AD56" i="173"/>
  <c r="AC56" i="173"/>
  <c r="AC58" i="173"/>
  <c r="AE58" i="173"/>
  <c r="AD58" i="173"/>
  <c r="AE60" i="173"/>
  <c r="AD60" i="173"/>
  <c r="AC60" i="173"/>
  <c r="AC62" i="173"/>
  <c r="AE62" i="173"/>
  <c r="AD62" i="173"/>
  <c r="AE64" i="173"/>
  <c r="AD64" i="173"/>
  <c r="AC64" i="173"/>
  <c r="AE66" i="173"/>
  <c r="AD66" i="173"/>
  <c r="AC66" i="173"/>
  <c r="AD68" i="173"/>
  <c r="AC68" i="173"/>
  <c r="AE68" i="173"/>
  <c r="AE70" i="173"/>
  <c r="AD70" i="173"/>
  <c r="AC70" i="173"/>
  <c r="AD72" i="173"/>
  <c r="AC72" i="173"/>
  <c r="AE72" i="173"/>
  <c r="AC76" i="173"/>
  <c r="AE76" i="173"/>
  <c r="AD76" i="173"/>
  <c r="AE78" i="173"/>
  <c r="AD78" i="173"/>
  <c r="AC78" i="173"/>
  <c r="AC80" i="173"/>
  <c r="AE80" i="173"/>
  <c r="AD80" i="173"/>
  <c r="AE82" i="173"/>
  <c r="AD82" i="173"/>
  <c r="AC82" i="173"/>
  <c r="AE84" i="173"/>
  <c r="AD84" i="173"/>
  <c r="AC84" i="173"/>
  <c r="AE86" i="173"/>
  <c r="AD86" i="173"/>
  <c r="AC86" i="173"/>
  <c r="AE88" i="173"/>
  <c r="AD88" i="173"/>
  <c r="AC88" i="173"/>
  <c r="AE90" i="173"/>
  <c r="AD90" i="173"/>
  <c r="AC90" i="173"/>
  <c r="AE11" i="173"/>
  <c r="AE45" i="173"/>
  <c r="AD45" i="173"/>
  <c r="AC45" i="173"/>
  <c r="AD47" i="173"/>
  <c r="AC47" i="173"/>
  <c r="AE47" i="173"/>
  <c r="AE49" i="173"/>
  <c r="AD49" i="173"/>
  <c r="AC49" i="173"/>
  <c r="AE53" i="173"/>
  <c r="AD53" i="173"/>
  <c r="AC53" i="173"/>
  <c r="AD55" i="173"/>
  <c r="AC55" i="173"/>
  <c r="AE55" i="173"/>
  <c r="AD57" i="173"/>
  <c r="AC57" i="173"/>
  <c r="AD59" i="173"/>
  <c r="AC59" i="173"/>
  <c r="AE59" i="173"/>
  <c r="AE61" i="173"/>
  <c r="AD61" i="173"/>
  <c r="AC61" i="173"/>
  <c r="AD63" i="173"/>
  <c r="AC63" i="173"/>
  <c r="AE63" i="173"/>
  <c r="AE65" i="173"/>
  <c r="AD65" i="173"/>
  <c r="AC65" i="173"/>
  <c r="AC67" i="173"/>
  <c r="AE67" i="173"/>
  <c r="AD67" i="173"/>
  <c r="AE69" i="173"/>
  <c r="AD69" i="173"/>
  <c r="AC69" i="173"/>
  <c r="AC71" i="173"/>
  <c r="AE71" i="173"/>
  <c r="AD71" i="173"/>
  <c r="AD77" i="173"/>
  <c r="AC77" i="173"/>
  <c r="AE77" i="173"/>
  <c r="AE79" i="173"/>
  <c r="AD79" i="173"/>
  <c r="AC79" i="173"/>
  <c r="AD81" i="173"/>
  <c r="AC81" i="173"/>
  <c r="AE81" i="173"/>
  <c r="AE83" i="173"/>
  <c r="AD83" i="173"/>
  <c r="AC83" i="173"/>
  <c r="AC85" i="173"/>
  <c r="AE85" i="173"/>
  <c r="AD85" i="173"/>
  <c r="AE87" i="173"/>
  <c r="AD87" i="173"/>
  <c r="AC87" i="173"/>
  <c r="AC89" i="173"/>
  <c r="AE89" i="173"/>
  <c r="AD89" i="173"/>
  <c r="AE29" i="173"/>
  <c r="AC25" i="173"/>
  <c r="AC31" i="173"/>
  <c r="AE7" i="173"/>
  <c r="AD13" i="173"/>
  <c r="AC29" i="173"/>
  <c r="AD10" i="173"/>
  <c r="AD30" i="173"/>
  <c r="AC27" i="173"/>
  <c r="AD21" i="173"/>
  <c r="AC21" i="173"/>
  <c r="AD12" i="173"/>
  <c r="AE14" i="173"/>
  <c r="AE10" i="173"/>
  <c r="AD24" i="173"/>
  <c r="AC24" i="173"/>
  <c r="AE24" i="173"/>
  <c r="AD14" i="173"/>
  <c r="AG15" i="173"/>
  <c r="AD28" i="173"/>
  <c r="AC26" i="173"/>
  <c r="AD27" i="173"/>
  <c r="AE28" i="173"/>
  <c r="AC30" i="173"/>
  <c r="AD31" i="173"/>
  <c r="AE26" i="173"/>
  <c r="AF25" i="173" l="1"/>
  <c r="AG25" i="173" s="1"/>
  <c r="AA147" i="173"/>
  <c r="AA145" i="173"/>
  <c r="AF23" i="173"/>
  <c r="AG23" i="173" s="1"/>
  <c r="AF38" i="173"/>
  <c r="AG38" i="173" s="1"/>
  <c r="AA146" i="173"/>
  <c r="AF18" i="173"/>
  <c r="AG18" i="173" s="1"/>
  <c r="AF6" i="173"/>
  <c r="AG6" i="173" s="1"/>
  <c r="AF39" i="173"/>
  <c r="AG39" i="173" s="1"/>
  <c r="AF36" i="173"/>
  <c r="AG36" i="173" s="1"/>
  <c r="AA141" i="173"/>
  <c r="AF22" i="173"/>
  <c r="AG22" i="173" s="1"/>
  <c r="AF40" i="173"/>
  <c r="AG40" i="173" s="1"/>
  <c r="AF43" i="173"/>
  <c r="AG43" i="173" s="1"/>
  <c r="AF35" i="173"/>
  <c r="AG35" i="173" s="1"/>
  <c r="AG19" i="173"/>
  <c r="AF41" i="173"/>
  <c r="AG41" i="173" s="1"/>
  <c r="AF17" i="173"/>
  <c r="AG17" i="173" s="1"/>
  <c r="AF42" i="173"/>
  <c r="AG42" i="173" s="1"/>
  <c r="AF37" i="173"/>
  <c r="AG37" i="173" s="1"/>
  <c r="AF11" i="173"/>
  <c r="AG11" i="173" s="1"/>
  <c r="AF86" i="173"/>
  <c r="AG86" i="173" s="1"/>
  <c r="AG94" i="173"/>
  <c r="AF31" i="173"/>
  <c r="AG31" i="173" s="1"/>
  <c r="AG97" i="173"/>
  <c r="AG84" i="173"/>
  <c r="AG85" i="173"/>
  <c r="AG93" i="173"/>
  <c r="AG95" i="173"/>
  <c r="AG96" i="173"/>
  <c r="AF8" i="173"/>
  <c r="AG8" i="173" s="1"/>
  <c r="AF34" i="173"/>
  <c r="AG34" i="173" s="1"/>
  <c r="AF9" i="173"/>
  <c r="AG9" i="173" s="1"/>
  <c r="AF54" i="173"/>
  <c r="AG54" i="173" s="1"/>
  <c r="AF32" i="173"/>
  <c r="AG32" i="173" s="1"/>
  <c r="AG70" i="173"/>
  <c r="AF52" i="173"/>
  <c r="AG52" i="173" s="1"/>
  <c r="AG90" i="173"/>
  <c r="AG58" i="173"/>
  <c r="AG57" i="173"/>
  <c r="AF55" i="173"/>
  <c r="AG55" i="173" s="1"/>
  <c r="AG88" i="173"/>
  <c r="AG83" i="173"/>
  <c r="AG81" i="173"/>
  <c r="AG64" i="173"/>
  <c r="AG87" i="173"/>
  <c r="AG79" i="173"/>
  <c r="AG89" i="173"/>
  <c r="AG69" i="173"/>
  <c r="AG82" i="173"/>
  <c r="AG76" i="173"/>
  <c r="AF56" i="173"/>
  <c r="AG56" i="173" s="1"/>
  <c r="AF53" i="173"/>
  <c r="AG53" i="173" s="1"/>
  <c r="AG75" i="173"/>
  <c r="AG74" i="173"/>
  <c r="AG65" i="173"/>
  <c r="AG63" i="173"/>
  <c r="AG62" i="173"/>
  <c r="AF44" i="173"/>
  <c r="AG44" i="173" s="1"/>
  <c r="AG67" i="173"/>
  <c r="AG78" i="173"/>
  <c r="AF27" i="173"/>
  <c r="AG27" i="173" s="1"/>
  <c r="AG77" i="173"/>
  <c r="AG59" i="173"/>
  <c r="AG80" i="173"/>
  <c r="AG72" i="173"/>
  <c r="AG71" i="173"/>
  <c r="AG68" i="173"/>
  <c r="AF13" i="173"/>
  <c r="AG13" i="173" s="1"/>
  <c r="AF28" i="173"/>
  <c r="AG28" i="173" s="1"/>
  <c r="AG61" i="173"/>
  <c r="AG66" i="173"/>
  <c r="AG60" i="173"/>
  <c r="AF30" i="173"/>
  <c r="AG30" i="173" s="1"/>
  <c r="AF7" i="173"/>
  <c r="AG7" i="173" s="1"/>
  <c r="AF29" i="173"/>
  <c r="AG29" i="173" s="1"/>
  <c r="AF10" i="173"/>
  <c r="AG10" i="173" s="1"/>
  <c r="AF12" i="173"/>
  <c r="AG12" i="173" s="1"/>
  <c r="AF24" i="173"/>
  <c r="AG24" i="173" s="1"/>
  <c r="AF14" i="173"/>
  <c r="AG14" i="173" s="1"/>
  <c r="AF26" i="173"/>
  <c r="AG26" i="173" s="1"/>
  <c r="AF21" i="173"/>
  <c r="AG21" i="173" s="1"/>
  <c r="AG16" i="173"/>
  <c r="AA149" i="173" l="1"/>
  <c r="AG144" i="173"/>
  <c r="S293" i="173"/>
  <c r="N287" i="173"/>
  <c r="M287" i="173"/>
  <c r="S285" i="173"/>
  <c r="T285" i="173" s="1"/>
  <c r="S284" i="173"/>
  <c r="P280" i="173"/>
  <c r="O280" i="173"/>
  <c r="M280" i="173"/>
  <c r="AH140" i="173"/>
  <c r="Y141" i="173"/>
  <c r="A7" i="173"/>
  <c r="A8" i="173" s="1"/>
  <c r="A9" i="173" s="1"/>
  <c r="A10" i="173" s="1"/>
  <c r="A11" i="173" s="1"/>
  <c r="A12" i="173" s="1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A45" i="173" s="1"/>
  <c r="A46" i="173" s="1"/>
  <c r="A47" i="173" s="1"/>
  <c r="A48" i="173" s="1"/>
  <c r="A49" i="173" s="1"/>
  <c r="A50" i="173" s="1"/>
  <c r="A51" i="173" s="1"/>
  <c r="A52" i="173" s="1"/>
  <c r="A53" i="173" s="1"/>
  <c r="A54" i="173" s="1"/>
  <c r="A55" i="173" s="1"/>
  <c r="A56" i="173" s="1"/>
  <c r="A57" i="173" s="1"/>
  <c r="A58" i="173" s="1"/>
  <c r="A59" i="173" s="1"/>
  <c r="A60" i="173" s="1"/>
  <c r="A61" i="173" s="1"/>
  <c r="A62" i="173" s="1"/>
  <c r="A63" i="173" s="1"/>
  <c r="A64" i="173" s="1"/>
  <c r="A65" i="173" s="1"/>
  <c r="A158" i="173" s="1"/>
  <c r="A159" i="173" s="1"/>
  <c r="A66" i="173" s="1"/>
  <c r="A67" i="173" s="1"/>
  <c r="A68" i="173" s="1"/>
  <c r="A69" i="173" s="1"/>
  <c r="A70" i="173" s="1"/>
  <c r="A71" i="173" s="1"/>
  <c r="A72" i="173" s="1"/>
  <c r="A73" i="173" s="1"/>
  <c r="A74" i="173" s="1"/>
  <c r="A75" i="173" s="1"/>
  <c r="A76" i="173" s="1"/>
  <c r="A77" i="173" s="1"/>
  <c r="A78" i="173" s="1"/>
  <c r="A79" i="173" s="1"/>
  <c r="A80" i="173" s="1"/>
  <c r="A81" i="173" s="1"/>
  <c r="A82" i="173" s="1"/>
  <c r="A83" i="173" s="1"/>
  <c r="A84" i="173" s="1"/>
  <c r="A85" i="173" s="1"/>
  <c r="A86" i="173" s="1"/>
  <c r="A87" i="173" s="1"/>
  <c r="A88" i="173" s="1"/>
  <c r="A89" i="173" s="1"/>
  <c r="A90" i="173" s="1"/>
  <c r="A91" i="173" s="1"/>
  <c r="A92" i="173" s="1"/>
  <c r="A93" i="173" s="1"/>
  <c r="A94" i="173" s="1"/>
  <c r="A95" i="173" s="1"/>
  <c r="A143" i="173" s="1"/>
  <c r="A96" i="173" s="1"/>
  <c r="A97" i="173" s="1"/>
  <c r="A98" i="173" s="1"/>
  <c r="A144" i="173" s="1"/>
  <c r="A99" i="173" s="1"/>
  <c r="A100" i="173" s="1"/>
  <c r="A101" i="173" s="1"/>
  <c r="A102" i="173" s="1"/>
  <c r="A103" i="173" s="1"/>
  <c r="A104" i="173" s="1"/>
  <c r="A105" i="173" s="1"/>
  <c r="A106" i="173" s="1"/>
  <c r="A107" i="173" s="1"/>
  <c r="A108" i="173" s="1"/>
  <c r="A109" i="173" s="1"/>
  <c r="A110" i="173" s="1"/>
  <c r="A111" i="173" s="1"/>
  <c r="A112" i="173" s="1"/>
  <c r="A113" i="173" s="1"/>
  <c r="A114" i="173" s="1"/>
  <c r="A115" i="173" s="1"/>
  <c r="A116" i="173" s="1"/>
  <c r="A117" i="173" s="1"/>
  <c r="A118" i="173" s="1"/>
  <c r="A119" i="173" s="1"/>
  <c r="A120" i="173" s="1"/>
  <c r="A121" i="173" s="1"/>
  <c r="A122" i="173" s="1"/>
  <c r="A123" i="173" s="1"/>
  <c r="A124" i="173" s="1"/>
  <c r="A125" i="173" s="1"/>
  <c r="A126" i="173" s="1"/>
  <c r="A127" i="173" s="1"/>
  <c r="A128" i="173" s="1"/>
  <c r="A129" i="173" s="1"/>
  <c r="A130" i="173" s="1"/>
  <c r="A131" i="173" s="1"/>
  <c r="A132" i="173" s="1"/>
  <c r="A133" i="173" s="1"/>
  <c r="A134" i="173" s="1"/>
  <c r="A135" i="173" s="1"/>
  <c r="A136" i="173" s="1"/>
  <c r="A137" i="173" s="1"/>
  <c r="A138" i="173" s="1"/>
  <c r="A139" i="173" s="1"/>
  <c r="A140" i="173" s="1"/>
  <c r="A141" i="173" s="1"/>
  <c r="A142" i="173" s="1"/>
  <c r="A145" i="173" s="1"/>
  <c r="A146" i="173" s="1"/>
  <c r="A147" i="173" s="1"/>
  <c r="A148" i="173" s="1"/>
  <c r="A149" i="173" s="1"/>
  <c r="A150" i="173" s="1"/>
  <c r="A151" i="173" s="1"/>
  <c r="A152" i="173" s="1"/>
  <c r="A153" i="173" s="1"/>
  <c r="A154" i="173" s="1"/>
  <c r="A155" i="173" s="1"/>
  <c r="A156" i="173" s="1"/>
  <c r="A157" i="173" s="1"/>
  <c r="A160" i="173" s="1"/>
  <c r="A161" i="173" s="1"/>
  <c r="A162" i="173" s="1"/>
  <c r="A163" i="173" s="1"/>
  <c r="A164" i="173" s="1"/>
  <c r="A165" i="173" s="1"/>
  <c r="A166" i="173" s="1"/>
  <c r="A167" i="173" s="1"/>
  <c r="A168" i="173" s="1"/>
  <c r="A169" i="173" s="1"/>
  <c r="A170" i="173" s="1"/>
  <c r="A171" i="173" s="1"/>
  <c r="A172" i="173" s="1"/>
  <c r="A173" i="173" s="1"/>
  <c r="A174" i="173" s="1"/>
  <c r="A175" i="173" s="1"/>
  <c r="A176" i="173" s="1"/>
  <c r="A177" i="173" s="1"/>
  <c r="A178" i="173" s="1"/>
  <c r="A179" i="173" s="1"/>
  <c r="A180" i="173" s="1"/>
  <c r="A181" i="173" s="1"/>
  <c r="A182" i="173" s="1"/>
  <c r="A183" i="173" s="1"/>
  <c r="A184" i="173" s="1"/>
  <c r="A185" i="173" s="1"/>
  <c r="A186" i="173" s="1"/>
  <c r="A187" i="173" s="1"/>
  <c r="A188" i="173" s="1"/>
  <c r="A189" i="173" s="1"/>
  <c r="A190" i="173" s="1"/>
  <c r="A191" i="173" s="1"/>
  <c r="A192" i="173" s="1"/>
  <c r="A193" i="173" s="1"/>
  <c r="A194" i="173" s="1"/>
  <c r="A195" i="173" s="1"/>
  <c r="A196" i="173" s="1"/>
  <c r="A197" i="173" s="1"/>
  <c r="A198" i="173" s="1"/>
  <c r="A199" i="173" s="1"/>
  <c r="A200" i="173" s="1"/>
  <c r="A201" i="173" s="1"/>
  <c r="A202" i="173" s="1"/>
  <c r="A203" i="173" s="1"/>
  <c r="A204" i="173" s="1"/>
  <c r="A205" i="173" s="1"/>
  <c r="A206" i="173" s="1"/>
  <c r="A207" i="173" s="1"/>
  <c r="A208" i="173" s="1"/>
  <c r="A209" i="173" s="1"/>
  <c r="A210" i="173" s="1"/>
  <c r="A211" i="173" s="1"/>
  <c r="A212" i="173" s="1"/>
  <c r="A213" i="173" s="1"/>
  <c r="A214" i="173" s="1"/>
  <c r="A215" i="173" s="1"/>
  <c r="A216" i="173" s="1"/>
  <c r="A217" i="173" s="1"/>
  <c r="A218" i="173" s="1"/>
  <c r="A219" i="173" s="1"/>
  <c r="A220" i="173" s="1"/>
  <c r="A221" i="173" s="1"/>
  <c r="A222" i="173" s="1"/>
  <c r="A223" i="173" s="1"/>
  <c r="A224" i="173" s="1"/>
  <c r="A225" i="173" s="1"/>
  <c r="A226" i="173" s="1"/>
  <c r="A227" i="173" s="1"/>
  <c r="A228" i="173" s="1"/>
  <c r="A229" i="173" s="1"/>
  <c r="A230" i="173" s="1"/>
  <c r="A231" i="173" s="1"/>
  <c r="A232" i="173" s="1"/>
  <c r="A233" i="173" s="1"/>
  <c r="A234" i="173" s="1"/>
  <c r="A235" i="173" s="1"/>
  <c r="A236" i="173" s="1"/>
  <c r="A237" i="173" s="1"/>
  <c r="A238" i="173" s="1"/>
  <c r="A239" i="173" s="1"/>
  <c r="A240" i="173" s="1"/>
  <c r="A241" i="173" s="1"/>
  <c r="A242" i="173" s="1"/>
  <c r="A243" i="173" s="1"/>
  <c r="A244" i="173" s="1"/>
  <c r="A245" i="173" s="1"/>
  <c r="A246" i="173" s="1"/>
  <c r="A247" i="173" s="1"/>
  <c r="A248" i="173" s="1"/>
  <c r="A249" i="173" s="1"/>
  <c r="A250" i="173" s="1"/>
  <c r="A251" i="173" s="1"/>
  <c r="A252" i="173" s="1"/>
  <c r="A253" i="173" s="1"/>
  <c r="A254" i="173" s="1"/>
  <c r="A255" i="173" s="1"/>
  <c r="A256" i="173" s="1"/>
  <c r="A257" i="173" s="1"/>
  <c r="A258" i="173" s="1"/>
  <c r="A259" i="173" s="1"/>
  <c r="A260" i="173" s="1"/>
  <c r="A261" i="173" s="1"/>
  <c r="A262" i="173" s="1"/>
  <c r="A263" i="173" s="1"/>
  <c r="A264" i="173" s="1"/>
  <c r="A265" i="173" s="1"/>
  <c r="A266" i="173" s="1"/>
  <c r="A267" i="173" s="1"/>
  <c r="A268" i="173" s="1"/>
  <c r="A269" i="173" s="1"/>
  <c r="A270" i="173" s="1"/>
  <c r="A271" i="173" s="1"/>
  <c r="A272" i="173" s="1"/>
  <c r="A273" i="173" s="1"/>
  <c r="A274" i="173" s="1"/>
  <c r="A275" i="173" s="1"/>
  <c r="M289" i="173" l="1"/>
  <c r="O291" i="173"/>
  <c r="R291" i="173" s="1"/>
  <c r="S280" i="173"/>
  <c r="S282" i="173"/>
  <c r="AF141" i="173" l="1"/>
  <c r="AF144" i="173" s="1"/>
  <c r="H33" i="3" l="1"/>
  <c r="G32" i="3"/>
  <c r="F32" i="3" s="1"/>
  <c r="F33" i="3" s="1"/>
  <c r="L10" i="3"/>
  <c r="B26" i="3"/>
  <c r="B25" i="3" s="1"/>
  <c r="C25" i="3" s="1"/>
  <c r="A6" i="32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Q6" i="32"/>
  <c r="R6" i="32"/>
  <c r="S6" i="32"/>
  <c r="T6" i="32"/>
  <c r="U6" i="32"/>
  <c r="V6" i="32" s="1"/>
  <c r="Q7" i="32"/>
  <c r="R7" i="32"/>
  <c r="S7" i="32"/>
  <c r="T7" i="32"/>
  <c r="U7" i="32"/>
  <c r="Y7" i="32" s="1"/>
  <c r="U8" i="32"/>
  <c r="X8" i="32" s="1"/>
  <c r="Q8" i="32"/>
  <c r="R8" i="32"/>
  <c r="S8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45" i="32"/>
  <c r="T46" i="32"/>
  <c r="T47" i="32"/>
  <c r="T48" i="32"/>
  <c r="T49" i="32"/>
  <c r="T50" i="32"/>
  <c r="T51" i="32"/>
  <c r="T52" i="32"/>
  <c r="Q9" i="32"/>
  <c r="R9" i="32"/>
  <c r="S9" i="32"/>
  <c r="U9" i="32"/>
  <c r="V9" i="32" s="1"/>
  <c r="Q10" i="32"/>
  <c r="R10" i="32"/>
  <c r="S10" i="32"/>
  <c r="U10" i="32"/>
  <c r="U110" i="32" s="1"/>
  <c r="Q11" i="32"/>
  <c r="R11" i="32"/>
  <c r="S11" i="32"/>
  <c r="U11" i="32"/>
  <c r="Z11" i="32" s="1"/>
  <c r="Q12" i="32"/>
  <c r="R12" i="32"/>
  <c r="S12" i="32"/>
  <c r="U12" i="32"/>
  <c r="Q13" i="32"/>
  <c r="R13" i="32"/>
  <c r="S13" i="32"/>
  <c r="U13" i="32"/>
  <c r="Z13" i="32" s="1"/>
  <c r="Q14" i="32"/>
  <c r="R14" i="32"/>
  <c r="S14" i="32"/>
  <c r="U14" i="32"/>
  <c r="X14" i="32" s="1"/>
  <c r="Q15" i="32"/>
  <c r="R15" i="32"/>
  <c r="S15" i="32"/>
  <c r="U15" i="32"/>
  <c r="V15" i="32" s="1"/>
  <c r="Q16" i="32"/>
  <c r="R16" i="32"/>
  <c r="S16" i="32"/>
  <c r="U16" i="32"/>
  <c r="X16" i="32" s="1"/>
  <c r="Q17" i="32"/>
  <c r="R17" i="32"/>
  <c r="S17" i="32"/>
  <c r="U17" i="32"/>
  <c r="Z17" i="32"/>
  <c r="Q18" i="32"/>
  <c r="R18" i="32"/>
  <c r="S18" i="32"/>
  <c r="U18" i="32"/>
  <c r="Z18" i="32" s="1"/>
  <c r="Q19" i="32"/>
  <c r="R19" i="32"/>
  <c r="S19" i="32"/>
  <c r="U19" i="32"/>
  <c r="X19" i="32" s="1"/>
  <c r="Q20" i="32"/>
  <c r="R20" i="32"/>
  <c r="S20" i="32"/>
  <c r="U20" i="32"/>
  <c r="Z20" i="32" s="1"/>
  <c r="Q21" i="32"/>
  <c r="R21" i="32"/>
  <c r="S21" i="32"/>
  <c r="U21" i="32"/>
  <c r="V21" i="32" s="1"/>
  <c r="Q22" i="32"/>
  <c r="R22" i="32"/>
  <c r="S22" i="32"/>
  <c r="U22" i="32"/>
  <c r="X22" i="32" s="1"/>
  <c r="Q23" i="32"/>
  <c r="R23" i="32"/>
  <c r="S23" i="32"/>
  <c r="U23" i="32"/>
  <c r="V23" i="32" s="1"/>
  <c r="Q24" i="32"/>
  <c r="R24" i="32"/>
  <c r="S24" i="32"/>
  <c r="U24" i="32"/>
  <c r="X24" i="32" s="1"/>
  <c r="U25" i="32"/>
  <c r="Y25" i="32" s="1"/>
  <c r="Q25" i="32"/>
  <c r="R25" i="32"/>
  <c r="S25" i="32"/>
  <c r="Q26" i="32"/>
  <c r="R26" i="32"/>
  <c r="S26" i="32"/>
  <c r="U26" i="32"/>
  <c r="Z26" i="32" s="1"/>
  <c r="Q27" i="32"/>
  <c r="R27" i="32"/>
  <c r="S27" i="32"/>
  <c r="U27" i="32"/>
  <c r="X27" i="32" s="1"/>
  <c r="Q28" i="32"/>
  <c r="R28" i="32"/>
  <c r="S28" i="32"/>
  <c r="U28" i="32"/>
  <c r="X28" i="32" s="1"/>
  <c r="Q29" i="32"/>
  <c r="R29" i="32"/>
  <c r="S29" i="32"/>
  <c r="U29" i="32"/>
  <c r="X29" i="32" s="1"/>
  <c r="Q30" i="32"/>
  <c r="R30" i="32"/>
  <c r="S30" i="32"/>
  <c r="U30" i="32"/>
  <c r="X30" i="32" s="1"/>
  <c r="Q31" i="32"/>
  <c r="R31" i="32"/>
  <c r="S31" i="32"/>
  <c r="U31" i="32"/>
  <c r="Z31" i="32" s="1"/>
  <c r="Q32" i="32"/>
  <c r="R32" i="32"/>
  <c r="S32" i="32"/>
  <c r="U32" i="32"/>
  <c r="V32" i="32" s="1"/>
  <c r="Q33" i="32"/>
  <c r="R33" i="32"/>
  <c r="S33" i="32"/>
  <c r="U33" i="32"/>
  <c r="X33" i="32" s="1"/>
  <c r="Q34" i="32"/>
  <c r="R34" i="32"/>
  <c r="S34" i="32"/>
  <c r="U34" i="32"/>
  <c r="Z34" i="32" s="1"/>
  <c r="Q35" i="32"/>
  <c r="R35" i="32"/>
  <c r="S35" i="32"/>
  <c r="U35" i="32"/>
  <c r="Z35" i="32" s="1"/>
  <c r="Q36" i="32"/>
  <c r="R36" i="32"/>
  <c r="S36" i="32"/>
  <c r="U36" i="32"/>
  <c r="Z36" i="32" s="1"/>
  <c r="Q37" i="32"/>
  <c r="R37" i="32"/>
  <c r="S37" i="32"/>
  <c r="U37" i="32"/>
  <c r="Z37" i="32" s="1"/>
  <c r="U38" i="32"/>
  <c r="X38" i="32" s="1"/>
  <c r="U39" i="32"/>
  <c r="Z39" i="32" s="1"/>
  <c r="Q38" i="32"/>
  <c r="R38" i="32"/>
  <c r="S38" i="32"/>
  <c r="Q39" i="32"/>
  <c r="R39" i="32"/>
  <c r="S39" i="32"/>
  <c r="Q40" i="32"/>
  <c r="R40" i="32"/>
  <c r="S40" i="32"/>
  <c r="U40" i="32"/>
  <c r="Z40" i="32" s="1"/>
  <c r="Q41" i="32"/>
  <c r="R41" i="32"/>
  <c r="S41" i="32"/>
  <c r="U41" i="32"/>
  <c r="Z41" i="32" s="1"/>
  <c r="Q42" i="32"/>
  <c r="R42" i="32"/>
  <c r="S42" i="32"/>
  <c r="U42" i="32"/>
  <c r="X42" i="32" s="1"/>
  <c r="Q43" i="32"/>
  <c r="R43" i="32"/>
  <c r="S43" i="32"/>
  <c r="U43" i="32"/>
  <c r="V43" i="32" s="1"/>
  <c r="Q44" i="32"/>
  <c r="R44" i="32"/>
  <c r="S44" i="32"/>
  <c r="U44" i="32"/>
  <c r="Z44" i="32" s="1"/>
  <c r="Q45" i="32"/>
  <c r="R45" i="32"/>
  <c r="S45" i="32"/>
  <c r="U45" i="32"/>
  <c r="Y45" i="32" s="1"/>
  <c r="Q46" i="32"/>
  <c r="R46" i="32"/>
  <c r="S46" i="32"/>
  <c r="U46" i="32"/>
  <c r="Z46" i="32" s="1"/>
  <c r="Q47" i="32"/>
  <c r="R47" i="32"/>
  <c r="S47" i="32"/>
  <c r="U47" i="32"/>
  <c r="Z47" i="32" s="1"/>
  <c r="Q48" i="32"/>
  <c r="R48" i="32"/>
  <c r="S48" i="32"/>
  <c r="U48" i="32"/>
  <c r="Y48" i="32" s="1"/>
  <c r="Q49" i="32"/>
  <c r="R49" i="32"/>
  <c r="S49" i="32"/>
  <c r="U49" i="32"/>
  <c r="Y49" i="32" s="1"/>
  <c r="Q50" i="32"/>
  <c r="R50" i="32"/>
  <c r="S50" i="32"/>
  <c r="U50" i="32"/>
  <c r="Z50" i="32" s="1"/>
  <c r="Q51" i="32"/>
  <c r="R51" i="32"/>
  <c r="S51" i="32"/>
  <c r="U51" i="32"/>
  <c r="Y51" i="32" s="1"/>
  <c r="Q52" i="32"/>
  <c r="R52" i="32"/>
  <c r="S52" i="32"/>
  <c r="U52" i="32"/>
  <c r="Z52" i="32" s="1"/>
  <c r="J194" i="32"/>
  <c r="J199" i="32"/>
  <c r="K194" i="32"/>
  <c r="K199" i="32"/>
  <c r="K204" i="32" s="1"/>
  <c r="L194" i="32"/>
  <c r="M194" i="32"/>
  <c r="N194" i="32"/>
  <c r="N199" i="32"/>
  <c r="O194" i="32"/>
  <c r="Q197" i="32"/>
  <c r="J203" i="32"/>
  <c r="H31" i="3"/>
  <c r="H35" i="3"/>
  <c r="H36" i="3" s="1"/>
  <c r="H37" i="3" s="1"/>
  <c r="B27" i="3"/>
  <c r="G9" i="3"/>
  <c r="H9" i="3" s="1"/>
  <c r="I9" i="3" s="1"/>
  <c r="G13" i="3"/>
  <c r="L9" i="3"/>
  <c r="M9" i="3" s="1"/>
  <c r="N9" i="3" s="1"/>
  <c r="G12" i="3"/>
  <c r="H12" i="3" s="1"/>
  <c r="I12" i="3" s="1"/>
  <c r="L12" i="3"/>
  <c r="M12" i="3" s="1"/>
  <c r="N12" i="3" s="1"/>
  <c r="L13" i="3"/>
  <c r="M13" i="3" s="1"/>
  <c r="N13" i="3" s="1"/>
  <c r="I14" i="3"/>
  <c r="H22" i="3"/>
  <c r="H23" i="3" s="1"/>
  <c r="K21" i="3"/>
  <c r="K22" i="3" s="1"/>
  <c r="H27" i="3"/>
  <c r="L11" i="3"/>
  <c r="M11" i="3" s="1"/>
  <c r="N11" i="3" s="1"/>
  <c r="G10" i="3"/>
  <c r="H10" i="3" s="1"/>
  <c r="I10" i="3" s="1"/>
  <c r="N10" i="3" s="1"/>
  <c r="M10" i="3" s="1"/>
  <c r="K10" i="3" s="1"/>
  <c r="Y12" i="32"/>
  <c r="Z15" i="32"/>
  <c r="X15" i="32"/>
  <c r="V34" i="32"/>
  <c r="V14" i="32"/>
  <c r="Z14" i="32"/>
  <c r="X9" i="32"/>
  <c r="Y14" i="32"/>
  <c r="Y9" i="32"/>
  <c r="Y15" i="32" l="1"/>
  <c r="V8" i="32"/>
  <c r="V17" i="32"/>
  <c r="Z16" i="32"/>
  <c r="G8" i="3"/>
  <c r="Z51" i="32"/>
  <c r="V31" i="32"/>
  <c r="Z45" i="32"/>
  <c r="Z33" i="32"/>
  <c r="AA33" i="32" s="1"/>
  <c r="AB33" i="32" s="1"/>
  <c r="X40" i="32"/>
  <c r="AA40" i="32" s="1"/>
  <c r="AB40" i="32" s="1"/>
  <c r="V51" i="32"/>
  <c r="Y44" i="32"/>
  <c r="X32" i="32"/>
  <c r="X45" i="32"/>
  <c r="AA45" i="32" s="1"/>
  <c r="AB45" i="32" s="1"/>
  <c r="X18" i="32"/>
  <c r="X21" i="32"/>
  <c r="T59" i="32"/>
  <c r="V22" i="32"/>
  <c r="X6" i="32"/>
  <c r="K201" i="32"/>
  <c r="Z22" i="32"/>
  <c r="Z43" i="32"/>
  <c r="Y21" i="32"/>
  <c r="V20" i="32"/>
  <c r="X46" i="32"/>
  <c r="Y24" i="32"/>
  <c r="X34" i="32"/>
  <c r="AA34" i="32" s="1"/>
  <c r="AB34" i="32" s="1"/>
  <c r="V52" i="32"/>
  <c r="X52" i="32"/>
  <c r="X26" i="32"/>
  <c r="Y30" i="32"/>
  <c r="Z30" i="32"/>
  <c r="Y50" i="32"/>
  <c r="Y6" i="32"/>
  <c r="X31" i="32"/>
  <c r="J200" i="32"/>
  <c r="X25" i="32"/>
  <c r="X44" i="32"/>
  <c r="AA44" i="32" s="1"/>
  <c r="AB44" i="32" s="1"/>
  <c r="X39" i="32"/>
  <c r="AA39" i="32" s="1"/>
  <c r="AB39" i="32" s="1"/>
  <c r="B24" i="3"/>
  <c r="Z23" i="32"/>
  <c r="Z6" i="32"/>
  <c r="Z42" i="32"/>
  <c r="AA42" i="32" s="1"/>
  <c r="AB42" i="32" s="1"/>
  <c r="Z24" i="32"/>
  <c r="AA24" i="32" s="1"/>
  <c r="AB24" i="32" s="1"/>
  <c r="N200" i="32"/>
  <c r="X50" i="32"/>
  <c r="Y31" i="32"/>
  <c r="X47" i="32"/>
  <c r="Z29" i="32"/>
  <c r="Z25" i="32"/>
  <c r="U60" i="32"/>
  <c r="X35" i="32"/>
  <c r="AA35" i="32" s="1"/>
  <c r="AB35" i="32" s="1"/>
  <c r="Y36" i="32"/>
  <c r="Y18" i="32"/>
  <c r="Y52" i="32"/>
  <c r="V25" i="32"/>
  <c r="V19" i="32"/>
  <c r="V35" i="32"/>
  <c r="X7" i="32"/>
  <c r="X23" i="32"/>
  <c r="Y19" i="32"/>
  <c r="X36" i="32"/>
  <c r="Z32" i="32"/>
  <c r="AA32" i="32" s="1"/>
  <c r="AB32" i="32" s="1"/>
  <c r="V36" i="32"/>
  <c r="Y29" i="32"/>
  <c r="AA29" i="32" s="1"/>
  <c r="AB29" i="32" s="1"/>
  <c r="Z19" i="32"/>
  <c r="Y22" i="32"/>
  <c r="X43" i="32"/>
  <c r="X41" i="32"/>
  <c r="AA41" i="32" s="1"/>
  <c r="AB41" i="32" s="1"/>
  <c r="Y46" i="32"/>
  <c r="Y23" i="32"/>
  <c r="V13" i="32"/>
  <c r="V11" i="32"/>
  <c r="W17" i="32"/>
  <c r="T54" i="32"/>
  <c r="AA14" i="32"/>
  <c r="AB14" i="32" s="1"/>
  <c r="AA15" i="32"/>
  <c r="AB15" i="32" s="1"/>
  <c r="X10" i="32"/>
  <c r="Z38" i="32"/>
  <c r="AA38" i="32" s="1"/>
  <c r="AB38" i="32" s="1"/>
  <c r="X11" i="32"/>
  <c r="AA11" i="32" s="1"/>
  <c r="AB11" i="32" s="1"/>
  <c r="Z21" i="32"/>
  <c r="Z10" i="32"/>
  <c r="Z49" i="32"/>
  <c r="X49" i="32"/>
  <c r="X48" i="32"/>
  <c r="V33" i="32"/>
  <c r="Y26" i="32"/>
  <c r="V30" i="32"/>
  <c r="G11" i="3"/>
  <c r="H11" i="3" s="1"/>
  <c r="I11" i="3" s="1"/>
  <c r="Y16" i="32"/>
  <c r="AA16" i="32" s="1"/>
  <c r="AB16" i="32" s="1"/>
  <c r="Y47" i="32"/>
  <c r="X17" i="32"/>
  <c r="Y17" i="32"/>
  <c r="Z7" i="32"/>
  <c r="U59" i="32"/>
  <c r="U54" i="32"/>
  <c r="T60" i="32"/>
  <c r="Z27" i="32"/>
  <c r="X51" i="32"/>
  <c r="AA51" i="32" s="1"/>
  <c r="AB51" i="32" s="1"/>
  <c r="Z48" i="32"/>
  <c r="Y28" i="32"/>
  <c r="Z28" i="32"/>
  <c r="Y27" i="32"/>
  <c r="X13" i="32"/>
  <c r="Y13" i="32"/>
  <c r="X12" i="32"/>
  <c r="H24" i="3"/>
  <c r="W52" i="32"/>
  <c r="Z9" i="32"/>
  <c r="AA9" i="32" s="1"/>
  <c r="AB9" i="32" s="1"/>
  <c r="I22" i="3"/>
  <c r="Z12" i="32"/>
  <c r="H13" i="3"/>
  <c r="I13" i="3" s="1"/>
  <c r="V42" i="32"/>
  <c r="V39" i="32"/>
  <c r="X37" i="32"/>
  <c r="AA37" i="32" s="1"/>
  <c r="AB37" i="32" s="1"/>
  <c r="X20" i="32"/>
  <c r="Y20" i="32"/>
  <c r="Y8" i="32"/>
  <c r="Z8" i="32"/>
  <c r="AA18" i="32" l="1"/>
  <c r="AB18" i="32" s="1"/>
  <c r="AA22" i="32"/>
  <c r="AB22" i="32" s="1"/>
  <c r="AA46" i="32"/>
  <c r="AB46" i="32" s="1"/>
  <c r="AA50" i="32"/>
  <c r="AB50" i="32" s="1"/>
  <c r="AA26" i="32"/>
  <c r="AB26" i="32" s="1"/>
  <c r="AA43" i="32"/>
  <c r="AB43" i="32" s="1"/>
  <c r="AA30" i="32"/>
  <c r="AB30" i="32" s="1"/>
  <c r="AA31" i="32"/>
  <c r="AB31" i="32" s="1"/>
  <c r="AA52" i="32"/>
  <c r="AB52" i="32" s="1"/>
  <c r="AA21" i="32"/>
  <c r="AB21" i="32" s="1"/>
  <c r="U58" i="32"/>
  <c r="U62" i="32" s="1"/>
  <c r="AA7" i="32"/>
  <c r="AB7" i="32" s="1"/>
  <c r="AA36" i="32"/>
  <c r="AB36" i="32" s="1"/>
  <c r="AA25" i="32"/>
  <c r="AB25" i="32" s="1"/>
  <c r="AA6" i="32"/>
  <c r="AB6" i="32" s="1"/>
  <c r="AA23" i="32"/>
  <c r="AB23" i="32" s="1"/>
  <c r="AA10" i="32"/>
  <c r="T110" i="32" s="1"/>
  <c r="AA20" i="32"/>
  <c r="AB20" i="32" s="1"/>
  <c r="AA13" i="32"/>
  <c r="AB13" i="32" s="1"/>
  <c r="AA47" i="32"/>
  <c r="AB47" i="32" s="1"/>
  <c r="AA19" i="32"/>
  <c r="AB19" i="32" s="1"/>
  <c r="I21" i="3"/>
  <c r="AA27" i="32"/>
  <c r="AB27" i="32" s="1"/>
  <c r="AA28" i="32"/>
  <c r="AB28" i="32" s="1"/>
  <c r="T58" i="32"/>
  <c r="T109" i="32"/>
  <c r="AA17" i="32"/>
  <c r="AB17" i="32" s="1"/>
  <c r="AA48" i="32"/>
  <c r="AB48" i="32" s="1"/>
  <c r="V54" i="32"/>
  <c r="V105" i="32" s="1"/>
  <c r="AA49" i="32"/>
  <c r="AB49" i="32" s="1"/>
  <c r="AA8" i="32"/>
  <c r="AB8" i="32" s="1"/>
  <c r="AA12" i="32"/>
  <c r="AB12" i="32" s="1"/>
  <c r="W54" i="32"/>
  <c r="W105" i="32" s="1"/>
  <c r="U109" i="32" l="1"/>
  <c r="U108" i="32" s="1"/>
  <c r="U112" i="32" s="1"/>
  <c r="U105" i="32"/>
  <c r="I23" i="3"/>
  <c r="I24" i="3" s="1"/>
  <c r="AB10" i="32"/>
  <c r="T62" i="32"/>
  <c r="T105" i="32" s="1"/>
  <c r="T108" i="32"/>
  <c r="T112" i="32" s="1"/>
  <c r="AA54" i="32"/>
  <c r="AA57" i="32" s="1"/>
  <c r="AA105" i="32" l="1"/>
  <c r="AA253" i="178"/>
  <c r="AB253" i="178"/>
  <c r="AB228" i="179"/>
  <c r="AF89" i="179"/>
  <c r="AF228" i="179"/>
  <c r="AA104" i="180" l="1"/>
  <c r="Z104" i="180"/>
  <c r="AF123" i="185"/>
  <c r="AA228" i="179" l="1"/>
  <c r="AA86" i="179"/>
  <c r="Z228" i="179"/>
  <c r="Z86" i="179"/>
</calcChain>
</file>

<file path=xl/sharedStrings.xml><?xml version="1.0" encoding="utf-8"?>
<sst xmlns="http://schemas.openxmlformats.org/spreadsheetml/2006/main" count="25899" uniqueCount="9043">
  <si>
    <t>CUOTA ASOC</t>
  </si>
  <si>
    <t xml:space="preserve">1B3DL46X44N293206 </t>
  </si>
  <si>
    <t>0137-TCN06</t>
  </si>
  <si>
    <t>4RUNNER LIMITED</t>
  </si>
  <si>
    <t>BUCAAR, S.A.</t>
  </si>
  <si>
    <t>AINT,S DE R.L. DE C.</t>
  </si>
  <si>
    <t>REPORTE DE ISAN JULIO/06</t>
  </si>
  <si>
    <t>663</t>
  </si>
  <si>
    <t>AGOSTO.2006</t>
  </si>
  <si>
    <t>F&amp;i</t>
  </si>
  <si>
    <t>AGUILAR SAN ROMAN AN</t>
  </si>
  <si>
    <t>0710-TCN06</t>
  </si>
  <si>
    <t>BARRIOS NAVA MARIA A</t>
  </si>
  <si>
    <t xml:space="preserve">2T1BR32E06C668677 </t>
  </si>
  <si>
    <t xml:space="preserve">2TIBR32E26C621098 </t>
  </si>
  <si>
    <t xml:space="preserve">JTFRX13P668001091 </t>
  </si>
  <si>
    <t xml:space="preserve">JTFRX13P068000986 </t>
  </si>
  <si>
    <t xml:space="preserve">8AJEX32G064003770 </t>
  </si>
  <si>
    <t xml:space="preserve">2T1KR32E67C630047 </t>
  </si>
  <si>
    <t>COROLLA LE SIN Q/C</t>
  </si>
  <si>
    <t>0576-TCN06</t>
  </si>
  <si>
    <t>MARTINEZ ROJAS JUAN</t>
  </si>
  <si>
    <t>0546-TCN06</t>
  </si>
  <si>
    <t>0671-TCN06</t>
  </si>
  <si>
    <t>LOPEZ MEDINA FRANCIS</t>
  </si>
  <si>
    <t>FORANEO</t>
  </si>
  <si>
    <t xml:space="preserve">2T1BR32E07C718348 </t>
  </si>
  <si>
    <t xml:space="preserve">2T1BR32E76C710102 </t>
  </si>
  <si>
    <t xml:space="preserve">2T1BR32E57C719205 </t>
  </si>
  <si>
    <t>0740-TCN06</t>
  </si>
  <si>
    <t>PRIUS</t>
  </si>
  <si>
    <t>5% comercial</t>
  </si>
  <si>
    <t>IVA USADOS</t>
  </si>
  <si>
    <t>EARNBACK</t>
  </si>
  <si>
    <t>MODIFICADO</t>
  </si>
  <si>
    <t>CAMRY</t>
  </si>
  <si>
    <t>MOD</t>
  </si>
  <si>
    <t>TOTAL NUEVOS</t>
  </si>
  <si>
    <t>TOTAL USADOS</t>
  </si>
  <si>
    <t>TOTAL</t>
  </si>
  <si>
    <t>DIFERENCIA</t>
  </si>
  <si>
    <t>No</t>
  </si>
  <si>
    <t>VENTA</t>
  </si>
  <si>
    <t>UTILIDAD</t>
  </si>
  <si>
    <t>YARIS</t>
  </si>
  <si>
    <t>T. NUEVOS</t>
  </si>
  <si>
    <t>ESTADO FINANCIERO TOYOTA</t>
  </si>
  <si>
    <t>AÑO</t>
  </si>
  <si>
    <t>MR2 SPYDER</t>
  </si>
  <si>
    <t xml:space="preserve"> </t>
  </si>
  <si>
    <t xml:space="preserve">VENTA DE VEHICULOS </t>
  </si>
  <si>
    <t>Nº FACT</t>
  </si>
  <si>
    <t>CVE VEHIC SHCP</t>
  </si>
  <si>
    <t>TIPO DE VEHICULO</t>
  </si>
  <si>
    <t>INVENT</t>
  </si>
  <si>
    <t>NOMBRE</t>
  </si>
  <si>
    <t>Nº DE CHASIS</t>
  </si>
  <si>
    <t xml:space="preserve">JTDBT923571074188 </t>
  </si>
  <si>
    <t xml:space="preserve">JTDBT923571078953 </t>
  </si>
  <si>
    <t>UNITED AUTO DE AGUAS</t>
  </si>
  <si>
    <t>VEHICULOS TOY S. DE</t>
  </si>
  <si>
    <t>edo. Res</t>
  </si>
  <si>
    <t>ALDEN QUERETARO S. D</t>
  </si>
  <si>
    <t>RUSH</t>
  </si>
  <si>
    <t xml:space="preserve">8AJEX32G564003831 </t>
  </si>
  <si>
    <t xml:space="preserve">8AJEX32G364003729 </t>
  </si>
  <si>
    <t xml:space="preserve">8AJEX32G764003829 </t>
  </si>
  <si>
    <t xml:space="preserve">8AJEX32G364003536 </t>
  </si>
  <si>
    <t xml:space="preserve">8AJEX32G664003949 </t>
  </si>
  <si>
    <t>VENTURA SEGOBIA JOSE</t>
  </si>
  <si>
    <t>MARTINEZ DEL CAMPO H</t>
  </si>
  <si>
    <t>AUTOS CHAMPS S.A. D</t>
  </si>
  <si>
    <t>0096-TCN06</t>
  </si>
  <si>
    <t>0675-TCN06</t>
  </si>
  <si>
    <t>TOTAL INTERCAMBIOS</t>
  </si>
  <si>
    <t>KEPLER CONTAB</t>
  </si>
  <si>
    <t>LAND CRUISER</t>
  </si>
  <si>
    <t>0690-TCN06</t>
  </si>
  <si>
    <t>VALOR MOTRIZ DE TAMA</t>
  </si>
  <si>
    <t>0586-TCN06</t>
  </si>
  <si>
    <t>0713-TCN06</t>
  </si>
  <si>
    <t>SAUCEDO MEDINA JUAN</t>
  </si>
  <si>
    <t>0609-TCN06</t>
  </si>
  <si>
    <t>LEDESMA CACIQUE MA.</t>
  </si>
  <si>
    <t>0673-TCN06</t>
  </si>
  <si>
    <t>0672-TCN06</t>
  </si>
  <si>
    <t>PROMOTORA AUTOMOTRIZ</t>
  </si>
  <si>
    <t>0510-TCN06</t>
  </si>
  <si>
    <t>GE CAPITAL CEF MEXIC</t>
  </si>
  <si>
    <t>0727-TCN06</t>
  </si>
  <si>
    <t>SANCHEZ AYALA MIGUEL</t>
  </si>
  <si>
    <t>0669-TCN06</t>
  </si>
  <si>
    <t>0691-TCN06</t>
  </si>
  <si>
    <t>0692-TCN06</t>
  </si>
  <si>
    <t>CONTRERAS SOTO VICTO</t>
  </si>
  <si>
    <t>0659-TCN06</t>
  </si>
  <si>
    <t>OK CONTA</t>
  </si>
  <si>
    <t>AVANZA</t>
  </si>
  <si>
    <t>TUNDRA</t>
  </si>
  <si>
    <t>ALDEN SATELITE S DE</t>
  </si>
  <si>
    <t>0686-TCN06</t>
  </si>
  <si>
    <t>VEGA MUñOZ FERNANDO</t>
  </si>
  <si>
    <t>SANCHEZ ROBLES ERICK</t>
  </si>
  <si>
    <t>0754-TCN06</t>
  </si>
  <si>
    <t>SOTO RUIZ EULOGIO</t>
  </si>
  <si>
    <t xml:space="preserve">JTEZT17RX60025422 </t>
  </si>
  <si>
    <t xml:space="preserve">JTEZU14RX70084196 </t>
  </si>
  <si>
    <t xml:space="preserve">4T1BE46K47U570043 </t>
  </si>
  <si>
    <t xml:space="preserve">4T1BE46K97U051800 </t>
  </si>
  <si>
    <t>AGUILAR AGUILAR J. E</t>
  </si>
  <si>
    <t>0732-TCN06</t>
  </si>
  <si>
    <t>0647-TCN06</t>
  </si>
  <si>
    <t>0737-TCN06</t>
  </si>
  <si>
    <t>ESCOTO ROBLES PETROU</t>
  </si>
  <si>
    <t>0743-TCN06</t>
  </si>
  <si>
    <t>como nuevos</t>
  </si>
  <si>
    <t>EDISON MAQUINARIA S.</t>
  </si>
  <si>
    <t>SIENNA XLE PIEL</t>
  </si>
  <si>
    <t>0746-TCN06</t>
  </si>
  <si>
    <t>GONZALEZ ANTILLON MA</t>
  </si>
  <si>
    <t>0729-TCN06</t>
  </si>
  <si>
    <t>ENRIQUEZ RAMIREZ JUA</t>
  </si>
  <si>
    <t>0303-TCN06</t>
  </si>
  <si>
    <t>0333-TCN06</t>
  </si>
  <si>
    <t>0331-TCN06</t>
  </si>
  <si>
    <t xml:space="preserve">5TDZA22C96S546048 </t>
  </si>
  <si>
    <t xml:space="preserve">5TDZA22C86S531332 </t>
  </si>
  <si>
    <t xml:space="preserve">3TMJU62N66M028329 </t>
  </si>
  <si>
    <t xml:space="preserve">3TMJU62N06M018797 </t>
  </si>
  <si>
    <t>A PAGAR</t>
  </si>
  <si>
    <t xml:space="preserve">T. AUTOS </t>
  </si>
  <si>
    <t>A</t>
  </si>
  <si>
    <t>SIENNA XLE</t>
  </si>
  <si>
    <t>ALECSA CELAYA S DE RL DE CV</t>
  </si>
  <si>
    <t>TOYOMOTORS S.A. DE C</t>
  </si>
  <si>
    <t>ALECSA PACHUCA S DE</t>
  </si>
  <si>
    <t>FJ CRUISER</t>
  </si>
  <si>
    <t>YARIS SEDAN CORE AT A/C</t>
  </si>
  <si>
    <t>TACOMA DOB CAB TRD SPORT DOB.CABINA</t>
  </si>
  <si>
    <t>YARIS SEDAN CORE MT A/C</t>
  </si>
  <si>
    <t>0023-TCU06</t>
  </si>
  <si>
    <t>VIZCAYA RENDON GUILL</t>
  </si>
  <si>
    <t>0024-TCU06</t>
  </si>
  <si>
    <t>0028-TCU06</t>
  </si>
  <si>
    <t>0680-TCN06</t>
  </si>
  <si>
    <t>0756-TCN06</t>
  </si>
  <si>
    <t>HERBERT CARRILLO JUL</t>
  </si>
  <si>
    <t>0757-TCN06</t>
  </si>
  <si>
    <t>0347-TCN06</t>
  </si>
  <si>
    <t>0391-TCN06</t>
  </si>
  <si>
    <t xml:space="preserve">JTMZD31V066016857 </t>
  </si>
  <si>
    <t>INICIO</t>
  </si>
  <si>
    <t>FIN</t>
  </si>
  <si>
    <t>PRUEBA GLOBAL DE ISAN</t>
  </si>
  <si>
    <t>TIPO</t>
  </si>
  <si>
    <t>FECHA FACTURA</t>
  </si>
  <si>
    <t>FACTURA</t>
  </si>
  <si>
    <t>% PARA</t>
  </si>
  <si>
    <t>APLICARSE SOBRE</t>
  </si>
  <si>
    <t>LIMITE</t>
  </si>
  <si>
    <t>CUOTA</t>
  </si>
  <si>
    <t>EL EXCEDENTE DEL</t>
  </si>
  <si>
    <t>INFERIOR</t>
  </si>
  <si>
    <t>SUPERIOR</t>
  </si>
  <si>
    <t>FIJA</t>
  </si>
  <si>
    <t>LIMITE INFERIOR</t>
  </si>
  <si>
    <t>SIN IVA</t>
  </si>
  <si>
    <t>(-) CANCELACIONES</t>
  </si>
  <si>
    <t>USADOS TOYOTA</t>
  </si>
  <si>
    <t>USADOS OTROS</t>
  </si>
  <si>
    <t>T. AUTOS USADOS</t>
  </si>
  <si>
    <t>0557-TCN06</t>
  </si>
  <si>
    <t>HIACE 9 PASAJEROS A/C</t>
  </si>
  <si>
    <t>0246-TCN06</t>
  </si>
  <si>
    <t>0247-TCN06</t>
  </si>
  <si>
    <t>subtotal</t>
  </si>
  <si>
    <t>isan</t>
  </si>
  <si>
    <t>iva</t>
  </si>
  <si>
    <t>total</t>
  </si>
  <si>
    <t>costo</t>
  </si>
  <si>
    <t>UB</t>
  </si>
  <si>
    <t>0734-TCN06</t>
  </si>
  <si>
    <t>0708-TCN06</t>
  </si>
  <si>
    <t xml:space="preserve">4T1DK46K87U520710 </t>
  </si>
  <si>
    <t xml:space="preserve">4T1BK46K87U520223 </t>
  </si>
  <si>
    <t xml:space="preserve">4T1BF32K36U631538 </t>
  </si>
  <si>
    <t xml:space="preserve">2T1BR32E36C601734 </t>
  </si>
  <si>
    <t xml:space="preserve">2T1BR32E87C719294 </t>
  </si>
  <si>
    <t xml:space="preserve">2T1BR32E57C719155 </t>
  </si>
  <si>
    <t>VENDEDOR</t>
  </si>
  <si>
    <t>0733-TCN06</t>
  </si>
  <si>
    <t>FELIX GUIDO ULISES</t>
  </si>
  <si>
    <t>0736-TCN06</t>
  </si>
  <si>
    <t>GUTIERREZ RODRIGUEZ</t>
  </si>
  <si>
    <t>0574-TCN06</t>
  </si>
  <si>
    <t>0577-TCN06</t>
  </si>
  <si>
    <t>0696-TCN06</t>
  </si>
  <si>
    <t>0084-TCN06</t>
  </si>
  <si>
    <t>MONTOYA MELESIO JAIM</t>
  </si>
  <si>
    <t>FAME PERISUR SA DE C</t>
  </si>
  <si>
    <t xml:space="preserve">JTMZD35V565029927 </t>
  </si>
  <si>
    <t>OK. CONTA</t>
  </si>
  <si>
    <t xml:space="preserve">3FABP05B21M109031 </t>
  </si>
  <si>
    <t>0701-TCN06</t>
  </si>
  <si>
    <t>VELAZQUEZ GUERRERO M</t>
  </si>
  <si>
    <t>CONSULTORIA INTEGRA</t>
  </si>
  <si>
    <t>0705-TCN06</t>
  </si>
  <si>
    <t xml:space="preserve">8AJEX32G264003723 </t>
  </si>
  <si>
    <t xml:space="preserve">8AJEX32G364003830 </t>
  </si>
  <si>
    <t>0718-TCN06</t>
  </si>
  <si>
    <t>SOLORZANO GONZALEZ</t>
  </si>
  <si>
    <t>0725-TCN06</t>
  </si>
  <si>
    <t xml:space="preserve">JTDBT923471057589 </t>
  </si>
  <si>
    <t xml:space="preserve">JTDBT923571071663 </t>
  </si>
  <si>
    <t xml:space="preserve">JTDBT923471074151 </t>
  </si>
  <si>
    <t xml:space="preserve">3N1JH01S94L082061 </t>
  </si>
  <si>
    <t xml:space="preserve">JIDKT923X65025902 </t>
  </si>
  <si>
    <t xml:space="preserve">8AFDT51D336280501 </t>
  </si>
  <si>
    <t xml:space="preserve">3G1SE51X76S132587 </t>
  </si>
  <si>
    <t xml:space="preserve">5TDZA23C16S539206 </t>
  </si>
  <si>
    <t xml:space="preserve">5TDZA23C76S485880 </t>
  </si>
  <si>
    <t>HIACE PANEL SUPER LARGA</t>
  </si>
  <si>
    <t>EXCENTO</t>
  </si>
  <si>
    <t>SIENNA LE</t>
  </si>
  <si>
    <t>TACOMA</t>
  </si>
  <si>
    <t>HIACE PANEL 15 PASAJ AC</t>
  </si>
  <si>
    <t>HIACE</t>
  </si>
  <si>
    <t>SEQUOIA</t>
  </si>
  <si>
    <t>SIENNA</t>
  </si>
  <si>
    <t>COROLLA</t>
  </si>
  <si>
    <t>T. AUTOS NVOS</t>
  </si>
  <si>
    <t>SOLARA</t>
  </si>
  <si>
    <t>REFACTURACION</t>
  </si>
  <si>
    <t>INTERCAM</t>
  </si>
  <si>
    <t>(-) refaccturacion</t>
  </si>
  <si>
    <t>MON SANTOS MONICA</t>
  </si>
  <si>
    <t>BASE</t>
  </si>
  <si>
    <t>LIM INF</t>
  </si>
  <si>
    <t>DE LEON MACIAS BEREN</t>
  </si>
  <si>
    <t>0717-TCN06</t>
  </si>
  <si>
    <t>MORIN GUERRERO EVERA</t>
  </si>
  <si>
    <t>0593-TCN06</t>
  </si>
  <si>
    <t>0684-TCN06</t>
  </si>
  <si>
    <t>MIJARES MOREIRA NANC</t>
  </si>
  <si>
    <t>0723-TCN06</t>
  </si>
  <si>
    <t>0752-TCN06</t>
  </si>
  <si>
    <t>GARCIA ARGUELLO ADEL</t>
  </si>
  <si>
    <t>0753-TCN06</t>
  </si>
  <si>
    <t>HERNANDEZ BENITEZ F</t>
  </si>
  <si>
    <t>0728-TCN06</t>
  </si>
  <si>
    <t>Folio Inicial</t>
  </si>
  <si>
    <t>Folio Final</t>
  </si>
  <si>
    <t>YARIS SEDAN PREMIUM MT</t>
  </si>
  <si>
    <t>YARIS CORE AT</t>
  </si>
  <si>
    <t>CAMRY XLE L4 AT5 S Q/C</t>
  </si>
  <si>
    <t>804</t>
  </si>
  <si>
    <t>795</t>
  </si>
  <si>
    <t xml:space="preserve">PP agosto </t>
  </si>
  <si>
    <t>INTAGRI S.C.</t>
  </si>
  <si>
    <t>COROLLA CE AT</t>
  </si>
  <si>
    <t>CAMRY XLE V6/AT5  Q/C</t>
  </si>
  <si>
    <t>COROLLA CE MT</t>
  </si>
  <si>
    <t>RAV4 3A FILA</t>
  </si>
  <si>
    <t>USADO</t>
  </si>
  <si>
    <t>YARIS CORE MT</t>
  </si>
  <si>
    <t xml:space="preserve">REFACTURACION </t>
  </si>
  <si>
    <t>YARIS PREMIUM MT</t>
  </si>
  <si>
    <t>SIENNA LIMITED</t>
  </si>
  <si>
    <t>YARIS SEDAN PREMIUM AT</t>
  </si>
  <si>
    <t>0599-TCN06</t>
  </si>
  <si>
    <t>0592-TCN06</t>
  </si>
  <si>
    <t>RAV4 LIMITED 4X2 PIEL</t>
  </si>
  <si>
    <t xml:space="preserve">JTDBT923271049068 </t>
  </si>
  <si>
    <t xml:space="preserve">JTDBT923571069072 </t>
  </si>
  <si>
    <t xml:space="preserve">JTDBT923271067893 </t>
  </si>
  <si>
    <t xml:space="preserve">JTDBT923971054977 </t>
  </si>
  <si>
    <t xml:space="preserve">JTDBT923471069984 </t>
  </si>
  <si>
    <t xml:space="preserve">JTMZD31V775033243 </t>
  </si>
  <si>
    <t xml:space="preserve">JTMZD31V176022541 </t>
  </si>
  <si>
    <t xml:space="preserve">JTMZD31V176022152 </t>
  </si>
  <si>
    <t xml:space="preserve">JTMZD31V075035707 </t>
  </si>
  <si>
    <t xml:space="preserve">JTMZD31VX66017580 </t>
  </si>
  <si>
    <t>4RUNNER</t>
  </si>
  <si>
    <t>INTERCAMBIO</t>
  </si>
  <si>
    <t xml:space="preserve">2T1KR32E26C583498 </t>
  </si>
  <si>
    <t xml:space="preserve">JTMZD35V975033660 </t>
  </si>
  <si>
    <t xml:space="preserve">JTMZD35V565027112 </t>
  </si>
  <si>
    <t xml:space="preserve">JTMZD35V575034109 </t>
  </si>
  <si>
    <t xml:space="preserve">JTMZD35V365028775 </t>
  </si>
  <si>
    <t xml:space="preserve">JTMZD35V475034277 </t>
  </si>
  <si>
    <t>ERREGUIN GONZALEZ J.</t>
  </si>
  <si>
    <t>AUTOFINANCIAMIENTO</t>
  </si>
  <si>
    <t>0648-TCN06</t>
  </si>
  <si>
    <t>MOREIRA MURADAS NANC</t>
  </si>
  <si>
    <t>0719-TCN06</t>
  </si>
  <si>
    <t>0645-TCN06</t>
  </si>
  <si>
    <t>0668-TCN06</t>
  </si>
  <si>
    <t>0657-TCN06</t>
  </si>
  <si>
    <t>ARCHUNDIA NIETO LUIS</t>
  </si>
  <si>
    <t>0677-TCN06</t>
  </si>
  <si>
    <t>TALANCON NIEVA MARIA</t>
  </si>
  <si>
    <t>HIGHLANDER</t>
  </si>
  <si>
    <t>SUB-TOT</t>
  </si>
  <si>
    <t>ISAN</t>
  </si>
  <si>
    <t>IVA</t>
  </si>
  <si>
    <t>IMPORTE</t>
  </si>
  <si>
    <t xml:space="preserve">3TMJU62N16M018954 </t>
  </si>
  <si>
    <t xml:space="preserve">3TMJU62N86M018885 </t>
  </si>
  <si>
    <t xml:space="preserve">3TMJU62N96M019334 </t>
  </si>
  <si>
    <t xml:space="preserve">3TMJU62NX6M020136 </t>
  </si>
  <si>
    <t xml:space="preserve">JTDKT923975068211 </t>
  </si>
  <si>
    <t xml:space="preserve">JTDKT923575065189 </t>
  </si>
  <si>
    <t xml:space="preserve">JTDKT923575068562 </t>
  </si>
  <si>
    <t xml:space="preserve">JTDKT923175067182 </t>
  </si>
  <si>
    <t xml:space="preserve">JTDKT923775061080 </t>
  </si>
  <si>
    <t xml:space="preserve">JTDKT923575067279 </t>
  </si>
  <si>
    <t xml:space="preserve">JTDBT923471053851 </t>
  </si>
  <si>
    <t>0712-TCN06</t>
  </si>
  <si>
    <t>FLORES GARCIA DOLORE</t>
  </si>
  <si>
    <t>0704-TCN06</t>
  </si>
  <si>
    <t>RODRIGUEZ PLANCARTE</t>
  </si>
  <si>
    <t>0639-TCN06</t>
  </si>
  <si>
    <t>DINAMICA DE LA ISLA</t>
  </si>
  <si>
    <t>0735-TCN06</t>
  </si>
  <si>
    <t>SEMI NUEVO</t>
  </si>
  <si>
    <t>0002-TCU06</t>
  </si>
  <si>
    <t>DIAZ GONZALEZ GRACIE</t>
  </si>
  <si>
    <t>0022-TCU06</t>
  </si>
  <si>
    <t>JAUREGUI BARCENAS LE</t>
  </si>
  <si>
    <t>GONZALEZ ORTIZ ROSA</t>
  </si>
  <si>
    <t>% EXCED</t>
  </si>
  <si>
    <t>CUOTA FIJA</t>
  </si>
  <si>
    <t>CVE VEHIC</t>
  </si>
  <si>
    <t>0703-TCN06</t>
  </si>
  <si>
    <t>SURTIDORA DEL TAPICE</t>
  </si>
  <si>
    <t>0706-TCN06</t>
  </si>
  <si>
    <t>VARGAS AVALOS MARIBE</t>
  </si>
  <si>
    <t xml:space="preserve">JTMZD35V875034704 </t>
  </si>
  <si>
    <t xml:space="preserve">JTMZD33V376021081 </t>
  </si>
  <si>
    <t xml:space="preserve">JTMZD33V176021032 </t>
  </si>
  <si>
    <t xml:space="preserve">JTMZD33VX66013025 </t>
  </si>
  <si>
    <t xml:space="preserve">JTMZD33V576021809 </t>
  </si>
  <si>
    <t xml:space="preserve">JTMZD33V166020297 </t>
  </si>
  <si>
    <t xml:space="preserve">JTMZD31V375033126 </t>
  </si>
  <si>
    <t>MATRIX XR MT</t>
  </si>
  <si>
    <t>COROLLA SPORT MT</t>
  </si>
  <si>
    <t>RAV4 BASE 2A FILA</t>
  </si>
  <si>
    <t>INV</t>
  </si>
  <si>
    <t>0730-TCN06</t>
  </si>
  <si>
    <t>CASTELLANOS BARONE G</t>
  </si>
  <si>
    <t>0658-TCN06</t>
  </si>
  <si>
    <t>0688-TCN06</t>
  </si>
  <si>
    <t>KAM MOTORS S.A. DE C</t>
  </si>
  <si>
    <t>YARIS PREMIUM AUT</t>
  </si>
  <si>
    <t>0711-TCN06</t>
  </si>
  <si>
    <t xml:space="preserve">JTDBT923771054945 </t>
  </si>
  <si>
    <t xml:space="preserve">JTDBT923871075951 </t>
  </si>
  <si>
    <t>CEVER TOLUCA SA DE C</t>
  </si>
  <si>
    <t>TACOMA DOBLE CABINA SR5</t>
  </si>
  <si>
    <t>CON</t>
  </si>
  <si>
    <t xml:space="preserve">JTMZD35V475033470 </t>
  </si>
  <si>
    <t xml:space="preserve">4T1BE46K97U070038 </t>
  </si>
  <si>
    <t xml:space="preserve">4T1BK46K17U017939 </t>
  </si>
  <si>
    <t xml:space="preserve">2T1BR32E26C701291 </t>
  </si>
  <si>
    <t>INT</t>
  </si>
  <si>
    <t>AUTOMOTORES DE LA LA</t>
  </si>
  <si>
    <t>0152-TCN06</t>
  </si>
  <si>
    <t>BEJO MEXICO S.A. DE</t>
  </si>
  <si>
    <t>0687-TCN06</t>
  </si>
  <si>
    <t>PEñA  LOPEZ GRACIELA</t>
  </si>
  <si>
    <t>0678-TCN06</t>
  </si>
  <si>
    <t>DALTON AUTOMOTRIZ S</t>
  </si>
  <si>
    <t>0700-TCN06</t>
  </si>
  <si>
    <t>0652-TCN06</t>
  </si>
  <si>
    <t>0726-TCN06</t>
  </si>
  <si>
    <t>EXCELENCIA FISCAL P</t>
  </si>
  <si>
    <t>COSTO</t>
  </si>
  <si>
    <t>UTILIDAD BRUTA</t>
  </si>
  <si>
    <t>MATRIX</t>
  </si>
  <si>
    <t>RAV4</t>
  </si>
  <si>
    <t>50% isan</t>
  </si>
  <si>
    <t>con IVA</t>
  </si>
  <si>
    <t>HILUX</t>
  </si>
  <si>
    <t>0721-TCN06</t>
  </si>
  <si>
    <t>0674-TCN06</t>
  </si>
  <si>
    <t xml:space="preserve">JTFSX23P866009728 </t>
  </si>
  <si>
    <t xml:space="preserve">JTFPX22P460004908 </t>
  </si>
  <si>
    <t xml:space="preserve">8AJEX32G164003681 </t>
  </si>
  <si>
    <t xml:space="preserve">4T1DE46K57U582170 </t>
  </si>
  <si>
    <t xml:space="preserve">4T1BE46K07U055332 </t>
  </si>
  <si>
    <t xml:space="preserve">4T1BE46KX7U587882 </t>
  </si>
  <si>
    <t>TOY MORELOS S DE R.L</t>
  </si>
  <si>
    <t>OZ-AUTOMOTRIZ S. DE</t>
  </si>
  <si>
    <t>0006-TCU06</t>
  </si>
  <si>
    <t>0502-TCN06</t>
  </si>
  <si>
    <t>4RUNNER SR5</t>
  </si>
  <si>
    <t>0664-TCN06</t>
  </si>
  <si>
    <t>0716-TCN06</t>
  </si>
  <si>
    <t>0702-TCN06</t>
  </si>
  <si>
    <t>NUÑEZ BARRIOS ROMAN</t>
  </si>
  <si>
    <t xml:space="preserve">5TDZA23C66S513751 </t>
  </si>
  <si>
    <t xml:space="preserve">5TDZA22C36S545008 </t>
  </si>
  <si>
    <t xml:space="preserve">5TDZA22C36S532730 </t>
  </si>
  <si>
    <t>USADOS COMO NUEVOS</t>
  </si>
  <si>
    <t>TOTAL NUEVOS TULANCIGO</t>
  </si>
  <si>
    <t>TOTAL USADOS TULANCINGO</t>
  </si>
  <si>
    <t>Si rebasa los 660,255.71 se reducira el monto del impuesto determinado la cantidad que resulte de aplicar el 7%, sobre la diferencia</t>
  </si>
  <si>
    <t>entre el precio de la unidad y los 660,255.71</t>
  </si>
  <si>
    <t>ART 8 FRACC II 1ER PARARRO:  222,032.19</t>
  </si>
  <si>
    <t>ART 8 FRACC II 2º PARRAFO:  222,032.20 Y HASTA 281,240.78</t>
  </si>
  <si>
    <t>ENERO.2017</t>
  </si>
  <si>
    <t>TARIFA APLICABLE A PARTIR DEL 1° DE ENERO 2017</t>
  </si>
  <si>
    <t>ENERO</t>
  </si>
  <si>
    <t>REPORTE DE ISAN ENERO.2017</t>
  </si>
  <si>
    <t>AA10186</t>
  </si>
  <si>
    <t>AA10292</t>
  </si>
  <si>
    <t>AA10179</t>
  </si>
  <si>
    <t>AA10291</t>
  </si>
  <si>
    <t>AA10365</t>
  </si>
  <si>
    <t>AA10171</t>
  </si>
  <si>
    <t>AA10232</t>
  </si>
  <si>
    <t>AA10177</t>
  </si>
  <si>
    <t>AA10172</t>
  </si>
  <si>
    <t>ZA03829</t>
  </si>
  <si>
    <t>AA10349</t>
  </si>
  <si>
    <t>AA10168</t>
  </si>
  <si>
    <t>AA10234</t>
  </si>
  <si>
    <t>AA10318</t>
  </si>
  <si>
    <t>ZA03830</t>
  </si>
  <si>
    <t>AA10327</t>
  </si>
  <si>
    <t>AA10356</t>
  </si>
  <si>
    <t>AA10162</t>
  </si>
  <si>
    <t>AA10238</t>
  </si>
  <si>
    <t>AA10269</t>
  </si>
  <si>
    <t>AA10239</t>
  </si>
  <si>
    <t>AA10263</t>
  </si>
  <si>
    <t>AA10299</t>
  </si>
  <si>
    <t>AA10295</t>
  </si>
  <si>
    <t>AA10300</t>
  </si>
  <si>
    <t>AA10233</t>
  </si>
  <si>
    <t>AA10363</t>
  </si>
  <si>
    <t>ZA03840</t>
  </si>
  <si>
    <t>AA10323</t>
  </si>
  <si>
    <t>AA10326</t>
  </si>
  <si>
    <t>AA10201</t>
  </si>
  <si>
    <t>AA10245</t>
  </si>
  <si>
    <t>AA10187</t>
  </si>
  <si>
    <t>AA10196</t>
  </si>
  <si>
    <t>AA10343</t>
  </si>
  <si>
    <t>AA10345</t>
  </si>
  <si>
    <t>AA10191</t>
  </si>
  <si>
    <t>AA10313</t>
  </si>
  <si>
    <t>AA10311</t>
  </si>
  <si>
    <t>AA10158</t>
  </si>
  <si>
    <t>AA10185</t>
  </si>
  <si>
    <t>AA10266</t>
  </si>
  <si>
    <t>AA10265</t>
  </si>
  <si>
    <t>AA10309</t>
  </si>
  <si>
    <t>AA10197</t>
  </si>
  <si>
    <t>ZA03849</t>
  </si>
  <si>
    <t>AA10154</t>
  </si>
  <si>
    <t>AA10153</t>
  </si>
  <si>
    <t>AA10157</t>
  </si>
  <si>
    <t>AA10208</t>
  </si>
  <si>
    <t>AA10366</t>
  </si>
  <si>
    <t>AA10165</t>
  </si>
  <si>
    <t>AA10182</t>
  </si>
  <si>
    <t>AA10224</t>
  </si>
  <si>
    <t>AA10281</t>
  </si>
  <si>
    <t>AA10298</t>
  </si>
  <si>
    <t>AA10307</t>
  </si>
  <si>
    <t>AA10322</t>
  </si>
  <si>
    <t>AA10319</t>
  </si>
  <si>
    <t>AA10360</t>
  </si>
  <si>
    <t>AA10190</t>
  </si>
  <si>
    <t>AA10206</t>
  </si>
  <si>
    <t>AA10284</t>
  </si>
  <si>
    <t>AA10283</t>
  </si>
  <si>
    <t>AA10315</t>
  </si>
  <si>
    <t>AA10335</t>
  </si>
  <si>
    <t>AA10336</t>
  </si>
  <si>
    <t>ZA03856</t>
  </si>
  <si>
    <t>AA10270</t>
  </si>
  <si>
    <t>AA10240</t>
  </si>
  <si>
    <t>AA10293</t>
  </si>
  <si>
    <t>AA10259</t>
  </si>
  <si>
    <t>AA10278</t>
  </si>
  <si>
    <t>AA10255</t>
  </si>
  <si>
    <t>AA10289</t>
  </si>
  <si>
    <t>AA10287</t>
  </si>
  <si>
    <t>AA10347</t>
  </si>
  <si>
    <t>AA10369</t>
  </si>
  <si>
    <t>AA10195</t>
  </si>
  <si>
    <t>AA10368</t>
  </si>
  <si>
    <t>AA10362</t>
  </si>
  <si>
    <t>AA10237</t>
  </si>
  <si>
    <t>AA10166</t>
  </si>
  <si>
    <t>AA10274</t>
  </si>
  <si>
    <t>AA10252</t>
  </si>
  <si>
    <t>AA10215</t>
  </si>
  <si>
    <t>AA10258</t>
  </si>
  <si>
    <t>AA10355</t>
  </si>
  <si>
    <t>AA10230</t>
  </si>
  <si>
    <t>AA10277</t>
  </si>
  <si>
    <t>AA10282</t>
  </si>
  <si>
    <t>AA10320</t>
  </si>
  <si>
    <t>ZA03822</t>
  </si>
  <si>
    <t>AA10170</t>
  </si>
  <si>
    <t>AA10175</t>
  </si>
  <si>
    <t>AA10181</t>
  </si>
  <si>
    <t>AA10192</t>
  </si>
  <si>
    <t>AA10367</t>
  </si>
  <si>
    <t>AA10159</t>
  </si>
  <si>
    <t>AA10184</t>
  </si>
  <si>
    <t>AA10205</t>
  </si>
  <si>
    <t>AA10222</t>
  </si>
  <si>
    <t>AA10262</t>
  </si>
  <si>
    <t>AA10359</t>
  </si>
  <si>
    <t>AA10163</t>
  </si>
  <si>
    <t>AA10236</t>
  </si>
  <si>
    <t>AA10361</t>
  </si>
  <si>
    <t>AA10164</t>
  </si>
  <si>
    <t>AA10188</t>
  </si>
  <si>
    <t>AA10207</t>
  </si>
  <si>
    <t>AA10272</t>
  </si>
  <si>
    <t>AA10321</t>
  </si>
  <si>
    <t>AA10275</t>
  </si>
  <si>
    <t>AA10218</t>
  </si>
  <si>
    <t>AA10303</t>
  </si>
  <si>
    <t>AA10357</t>
  </si>
  <si>
    <t>AA10304</t>
  </si>
  <si>
    <t>AA10247</t>
  </si>
  <si>
    <t>AA10214</t>
  </si>
  <si>
    <t>AA10306</t>
  </si>
  <si>
    <t>AA10268</t>
  </si>
  <si>
    <t>AA10246</t>
  </si>
  <si>
    <t>AA10316</t>
  </si>
  <si>
    <t>AA10273</t>
  </si>
  <si>
    <t>AA10312</t>
  </si>
  <si>
    <t>AA10301</t>
  </si>
  <si>
    <t>AA10337</t>
  </si>
  <si>
    <t>AA10342</t>
  </si>
  <si>
    <t>AA10314</t>
  </si>
  <si>
    <t>AA10339</t>
  </si>
  <si>
    <t>AA10280</t>
  </si>
  <si>
    <t>AA10161</t>
  </si>
  <si>
    <t>ZA03834</t>
  </si>
  <si>
    <t>ZA03821</t>
  </si>
  <si>
    <t>AA10160</t>
  </si>
  <si>
    <t>ZA03819</t>
  </si>
  <si>
    <t>AA10156</t>
  </si>
  <si>
    <t>ZA03824</t>
  </si>
  <si>
    <t>AA10176</t>
  </si>
  <si>
    <t>ZA03877</t>
  </si>
  <si>
    <t>AA10354</t>
  </si>
  <si>
    <t>ZA03859</t>
  </si>
  <si>
    <t>AA10290</t>
  </si>
  <si>
    <t>AA10174</t>
  </si>
  <si>
    <t>ZA03845</t>
  </si>
  <si>
    <t>AA10248</t>
  </si>
  <si>
    <t>ZA03847</t>
  </si>
  <si>
    <t>AA10257</t>
  </si>
  <si>
    <t>ZA03854</t>
  </si>
  <si>
    <t>AA10178</t>
  </si>
  <si>
    <t>ZA03833</t>
  </si>
  <si>
    <t>ZA03874</t>
  </si>
  <si>
    <t>AA10348</t>
  </si>
  <si>
    <t>ZA03828</t>
  </si>
  <si>
    <t>AA10189</t>
  </si>
  <si>
    <t>ZA03820</t>
  </si>
  <si>
    <t>AA10155</t>
  </si>
  <si>
    <t>AA10235</t>
  </si>
  <si>
    <t>ZA03842</t>
  </si>
  <si>
    <t>ZA03826</t>
  </si>
  <si>
    <t>AA10183</t>
  </si>
  <si>
    <t>ZA03863</t>
  </si>
  <si>
    <t>AA10308</t>
  </si>
  <si>
    <t>ZA03825</t>
  </si>
  <si>
    <t>AA10180</t>
  </si>
  <si>
    <t>ZA03823</t>
  </si>
  <si>
    <t>AA10169</t>
  </si>
  <si>
    <t>ZA03827</t>
  </si>
  <si>
    <t>AA10173</t>
  </si>
  <si>
    <t>AA10204</t>
  </si>
  <si>
    <t>ZA03835</t>
  </si>
  <si>
    <t>ZA03837</t>
  </si>
  <si>
    <t>AA10221</t>
  </si>
  <si>
    <t>AA10276</t>
  </si>
  <si>
    <t>ZA03855</t>
  </si>
  <si>
    <t>AA10211</t>
  </si>
  <si>
    <t>ZA03832</t>
  </si>
  <si>
    <t>AA10256</t>
  </si>
  <si>
    <t>ZA03852</t>
  </si>
  <si>
    <t>AA10260</t>
  </si>
  <si>
    <t>ZA03860</t>
  </si>
  <si>
    <t>ZA03862</t>
  </si>
  <si>
    <t>AA10305</t>
  </si>
  <si>
    <t>AA10210</t>
  </si>
  <si>
    <t>ZA03838</t>
  </si>
  <si>
    <t>AA10217</t>
  </si>
  <si>
    <t>ZA03841</t>
  </si>
  <si>
    <t>AA10216</t>
  </si>
  <si>
    <t>ZA03851</t>
  </si>
  <si>
    <t>AA10219</t>
  </si>
  <si>
    <t>ZA03843</t>
  </si>
  <si>
    <t>AA10243</t>
  </si>
  <si>
    <t>ZA03848</t>
  </si>
  <si>
    <t>AA10253</t>
  </si>
  <si>
    <t>ZA03846</t>
  </si>
  <si>
    <t>AA10264</t>
  </si>
  <si>
    <t>ZA03850</t>
  </si>
  <si>
    <t>ZA03853</t>
  </si>
  <si>
    <t>AA10267</t>
  </si>
  <si>
    <t>AA10271</t>
  </si>
  <si>
    <t>ZA03857</t>
  </si>
  <si>
    <t>AA10317</t>
  </si>
  <si>
    <t>ZA03867</t>
  </si>
  <si>
    <t>AA10285</t>
  </si>
  <si>
    <t>ZA03861</t>
  </si>
  <si>
    <t>AA10302</t>
  </si>
  <si>
    <t>ZA03865</t>
  </si>
  <si>
    <t>AA10324</t>
  </si>
  <si>
    <t>ZA03872</t>
  </si>
  <si>
    <t>AA10297</t>
  </si>
  <si>
    <t>ZA03864</t>
  </si>
  <si>
    <t>AA10325</t>
  </si>
  <si>
    <t>ZA03869</t>
  </si>
  <si>
    <t>ZA03873</t>
  </si>
  <si>
    <t>AA10346</t>
  </si>
  <si>
    <t>AA10353</t>
  </si>
  <si>
    <t>AA10227</t>
  </si>
  <si>
    <t>AA10241</t>
  </si>
  <si>
    <t>AA10364</t>
  </si>
  <si>
    <t>AA10331</t>
  </si>
  <si>
    <t>AA10330</t>
  </si>
  <si>
    <t>AA10198</t>
  </si>
  <si>
    <t>AA10203</t>
  </si>
  <si>
    <t>AA10329</t>
  </si>
  <si>
    <t>AA10338</t>
  </si>
  <si>
    <t>ZA03871</t>
  </si>
  <si>
    <t>AA10332</t>
  </si>
  <si>
    <t>AA10254</t>
  </si>
  <si>
    <t>AA10296</t>
  </si>
  <si>
    <t>AA10228</t>
  </si>
  <si>
    <t>AA10199</t>
  </si>
  <si>
    <t>AA10193</t>
  </si>
  <si>
    <t>ZA03844</t>
  </si>
  <si>
    <t>AA10242</t>
  </si>
  <si>
    <t>AA10244</t>
  </si>
  <si>
    <t>AA10340</t>
  </si>
  <si>
    <t>AA10194</t>
  </si>
  <si>
    <t>AA10213</t>
  </si>
  <si>
    <t>AA10226</t>
  </si>
  <si>
    <t>AA10229</t>
  </si>
  <si>
    <t>AA10167</t>
  </si>
  <si>
    <t>AA10200</t>
  </si>
  <si>
    <t>AA10202</t>
  </si>
  <si>
    <t>AA10209</t>
  </si>
  <si>
    <t>AA10212</t>
  </si>
  <si>
    <t>AA10223</t>
  </si>
  <si>
    <t>AA10231</t>
  </si>
  <si>
    <t>ZA03839</t>
  </si>
  <si>
    <t>AA10225</t>
  </si>
  <si>
    <t>AA10250</t>
  </si>
  <si>
    <t>AA10251</t>
  </si>
  <si>
    <t>AA10261</t>
  </si>
  <si>
    <t>AA10294</t>
  </si>
  <si>
    <t>ZA03858</t>
  </si>
  <si>
    <t>AA10286</t>
  </si>
  <si>
    <t>AA10288</t>
  </si>
  <si>
    <t>AA10334</t>
  </si>
  <si>
    <t>AA10341</t>
  </si>
  <si>
    <t>AA10352</t>
  </si>
  <si>
    <t>ZA03875</t>
  </si>
  <si>
    <t>AA10350</t>
  </si>
  <si>
    <t>AA10351</t>
  </si>
  <si>
    <t>AA10344</t>
  </si>
  <si>
    <t>AA10358</t>
  </si>
  <si>
    <t>AA10220</t>
  </si>
  <si>
    <t>AA10249</t>
  </si>
  <si>
    <t>AA10279</t>
  </si>
  <si>
    <t>AA10310</t>
  </si>
  <si>
    <t>AA10328</t>
  </si>
  <si>
    <t>AA10333</t>
  </si>
  <si>
    <t>CAMRY LE SEDAN 2.5</t>
  </si>
  <si>
    <t>CAMRY XLE 4 -DOOR</t>
  </si>
  <si>
    <t>U-TOY</t>
  </si>
  <si>
    <t>COROLLA LE AT</t>
  </si>
  <si>
    <t>COROLLA BASE MANUAL</t>
  </si>
  <si>
    <t>COROLLA BASE AT</t>
  </si>
  <si>
    <t>COROLLA SE MT</t>
  </si>
  <si>
    <t>COROLLA SE CVT</t>
  </si>
  <si>
    <t>COROLLA SE  PLUS  AT</t>
  </si>
  <si>
    <t>RAV4 4X2  SUV  LE</t>
  </si>
  <si>
    <t>RAV4 L4 AWD XLE</t>
  </si>
  <si>
    <t>RAV4 L4 AWD LIMITED</t>
  </si>
  <si>
    <t>RAV4 XLE PLUS</t>
  </si>
  <si>
    <t>YARIS HB S MT</t>
  </si>
  <si>
    <t>YARIS HB S CVT</t>
  </si>
  <si>
    <t>SEQUOIA 4 DOOR PLATINUM SUV</t>
  </si>
  <si>
    <t>PRIUS HYBRID BASE</t>
  </si>
  <si>
    <t>YARIS CORE MT, SEDAN</t>
  </si>
  <si>
    <t>YARIS CORE,SEDAN CVT.</t>
  </si>
  <si>
    <t>AVANZA HI 4AT</t>
  </si>
  <si>
    <t>AVANZA HI 5MT</t>
  </si>
  <si>
    <t>AVANZA LIMITED</t>
  </si>
  <si>
    <t>HIGHLANDER  XLE</t>
  </si>
  <si>
    <t>HIGHLANDER LIMITED BLUE- RAY</t>
  </si>
  <si>
    <t>HIGHLANDER LIMITED PANORAMIC ROOF</t>
  </si>
  <si>
    <t>YARIS XLE R AT</t>
  </si>
  <si>
    <t>YARIS R LE  MT</t>
  </si>
  <si>
    <t>HILUX PICK UP BASIC CAB L4 16V AC</t>
  </si>
  <si>
    <t>HILUX PICK UP CHASSIS CAB</t>
  </si>
  <si>
    <t>HIACE PANEL SUP LARGA C/VENT</t>
  </si>
  <si>
    <t>TACOMA DOB CAB TRD SPORT</t>
  </si>
  <si>
    <t>TACOMA 4X4</t>
  </si>
  <si>
    <t>TUNDRA 4X4 DOBLE CABINA EQUIPADA</t>
  </si>
  <si>
    <t>HILUX BASE CON VIDRIOS ELECTRICOS</t>
  </si>
  <si>
    <t>HILUX PICK UP D CAB SR A/C</t>
  </si>
  <si>
    <t>AVANZA CARGO</t>
  </si>
  <si>
    <t>CAMRY XLE</t>
  </si>
  <si>
    <t>U-AUTO</t>
  </si>
  <si>
    <t>GUILLERMO ORTEGA SOSA</t>
  </si>
  <si>
    <t>0593-TCN17</t>
  </si>
  <si>
    <t>S</t>
  </si>
  <si>
    <t>REBSAMEN REYNOSO MAR</t>
  </si>
  <si>
    <t>4T1BF1FK0HU709517</t>
  </si>
  <si>
    <t>LIZBETH CASTRO ROMERO</t>
  </si>
  <si>
    <t>0023-TCN17</t>
  </si>
  <si>
    <t>N</t>
  </si>
  <si>
    <t>GARCIA CARMONA SOFIA</t>
  </si>
  <si>
    <t>4T1BF1FK5HU268886</t>
  </si>
  <si>
    <t>0447-TCN17</t>
  </si>
  <si>
    <t>HERRERA RETANA DANTE</t>
  </si>
  <si>
    <t>4T1BF1FK5HU334191</t>
  </si>
  <si>
    <t>CECILIA BLANCO AMEZQUITA</t>
  </si>
  <si>
    <t>0202-TCN17</t>
  </si>
  <si>
    <t>GARAY Y MENDOZA ELIA</t>
  </si>
  <si>
    <t>5YFBPRHE6HP572295</t>
  </si>
  <si>
    <t>VICTOR MANUEL MARTIN RAMIREZ L</t>
  </si>
  <si>
    <t>0207-TCN17</t>
  </si>
  <si>
    <t>AGRO Y ACOLCHADOS S.</t>
  </si>
  <si>
    <t>5YFBPRHE8HP574484</t>
  </si>
  <si>
    <t>OSCAR HERNANDEZ ORTIZ</t>
  </si>
  <si>
    <t>0209-TCN17</t>
  </si>
  <si>
    <t>PARTIDO REVOLUCIONAR</t>
  </si>
  <si>
    <t>5YFBPRHE3HP575381</t>
  </si>
  <si>
    <t>PABLO FRANCISCO ALFARO QUEZADA</t>
  </si>
  <si>
    <t>0211-TCN17</t>
  </si>
  <si>
    <t>ROJAS LOPEZ FRANCISC</t>
  </si>
  <si>
    <t>5YFBPRHE0HP579419</t>
  </si>
  <si>
    <t>CASA</t>
  </si>
  <si>
    <t>0217-TCN17</t>
  </si>
  <si>
    <t>JIMENEZ SUAREZ LUDIV</t>
  </si>
  <si>
    <t>5YFBPRHE4HP570030</t>
  </si>
  <si>
    <t>0241-TCN17</t>
  </si>
  <si>
    <t>5YFBPRHE4HP571369</t>
  </si>
  <si>
    <t>0326-TCN17</t>
  </si>
  <si>
    <t>BANDA JAUREGUI RAUL</t>
  </si>
  <si>
    <t>5YFBPRHEXHP591867</t>
  </si>
  <si>
    <t>LUIS ENRIQUE HERRERA PARRA</t>
  </si>
  <si>
    <t>0491-TCN17</t>
  </si>
  <si>
    <t>ESCALANTE LEYVA OSWA</t>
  </si>
  <si>
    <t>5YFBPRHE3HP607830</t>
  </si>
  <si>
    <t>RICARDO ZARATE MARTINEZ</t>
  </si>
  <si>
    <t>0600-TCN17</t>
  </si>
  <si>
    <t>GONZALEZ OÑATE PATRI</t>
  </si>
  <si>
    <t>5YFBPRHE7HP624534</t>
  </si>
  <si>
    <t>0655-TCN17</t>
  </si>
  <si>
    <t>PRIMERO LOPEZ BEATRI</t>
  </si>
  <si>
    <t>5YFBPRHE2HP620049</t>
  </si>
  <si>
    <t>0683-TCN17</t>
  </si>
  <si>
    <t>LARA ROSAS DIANA PAT</t>
  </si>
  <si>
    <t>5YFBPRHE6HP626372</t>
  </si>
  <si>
    <t>JAVIER ARELLANO ALVAREZ</t>
  </si>
  <si>
    <t>0431-TCN17</t>
  </si>
  <si>
    <t>VARGAS HERNANDEZ MAR</t>
  </si>
  <si>
    <t>5YFBPRHE1HP596973</t>
  </si>
  <si>
    <t>KENT MARTIN MARTINEZ GOMEZ</t>
  </si>
  <si>
    <t>0718-TCN17</t>
  </si>
  <si>
    <t>PATIÑO AMAYA ARISTOT</t>
  </si>
  <si>
    <t>5YFBPRHE8HP61816</t>
  </si>
  <si>
    <t>0269-TCN17</t>
  </si>
  <si>
    <t>RODRIGUEZ RODRIGUEZ</t>
  </si>
  <si>
    <t>5YFBPRHE2HP584234</t>
  </si>
  <si>
    <t>0595-TCN17</t>
  </si>
  <si>
    <t>GALLEGOS RIOS OCTAVI</t>
  </si>
  <si>
    <t>5YFBPRHE4HP624099</t>
  </si>
  <si>
    <t>LUIS ROBERTO GONZALEZ GARCIA</t>
  </si>
  <si>
    <t>0662-TCN17</t>
  </si>
  <si>
    <t>LOPEZ COLOMBRES FELI</t>
  </si>
  <si>
    <t>5YFBPRHE1HP622004</t>
  </si>
  <si>
    <t>MIGUEL ANGEL ANDRADE RODRIGUEZ</t>
  </si>
  <si>
    <t>0672-TCN17</t>
  </si>
  <si>
    <t>GONZALEZ PARADA MA C</t>
  </si>
  <si>
    <t>5YFBPRHE9HP629170</t>
  </si>
  <si>
    <t>0663-TCN17</t>
  </si>
  <si>
    <t>AVILA ARAGON ANA GAB</t>
  </si>
  <si>
    <t>5TDYZ3DC5HS811185</t>
  </si>
  <si>
    <t>0670-TCN17</t>
  </si>
  <si>
    <t>FELIX ESPARZA JESUS</t>
  </si>
  <si>
    <t>5TDYZ3DC1HS810504</t>
  </si>
  <si>
    <t>0707-TCN17</t>
  </si>
  <si>
    <t>TRANSPORTE ELD SA DE</t>
  </si>
  <si>
    <t>5TDYZ3DC3HS815056</t>
  </si>
  <si>
    <t>0703-TCN17</t>
  </si>
  <si>
    <t>GOMEZ ALVAREZ BENITO</t>
  </si>
  <si>
    <t>5TDYZ3DC0HS817380</t>
  </si>
  <si>
    <t>0704-TCN17</t>
  </si>
  <si>
    <t>5TDYZ3DC8HS817157</t>
  </si>
  <si>
    <t>OSCAR IVAN VEGA DURAN</t>
  </si>
  <si>
    <t>0545-TCN17</t>
  </si>
  <si>
    <t>G.N.P. ARRENDAMIENTO</t>
  </si>
  <si>
    <t>5TDYZ3DC9HS811142</t>
  </si>
  <si>
    <t>0659-TCN17</t>
  </si>
  <si>
    <t>RED BOX SA DE CV</t>
  </si>
  <si>
    <t>5TDYZ3DC8HS814307</t>
  </si>
  <si>
    <t>MARIA DE LA LUZ HERNANDEZ Q.</t>
  </si>
  <si>
    <t>HERNANDEZ VELAZQUEZ</t>
  </si>
  <si>
    <t>ROSAURA GOMEZ TORREZ</t>
  </si>
  <si>
    <t>0701-TCN17</t>
  </si>
  <si>
    <t>MARTINEZ GALVAN ARGE</t>
  </si>
  <si>
    <t>2T3ZFREV1HW341333</t>
  </si>
  <si>
    <t>0717-TCN17</t>
  </si>
  <si>
    <t>CARRERA PACHECO JUAN</t>
  </si>
  <si>
    <t>2T3ZFREV3HW337395</t>
  </si>
  <si>
    <t>0615-TCN17</t>
  </si>
  <si>
    <t>RUELAS MEDINA MARIA</t>
  </si>
  <si>
    <t>2T3ZFREV7HW340753</t>
  </si>
  <si>
    <t>0395-TCN17</t>
  </si>
  <si>
    <t>TOYOTA FINANCIAL SER</t>
  </si>
  <si>
    <t>2T3RFREV9HW557575</t>
  </si>
  <si>
    <t>0266-TCN17</t>
  </si>
  <si>
    <t>GONZALEZ SANTA CRUZ</t>
  </si>
  <si>
    <t>2T3DFREVXHW549351</t>
  </si>
  <si>
    <t>0609-TCN17</t>
  </si>
  <si>
    <t>GUIZA SUAREZ RAMON M</t>
  </si>
  <si>
    <t>2T3DFREV0HW579023</t>
  </si>
  <si>
    <t>0430-TCN17</t>
  </si>
  <si>
    <t>IZURIETA HERNANDEZ J</t>
  </si>
  <si>
    <t>2T3RFREV1HW550796</t>
  </si>
  <si>
    <t>0436-TCN17</t>
  </si>
  <si>
    <t>SALAZAR HERRERA EDIT</t>
  </si>
  <si>
    <t>2T3RFREV1HW563452</t>
  </si>
  <si>
    <t>0606-TCN17</t>
  </si>
  <si>
    <t>PADILLA CERDA JESSIC</t>
  </si>
  <si>
    <t>MR2K29F35H1040615</t>
  </si>
  <si>
    <t>GERARDO ISRAEL PLATA SANCHEZ</t>
  </si>
  <si>
    <t>0345-TCN17</t>
  </si>
  <si>
    <t>GALLARDO ARTEAGA MAR</t>
  </si>
  <si>
    <t>MR2K29F3XH1030470</t>
  </si>
  <si>
    <t>0587-TCN17</t>
  </si>
  <si>
    <t>MAYOREO DE DULCES S.</t>
  </si>
  <si>
    <t>5TDYY5G16HS067265</t>
  </si>
  <si>
    <t>0354-TCN17</t>
  </si>
  <si>
    <t>JTDKBRFU4H3032171</t>
  </si>
  <si>
    <t>0604-TCN17</t>
  </si>
  <si>
    <t>GUTIERREZ OLVERA MAR</t>
  </si>
  <si>
    <t>JTDKBRFUXH3543965</t>
  </si>
  <si>
    <t>0657-TCN17</t>
  </si>
  <si>
    <t>PROTEC INDUSTRIAL SA</t>
  </si>
  <si>
    <t>JTDKBRFU8H3544581</t>
  </si>
  <si>
    <t>0673-TCN17</t>
  </si>
  <si>
    <t>OROZCO GONZALEZ ROSA</t>
  </si>
  <si>
    <t>JTDKBRFU5H3033149</t>
  </si>
  <si>
    <t>0712-TCN17</t>
  </si>
  <si>
    <t>CERVERA GONZALEZ OSC</t>
  </si>
  <si>
    <t>JTDKBRFU9H3036121</t>
  </si>
  <si>
    <t>1300-TCN16</t>
  </si>
  <si>
    <t>RIVAS LARRAURI EDUAR</t>
  </si>
  <si>
    <t>JTDKBRFU1G3531539</t>
  </si>
  <si>
    <t>0470-TCN17</t>
  </si>
  <si>
    <t>JTDKBKFU5H3033149</t>
  </si>
  <si>
    <t>0583-TCN17</t>
  </si>
  <si>
    <t>LISTART CONTROL EMPR</t>
  </si>
  <si>
    <t>JTFSX23P4H6175487</t>
  </si>
  <si>
    <t>0584-TCN17</t>
  </si>
  <si>
    <t>JTFSX23P9H6175310</t>
  </si>
  <si>
    <t>0594-TCN17</t>
  </si>
  <si>
    <t>SALAZAR SALAZAR JORG</t>
  </si>
  <si>
    <t>JTFSX23P5H6175630</t>
  </si>
  <si>
    <t>0621-TCN17</t>
  </si>
  <si>
    <t>TORRES TOLEDO SERGIO</t>
  </si>
  <si>
    <t>JTFSX23P2H6175679</t>
  </si>
  <si>
    <t>0736-TCN17</t>
  </si>
  <si>
    <t>ALVARADO VAZQUEZ JOS</t>
  </si>
  <si>
    <t>JTFSX23P1H6175799</t>
  </si>
  <si>
    <t>0598-TCN17</t>
  </si>
  <si>
    <t>HERNANDEZ MENDOZA CR</t>
  </si>
  <si>
    <t>MR2B29F34H1039391</t>
  </si>
  <si>
    <t>0605-TCN17</t>
  </si>
  <si>
    <t>VEGA CRUZ MARIA GUAD</t>
  </si>
  <si>
    <t>MR2B29F36H1040722</t>
  </si>
  <si>
    <t>0654-TCN17</t>
  </si>
  <si>
    <t>SINERGIA EN RH SA DE</t>
  </si>
  <si>
    <t>MR2B29F36H1042437</t>
  </si>
  <si>
    <t>0698-TCN17</t>
  </si>
  <si>
    <t>CASTILLO LULET JOSE</t>
  </si>
  <si>
    <t>MR2B29F30H1044068</t>
  </si>
  <si>
    <t>0705-TCN17</t>
  </si>
  <si>
    <t>ARAUJO MARTINEZ J SA</t>
  </si>
  <si>
    <t>MR2B29F34H1043781</t>
  </si>
  <si>
    <t>0706-TCN17</t>
  </si>
  <si>
    <t>ORTEGA FABIAN ROSALI</t>
  </si>
  <si>
    <t>MR2B29F34H1042842</t>
  </si>
  <si>
    <t>0710-TCN17</t>
  </si>
  <si>
    <t>BUENO GALVAN MARIA B</t>
  </si>
  <si>
    <t>MR2B29F34H1044879</t>
  </si>
  <si>
    <t>DAVID GONZALEZ DUARTE</t>
  </si>
  <si>
    <t>0715-TCN17</t>
  </si>
  <si>
    <t>GALLARDO MIRELES MAR</t>
  </si>
  <si>
    <t>MR2B29F39H1044697</t>
  </si>
  <si>
    <t>ISRAEL TIERRAFRIA ESCARAMUZA</t>
  </si>
  <si>
    <t>0003-TCN17</t>
  </si>
  <si>
    <t>RODRIGUEZ ARREGUIN M</t>
  </si>
  <si>
    <t>MR2B29F33H100064</t>
  </si>
  <si>
    <t>0516-TCN17</t>
  </si>
  <si>
    <t>OLIVAREZ DOMINGUEZ M</t>
  </si>
  <si>
    <t>MR2B29F30H1035600</t>
  </si>
  <si>
    <t>0619-TCN17</t>
  </si>
  <si>
    <t>DEL RIO CASTRO TAUSN</t>
  </si>
  <si>
    <t>MR2B29F3XH1042019</t>
  </si>
  <si>
    <t>0694-TCN17</t>
  </si>
  <si>
    <t>OPERADORA TURISTICA</t>
  </si>
  <si>
    <t>MR2B29F34H1042498</t>
  </si>
  <si>
    <t>0695-TCN17</t>
  </si>
  <si>
    <t>MR2B29F34H1043750</t>
  </si>
  <si>
    <t>0711-TCN17</t>
  </si>
  <si>
    <t>RAMIREZ ALMANZA MARI</t>
  </si>
  <si>
    <t>MR2B29F39H1043212</t>
  </si>
  <si>
    <t>0719-TCN17</t>
  </si>
  <si>
    <t>MR2B29F34H1044039</t>
  </si>
  <si>
    <t>0720-TCN17</t>
  </si>
  <si>
    <t>MR2B29F30H1042014</t>
  </si>
  <si>
    <t>0561-TCN17</t>
  </si>
  <si>
    <t>MR2B29F32H1037056</t>
  </si>
  <si>
    <t>0636-TCN17</t>
  </si>
  <si>
    <t>LARRAURI VAZQUEZ MIG</t>
  </si>
  <si>
    <t>MHKMF53F2HK013223</t>
  </si>
  <si>
    <t>0658-TCN17</t>
  </si>
  <si>
    <t>TELLEZ INFANTE EDITH</t>
  </si>
  <si>
    <t>MHKMF53E2HK008157</t>
  </si>
  <si>
    <t>0320-TCN17</t>
  </si>
  <si>
    <t>GUZMAN HERNANDEZ GUI</t>
  </si>
  <si>
    <t>MHKMF53F1HK011351</t>
  </si>
  <si>
    <t>0443-TCN17</t>
  </si>
  <si>
    <t>MUÑIZ EVARISTO DANIE</t>
  </si>
  <si>
    <t>MHKMF53F7HK012133</t>
  </si>
  <si>
    <t>0622-TCN17</t>
  </si>
  <si>
    <t>BALDERAS BALDERAS JO</t>
  </si>
  <si>
    <t>MHKMF53F0HK013401</t>
  </si>
  <si>
    <t>0665-TCN17</t>
  </si>
  <si>
    <t>DUARTE MUÑOZ FATIMA</t>
  </si>
  <si>
    <t>MHKMF53F6HK013953</t>
  </si>
  <si>
    <t>0696-TCN17</t>
  </si>
  <si>
    <t>DAVILA TREJO JACQUEL</t>
  </si>
  <si>
    <t>MHKMF53F9HK014918</t>
  </si>
  <si>
    <t>0702-TCN17</t>
  </si>
  <si>
    <t>MANZEWITSCH PABLO JO</t>
  </si>
  <si>
    <t>MHKMF53F7HK01365</t>
  </si>
  <si>
    <t>0723-TCN17</t>
  </si>
  <si>
    <t>REBOLLO MONDRAGON MA</t>
  </si>
  <si>
    <t>MHKMF53F4HK013823</t>
  </si>
  <si>
    <t>0739-TCN17</t>
  </si>
  <si>
    <t>JUAREZ RICO SAMANTHA</t>
  </si>
  <si>
    <t>MHKMF53F5HK014804</t>
  </si>
  <si>
    <t>0610-TCN17</t>
  </si>
  <si>
    <t>HORTI-PLANTAS INVERN</t>
  </si>
  <si>
    <t>5TDKZRFH9HS191197</t>
  </si>
  <si>
    <t>0692-TCN17</t>
  </si>
  <si>
    <t>HERRERA FRAGOSO MIGU</t>
  </si>
  <si>
    <t>5TDYZRFH4HS194146</t>
  </si>
  <si>
    <t>0693-TCN17</t>
  </si>
  <si>
    <t>CRUZ PEREZ ANDRES</t>
  </si>
  <si>
    <t>5TDYZRFH2HS194629</t>
  </si>
  <si>
    <t>0577-TCN17</t>
  </si>
  <si>
    <t>LUNA GUILLEN ELVIRA</t>
  </si>
  <si>
    <t>3MYDLAYV1HY162110</t>
  </si>
  <si>
    <t>0592-TCN17</t>
  </si>
  <si>
    <t>RIVERA MORALES DARIO</t>
  </si>
  <si>
    <t>3MYDLAYV5HY168105</t>
  </si>
  <si>
    <t>0682-TCN17</t>
  </si>
  <si>
    <t>LUNA GUILLEN JUANA</t>
  </si>
  <si>
    <t>3MYDLAYV4HY170301</t>
  </si>
  <si>
    <t>0321-TCN17</t>
  </si>
  <si>
    <t>ASESORIA CONSTRUCTIV</t>
  </si>
  <si>
    <t>3MYDLAYV8HY162377</t>
  </si>
  <si>
    <t>0347-TCN17</t>
  </si>
  <si>
    <t>VEGA JASSO JOEL ANTO</t>
  </si>
  <si>
    <t>MR0EX8CB3H1394694</t>
  </si>
  <si>
    <t>0358-TCN17</t>
  </si>
  <si>
    <t>DISEÑO Y CONSTRUCCIO</t>
  </si>
  <si>
    <t>MR0EX8CBXH1394773</t>
  </si>
  <si>
    <t>0409-TCN17</t>
  </si>
  <si>
    <t>ZARRAGA SERVIN TERES</t>
  </si>
  <si>
    <t>MR0EX8CBXH1394921</t>
  </si>
  <si>
    <t>0420-TCN17</t>
  </si>
  <si>
    <t>CRUZ ALMANZA J. SOCO</t>
  </si>
  <si>
    <t>MR0EX8CB9H1394991</t>
  </si>
  <si>
    <t>0669-TCN17</t>
  </si>
  <si>
    <t>ARTEAGA QUEVEDO LUIS</t>
  </si>
  <si>
    <t>MR0EX8CB3H1395618</t>
  </si>
  <si>
    <t>0700-TCN17</t>
  </si>
  <si>
    <t>CASTILLO PALACIOS LI</t>
  </si>
  <si>
    <t>MR0EX8CB0H1395690</t>
  </si>
  <si>
    <t>0716-TCN17</t>
  </si>
  <si>
    <t>BALBOA BETANZOS MARI</t>
  </si>
  <si>
    <t>MR0EX8CB6H1395807</t>
  </si>
  <si>
    <t>ABREGO OSORNIO RAFAE</t>
  </si>
  <si>
    <t>0601-TCN17</t>
  </si>
  <si>
    <t>BECERRA CARDOZO J CA</t>
  </si>
  <si>
    <t>MR0EX8CB0H1395608</t>
  </si>
  <si>
    <t>0602-TCN17</t>
  </si>
  <si>
    <t>CONTRERAS AGUADO ROS</t>
  </si>
  <si>
    <t>MR0EX8CBXH1395552</t>
  </si>
  <si>
    <t>0607-TCN17</t>
  </si>
  <si>
    <t>GALVAN PEREZ ARTEMIO</t>
  </si>
  <si>
    <t>MR0EX8CB8H1395484</t>
  </si>
  <si>
    <t>0608-TCN17</t>
  </si>
  <si>
    <t>OSNAYA GUTIERREZ MIG</t>
  </si>
  <si>
    <t>MR0EX8CB6H1395452</t>
  </si>
  <si>
    <t>0738-TCN17</t>
  </si>
  <si>
    <t>IMPAGTA S DE RL DE C</t>
  </si>
  <si>
    <t>MR0EX8CB7H1395668</t>
  </si>
  <si>
    <t>0557-TCN17</t>
  </si>
  <si>
    <t>IBARRA MENCHACA MIGU</t>
  </si>
  <si>
    <t>JTFPX22P4H0070250</t>
  </si>
  <si>
    <t>0599-TCN17</t>
  </si>
  <si>
    <t>VILLAGRAN EN MOVIMIE</t>
  </si>
  <si>
    <t>JTFPX22P6H0071061</t>
  </si>
  <si>
    <t>0614-TCN17</t>
  </si>
  <si>
    <t>OLIVOS HERNANDEZ CLA</t>
  </si>
  <si>
    <t>JTFPX22P9H0071099</t>
  </si>
  <si>
    <t>0620-TCN17</t>
  </si>
  <si>
    <t>3TMAZ5CN7HM035934</t>
  </si>
  <si>
    <t>0664-TCN17</t>
  </si>
  <si>
    <t>PANIAGUA GOMEZ DAVID</t>
  </si>
  <si>
    <t>3TMCZ5AN2HM066665</t>
  </si>
  <si>
    <t>LUIS JAVIER ORTIZ RODRIGUEZ</t>
  </si>
  <si>
    <t>0735-TCN17</t>
  </si>
  <si>
    <t>ROGIMAQ SA DE CV</t>
  </si>
  <si>
    <t>5TFHY5F17HX618363</t>
  </si>
  <si>
    <t>0168-TCN17</t>
  </si>
  <si>
    <t>RODRIGUEZ RAMIREZ JO</t>
  </si>
  <si>
    <t>MR0EX8DD7H0171063</t>
  </si>
  <si>
    <t>0650-TCN17</t>
  </si>
  <si>
    <t>AGROSERVICIOS NIETO</t>
  </si>
  <si>
    <t>MR0EX8DD1H0172869</t>
  </si>
  <si>
    <t>0680-TCN17</t>
  </si>
  <si>
    <t>CONSTRUCTORA JABE</t>
  </si>
  <si>
    <t>MR0EX8DD7H0249633</t>
  </si>
  <si>
    <t>0597-TCN17</t>
  </si>
  <si>
    <t>BUSTAMANTE OLALDE JE</t>
  </si>
  <si>
    <t>MR0EX8DD8H0172769</t>
  </si>
  <si>
    <t>0603-TCN17</t>
  </si>
  <si>
    <t>RICO MOSQUEDA RUBEN</t>
  </si>
  <si>
    <t>MR0EX8DD9H0249598</t>
  </si>
  <si>
    <t>0618-TCN17</t>
  </si>
  <si>
    <t>PATIÑO CAZARES ARMAN</t>
  </si>
  <si>
    <t>MR0EX8DD4H0249105</t>
  </si>
  <si>
    <t>0623-TCN17</t>
  </si>
  <si>
    <t>JAUREGUI NAVARRETE J</t>
  </si>
  <si>
    <t>MR0EX8DD5H0172681</t>
  </si>
  <si>
    <t>0624-TCN17</t>
  </si>
  <si>
    <t>GASTELUM FLORES MITZ</t>
  </si>
  <si>
    <t>MR0EX8DD5H0173118</t>
  </si>
  <si>
    <t>0625-TCN17</t>
  </si>
  <si>
    <t>RAZO GONZALEZ ARTURO</t>
  </si>
  <si>
    <t>MR0EX8DD2H0249118</t>
  </si>
  <si>
    <t>0626-TCN17</t>
  </si>
  <si>
    <t>ANGELES GUERRERO VAL</t>
  </si>
  <si>
    <t>MR0EX8DD4H0249640</t>
  </si>
  <si>
    <t>0628-TCN17</t>
  </si>
  <si>
    <t>MR0EX8DD4H0173045</t>
  </si>
  <si>
    <t>0629-TCN17</t>
  </si>
  <si>
    <t>ALMARAZ TORRES MARGA</t>
  </si>
  <si>
    <t>MR0EX8DD7H0173220</t>
  </si>
  <si>
    <t>0630-TCN17</t>
  </si>
  <si>
    <t>MSMI SA DE CV</t>
  </si>
  <si>
    <t>MR0EX8DD1H0249613</t>
  </si>
  <si>
    <t>0631-TCN17</t>
  </si>
  <si>
    <t>LOPEZ HERNANDEZ MISR</t>
  </si>
  <si>
    <t>MR0EX8DD2H0249779</t>
  </si>
  <si>
    <t>0632-TCN17</t>
  </si>
  <si>
    <t>PADRON SALAZAR ELOY</t>
  </si>
  <si>
    <t>MR0EX8DD1H0249787</t>
  </si>
  <si>
    <t>0638-TCN17</t>
  </si>
  <si>
    <t>AHERN INTERNACIONAL</t>
  </si>
  <si>
    <t>MR0EX8DD0H0172734</t>
  </si>
  <si>
    <t>0640-TCN17</t>
  </si>
  <si>
    <t>ALVARADO CHAVEZ JOSE</t>
  </si>
  <si>
    <t>MR0EX8DD1H0172905</t>
  </si>
  <si>
    <t>0641-TCN17</t>
  </si>
  <si>
    <t>MR0EX8DD9H0173302</t>
  </si>
  <si>
    <t>0642-TCN17</t>
  </si>
  <si>
    <t>MR0EX8DD5H0173328</t>
  </si>
  <si>
    <t>0643-TCN17</t>
  </si>
  <si>
    <t>LICEA DE SANTIAGO ED</t>
  </si>
  <si>
    <t>MR0EX8DD7H0173363</t>
  </si>
  <si>
    <t>0644-TCN17</t>
  </si>
  <si>
    <t>JAUREGUI CORREA RAFA</t>
  </si>
  <si>
    <t>MR0EX8DD6H0173399</t>
  </si>
  <si>
    <t>0674-TCN17</t>
  </si>
  <si>
    <t>MARTINEZ GUTIERREZ L</t>
  </si>
  <si>
    <t>MR0EX8DD9H0172568</t>
  </si>
  <si>
    <t>0675-TCN17</t>
  </si>
  <si>
    <t>RODRIGUEZ ORDUÑO ELI</t>
  </si>
  <si>
    <t>MR0EX8DD3H0249046</t>
  </si>
  <si>
    <t>0699-TCN17</t>
  </si>
  <si>
    <t>CHAVEZ SANCHEZ ROMME</t>
  </si>
  <si>
    <t>MR0EX8DD2H0173982</t>
  </si>
  <si>
    <t>0714-TCN17</t>
  </si>
  <si>
    <t>GONZALEZ MAYA ROMULO</t>
  </si>
  <si>
    <t>MR0EX8DD2H0173691</t>
  </si>
  <si>
    <t>0721-TCN17</t>
  </si>
  <si>
    <t>VALADEZ TOVAR J. ROS</t>
  </si>
  <si>
    <t>MR0EX8DD2H0250043</t>
  </si>
  <si>
    <t>1301-TCN16</t>
  </si>
  <si>
    <t>MHKMF53E3GK00346</t>
  </si>
  <si>
    <t>TAMAYO VEGA VERONICA</t>
  </si>
  <si>
    <t>0210-TCN17</t>
  </si>
  <si>
    <t>ARTEAGA MARTINEZ ANA</t>
  </si>
  <si>
    <t>5YFBPRHE0HP578173</t>
  </si>
  <si>
    <t>DICOBACEL SA DE CV</t>
  </si>
  <si>
    <t>GARCIA LOPEZ LUZ MAR</t>
  </si>
  <si>
    <t>0556-TCN17</t>
  </si>
  <si>
    <t>JTFPX22P0H0070603</t>
  </si>
  <si>
    <t>0586-TCN17</t>
  </si>
  <si>
    <t>ARRENDADORA COMERCIA</t>
  </si>
  <si>
    <t>JTFSX23P4H6175649</t>
  </si>
  <si>
    <t>CONSORCIO CONSTRUCTO</t>
  </si>
  <si>
    <t>GRANEROS SAN ANDRES,</t>
  </si>
  <si>
    <t>RIVERA NIETO JUAN CA</t>
  </si>
  <si>
    <t>0637-TCN17</t>
  </si>
  <si>
    <t>ARGUELLO GARCIA MIGU</t>
  </si>
  <si>
    <t>MR0EX8CB2H1395433</t>
  </si>
  <si>
    <t>0656-TCN17</t>
  </si>
  <si>
    <t>ARELLANO RODRIGUEZ M</t>
  </si>
  <si>
    <t>MHKMF53E3HK008099</t>
  </si>
  <si>
    <t>0671-TCN17</t>
  </si>
  <si>
    <t>MHKMF53E3GK003466</t>
  </si>
  <si>
    <t>0676-TCN17</t>
  </si>
  <si>
    <t>5YFBPRHE8HP618161</t>
  </si>
  <si>
    <t>0730-TCN17</t>
  </si>
  <si>
    <t>OZ AUTOMOTRIZ S. DE</t>
  </si>
  <si>
    <t>JTDKBRFUXH3035592</t>
  </si>
  <si>
    <t>AUTOMOTRIZ NIHON S.A</t>
  </si>
  <si>
    <t>AUTOMOVILES VALLEJO</t>
  </si>
  <si>
    <t>0728-TCN17</t>
  </si>
  <si>
    <t>FAME PERISUR, S. DE</t>
  </si>
  <si>
    <t>5YFBPRHE1HP628613</t>
  </si>
  <si>
    <t>0634-TCN17</t>
  </si>
  <si>
    <t>UNITED AUTO ZACATECA</t>
  </si>
  <si>
    <t>MR2K29F38H1036574</t>
  </si>
  <si>
    <t>0346-TCN17</t>
  </si>
  <si>
    <t>TOYOMOTORS DE POLANC</t>
  </si>
  <si>
    <t>MR2K29F38H1030550</t>
  </si>
  <si>
    <t>0611-TCN17</t>
  </si>
  <si>
    <t>MHKMF53E7HK007926</t>
  </si>
  <si>
    <t>0613-TCN17</t>
  </si>
  <si>
    <t>MHKMF53F3HK01312</t>
  </si>
  <si>
    <t>0709-TCN17</t>
  </si>
  <si>
    <t>MHKMF53FXHK013633</t>
  </si>
  <si>
    <t>0681-TCN17</t>
  </si>
  <si>
    <t>AUTOMOVILES DINAMICO</t>
  </si>
  <si>
    <t>4T1BF1FK6HU717606</t>
  </si>
  <si>
    <t>0685-TCN17</t>
  </si>
  <si>
    <t>4T1BF1FK8HU719227</t>
  </si>
  <si>
    <t>0666-TCN17</t>
  </si>
  <si>
    <t>2T3ZFREV2HW337582</t>
  </si>
  <si>
    <t>0429-TCN17</t>
  </si>
  <si>
    <t>2T3DFREV5HW559916</t>
  </si>
  <si>
    <t>0441-TCN17</t>
  </si>
  <si>
    <t>VALOR MOTRIZ S DE RL</t>
  </si>
  <si>
    <t>2T3RFREV9HW563473</t>
  </si>
  <si>
    <t>CEVER LOMAS VERDES S</t>
  </si>
  <si>
    <t>0590-TCN17</t>
  </si>
  <si>
    <t>5TDKZRFH8HS190462</t>
  </si>
  <si>
    <t>0591-TCN17</t>
  </si>
  <si>
    <t>5TDYZRFH9HS190495</t>
  </si>
  <si>
    <t>1274-TCN16</t>
  </si>
  <si>
    <t>5TDYKRFH4GS172294</t>
  </si>
  <si>
    <t>0410-TCN17</t>
  </si>
  <si>
    <t>MR0EX8CB3H1395019</t>
  </si>
  <si>
    <t>0639-TCN17</t>
  </si>
  <si>
    <t>MR0EX8DD4H0172896</t>
  </si>
  <si>
    <t>0646-TCN17</t>
  </si>
  <si>
    <t>MR0EX8DD7H0249650</t>
  </si>
  <si>
    <t>0661-TCN17</t>
  </si>
  <si>
    <t>LIDERAZGO AUTOMOTRIZ</t>
  </si>
  <si>
    <t>MR0EX8DD3H0249192</t>
  </si>
  <si>
    <t>GUSTAVO PICAZO BASTIDA</t>
  </si>
  <si>
    <t>0218-TCU16</t>
  </si>
  <si>
    <t>RICO MARCIAL JHOANA</t>
  </si>
  <si>
    <t>8AFDR5AD1C6459022</t>
  </si>
  <si>
    <t>0245-TCU16</t>
  </si>
  <si>
    <t>RUIZ PARRA VERONICA</t>
  </si>
  <si>
    <t>3FAFP4AJ4DM164056</t>
  </si>
  <si>
    <t>0001-TCU17</t>
  </si>
  <si>
    <t>RICO ARRIOLA OLIVIA</t>
  </si>
  <si>
    <t>3G1TA5AF0DL163534</t>
  </si>
  <si>
    <t>0230-TCU16</t>
  </si>
  <si>
    <t>LOPEZ CAMACHO VICENT</t>
  </si>
  <si>
    <t>JM1BM1U35E1188930</t>
  </si>
  <si>
    <t>0250-TCU16</t>
  </si>
  <si>
    <t>VILLEGAS CARDENAS IG</t>
  </si>
  <si>
    <t>JTFSX23P0F6156397</t>
  </si>
  <si>
    <t>RICARDO HERIBERTO RAMIREZ MOND</t>
  </si>
  <si>
    <t>0251-TCU16</t>
  </si>
  <si>
    <t>IBARRA SAUCEDO MOISE</t>
  </si>
  <si>
    <t>JTFSX23P2E6153225</t>
  </si>
  <si>
    <t>VIRIDIANA CARRANCO MANCERA</t>
  </si>
  <si>
    <t>0198-TCU16</t>
  </si>
  <si>
    <t>SEGURA CHAVEZ FRANCI</t>
  </si>
  <si>
    <t>3N1EB31S7EK320761</t>
  </si>
  <si>
    <t>ALVARO PAUL GUIA HERNANDEZ</t>
  </si>
  <si>
    <t>0002-TCU17</t>
  </si>
  <si>
    <t>DELGADO GARCIA KAREN</t>
  </si>
  <si>
    <t>JS2ZC82S3F6307573</t>
  </si>
  <si>
    <t>0236-TCU16</t>
  </si>
  <si>
    <t>REVILLA REAL MARIANA</t>
  </si>
  <si>
    <t>WMWMF71079TS24432</t>
  </si>
  <si>
    <t>0234-TCU16</t>
  </si>
  <si>
    <t>SEGURA VARGAS MARIA</t>
  </si>
  <si>
    <t>VSSJJ65P2AR020207</t>
  </si>
  <si>
    <t>0191-TCU16</t>
  </si>
  <si>
    <t>MARTINEZ MALDONADO J</t>
  </si>
  <si>
    <t>3C6YRAAKXDG275978</t>
  </si>
  <si>
    <t>0241-TCU16</t>
  </si>
  <si>
    <t>BRAVO MALDONADO ENRI</t>
  </si>
  <si>
    <t>1HGCR2633EA902757</t>
  </si>
  <si>
    <t>0229-TCU16</t>
  </si>
  <si>
    <t>JUAREZ NAVA LUIS ERN</t>
  </si>
  <si>
    <t>3G1J85DC1ES570919</t>
  </si>
  <si>
    <t>0232-TCU16</t>
  </si>
  <si>
    <t>RUIZ PEREZ M DE LOS</t>
  </si>
  <si>
    <t>9FBHS2AA7DM022563</t>
  </si>
  <si>
    <t>0013-TCU17</t>
  </si>
  <si>
    <t>CARBAJAL PANTOJA MIG</t>
  </si>
  <si>
    <t>1GCDS9C96C8125455</t>
  </si>
  <si>
    <t>0020-TCU17</t>
  </si>
  <si>
    <t>AGUILAR AGUILAR BREN</t>
  </si>
  <si>
    <t>1GCCS139898130033</t>
  </si>
  <si>
    <t>0221-TCU16</t>
  </si>
  <si>
    <t>JIMENEZ VILLAGOMEZ J</t>
  </si>
  <si>
    <t>3N1CN7AD3FL874687</t>
  </si>
  <si>
    <t>0011-TCU17</t>
  </si>
  <si>
    <t>CALDERON ALVAREZ ABE</t>
  </si>
  <si>
    <t>2T1BU4EE3BC695463</t>
  </si>
  <si>
    <t>0242-TCU16</t>
  </si>
  <si>
    <t>COMERCIALIZADORA DE</t>
  </si>
  <si>
    <t>2T3RF4EV5FW365148</t>
  </si>
  <si>
    <t>0003-TCU17</t>
  </si>
  <si>
    <t>MHKMF53F4GK006790</t>
  </si>
  <si>
    <t>0007-TCU17</t>
  </si>
  <si>
    <t>AGUILAR CONTRERAS LE</t>
  </si>
  <si>
    <t>MHKMC13F8CK000244</t>
  </si>
  <si>
    <t>0005-TCU17</t>
  </si>
  <si>
    <t>MAHREMEX SA DE CV</t>
  </si>
  <si>
    <t>5YFBURHE9GP448156</t>
  </si>
  <si>
    <t>0009-TCU17</t>
  </si>
  <si>
    <t>CERRITOS RICO ISRAEL</t>
  </si>
  <si>
    <t>MR2B29F39H1004412</t>
  </si>
  <si>
    <t>0228-TCU16</t>
  </si>
  <si>
    <t>BRUNTON PLIEGO OCTAV</t>
  </si>
  <si>
    <t>2T1BE4EE0CC049067</t>
  </si>
  <si>
    <t>A BAJA DEL MES ANTERIOR</t>
  </si>
  <si>
    <t>SX4 SEDAN GL TM</t>
  </si>
  <si>
    <t>B</t>
  </si>
  <si>
    <t>CAMIONETAS</t>
  </si>
  <si>
    <t>SIN ISAN</t>
  </si>
  <si>
    <t xml:space="preserve">CON </t>
  </si>
  <si>
    <t>EXENTOS</t>
  </si>
  <si>
    <t>FEBRERO.2017</t>
  </si>
  <si>
    <t>FEBRERO</t>
  </si>
  <si>
    <t>AA10422</t>
  </si>
  <si>
    <t>ZA03906</t>
  </si>
  <si>
    <t>AA10446</t>
  </si>
  <si>
    <t>AA10447</t>
  </si>
  <si>
    <t>ZA03909</t>
  </si>
  <si>
    <t>AA10455</t>
  </si>
  <si>
    <t>AA10456</t>
  </si>
  <si>
    <t>AA10521</t>
  </si>
  <si>
    <t>AA10537</t>
  </si>
  <si>
    <t>AA10390</t>
  </si>
  <si>
    <t>AA10424</t>
  </si>
  <si>
    <t>AA10530</t>
  </si>
  <si>
    <t>AA10525</t>
  </si>
  <si>
    <t>AA10538</t>
  </si>
  <si>
    <t>AA10372</t>
  </si>
  <si>
    <t>AA10388</t>
  </si>
  <si>
    <t>ZA03905</t>
  </si>
  <si>
    <t>AA10444</t>
  </si>
  <si>
    <t>AA10452</t>
  </si>
  <si>
    <t>AA10449</t>
  </si>
  <si>
    <t>ZA03911</t>
  </si>
  <si>
    <t>AA10460</t>
  </si>
  <si>
    <t>AA10482</t>
  </si>
  <si>
    <t>AA10483</t>
  </si>
  <si>
    <t>AA10505</t>
  </si>
  <si>
    <t>ZA03921</t>
  </si>
  <si>
    <t>AA10515</t>
  </si>
  <si>
    <t>AA10512</t>
  </si>
  <si>
    <t>AA10531</t>
  </si>
  <si>
    <t>ZA03929</t>
  </si>
  <si>
    <t>AA10542</t>
  </si>
  <si>
    <t>ZA03930</t>
  </si>
  <si>
    <t>AA10558</t>
  </si>
  <si>
    <t>AA10387</t>
  </si>
  <si>
    <t>ZA03908</t>
  </si>
  <si>
    <t>AA10534</t>
  </si>
  <si>
    <t>AA10399</t>
  </si>
  <si>
    <t>AA10466</t>
  </si>
  <si>
    <t>ZA03932</t>
  </si>
  <si>
    <t>AA10553</t>
  </si>
  <si>
    <t>AA10554</t>
  </si>
  <si>
    <t>ZA03898</t>
  </si>
  <si>
    <t>AA10428</t>
  </si>
  <si>
    <t>AA10430</t>
  </si>
  <si>
    <t>AA10438</t>
  </si>
  <si>
    <t>ZA03904</t>
  </si>
  <si>
    <t>AA10439</t>
  </si>
  <si>
    <t>AA10440</t>
  </si>
  <si>
    <t>ZA03901</t>
  </si>
  <si>
    <t>AA10471</t>
  </si>
  <si>
    <t>ZA03925</t>
  </si>
  <si>
    <t>AA10548</t>
  </si>
  <si>
    <t>ZA03894</t>
  </si>
  <si>
    <t>AA10413</t>
  </si>
  <si>
    <t>AA10416</t>
  </si>
  <si>
    <t>AA10517</t>
  </si>
  <si>
    <t>AA10376</t>
  </si>
  <si>
    <t>AA10484</t>
  </si>
  <si>
    <t>AA10454</t>
  </si>
  <si>
    <t>AA10474</t>
  </si>
  <si>
    <t>AA10475</t>
  </si>
  <si>
    <t>AA10497</t>
  </si>
  <si>
    <t>AA10514</t>
  </si>
  <si>
    <t>AA10526</t>
  </si>
  <si>
    <t>AA10557</t>
  </si>
  <si>
    <t>AA10389</t>
  </si>
  <si>
    <t>AA10393</t>
  </si>
  <si>
    <t>AA10426</t>
  </si>
  <si>
    <t>ZA03907</t>
  </si>
  <si>
    <t>AA10453</t>
  </si>
  <si>
    <t>AA10465</t>
  </si>
  <si>
    <t>AA10500</t>
  </si>
  <si>
    <t>ZA03916</t>
  </si>
  <si>
    <t>ZA03918</t>
  </si>
  <si>
    <t>AA10501</t>
  </si>
  <si>
    <t>AA10504</t>
  </si>
  <si>
    <t>AA10524</t>
  </si>
  <si>
    <t>ZA03926</t>
  </si>
  <si>
    <t>AA10528</t>
  </si>
  <si>
    <t>AA10529</t>
  </si>
  <si>
    <t>AA10543</t>
  </si>
  <si>
    <t>AA10550</t>
  </si>
  <si>
    <t>AA10385</t>
  </si>
  <si>
    <t>AA10427</t>
  </si>
  <si>
    <t>AA10410</t>
  </si>
  <si>
    <t>AA10412</t>
  </si>
  <si>
    <t>ZA03899</t>
  </si>
  <si>
    <t>AA10425</t>
  </si>
  <si>
    <t>AA10431</t>
  </si>
  <si>
    <t>AA10432</t>
  </si>
  <si>
    <t>ZA03902</t>
  </si>
  <si>
    <t>ZA03912</t>
  </si>
  <si>
    <t>AA10480</t>
  </si>
  <si>
    <t>AA10481</t>
  </si>
  <si>
    <t>AA10508</t>
  </si>
  <si>
    <t>AA10520</t>
  </si>
  <si>
    <t>AA10398</t>
  </si>
  <si>
    <t>AA10423</t>
  </si>
  <si>
    <t>AA10462</t>
  </si>
  <si>
    <t>AA10473</t>
  </si>
  <si>
    <t>AA10489</t>
  </si>
  <si>
    <t>ZA03934</t>
  </si>
  <si>
    <t>AA10555</t>
  </si>
  <si>
    <t>AA10561</t>
  </si>
  <si>
    <t>AA10463</t>
  </si>
  <si>
    <t>AA10488</t>
  </si>
  <si>
    <t>AA10506</t>
  </si>
  <si>
    <t>AA10547</t>
  </si>
  <si>
    <t>AA10386</t>
  </si>
  <si>
    <t>AA10409</t>
  </si>
  <si>
    <t>ZA03910</t>
  </si>
  <si>
    <t>AA10458</t>
  </si>
  <si>
    <t>AA10373</t>
  </si>
  <si>
    <t>AA10445</t>
  </si>
  <si>
    <t>ZA03928</t>
  </si>
  <si>
    <t>AA10532</t>
  </si>
  <si>
    <t>AA10533</t>
  </si>
  <si>
    <t>AA10559</t>
  </si>
  <si>
    <t>AA10485</t>
  </si>
  <si>
    <t>AA10513</t>
  </si>
  <si>
    <t>AA10519</t>
  </si>
  <si>
    <t>AA10540</t>
  </si>
  <si>
    <t>AA10536</t>
  </si>
  <si>
    <t>AA10396</t>
  </si>
  <si>
    <t>AA10459</t>
  </si>
  <si>
    <t>AA10402</t>
  </si>
  <si>
    <t>ZA03882</t>
  </si>
  <si>
    <t>AA10411</t>
  </si>
  <si>
    <t>AA10556</t>
  </si>
  <si>
    <t>AA10420</t>
  </si>
  <si>
    <t>AA10450</t>
  </si>
  <si>
    <t>ZA03885</t>
  </si>
  <si>
    <t>ZA03886</t>
  </si>
  <si>
    <t>AA10378</t>
  </si>
  <si>
    <t>AA10379</t>
  </si>
  <si>
    <t>AA10552</t>
  </si>
  <si>
    <t>ZA03887</t>
  </si>
  <si>
    <t>AA10380</t>
  </si>
  <si>
    <t>ZA03892</t>
  </si>
  <si>
    <t>AA10403</t>
  </si>
  <si>
    <t>AA10404</t>
  </si>
  <si>
    <t>AA10405</t>
  </si>
  <si>
    <t>AA10406</t>
  </si>
  <si>
    <t>AA10401</t>
  </si>
  <si>
    <t>AA10544</t>
  </si>
  <si>
    <t>AA10377</t>
  </si>
  <si>
    <t>AA10415</t>
  </si>
  <si>
    <t>ZA03897</t>
  </si>
  <si>
    <t>AA10429</t>
  </si>
  <si>
    <t>AA10461</t>
  </si>
  <si>
    <t>AA10478</t>
  </si>
  <si>
    <t>AA10496</t>
  </si>
  <si>
    <t>ZA03917</t>
  </si>
  <si>
    <t>AA10503</t>
  </si>
  <si>
    <t>AA10522</t>
  </si>
  <si>
    <t>ZA03924</t>
  </si>
  <si>
    <t>AA10523</t>
  </si>
  <si>
    <t>ZA03933</t>
  </si>
  <si>
    <t>AA10560</t>
  </si>
  <si>
    <t>ZA03895</t>
  </si>
  <si>
    <t>AA10448</t>
  </si>
  <si>
    <t>AA10457</t>
  </si>
  <si>
    <t>AA10502</t>
  </si>
  <si>
    <t>AA10470</t>
  </si>
  <si>
    <t>ZA03879</t>
  </si>
  <si>
    <t>AA10421</t>
  </si>
  <si>
    <t>AA10443</t>
  </si>
  <si>
    <t>AA10549</t>
  </si>
  <si>
    <t>AA10370</t>
  </si>
  <si>
    <t>AA10436</t>
  </si>
  <si>
    <t>AA10468</t>
  </si>
  <si>
    <t>ZA03913</t>
  </si>
  <si>
    <t>AA10493</t>
  </si>
  <si>
    <t>AA10495</t>
  </si>
  <si>
    <t>AA10507</t>
  </si>
  <si>
    <t>ZA03919</t>
  </si>
  <si>
    <t>AA10510</t>
  </si>
  <si>
    <t>AA10535</t>
  </si>
  <si>
    <t>AA10375</t>
  </si>
  <si>
    <t>AA10397</t>
  </si>
  <si>
    <t>ZA03889</t>
  </si>
  <si>
    <t>AA10391</t>
  </si>
  <si>
    <t>ZA03890</t>
  </si>
  <si>
    <t>AA10394</t>
  </si>
  <si>
    <t>AA10395</t>
  </si>
  <si>
    <t>ZA03893</t>
  </si>
  <si>
    <t>AA10419</t>
  </si>
  <si>
    <t>AA10434</t>
  </si>
  <si>
    <t>AA10437</t>
  </si>
  <si>
    <t>AA10451</t>
  </si>
  <si>
    <t>AA10467</t>
  </si>
  <si>
    <t>AA10469</t>
  </si>
  <si>
    <t>AA10472</t>
  </si>
  <si>
    <t>AA10477</t>
  </si>
  <si>
    <t>AA10486</t>
  </si>
  <si>
    <t>AA10499</t>
  </si>
  <si>
    <t>AA10490</t>
  </si>
  <si>
    <t>AA10487</t>
  </si>
  <si>
    <t>AA10518</t>
  </si>
  <si>
    <t>AA10545</t>
  </si>
  <si>
    <t>AA10541</t>
  </si>
  <si>
    <t>ZA03881</t>
  </si>
  <si>
    <t>AA10371</t>
  </si>
  <si>
    <t>ZA03914</t>
  </si>
  <si>
    <t>AA10492</t>
  </si>
  <si>
    <t>AA10494</t>
  </si>
  <si>
    <t>AA10527</t>
  </si>
  <si>
    <t>ZA03891</t>
  </si>
  <si>
    <t>AA10407</t>
  </si>
  <si>
    <t>ZA03896</t>
  </si>
  <si>
    <t>AA10418</t>
  </si>
  <si>
    <t>AA10374</t>
  </si>
  <si>
    <t>AA10381</t>
  </si>
  <si>
    <t>ZA03888</t>
  </si>
  <si>
    <t>AA10382</t>
  </si>
  <si>
    <t>AA10384</t>
  </si>
  <si>
    <t>AA10400</t>
  </si>
  <si>
    <t>AA10417</t>
  </si>
  <si>
    <t>AA10442</t>
  </si>
  <si>
    <t>AA10464</t>
  </si>
  <si>
    <t>AA10479</t>
  </si>
  <si>
    <t>ZA03915</t>
  </si>
  <si>
    <t>AA10491</t>
  </si>
  <si>
    <t>AA10498</t>
  </si>
  <si>
    <t>AA10509</t>
  </si>
  <si>
    <t>ZA03920</t>
  </si>
  <si>
    <t>AA10511</t>
  </si>
  <si>
    <t>ZA03922</t>
  </si>
  <si>
    <t>AA10551</t>
  </si>
  <si>
    <t>ZA03931</t>
  </si>
  <si>
    <t>AA10539</t>
  </si>
  <si>
    <t>AA10546</t>
  </si>
  <si>
    <t>AA10383</t>
  </si>
  <si>
    <t>AA10392</t>
  </si>
  <si>
    <t>AA10408</t>
  </si>
  <si>
    <t>AA10414</t>
  </si>
  <si>
    <t>ZA03900</t>
  </si>
  <si>
    <t>AA10433</t>
  </si>
  <si>
    <t>AA10435</t>
  </si>
  <si>
    <t>ZA03903</t>
  </si>
  <si>
    <t>AA10441</t>
  </si>
  <si>
    <t>AA10476</t>
  </si>
  <si>
    <t>AA10516</t>
  </si>
  <si>
    <t>YARIS R INTERMEDIO</t>
  </si>
  <si>
    <t>RAV4 SE 4WD 2.5L</t>
  </si>
  <si>
    <t>TACOMA EDICION ESPECIAL</t>
  </si>
  <si>
    <t>RAM 1500 REG CAB ST 4X2</t>
  </si>
  <si>
    <t>JANITZY SALCEDO MORENO</t>
  </si>
  <si>
    <t>1050-TCN16</t>
  </si>
  <si>
    <t>0776-TCN17</t>
  </si>
  <si>
    <t>0812-TCN17</t>
  </si>
  <si>
    <t>0878-TCN17</t>
  </si>
  <si>
    <t>0869-TCN17</t>
  </si>
  <si>
    <t>0783-TCN17</t>
  </si>
  <si>
    <t>0805-TCN17</t>
  </si>
  <si>
    <t>0873-TCN17</t>
  </si>
  <si>
    <t>0874-TCN17</t>
  </si>
  <si>
    <t>0892-TCN17</t>
  </si>
  <si>
    <t>0482-TCN17</t>
  </si>
  <si>
    <t>0782-TCN17</t>
  </si>
  <si>
    <t>0817-TCN17</t>
  </si>
  <si>
    <t>0612-TCN17</t>
  </si>
  <si>
    <t>0826-TCN17</t>
  </si>
  <si>
    <t>0828-TCN17</t>
  </si>
  <si>
    <t>0668-TCN17</t>
  </si>
  <si>
    <t>0796-TCN17</t>
  </si>
  <si>
    <t>0887-TCN17</t>
  </si>
  <si>
    <t>0780-TCN17</t>
  </si>
  <si>
    <t>0686-TCN17</t>
  </si>
  <si>
    <t>0824-TCN17</t>
  </si>
  <si>
    <t>0855-TCN17</t>
  </si>
  <si>
    <t>0771-TCN17</t>
  </si>
  <si>
    <t>0440-TCN17</t>
  </si>
  <si>
    <t>0768-TCN17</t>
  </si>
  <si>
    <t>0802-TCN17</t>
  </si>
  <si>
    <t>0270-TCN17</t>
  </si>
  <si>
    <t>0791-TCN17</t>
  </si>
  <si>
    <t>0877-TCN17</t>
  </si>
  <si>
    <t>0737-TCN17</t>
  </si>
  <si>
    <t>0844-TCN17</t>
  </si>
  <si>
    <t>0814-TCN17</t>
  </si>
  <si>
    <t>0819-TCN17</t>
  </si>
  <si>
    <t>0827-TCN17</t>
  </si>
  <si>
    <t>0847-TCN17</t>
  </si>
  <si>
    <t>0850-TCN17</t>
  </si>
  <si>
    <t>0881-TCN17</t>
  </si>
  <si>
    <t>0896-TCN17</t>
  </si>
  <si>
    <t>0778-TCN17</t>
  </si>
  <si>
    <t>0784-TCN17</t>
  </si>
  <si>
    <t>0807-TCN17</t>
  </si>
  <si>
    <t>0822-TCN17</t>
  </si>
  <si>
    <t>0848-TCN17</t>
  </si>
  <si>
    <t>0879-TCN17</t>
  </si>
  <si>
    <t>0884-TCN17</t>
  </si>
  <si>
    <t>0888-TCN17</t>
  </si>
  <si>
    <t>0898-TCN17</t>
  </si>
  <si>
    <t>0779-TCN17</t>
  </si>
  <si>
    <t>0809-TCN17</t>
  </si>
  <si>
    <t>0627-TCN17</t>
  </si>
  <si>
    <t>0790-TCN17</t>
  </si>
  <si>
    <t>0808-TCN17</t>
  </si>
  <si>
    <t>0810-TCN17</t>
  </si>
  <si>
    <t>0830-TCN17</t>
  </si>
  <si>
    <t>0731-TCN17</t>
  </si>
  <si>
    <t>0745-TCN17</t>
  </si>
  <si>
    <t>0747-TCN17</t>
  </si>
  <si>
    <t>0746-TCN17</t>
  </si>
  <si>
    <t>0635-TCN17</t>
  </si>
  <si>
    <t>0708-TCN17</t>
  </si>
  <si>
    <t>0734-TCN17</t>
  </si>
  <si>
    <t>0752-TCN17</t>
  </si>
  <si>
    <t>0821-TCN17</t>
  </si>
  <si>
    <t>0751-TCN17</t>
  </si>
  <si>
    <t>0775-TCN17</t>
  </si>
  <si>
    <t>0777-TCN17</t>
  </si>
  <si>
    <t>0774-TCN17</t>
  </si>
  <si>
    <t>0813-TCN17</t>
  </si>
  <si>
    <t>0836-TCN17</t>
  </si>
  <si>
    <t>0616-TCN17</t>
  </si>
  <si>
    <t>0837-TCN17</t>
  </si>
  <si>
    <t>0773-TCN17</t>
  </si>
  <si>
    <t>0876-TCN17</t>
  </si>
  <si>
    <t>0886-TCN17</t>
  </si>
  <si>
    <t>0891-TCN17</t>
  </si>
  <si>
    <t>0729-TCN17</t>
  </si>
  <si>
    <t>0684-TCN17</t>
  </si>
  <si>
    <t>0789-TCN17</t>
  </si>
  <si>
    <t>0244-TCN17</t>
  </si>
  <si>
    <t>0803-TCN17</t>
  </si>
  <si>
    <t>0804-TCN17</t>
  </si>
  <si>
    <t>0897-TCN17</t>
  </si>
  <si>
    <t>0722-TCN17</t>
  </si>
  <si>
    <t>0786-TCN17</t>
  </si>
  <si>
    <t>0787-TCN17</t>
  </si>
  <si>
    <t>0781-TCN17</t>
  </si>
  <si>
    <t>0889-TCN17</t>
  </si>
  <si>
    <t>0667-TCN17</t>
  </si>
  <si>
    <t>0742-TCN17</t>
  </si>
  <si>
    <t>0743-TCN17</t>
  </si>
  <si>
    <t>0795-TCN17</t>
  </si>
  <si>
    <t>0846-TCN17</t>
  </si>
  <si>
    <t>0797-TCN17</t>
  </si>
  <si>
    <t>0880-TCN17</t>
  </si>
  <si>
    <t>1101-TCN16</t>
  </si>
  <si>
    <t>0820-TCN17</t>
  </si>
  <si>
    <t>0825-TCN17</t>
  </si>
  <si>
    <t>0816-TCN17</t>
  </si>
  <si>
    <t>0839-TCN17</t>
  </si>
  <si>
    <t>0758-TCN17</t>
  </si>
  <si>
    <t>0660-TCN17</t>
  </si>
  <si>
    <t>0823-TCN17</t>
  </si>
  <si>
    <t>0841-TCN17</t>
  </si>
  <si>
    <t>0757-TCN17</t>
  </si>
  <si>
    <t>0890-TCN17</t>
  </si>
  <si>
    <t>0760-TCN17</t>
  </si>
  <si>
    <t>0645-TCN17</t>
  </si>
  <si>
    <t>0765-TCN17</t>
  </si>
  <si>
    <t>0766-TCN17</t>
  </si>
  <si>
    <t>0806-TCN17</t>
  </si>
  <si>
    <t>0761-TCN17</t>
  </si>
  <si>
    <t>0811-TCN17</t>
  </si>
  <si>
    <t>0818-TCN17</t>
  </si>
  <si>
    <t>0648-TCN17</t>
  </si>
  <si>
    <t>0762-TCN17</t>
  </si>
  <si>
    <t>0829-TCN17</t>
  </si>
  <si>
    <t>0647-TCN17</t>
  </si>
  <si>
    <t>0759-TCN17</t>
  </si>
  <si>
    <t>0845-TCN17</t>
  </si>
  <si>
    <t>0764-TCN17</t>
  </si>
  <si>
    <t>0851-TCN17</t>
  </si>
  <si>
    <t>0893-TCN17</t>
  </si>
  <si>
    <t>0651-TCN17</t>
  </si>
  <si>
    <t>0406-TCN17</t>
  </si>
  <si>
    <t>0788-TCN17</t>
  </si>
  <si>
    <t>0021-TCU17</t>
  </si>
  <si>
    <t>0203-TCU16</t>
  </si>
  <si>
    <t>0227-TCU16</t>
  </si>
  <si>
    <t>0030-TCU17</t>
  </si>
  <si>
    <t>0016-TCU17</t>
  </si>
  <si>
    <t>0019-TCU17</t>
  </si>
  <si>
    <t>0038-TCU17</t>
  </si>
  <si>
    <t>0025-TCU17</t>
  </si>
  <si>
    <t>0034-TCU17</t>
  </si>
  <si>
    <t>0047-TCU17</t>
  </si>
  <si>
    <t>0049-TCU17</t>
  </si>
  <si>
    <t>0027-TCU17</t>
  </si>
  <si>
    <t>0029-TCU17</t>
  </si>
  <si>
    <t>0004-TCU17</t>
  </si>
  <si>
    <t>0031-TCU17</t>
  </si>
  <si>
    <t>0196-TCU16</t>
  </si>
  <si>
    <t>0246-TCU16</t>
  </si>
  <si>
    <t>0103-TCN17</t>
  </si>
  <si>
    <t>0008-TCU17</t>
  </si>
  <si>
    <t>0050-TCU17</t>
  </si>
  <si>
    <t>ALECSA CELAYA, S. DE</t>
  </si>
  <si>
    <t>OZ-AUTOMOTRIZ DE COL</t>
  </si>
  <si>
    <t>SILVA TRON ELISA</t>
  </si>
  <si>
    <t>DURANGO AUTOMOTORES</t>
  </si>
  <si>
    <t>ALCAIDE BLANCO MARIA</t>
  </si>
  <si>
    <t>ROJAS ARREOLA ALEJAN</t>
  </si>
  <si>
    <t>JIMENEZ MENDOZA VERO</t>
  </si>
  <si>
    <t>MADRIGAL MARMOLEJO M</t>
  </si>
  <si>
    <t>TENIENTE RUIZ ABIGAI</t>
  </si>
  <si>
    <t>VASQUEZ PAREDEZ MATE</t>
  </si>
  <si>
    <t>HASEGAWA KUMI</t>
  </si>
  <si>
    <t>SERVICIOS DE CONTROL</t>
  </si>
  <si>
    <t>VEGA ZUÑIGA CLAUDIA</t>
  </si>
  <si>
    <t>MARTINEZ YERENA JOSE</t>
  </si>
  <si>
    <t>AISIN AUTOMOTIVE GUA</t>
  </si>
  <si>
    <t>FRAGOSO ZARAZUA GUST</t>
  </si>
  <si>
    <t>MEJIA GAMA EDUARDO</t>
  </si>
  <si>
    <t>MIRELES VAZCO PATRIC</t>
  </si>
  <si>
    <t>SEPULVEDA BRULL CLAU</t>
  </si>
  <si>
    <t>DALTON AUTOMOTORES,</t>
  </si>
  <si>
    <t>VALDOVINOS HERNANDEZ</t>
  </si>
  <si>
    <t>HERNANDEZ MUñOZ JOSE</t>
  </si>
  <si>
    <t>RODRIGUEZ VIEYRA CLA</t>
  </si>
  <si>
    <t>MARTINEZ TRUJILLO ER</t>
  </si>
  <si>
    <t>MANSILLA RUBIO MIREI</t>
  </si>
  <si>
    <t>GARCIA HERNANDEZ OSC</t>
  </si>
  <si>
    <t>ALBERTO SERRANO ALEJ</t>
  </si>
  <si>
    <t>ARREDONDO SUAREZ JUA</t>
  </si>
  <si>
    <t>FLORES CONTRERAS NOR</t>
  </si>
  <si>
    <t>UNITED AUTO DE MONTE</t>
  </si>
  <si>
    <t>ESTEVEZ GONZALEZ MIN</t>
  </si>
  <si>
    <t>FINANCIERA BAJIO SA</t>
  </si>
  <si>
    <t>RIOS DUVAL JESUS ARM</t>
  </si>
  <si>
    <t>HUICHAPA ACOSTA SERG</t>
  </si>
  <si>
    <t>NERIA SALINAS XOCHIT</t>
  </si>
  <si>
    <t>DECADA AUTOMOTRIZ S</t>
  </si>
  <si>
    <t>RICO GONZALEZ LUZ ED</t>
  </si>
  <si>
    <t>AUTOMOTRIZ TOY S.A.</t>
  </si>
  <si>
    <t>GALVAN ARRIAGA ERICA</t>
  </si>
  <si>
    <t>RAMIREZ SANCHEZ JUAN</t>
  </si>
  <si>
    <t>ACOSTA PONCE EZEQUI</t>
  </si>
  <si>
    <t>CCD. AUTOSALES PUERT</t>
  </si>
  <si>
    <t>GAMEZ BARCENAS MA IS</t>
  </si>
  <si>
    <t>LOVERA RUIZ HENDY IV</t>
  </si>
  <si>
    <t>CERVANTES GOMEZ YOLA</t>
  </si>
  <si>
    <t>TIRADO RAMIREZ LUCER</t>
  </si>
  <si>
    <t>CABRERA RODRIGUEZ MA</t>
  </si>
  <si>
    <t>ROMO RIOS NOE ISRAEL</t>
  </si>
  <si>
    <t>DOMINGUEZ CASTILLO A</t>
  </si>
  <si>
    <t>OJEDA SAMPSON ALEJAN</t>
  </si>
  <si>
    <t>VAZQUEZ LAGUNES SERG</t>
  </si>
  <si>
    <t>RODRIGUEZ HERRERA VE</t>
  </si>
  <si>
    <t>GRUPO ECO-VASOR SA D</t>
  </si>
  <si>
    <t>JIMENEZ PINEDA PERLA</t>
  </si>
  <si>
    <t>LAWRENCE ARNOLD JACK</t>
  </si>
  <si>
    <t>MUÑOZ SUAREZ EDUARDO</t>
  </si>
  <si>
    <t>NIETO BARRAGAN MARIA</t>
  </si>
  <si>
    <t>ARREDONDO MALDONADO</t>
  </si>
  <si>
    <t>ALVA RAMIREZ RAIMUND</t>
  </si>
  <si>
    <t>BARROSO PATIÑO LETIC</t>
  </si>
  <si>
    <t>OLVERA CARDOSO LUIS</t>
  </si>
  <si>
    <t>GRUPO PENINSULA MOTO</t>
  </si>
  <si>
    <t>BUS DE VELAZQUEZ SA</t>
  </si>
  <si>
    <t>BERRA GONZALEZ YIGAE</t>
  </si>
  <si>
    <t>ALVARADO MATA CARLOS</t>
  </si>
  <si>
    <t>TRABAJOS ESPECIALIZA</t>
  </si>
  <si>
    <t>CARDONA MANZANO MARI</t>
  </si>
  <si>
    <t>GALLARDO HERNANDEZ N</t>
  </si>
  <si>
    <t>MANTENIMIENTO Y SUMI</t>
  </si>
  <si>
    <t>LARENAS ALQUICIRA ED</t>
  </si>
  <si>
    <t>FRAY ANDRES DE SALVA</t>
  </si>
  <si>
    <t>BAUTISTA LUNA EDWIN</t>
  </si>
  <si>
    <t>LARA HERNANDEZ ARTUR</t>
  </si>
  <si>
    <t>AGUILAR HERNANDEZ SA</t>
  </si>
  <si>
    <t>SANCHEZ CORTES ELIAS</t>
  </si>
  <si>
    <t>TAGMEX SA DE CV</t>
  </si>
  <si>
    <t>MEGAMOTORS NIPPON, S</t>
  </si>
  <si>
    <t>GAMIÑO JIMENEZ APOLI</t>
  </si>
  <si>
    <t>CASTELANO MANDUJANO</t>
  </si>
  <si>
    <t>SALDAÑA ALANIZ JUANA</t>
  </si>
  <si>
    <t>ALVAREZ LEDESMA JOSE</t>
  </si>
  <si>
    <t>NITO OLIVARES JOSE A</t>
  </si>
  <si>
    <t>ANDRADE SOLORZANO RO</t>
  </si>
  <si>
    <t>FRANCO SOTO J GUADAL</t>
  </si>
  <si>
    <t>BELMAN CANO ENRIQUE</t>
  </si>
  <si>
    <t>PREMIER DE ORIENTE S</t>
  </si>
  <si>
    <t>MONROY MAYA ABRAHAM</t>
  </si>
  <si>
    <t>GOMEZ MARTINEZ MOISE</t>
  </si>
  <si>
    <t>SALGADO URIOSTEGUI A</t>
  </si>
  <si>
    <t>MALPA PRODUCTORES AG</t>
  </si>
  <si>
    <t>MEDINA RODRIGUEZ MAR</t>
  </si>
  <si>
    <t>GLOBAL ANIMAL PRODUC</t>
  </si>
  <si>
    <t>FONDO DE ASEGURAMIEN</t>
  </si>
  <si>
    <t>MONTOYA BALDERAS MAR</t>
  </si>
  <si>
    <t>CONSTRUCTORA JABE SA</t>
  </si>
  <si>
    <t>AGROPRODUCTOS ALTAMI</t>
  </si>
  <si>
    <t>BALBUENA SALAZAR PAT</t>
  </si>
  <si>
    <t>SIERRA PICON JUANA D</t>
  </si>
  <si>
    <t>JUAREZ RODRIGUEZ MAR</t>
  </si>
  <si>
    <t>HERNANDEZ TREJO MARI</t>
  </si>
  <si>
    <t>MURILLO AYALA BERTHA</t>
  </si>
  <si>
    <t>RODRIGUEZ LOZADA AND</t>
  </si>
  <si>
    <t>RIVERA MEDINA ISRAEL</t>
  </si>
  <si>
    <t>DUARTE RODRIGUEZ DAV</t>
  </si>
  <si>
    <t>JACOBO CISNEROS EPIF</t>
  </si>
  <si>
    <t>BARBA PALOS JUAN JOS</t>
  </si>
  <si>
    <t>ROSILLO LEON SERGIO</t>
  </si>
  <si>
    <t>MIRANDA SOLIS DIANA</t>
  </si>
  <si>
    <t>ALARCON MOJICA J FEL</t>
  </si>
  <si>
    <t>GARCIA ALVAREZ EFREN</t>
  </si>
  <si>
    <t>BRETON RODRIGUEZ ROS</t>
  </si>
  <si>
    <t>MEJIA CAMPOS PAULA E</t>
  </si>
  <si>
    <t>GOMEZ GARCIA ANTONIO</t>
  </si>
  <si>
    <t>ZARAGOZA SOBREVILLA</t>
  </si>
  <si>
    <t>LEGARIA BUENO ANGEL</t>
  </si>
  <si>
    <t>GARCIA CARDENAS JOSE</t>
  </si>
  <si>
    <t>3MYDLAYV5GY145146</t>
  </si>
  <si>
    <t>3MYDLAYV0HY170070</t>
  </si>
  <si>
    <t>3MYDLAYV3HY175070</t>
  </si>
  <si>
    <t>3MYDLAYV0HY176872</t>
  </si>
  <si>
    <t>3MYDLAYV6HY174835</t>
  </si>
  <si>
    <t>JTDKBRFU6H3036433</t>
  </si>
  <si>
    <t>JTDKBRFU0H3036718</t>
  </si>
  <si>
    <t>JTDKBRFU9H3036765</t>
  </si>
  <si>
    <t>JTDKBRFU0H3036931</t>
  </si>
  <si>
    <t>JTDKBRFU7H3549125</t>
  </si>
  <si>
    <t>JTDKBRFU5H3033457</t>
  </si>
  <si>
    <t>JTDKBRFU7H3547701</t>
  </si>
  <si>
    <t>JTDKBRFU0H3548883</t>
  </si>
  <si>
    <t>JTDKBRFU1H3543529</t>
  </si>
  <si>
    <t>JTDKBRFU0H3548818</t>
  </si>
  <si>
    <t>JTDKBRFU7H3548699</t>
  </si>
  <si>
    <t>JTDKBRFU7H3034898</t>
  </si>
  <si>
    <t>JTDKBRFU3H3036213</t>
  </si>
  <si>
    <t>JTDKBRFU4H3036964</t>
  </si>
  <si>
    <t>5YFBPRHE2HP639586</t>
  </si>
  <si>
    <t>5YFBPRHE0HP624164</t>
  </si>
  <si>
    <t>5YFBPRHE2HP636140</t>
  </si>
  <si>
    <t>5YFBPRHE5HP637380</t>
  </si>
  <si>
    <t>5YFBPRHE5HP631501</t>
  </si>
  <si>
    <t>5YFBPRHE4HP601258</t>
  </si>
  <si>
    <t>5YFBPRHE8HP629984</t>
  </si>
  <si>
    <t>5YFBPRHE2HP633593</t>
  </si>
  <si>
    <t>5YFBPRHEXHP584899</t>
  </si>
  <si>
    <t>5YFBPRHE5HP636133</t>
  </si>
  <si>
    <t>5YFBPRHE1HP639756</t>
  </si>
  <si>
    <t>5YFBPRHE3HP628208</t>
  </si>
  <si>
    <t>5YFBPRHEXHP635835</t>
  </si>
  <si>
    <t>MR2B29F30H1042322</t>
  </si>
  <si>
    <t>MR2B29F39H1044814</t>
  </si>
  <si>
    <t>MR2B29F32H1043309</t>
  </si>
  <si>
    <t>MR2B29F33H1046381</t>
  </si>
  <si>
    <t>MR2B29F3XH1047074</t>
  </si>
  <si>
    <t>MR2B29F3XH1046555</t>
  </si>
  <si>
    <t>MR2B29F3XH1046961</t>
  </si>
  <si>
    <t>MR2B29F36H1041210</t>
  </si>
  <si>
    <t>MR2B29F34H1045143</t>
  </si>
  <si>
    <t>MR2B29F38H1043668</t>
  </si>
  <si>
    <t>MR2B29F39H1042447</t>
  </si>
  <si>
    <t>MR2B29F37H1045363</t>
  </si>
  <si>
    <t>MR2B29F34H1047037</t>
  </si>
  <si>
    <t>MR2B29F36H1046326</t>
  </si>
  <si>
    <t>MR2B29F37H1047193</t>
  </si>
  <si>
    <t>MR2B29F30H1046175</t>
  </si>
  <si>
    <t>MR2K29F35H1044504</t>
  </si>
  <si>
    <t>MR2K29F32H1044444</t>
  </si>
  <si>
    <t>MR2K29F36H1037450</t>
  </si>
  <si>
    <t>MR2K29F38H1044660</t>
  </si>
  <si>
    <t>MR2K29F31H1043771</t>
  </si>
  <si>
    <t>MR2K29F34H1044512</t>
  </si>
  <si>
    <t>MR2K29F35H1044308</t>
  </si>
  <si>
    <t>MR2K29F33H1042394</t>
  </si>
  <si>
    <t>MHKMF53E9HK008608</t>
  </si>
  <si>
    <t>MHKMF53EXHK008732</t>
  </si>
  <si>
    <t>MHKMF53E8HK008616</t>
  </si>
  <si>
    <t>MHKMF53E7HK008171</t>
  </si>
  <si>
    <t>MHKMF53E0HK008190</t>
  </si>
  <si>
    <t>MHKMF53F8HK013789</t>
  </si>
  <si>
    <t>MHKMF53FXHK013891</t>
  </si>
  <si>
    <t>MHKMF53F2HK014596</t>
  </si>
  <si>
    <t>MHKMF53F9HK013560</t>
  </si>
  <si>
    <t>MHKMF53FXHK014877</t>
  </si>
  <si>
    <t>MHKMF53F9HK014787</t>
  </si>
  <si>
    <t>2T3RFREV8HW590678</t>
  </si>
  <si>
    <t>2T3RFREV0HW547128</t>
  </si>
  <si>
    <t>2T3RFREV9HW593444</t>
  </si>
  <si>
    <t>2T3RFREV8HW565506</t>
  </si>
  <si>
    <t>2T3ZFREV1HW344488</t>
  </si>
  <si>
    <t>2T3ZFREV0HW344045</t>
  </si>
  <si>
    <t>2T3ZFREV8HW351129</t>
  </si>
  <si>
    <t>2T3ZFREV7HW348402</t>
  </si>
  <si>
    <t>2T3ZFREV6HW350576</t>
  </si>
  <si>
    <t>2T3JFREV2HW587577</t>
  </si>
  <si>
    <t>2T3JFREV5HW578355</t>
  </si>
  <si>
    <t>2T3DFREV1HW58535</t>
  </si>
  <si>
    <t>2T3RFREV2HW543470</t>
  </si>
  <si>
    <t>5TDKZ3DC7HS817642</t>
  </si>
  <si>
    <t>5TDKZ3DC6HS816448</t>
  </si>
  <si>
    <t>5TDYZ3DC7HS820700</t>
  </si>
  <si>
    <t>5TDYZ3DC6HS818680</t>
  </si>
  <si>
    <t>5TDYZ3DCXHS819976</t>
  </si>
  <si>
    <t>5TDYZ3DC4HS824204</t>
  </si>
  <si>
    <t>5TDYZ3DC4HS812585</t>
  </si>
  <si>
    <t>JTFPX22P4H0072824</t>
  </si>
  <si>
    <t>JTFSX23P0H6175597</t>
  </si>
  <si>
    <t>JTFSX23P2H6175911</t>
  </si>
  <si>
    <t>JTFSX23P4H6175926</t>
  </si>
  <si>
    <t>JTFSX23P3H6176310</t>
  </si>
  <si>
    <t>JTFSX23P2H6176766</t>
  </si>
  <si>
    <t>JTFSX23P3H6176162</t>
  </si>
  <si>
    <t>JTFSX23P4H6177062</t>
  </si>
  <si>
    <t>5TDYKRFH4GS163563</t>
  </si>
  <si>
    <t>5TDYZRFH8HS191993</t>
  </si>
  <si>
    <t>3TMCZ5AN6HM069388</t>
  </si>
  <si>
    <t>MR0EX8CB4H1396194</t>
  </si>
  <si>
    <t>MR0EX8CBXH1395809</t>
  </si>
  <si>
    <t>MR0EX8CB0H1395768</t>
  </si>
  <si>
    <t>MR0EX8CB4H1395773</t>
  </si>
  <si>
    <t>MR0EX8CB5H1396043</t>
  </si>
  <si>
    <t>MR0EX8CB9H1395977</t>
  </si>
  <si>
    <t>MR0EX8CB4H1395644</t>
  </si>
  <si>
    <t>MR0EX8CB8H1396327</t>
  </si>
  <si>
    <t>MR0EX8DDXH0173485</t>
  </si>
  <si>
    <t>MR0EX8DD0H0249232</t>
  </si>
  <si>
    <t>MR0EX8DD7H0249986</t>
  </si>
  <si>
    <t>MR0EX8DD6H0250112</t>
  </si>
  <si>
    <t>MR0EX8DD8H0250452</t>
  </si>
  <si>
    <t>MR0EX8DD4H0173501</t>
  </si>
  <si>
    <t>MR0EX8DD4H0173854</t>
  </si>
  <si>
    <t>MR0EX8DD5H0173894</t>
  </si>
  <si>
    <t>MR0EX8DD6H0249834</t>
  </si>
  <si>
    <t>MR0EX8DD0H0173625</t>
  </si>
  <si>
    <t>MR0EX8DD3H0250620</t>
  </si>
  <si>
    <t>MR0EX8DD0H0249814</t>
  </si>
  <si>
    <t>MR0EX8DD8H0173470</t>
  </si>
  <si>
    <t>MR0EX8DDXH0174202</t>
  </si>
  <si>
    <t>MR0EX8DD9H0173686</t>
  </si>
  <si>
    <t>MR0EX8DD4H0250142</t>
  </si>
  <si>
    <t>MR0EX8DDXH0250789</t>
  </si>
  <si>
    <t>MR0EX8DDXH0173230</t>
  </si>
  <si>
    <t>MR0EX8DD3H0248253</t>
  </si>
  <si>
    <t>5TFHY5F16HX605765</t>
  </si>
  <si>
    <t>VF1LZ12T9DC260388</t>
  </si>
  <si>
    <t>KL1PJ5C59AK637322</t>
  </si>
  <si>
    <t>3N1CK3CDXDL256682</t>
  </si>
  <si>
    <t>3C6YRAAK8DG275221</t>
  </si>
  <si>
    <t>KNADN5A36H6789818</t>
  </si>
  <si>
    <t>JTDB9K37D1427672</t>
  </si>
  <si>
    <t>3CZRE3858AG002869</t>
  </si>
  <si>
    <t>9FBHS2FF7HM595330</t>
  </si>
  <si>
    <t>3N1BC1AS9EK194780</t>
  </si>
  <si>
    <t>JTDBT9K37D1427672</t>
  </si>
  <si>
    <t>WMWSV3106CT451623</t>
  </si>
  <si>
    <t>3TMJU4GN6EM168408</t>
  </si>
  <si>
    <t>1GCDS9C93C8125512</t>
  </si>
  <si>
    <t>5YFBURHE0GP483071</t>
  </si>
  <si>
    <t>5TDYK3DC4DS351824</t>
  </si>
  <si>
    <t>5TDZM5G1XCS004193</t>
  </si>
  <si>
    <t>2T3DF4EV8EW140103</t>
  </si>
  <si>
    <t>MR2K29F33H1022260</t>
  </si>
  <si>
    <t>5YFBURHE3EP021746</t>
  </si>
  <si>
    <t>MHKMC13F5DK005855</t>
  </si>
  <si>
    <t>BAJA</t>
  </si>
  <si>
    <t>ALTA</t>
  </si>
  <si>
    <t>REPORTE DE ISAN FEBRERO.2017</t>
  </si>
  <si>
    <t>MARZO</t>
  </si>
  <si>
    <t>REPORTE DE ISAN MARZO.2017</t>
  </si>
  <si>
    <t>AA10733</t>
  </si>
  <si>
    <t>AA10573</t>
  </si>
  <si>
    <t>ZA03956</t>
  </si>
  <si>
    <t>AA10632</t>
  </si>
  <si>
    <t>AA10630</t>
  </si>
  <si>
    <t>AA10641</t>
  </si>
  <si>
    <t>AA10638</t>
  </si>
  <si>
    <t>AA10659</t>
  </si>
  <si>
    <t>AA10695</t>
  </si>
  <si>
    <t>ZA03975</t>
  </si>
  <si>
    <t>AA10711</t>
  </si>
  <si>
    <t>AA10771</t>
  </si>
  <si>
    <t>ZA03937</t>
  </si>
  <si>
    <t>AA10572</t>
  </si>
  <si>
    <t>AA10582</t>
  </si>
  <si>
    <t>ZA03943</t>
  </si>
  <si>
    <t>AA10599</t>
  </si>
  <si>
    <t>AA10627</t>
  </si>
  <si>
    <t>AA10677</t>
  </si>
  <si>
    <t>ZA03935</t>
  </si>
  <si>
    <t>ZA03936</t>
  </si>
  <si>
    <t>AA10579</t>
  </si>
  <si>
    <t>ZA03947</t>
  </si>
  <si>
    <t>AA10675</t>
  </si>
  <si>
    <t>AA10694</t>
  </si>
  <si>
    <t>AA10689</t>
  </si>
  <si>
    <t>ZA03979</t>
  </si>
  <si>
    <t>AA10719</t>
  </si>
  <si>
    <t>AA10743</t>
  </si>
  <si>
    <t>AA10768</t>
  </si>
  <si>
    <t>ZA03983</t>
  </si>
  <si>
    <t>AA10738</t>
  </si>
  <si>
    <t>AA10739</t>
  </si>
  <si>
    <t>AA10735</t>
  </si>
  <si>
    <t>AA10608</t>
  </si>
  <si>
    <t>AA10652</t>
  </si>
  <si>
    <t>AA10775</t>
  </si>
  <si>
    <t>AA10566</t>
  </si>
  <si>
    <t>AA10685</t>
  </si>
  <si>
    <t>AA10688</t>
  </si>
  <si>
    <t>ZA03970</t>
  </si>
  <si>
    <t>AA10696</t>
  </si>
  <si>
    <t>AA10703</t>
  </si>
  <si>
    <t>AA10727</t>
  </si>
  <si>
    <t>AA10774</t>
  </si>
  <si>
    <t>AA10740</t>
  </si>
  <si>
    <t>AA10634</t>
  </si>
  <si>
    <t>AA10726</t>
  </si>
  <si>
    <t>ZA03940</t>
  </si>
  <si>
    <t>AA10594</t>
  </si>
  <si>
    <t>ZA03942</t>
  </si>
  <si>
    <t>AA10598</t>
  </si>
  <si>
    <t>AA10673</t>
  </si>
  <si>
    <t>AA10676</t>
  </si>
  <si>
    <t>AA10693</t>
  </si>
  <si>
    <t>AA10777</t>
  </si>
  <si>
    <t>AA10578</t>
  </si>
  <si>
    <t>AA10602</t>
  </si>
  <si>
    <t>ZA03949</t>
  </si>
  <si>
    <t>AA10611</t>
  </si>
  <si>
    <t>AA10623</t>
  </si>
  <si>
    <t>ZA03955</t>
  </si>
  <si>
    <t>AA10631</t>
  </si>
  <si>
    <t>ZA03958</t>
  </si>
  <si>
    <t>AA10645</t>
  </si>
  <si>
    <t>AA10647</t>
  </si>
  <si>
    <t>AA10655</t>
  </si>
  <si>
    <t>AA10664</t>
  </si>
  <si>
    <t>ZA03982</t>
  </si>
  <si>
    <t>AA10737</t>
  </si>
  <si>
    <t>AA10749</t>
  </si>
  <si>
    <t>AA10756</t>
  </si>
  <si>
    <t>ZA03989</t>
  </si>
  <si>
    <t>AA10767</t>
  </si>
  <si>
    <t>ZA03939</t>
  </si>
  <si>
    <t>AA10575</t>
  </si>
  <si>
    <t>AA10576</t>
  </si>
  <si>
    <t>ZA03944</t>
  </si>
  <si>
    <t>AA10600</t>
  </si>
  <si>
    <t>AA10626</t>
  </si>
  <si>
    <t>AA10640</t>
  </si>
  <si>
    <t>ZA03962</t>
  </si>
  <si>
    <t>AA10656</t>
  </si>
  <si>
    <t>AA10667</t>
  </si>
  <si>
    <t>AA10674</t>
  </si>
  <si>
    <t>ZA03969</t>
  </si>
  <si>
    <t>AA10683</t>
  </si>
  <si>
    <t>AA10769</t>
  </si>
  <si>
    <t>AA10574</t>
  </si>
  <si>
    <t>AA10637</t>
  </si>
  <si>
    <t>ZA03973</t>
  </si>
  <si>
    <t>AA10702</t>
  </si>
  <si>
    <t>AA10705</t>
  </si>
  <si>
    <t>AA10584</t>
  </si>
  <si>
    <t>AA10593</t>
  </si>
  <si>
    <t>AA10597</t>
  </si>
  <si>
    <t>ZA03966</t>
  </si>
  <si>
    <t>ZA03972</t>
  </si>
  <si>
    <t>AA10698</t>
  </si>
  <si>
    <t>AA10704</t>
  </si>
  <si>
    <t>AA10722</t>
  </si>
  <si>
    <t>AA10746</t>
  </si>
  <si>
    <t>AA10759</t>
  </si>
  <si>
    <t>AA10649</t>
  </si>
  <si>
    <t>ZA03985</t>
  </si>
  <si>
    <t>ZA03987</t>
  </si>
  <si>
    <t>AA10753</t>
  </si>
  <si>
    <t>AA10754</t>
  </si>
  <si>
    <t>AA10758</t>
  </si>
  <si>
    <t>AA10751</t>
  </si>
  <si>
    <t>AA10761</t>
  </si>
  <si>
    <t>AA10770</t>
  </si>
  <si>
    <t>AA10669</t>
  </si>
  <si>
    <t>AA10665</t>
  </si>
  <si>
    <t>AA10661</t>
  </si>
  <si>
    <t>AA10712</t>
  </si>
  <si>
    <t>ZA03976</t>
  </si>
  <si>
    <t>ZA03977</t>
  </si>
  <si>
    <t>AA10707</t>
  </si>
  <si>
    <t>AA10713</t>
  </si>
  <si>
    <t>AA10714</t>
  </si>
  <si>
    <t>AA10717</t>
  </si>
  <si>
    <t>AA10681</t>
  </si>
  <si>
    <t>ZA03948</t>
  </si>
  <si>
    <t>AA10609</t>
  </si>
  <si>
    <t>AA10610</t>
  </si>
  <si>
    <t>ZA03952</t>
  </si>
  <si>
    <t>AA10615</t>
  </si>
  <si>
    <t>AA10586</t>
  </si>
  <si>
    <t>AA10752</t>
  </si>
  <si>
    <t>AA10581</t>
  </si>
  <si>
    <t>AA10595</t>
  </si>
  <si>
    <t>AA10654</t>
  </si>
  <si>
    <t>ZA03981</t>
  </si>
  <si>
    <t>AA10728</t>
  </si>
  <si>
    <t>AA10741</t>
  </si>
  <si>
    <t>ZA03986</t>
  </si>
  <si>
    <t>AA10765</t>
  </si>
  <si>
    <t>ZA03992</t>
  </si>
  <si>
    <t>AA10766</t>
  </si>
  <si>
    <t>ZA03991</t>
  </si>
  <si>
    <t>AA10764</t>
  </si>
  <si>
    <t>AA10570</t>
  </si>
  <si>
    <t>ZA03941</t>
  </si>
  <si>
    <t>AA10587</t>
  </si>
  <si>
    <t>ZA03938</t>
  </si>
  <si>
    <t>AA10590</t>
  </si>
  <si>
    <t>ZA03951</t>
  </si>
  <si>
    <t>AA10613</t>
  </si>
  <si>
    <t>AA10621</t>
  </si>
  <si>
    <t>ZA03954</t>
  </si>
  <si>
    <t>AA10619</t>
  </si>
  <si>
    <t>AA10622</t>
  </si>
  <si>
    <t>ZA03959</t>
  </si>
  <si>
    <t>AA10646</t>
  </si>
  <si>
    <t>AA10644</t>
  </si>
  <si>
    <t>AA10671</t>
  </si>
  <si>
    <t>AA10692</t>
  </si>
  <si>
    <t>AA10684</t>
  </si>
  <si>
    <t>AA10697</t>
  </si>
  <si>
    <t>AA10701</t>
  </si>
  <si>
    <t>AA10708</t>
  </si>
  <si>
    <t>AA10721</t>
  </si>
  <si>
    <t>AA10750</t>
  </si>
  <si>
    <t>AA10744</t>
  </si>
  <si>
    <t>AA10629</t>
  </si>
  <si>
    <t>AA10706</t>
  </si>
  <si>
    <t>AA10564</t>
  </si>
  <si>
    <t>AA10639</t>
  </si>
  <si>
    <t>ZA03980</t>
  </si>
  <si>
    <t>AA10723</t>
  </si>
  <si>
    <t>AA10724</t>
  </si>
  <si>
    <t>AA10596</t>
  </si>
  <si>
    <t>AA10567</t>
  </si>
  <si>
    <t>AA10585</t>
  </si>
  <si>
    <t>AA10625</t>
  </si>
  <si>
    <t>AA10642</t>
  </si>
  <si>
    <t>AA10700</t>
  </si>
  <si>
    <t>ZA03974</t>
  </si>
  <si>
    <t>AA10709</t>
  </si>
  <si>
    <t>AA10568</t>
  </si>
  <si>
    <t>AA10589</t>
  </si>
  <si>
    <t>AA10620</t>
  </si>
  <si>
    <t>AA10636</t>
  </si>
  <si>
    <t>ZA03957</t>
  </si>
  <si>
    <t>AA10633</t>
  </si>
  <si>
    <t>AA10635</t>
  </si>
  <si>
    <t>AA10666</t>
  </si>
  <si>
    <t>AA10680</t>
  </si>
  <si>
    <t>AA10679</t>
  </si>
  <si>
    <t>AA10710</t>
  </si>
  <si>
    <t>AA10562</t>
  </si>
  <si>
    <t>AA10565</t>
  </si>
  <si>
    <t>AA10563</t>
  </si>
  <si>
    <t>AA10569</t>
  </si>
  <si>
    <t>AA10577</t>
  </si>
  <si>
    <t>AA10580</t>
  </si>
  <si>
    <t>AA10583</t>
  </si>
  <si>
    <t>AA10605</t>
  </si>
  <si>
    <t>AA10601</t>
  </si>
  <si>
    <t>AA10606</t>
  </si>
  <si>
    <t>ZA03953</t>
  </si>
  <si>
    <t>AA10616</t>
  </si>
  <si>
    <t>AA10617</t>
  </si>
  <si>
    <t>AA10612</t>
  </si>
  <si>
    <t>ZA03950</t>
  </si>
  <si>
    <t>AA10662</t>
  </si>
  <si>
    <t>AA10663</t>
  </si>
  <si>
    <t>AA10678</t>
  </si>
  <si>
    <t>AA10730</t>
  </si>
  <si>
    <t>AA10729</t>
  </si>
  <si>
    <t>AA10736</t>
  </si>
  <si>
    <t>ZA03984</t>
  </si>
  <si>
    <t>AA10747</t>
  </si>
  <si>
    <t>AA10748</t>
  </si>
  <si>
    <t>AA10745</t>
  </si>
  <si>
    <t>AA10757</t>
  </si>
  <si>
    <t>AA10755</t>
  </si>
  <si>
    <t>AA10773</t>
  </si>
  <si>
    <t>AA10776</t>
  </si>
  <si>
    <t>ZA03990</t>
  </si>
  <si>
    <t>AA10763</t>
  </si>
  <si>
    <t>AA10682</t>
  </si>
  <si>
    <t>AA10643</t>
  </si>
  <si>
    <t>ZA03945</t>
  </si>
  <si>
    <t>AA10603</t>
  </si>
  <si>
    <t>AA10734</t>
  </si>
  <si>
    <t>AA10571</t>
  </si>
  <si>
    <t>AA10588</t>
  </si>
  <si>
    <t>AA10591</t>
  </si>
  <si>
    <t>AA10604</t>
  </si>
  <si>
    <t>ZA03946</t>
  </si>
  <si>
    <t>AA10607</t>
  </si>
  <si>
    <t>AA10614</t>
  </si>
  <si>
    <t>AA10618</t>
  </si>
  <si>
    <t>AA10624</t>
  </si>
  <si>
    <t>AA10628</t>
  </si>
  <si>
    <t>AA10648</t>
  </si>
  <si>
    <t>ZA03960</t>
  </si>
  <si>
    <t>AA10650</t>
  </si>
  <si>
    <t>AA10653</t>
  </si>
  <si>
    <t>AA10651</t>
  </si>
  <si>
    <t>AA10660</t>
  </si>
  <si>
    <t>ZA03963</t>
  </si>
  <si>
    <t>ZA03964</t>
  </si>
  <si>
    <t>AA10657</t>
  </si>
  <si>
    <t>AA10658</t>
  </si>
  <si>
    <t>ZA03965</t>
  </si>
  <si>
    <t>AA10668</t>
  </si>
  <si>
    <t>AA10670</t>
  </si>
  <si>
    <t>ZA03967</t>
  </si>
  <si>
    <t>AA10672</t>
  </si>
  <si>
    <t>AA10690</t>
  </si>
  <si>
    <t>AA10687</t>
  </si>
  <si>
    <t>AA10686</t>
  </si>
  <si>
    <t>AA10691</t>
  </si>
  <si>
    <t>AA10715</t>
  </si>
  <si>
    <t>AA10718</t>
  </si>
  <si>
    <t>AA10716</t>
  </si>
  <si>
    <t>ZA03978</t>
  </si>
  <si>
    <t>AA10720</t>
  </si>
  <si>
    <t>AA10731</t>
  </si>
  <si>
    <t>AA10725</t>
  </si>
  <si>
    <t>AA10732</t>
  </si>
  <si>
    <t>AA10742</t>
  </si>
  <si>
    <t>ZA03988</t>
  </si>
  <si>
    <t>AA10760</t>
  </si>
  <si>
    <t>AA10592</t>
  </si>
  <si>
    <t>AA10699</t>
  </si>
  <si>
    <t>AA10772</t>
  </si>
  <si>
    <t>AA10762</t>
  </si>
  <si>
    <t>YARIS LE MT</t>
  </si>
  <si>
    <t>YARIS HB CORE MT</t>
  </si>
  <si>
    <t>SEQUOIA LIMITED</t>
  </si>
  <si>
    <t>ESCAPE S 2.5L</t>
  </si>
  <si>
    <t>PRIUS PREMIUM</t>
  </si>
  <si>
    <t>EDGAR DOMINGUEZ CASTRO</t>
  </si>
  <si>
    <t>LIZ SANDRA RAMBLAS ZUÑIGA</t>
  </si>
  <si>
    <t>GUILLERMO MANUEL SALMORAN S</t>
  </si>
  <si>
    <t>DANIEL SANCHEZ PALAFOX</t>
  </si>
  <si>
    <t>ROBERTO CORTEZ GARCIA</t>
  </si>
  <si>
    <t>MANUEL ARCHUNDIA</t>
  </si>
  <si>
    <t>OMAR ROSAS JIMENEZ</t>
  </si>
  <si>
    <t>LUIS ALBERTO FLORES HERNANDEZ</t>
  </si>
  <si>
    <t>CESAR RODRIGUEZ MEDINA</t>
  </si>
  <si>
    <t>1041-TCN17</t>
  </si>
  <si>
    <t>0957-TCN17</t>
  </si>
  <si>
    <t>0983-TCN17</t>
  </si>
  <si>
    <t>0973-TCN17</t>
  </si>
  <si>
    <t>0985-TCN17</t>
  </si>
  <si>
    <t>0988-TCN17</t>
  </si>
  <si>
    <t>1012-TCN17</t>
  </si>
  <si>
    <t>0987-TCN17</t>
  </si>
  <si>
    <t>0913-TCN17</t>
  </si>
  <si>
    <t>0935-TCN17</t>
  </si>
  <si>
    <t>0980-TCN17</t>
  </si>
  <si>
    <t>0995-TCN17</t>
  </si>
  <si>
    <t>1005-TCN17</t>
  </si>
  <si>
    <t>0914-TCN17</t>
  </si>
  <si>
    <t>1046-TCN17</t>
  </si>
  <si>
    <t>1019-TCN17</t>
  </si>
  <si>
    <t>0905-TCN17</t>
  </si>
  <si>
    <t>1050-TCN17</t>
  </si>
  <si>
    <t>0960-TCN17</t>
  </si>
  <si>
    <t>0767-TCN17</t>
  </si>
  <si>
    <t>0906-TCN17</t>
  </si>
  <si>
    <t>0727-TCN17</t>
  </si>
  <si>
    <t>0963-TCN17</t>
  </si>
  <si>
    <t>1009-TCN17</t>
  </si>
  <si>
    <t>0964-TCN17</t>
  </si>
  <si>
    <t>0907-TCN17</t>
  </si>
  <si>
    <t>0770-TCN17</t>
  </si>
  <si>
    <t>0832-TCN17</t>
  </si>
  <si>
    <t>0966-TCN17</t>
  </si>
  <si>
    <t>1040-TCN17</t>
  </si>
  <si>
    <t>1004-TCN17</t>
  </si>
  <si>
    <t>1007-TCN17</t>
  </si>
  <si>
    <t>1011-TCN17</t>
  </si>
  <si>
    <t>1068-TCN17</t>
  </si>
  <si>
    <t>0894-TCN17</t>
  </si>
  <si>
    <t>0978-TCN17</t>
  </si>
  <si>
    <t>0947-TCN17</t>
  </si>
  <si>
    <t>0986-TCN17</t>
  </si>
  <si>
    <t>0979-TCN17</t>
  </si>
  <si>
    <t>1002-TCN17</t>
  </si>
  <si>
    <t>1021-TCN17</t>
  </si>
  <si>
    <t>0997-TCN17</t>
  </si>
  <si>
    <t>0895-TCN17</t>
  </si>
  <si>
    <t>0976-TCN17</t>
  </si>
  <si>
    <t>0982-TCN17</t>
  </si>
  <si>
    <t>1003-TCN17</t>
  </si>
  <si>
    <t>1001-TCN17</t>
  </si>
  <si>
    <t>0849-TCN17</t>
  </si>
  <si>
    <t>0733-TCN17</t>
  </si>
  <si>
    <t>0748-TCN17</t>
  </si>
  <si>
    <t>0999-TCN17</t>
  </si>
  <si>
    <t>0939-TCN17</t>
  </si>
  <si>
    <t>0940-TCN17</t>
  </si>
  <si>
    <t>0974-TCN17</t>
  </si>
  <si>
    <t>1017-TCN17</t>
  </si>
  <si>
    <t>1036-TCN17</t>
  </si>
  <si>
    <t>1048-TCN17</t>
  </si>
  <si>
    <t>1056-TCN17</t>
  </si>
  <si>
    <t>0916-TCN17</t>
  </si>
  <si>
    <t>1053-TCN17</t>
  </si>
  <si>
    <t>1055-TCN17</t>
  </si>
  <si>
    <t>1057-TCN17</t>
  </si>
  <si>
    <t>0834-TCN17</t>
  </si>
  <si>
    <t>0772-TCN17</t>
  </si>
  <si>
    <t>0908-TCN17</t>
  </si>
  <si>
    <t>0994-TCN17</t>
  </si>
  <si>
    <t>0989-TCN17</t>
  </si>
  <si>
    <t>1013-TCN17</t>
  </si>
  <si>
    <t>1015-TCN17</t>
  </si>
  <si>
    <t>0990-TCN17</t>
  </si>
  <si>
    <t>0981-TCN17</t>
  </si>
  <si>
    <t>0959-TCN17</t>
  </si>
  <si>
    <t>1054-TCN17</t>
  </si>
  <si>
    <t>0910-TCN17</t>
  </si>
  <si>
    <t>0909-TCN17</t>
  </si>
  <si>
    <t>0971-TCN17</t>
  </si>
  <si>
    <t>1051-TCN17</t>
  </si>
  <si>
    <t>1058-TCN17</t>
  </si>
  <si>
    <t>1061-TCN17</t>
  </si>
  <si>
    <t>1062-TCN17</t>
  </si>
  <si>
    <t>0958-TCN17</t>
  </si>
  <si>
    <t>0799-TCN17</t>
  </si>
  <si>
    <t>0865-TCN17</t>
  </si>
  <si>
    <t>0941-TCN17</t>
  </si>
  <si>
    <t>0800-TCN17</t>
  </si>
  <si>
    <t>1000-TCN17</t>
  </si>
  <si>
    <t>0798-TCN17</t>
  </si>
  <si>
    <t>0866-TCN17</t>
  </si>
  <si>
    <t>1016-TCN17</t>
  </si>
  <si>
    <t>1018-TCN17</t>
  </si>
  <si>
    <t>1037-TCN17</t>
  </si>
  <si>
    <t>1035-TCN17</t>
  </si>
  <si>
    <t>1052-TCN17</t>
  </si>
  <si>
    <t>0984-TCN17</t>
  </si>
  <si>
    <t>0970-TCN17</t>
  </si>
  <si>
    <t>0956-TCN17</t>
  </si>
  <si>
    <t>0972-TCN17</t>
  </si>
  <si>
    <t>1038-TCN17</t>
  </si>
  <si>
    <t>0975-TCN17</t>
  </si>
  <si>
    <t>0943-TCN17</t>
  </si>
  <si>
    <t>0713-TCN17</t>
  </si>
  <si>
    <t>0926-TCN17</t>
  </si>
  <si>
    <t>0942-TCN17</t>
  </si>
  <si>
    <t>1014-TCN17</t>
  </si>
  <si>
    <t>0842-TCN17</t>
  </si>
  <si>
    <t>0944-TCN17</t>
  </si>
  <si>
    <t>0862-TCN17</t>
  </si>
  <si>
    <t>0840-TCN17</t>
  </si>
  <si>
    <t>0899-TCN17</t>
  </si>
  <si>
    <t>0945-TCN17</t>
  </si>
  <si>
    <t>1008-TCN17</t>
  </si>
  <si>
    <t>0861-TCN17</t>
  </si>
  <si>
    <t>0929-TCN17</t>
  </si>
  <si>
    <t>0882-TCN17</t>
  </si>
  <si>
    <t>0931-TCN17</t>
  </si>
  <si>
    <t>0763-TCN17</t>
  </si>
  <si>
    <t>0932-TCN17</t>
  </si>
  <si>
    <t>0903-TCN17</t>
  </si>
  <si>
    <t>0930-TCN17</t>
  </si>
  <si>
    <t>0900-TCN17</t>
  </si>
  <si>
    <t>0977-TCN17</t>
  </si>
  <si>
    <t>0953-TCN17</t>
  </si>
  <si>
    <t>0928-TCN17</t>
  </si>
  <si>
    <t>0952-TCN17</t>
  </si>
  <si>
    <t>0901-TCN17</t>
  </si>
  <si>
    <t>0950-TCN17</t>
  </si>
  <si>
    <t>1006-TCN17</t>
  </si>
  <si>
    <t>1026-TCN17</t>
  </si>
  <si>
    <t>1032-TCN17</t>
  </si>
  <si>
    <t>1039-TCN17</t>
  </si>
  <si>
    <t>1027-TCN17</t>
  </si>
  <si>
    <t>1031-TCN17</t>
  </si>
  <si>
    <t>0933-TCN17</t>
  </si>
  <si>
    <t>1251-TCN16</t>
  </si>
  <si>
    <t>1028-TCN17</t>
  </si>
  <si>
    <t>0653-TCN17</t>
  </si>
  <si>
    <t>0589-TCN17</t>
  </si>
  <si>
    <t>0046-TCU17</t>
  </si>
  <si>
    <t>0040-TCU17</t>
  </si>
  <si>
    <t>0041-TCU17</t>
  </si>
  <si>
    <t>0048-TCU17</t>
  </si>
  <si>
    <t>0042-TCU17</t>
  </si>
  <si>
    <t>0177-TCU16</t>
  </si>
  <si>
    <t>0057-TCU17</t>
  </si>
  <si>
    <t>0240-TCU16</t>
  </si>
  <si>
    <t>0032-TCU17</t>
  </si>
  <si>
    <t>0035-TCU17</t>
  </si>
  <si>
    <t>0060-TCU17</t>
  </si>
  <si>
    <t>0033-TCU17</t>
  </si>
  <si>
    <t>0059-TCU17</t>
  </si>
  <si>
    <t>0015-TCU17</t>
  </si>
  <si>
    <t>0053-TCU17</t>
  </si>
  <si>
    <t>0056-TCU17</t>
  </si>
  <si>
    <t>0201-TCU16</t>
  </si>
  <si>
    <t>0069-TCU17</t>
  </si>
  <si>
    <t>0044-TCU17</t>
  </si>
  <si>
    <t>0067-TCU17</t>
  </si>
  <si>
    <t>0071-TCU17</t>
  </si>
  <si>
    <t>0054-TCU17</t>
  </si>
  <si>
    <t>0062-TCU17</t>
  </si>
  <si>
    <t>0077-TCU17</t>
  </si>
  <si>
    <t>0052-TCU17</t>
  </si>
  <si>
    <t>0079-TCU17</t>
  </si>
  <si>
    <t>0247-TCU16</t>
  </si>
  <si>
    <t>0055-TCU17</t>
  </si>
  <si>
    <t>0006-TCU17</t>
  </si>
  <si>
    <t>0063-TCU17</t>
  </si>
  <si>
    <t>GONZALEZ GARCIA LUIS</t>
  </si>
  <si>
    <t>ALBA VAZQUEZ GRACIEL</t>
  </si>
  <si>
    <t>BACA RAMIREZ MIRNA</t>
  </si>
  <si>
    <t>GARCIA ANGELES NANCY</t>
  </si>
  <si>
    <t>MADRIGAL LEMUS MARIA</t>
  </si>
  <si>
    <t>ARROYO VEGA AURELIAN</t>
  </si>
  <si>
    <t>MEDINA MARTINEZ GUST</t>
  </si>
  <si>
    <t>CASTILLO GARCIA GUIL</t>
  </si>
  <si>
    <t>GONZALEZ RANGEL BREN</t>
  </si>
  <si>
    <t>PALMA FLORES RAFAEL</t>
  </si>
  <si>
    <t>ARGUETA TRUJILLO MAR</t>
  </si>
  <si>
    <t>MONTOYA MACIAS FERNA</t>
  </si>
  <si>
    <t>SANDOVAL RAMIREZ MA.</t>
  </si>
  <si>
    <t>MORENO CALVA JUAN</t>
  </si>
  <si>
    <t>MACIAS SOBERANES ILI</t>
  </si>
  <si>
    <t>CENTENO ARELLANO SER</t>
  </si>
  <si>
    <t>VALOR MOTRIZ S. DE R</t>
  </si>
  <si>
    <t>ALCOCER GONZALEZ SAN</t>
  </si>
  <si>
    <t>GALLEGOS ROMERO CRIS</t>
  </si>
  <si>
    <t>RICO CHIMAL FEBE</t>
  </si>
  <si>
    <t>DURAN ARROYO URIEL</t>
  </si>
  <si>
    <t>ADAME LAZARO ERICK</t>
  </si>
  <si>
    <t>GARCIA NIGO J.CRUZ</t>
  </si>
  <si>
    <t>TOY MOTORS SA DE CV</t>
  </si>
  <si>
    <t>PALACIOS ZAMORA FERN</t>
  </si>
  <si>
    <t>GUTIERREZ VILLALOBOS</t>
  </si>
  <si>
    <t>SILVA MONCADA FLOR I</t>
  </si>
  <si>
    <t>CENTENO ARIAS MA CON</t>
  </si>
  <si>
    <t>VILLAGOMEZ PIZANO MI</t>
  </si>
  <si>
    <t>PEREGRINO TAPIA AIDY</t>
  </si>
  <si>
    <t>CONSORCIO METROPLITA</t>
  </si>
  <si>
    <t>CONSORCIO METROPOLIT</t>
  </si>
  <si>
    <t>GARFIAS ANAYA MARIO</t>
  </si>
  <si>
    <t>MARTINEZ RAMOS LAURA</t>
  </si>
  <si>
    <t>ACOSTA DOMINGUEZ MAR</t>
  </si>
  <si>
    <t>JANG GAPSIK</t>
  </si>
  <si>
    <t>ROSAS GUILLEN JESUS</t>
  </si>
  <si>
    <t>DIAZ MARTINEZ MARIA</t>
  </si>
  <si>
    <t>GONZALEZ GUZMAN MA D</t>
  </si>
  <si>
    <t>MALDONADO LABRADA JO</t>
  </si>
  <si>
    <t>ROJAS MANJARREZ JUAN</t>
  </si>
  <si>
    <t>FERTILIDAD DE SUELOS</t>
  </si>
  <si>
    <t>DECADA COATZACOALCOS</t>
  </si>
  <si>
    <t>ESCAMILLA FREGOSO LE</t>
  </si>
  <si>
    <t>MELGOZA GARCIA MARIO</t>
  </si>
  <si>
    <t>RUIZ CERRITOS MA DEL</t>
  </si>
  <si>
    <t>MARTINEZ BAILON JESU</t>
  </si>
  <si>
    <t>HERNANDEZ JUAREZ ALV</t>
  </si>
  <si>
    <t>GARCIA RUIZ ARTURO</t>
  </si>
  <si>
    <t>AUTOMOTRIZ TOY S.A D</t>
  </si>
  <si>
    <t>AUTOMOTRIZ TOY SA DE</t>
  </si>
  <si>
    <t>MENDEZ GONZALEZ MA G</t>
  </si>
  <si>
    <t>ABOYTES MONROY JORGE</t>
  </si>
  <si>
    <t>GUERRERO SALOMON MAR</t>
  </si>
  <si>
    <t>VALADEZ REVILLA RAUL</t>
  </si>
  <si>
    <t>GRUPO TEXTIL IMPACTO</t>
  </si>
  <si>
    <t>MARTINEZ FLORES NADI</t>
  </si>
  <si>
    <t>DIAZ BARRIGA HERRERA</t>
  </si>
  <si>
    <t>LOYOLA CONCHA GERARD</t>
  </si>
  <si>
    <t>VARGAS SAAVEDRA MARI</t>
  </si>
  <si>
    <t>DOMINGUEZ GOMEZ JOHA</t>
  </si>
  <si>
    <t>LOPEZ HERNANDEZ FELI</t>
  </si>
  <si>
    <t>ACOSTA ARRIAGA MARTH</t>
  </si>
  <si>
    <t>TURISMOS GALLARDO SA</t>
  </si>
  <si>
    <t>UNION DE COLECTIVOS</t>
  </si>
  <si>
    <t>ASTREA TRAVELER SA D</t>
  </si>
  <si>
    <t>ARRIAGA VERA MARTHA</t>
  </si>
  <si>
    <t>ALVAREZ TORRES ANTON</t>
  </si>
  <si>
    <t>SILES SALINAS JUAN</t>
  </si>
  <si>
    <t>ACOSTA OLIVARES ARMA</t>
  </si>
  <si>
    <t>TOVAR MUÑOZ FRANCISC</t>
  </si>
  <si>
    <t>MARTINEZ SAAVEDRA JO</t>
  </si>
  <si>
    <t>TRANSPORTADORA TURIS</t>
  </si>
  <si>
    <t>PEREZ PEREZ MARCOS</t>
  </si>
  <si>
    <t>AF BANREGIO, S.A. DE</t>
  </si>
  <si>
    <t>GONZALEZ LOPEZ ANA L</t>
  </si>
  <si>
    <t>AGUIRRE MIRANDA MARI</t>
  </si>
  <si>
    <t>GRUPO INNOVADOR  LID</t>
  </si>
  <si>
    <t>DURAN ROSAS ABEL</t>
  </si>
  <si>
    <t>LEYTON GREEN HOUSE A</t>
  </si>
  <si>
    <t>ITR RIEGO SA DE CV</t>
  </si>
  <si>
    <t>DISTRIBUCIONES PROVI</t>
  </si>
  <si>
    <t>DURAN CALDERON MONIC</t>
  </si>
  <si>
    <t>GRUPO KASOKU INDUSTR</t>
  </si>
  <si>
    <t>BELTRAN LORA REYNALD</t>
  </si>
  <si>
    <t>LUGO GONZALEZ JOEL</t>
  </si>
  <si>
    <t>RUIZ AVILA RUBEN</t>
  </si>
  <si>
    <t>ROSAS ROSAS MARICARM</t>
  </si>
  <si>
    <t>HERNANDEZ SIERRA MA.</t>
  </si>
  <si>
    <t>MENDEZ CRUZ MARIN</t>
  </si>
  <si>
    <t>RAMOS VAZQUEZ DAVID</t>
  </si>
  <si>
    <t>SANCHEZ BERNAL JOSE</t>
  </si>
  <si>
    <t>CABRERA LOREDO J.CRU</t>
  </si>
  <si>
    <t>SOTO RAZO SAUL</t>
  </si>
  <si>
    <t>GONZALEZ RAMIREZ LUC</t>
  </si>
  <si>
    <t>GOMEZ PEREZ JOSE</t>
  </si>
  <si>
    <t>RAMIREZ FAJARDO ALFO</t>
  </si>
  <si>
    <t>JAUREGUI TAPIA OSCAR</t>
  </si>
  <si>
    <t>AGROPRODUCTOS Y SERV</t>
  </si>
  <si>
    <t>CARPIO DE JESUS ROGE</t>
  </si>
  <si>
    <t>CONSTRUCTORA DHEG SA</t>
  </si>
  <si>
    <t>RAMOS MANZO JOAQUIN</t>
  </si>
  <si>
    <t>GLOBAL CONTAINERS SA</t>
  </si>
  <si>
    <t>RAMIREZ RIVERA JOSE</t>
  </si>
  <si>
    <t>NOLASCO CARRILLO JUA</t>
  </si>
  <si>
    <t>ANGELES GALVAN MA GU</t>
  </si>
  <si>
    <t>ALEJOS MENDOZA EDUAR</t>
  </si>
  <si>
    <t>BECERRIL VAZQUEZ JOR</t>
  </si>
  <si>
    <t>GARCIA CONTRERAS RIC</t>
  </si>
  <si>
    <t>REAL GUTIERREZ LUIS</t>
  </si>
  <si>
    <t>MOLINA VILLARREAL EN</t>
  </si>
  <si>
    <t>PORRAS GUTIERREZ ESP</t>
  </si>
  <si>
    <t>CARREñO SALINAS SONI</t>
  </si>
  <si>
    <t>MORADO GARCES MA EUG</t>
  </si>
  <si>
    <t>STARQUIM S DE RL MI</t>
  </si>
  <si>
    <t>RUIZ CAMARGO MIRIAM</t>
  </si>
  <si>
    <t>UGARTE DELGADO LUIS</t>
  </si>
  <si>
    <t>ARENAS NARANJO LEIDY</t>
  </si>
  <si>
    <t>SANCHEZ DURAN MARIA</t>
  </si>
  <si>
    <t>REYES MARTINEZ FELIC</t>
  </si>
  <si>
    <t>MORIN MORALES EVANGE</t>
  </si>
  <si>
    <t>ARREDONDO RODRIGUEZ</t>
  </si>
  <si>
    <t>MENDOZA VEGA J. DOLO</t>
  </si>
  <si>
    <t>PALACIOS SALAZAR JOR</t>
  </si>
  <si>
    <t>FUENTES IBARRA GILBE</t>
  </si>
  <si>
    <t>GUTIERREZ ESPARZA LI</t>
  </si>
  <si>
    <t>TORRES GUDIÑO CESAR</t>
  </si>
  <si>
    <t>SERRANO CASTELANO AG</t>
  </si>
  <si>
    <t>HERNANDEZ FERNANDEZ</t>
  </si>
  <si>
    <t>ESTRADA SERRANO JONA</t>
  </si>
  <si>
    <t>ARANDA RODRIGUEZ RIC</t>
  </si>
  <si>
    <t>3MYDLAYV0HY181005</t>
  </si>
  <si>
    <t>3MYDLAYV3HY174937</t>
  </si>
  <si>
    <t>3MYDLAYV8HY179258</t>
  </si>
  <si>
    <t>3MYDLAYV2HY175514</t>
  </si>
  <si>
    <t>3MYDLAYV9HY178006</t>
  </si>
  <si>
    <t>3MYDLAYV7HY178053</t>
  </si>
  <si>
    <t>3MYDLAYV8HY174710</t>
  </si>
  <si>
    <t>3MYDLAYV1HY176721</t>
  </si>
  <si>
    <t>JTDKBRFU8H3550039</t>
  </si>
  <si>
    <t>JTDKBRFU2H3037384</t>
  </si>
  <si>
    <t>JTDKBRFU8H3548176</t>
  </si>
  <si>
    <t>JTDKBRFU3H3038432</t>
  </si>
  <si>
    <t>JTDKBRFU1H3546513</t>
  </si>
  <si>
    <t>JTDKBRFU1H3037912</t>
  </si>
  <si>
    <t>JTDKBRFU7H3552980</t>
  </si>
  <si>
    <t>JTDKBRFU8H3551787</t>
  </si>
  <si>
    <t>5YFBPRHE0HP643474</t>
  </si>
  <si>
    <t>5YFBPRHE9HP657003</t>
  </si>
  <si>
    <t>5YFBPRHE3HP644926</t>
  </si>
  <si>
    <t>5YFBPRHE2HP631455</t>
  </si>
  <si>
    <t>5YFBPRHE2HP643587</t>
  </si>
  <si>
    <t>5YFBPRHE1HP629213</t>
  </si>
  <si>
    <t>5YFBPRHE9HP645675</t>
  </si>
  <si>
    <t>5YFBPRHE7HP605627</t>
  </si>
  <si>
    <t>5YFBPRHE0HP646715</t>
  </si>
  <si>
    <t>5YFBPRHE0HP639554</t>
  </si>
  <si>
    <t>5YFBPRHE4HP630789</t>
  </si>
  <si>
    <t>5YFBPRHE9HP634661</t>
  </si>
  <si>
    <t>5YFBPRHE5HP642501</t>
  </si>
  <si>
    <t>5YFBPRHE2HP660969</t>
  </si>
  <si>
    <t>MR2B29F36H1047802</t>
  </si>
  <si>
    <t>MR2B29F39H1048295</t>
  </si>
  <si>
    <t>MR2B29F32H1049224</t>
  </si>
  <si>
    <t>MR2B29F33H1050172</t>
  </si>
  <si>
    <t>MR2B29F38H1045968</t>
  </si>
  <si>
    <t>MR2B29F31H1047710</t>
  </si>
  <si>
    <t>MR2B29F35H1047399</t>
  </si>
  <si>
    <t>MR2B29F34H1048124</t>
  </si>
  <si>
    <t>MR2B29F32H1047635</t>
  </si>
  <si>
    <t>MR2B29F31H1048114</t>
  </si>
  <si>
    <t>MR2B29F30H1048573</t>
  </si>
  <si>
    <t>MR2B29F38H1048689</t>
  </si>
  <si>
    <t>MR2K29F35H1039061</t>
  </si>
  <si>
    <t>MR2K29F37H1047467</t>
  </si>
  <si>
    <t>MR2K29F3XH1048631</t>
  </si>
  <si>
    <t>MR2K29F32H1048459</t>
  </si>
  <si>
    <t>MR2K29F31H1050042</t>
  </si>
  <si>
    <t>MR2K29F32H1046615</t>
  </si>
  <si>
    <t>MHKMF53E9HK008401</t>
  </si>
  <si>
    <t>MHKMF53EXHK008844</t>
  </si>
  <si>
    <t>MHKMF53E8HK009183</t>
  </si>
  <si>
    <t>MHKMF53F4HK015118</t>
  </si>
  <si>
    <t>MHKMF53F9HK015180</t>
  </si>
  <si>
    <t>MHKMF53F2HK015411</t>
  </si>
  <si>
    <t>MHKMF53F5HK015578</t>
  </si>
  <si>
    <t>MHKMF53F7HK016165</t>
  </si>
  <si>
    <t>MHKMF53F8HK016045</t>
  </si>
  <si>
    <t>MHKMF53E2HK009874</t>
  </si>
  <si>
    <t>MHKMF53F9HK015132</t>
  </si>
  <si>
    <t>MHKMF53F4HK015801</t>
  </si>
  <si>
    <t>MHKMF53F7HK016313</t>
  </si>
  <si>
    <t>MHKMF53F2HK016249</t>
  </si>
  <si>
    <t>4T1BF1FK7HU379567</t>
  </si>
  <si>
    <t>4T1BF1FK6HU375798</t>
  </si>
  <si>
    <t>2T3RFREV9HW601347</t>
  </si>
  <si>
    <t>2T3ZFREV6HW35057</t>
  </si>
  <si>
    <t>2T3ZFREV2HW354530</t>
  </si>
  <si>
    <t>2T3ZFREVXHW337538</t>
  </si>
  <si>
    <t>2T3ZFREV6HW356426</t>
  </si>
  <si>
    <t>2T3RFREV8HW606961</t>
  </si>
  <si>
    <t>5TDKZ3DC9HS832286</t>
  </si>
  <si>
    <t>5TDYZ3DCXHS827026</t>
  </si>
  <si>
    <t>5TDYZ3DC9HS835988</t>
  </si>
  <si>
    <t>5TDYZ3DC9HS825185</t>
  </si>
  <si>
    <t>5TDYZ3DC3HS822346</t>
  </si>
  <si>
    <t>5TDYZ3DC7HS826352</t>
  </si>
  <si>
    <t>5TDYZ3DC2HS838022</t>
  </si>
  <si>
    <t>5TDYZ3DCXHS834879</t>
  </si>
  <si>
    <t>5TDYZ3DC0HS83757</t>
  </si>
  <si>
    <t>5TDYZ3DC7HS840591</t>
  </si>
  <si>
    <t>JTFPX22P6H0070864</t>
  </si>
  <si>
    <t>JTFSX23P2H6176332</t>
  </si>
  <si>
    <t>JTFSX23P4H6176591</t>
  </si>
  <si>
    <t>JTFSX23P5H6177183</t>
  </si>
  <si>
    <t>JTFSX23P5H6176390</t>
  </si>
  <si>
    <t>JTFSX23P4H6177191</t>
  </si>
  <si>
    <t>JTFSX23P5H6176275</t>
  </si>
  <si>
    <t>JTFSX23P7H6176598</t>
  </si>
  <si>
    <t>JTFSX23P6H6177726</t>
  </si>
  <si>
    <t>JTFSX23P0H6176264</t>
  </si>
  <si>
    <t>JTFSX23P6H6177564</t>
  </si>
  <si>
    <t>JTFSX23P2H6177240</t>
  </si>
  <si>
    <t>JTFSX23P6H6177001</t>
  </si>
  <si>
    <t>5TDYZRFH7HS202630</t>
  </si>
  <si>
    <t>5TDYZRFHXHS201309</t>
  </si>
  <si>
    <t>3TMAZ5CN2HM038403</t>
  </si>
  <si>
    <t>3TMAZ5CN0HM02696</t>
  </si>
  <si>
    <t>3TMAZ5CN3HM039625</t>
  </si>
  <si>
    <t>3TMCZ5AN4HM074508</t>
  </si>
  <si>
    <t>MR0EX8CB5H1396270</t>
  </si>
  <si>
    <t>MR0EX8CB5H1396026</t>
  </si>
  <si>
    <t>MR0EX8CB8H1396277</t>
  </si>
  <si>
    <t>MR0EX8CBXH1396197</t>
  </si>
  <si>
    <t>MR0EX8CBXH1396684</t>
  </si>
  <si>
    <t>MR0EX8CB5H1396012</t>
  </si>
  <si>
    <t>MR0EX8CB0H1396208</t>
  </si>
  <si>
    <t>MR0EX8CB0H1395902</t>
  </si>
  <si>
    <t>MR0EX8CB5H1395913</t>
  </si>
  <si>
    <t>MR0EX8CB5H1396124</t>
  </si>
  <si>
    <t>MR0EX8CB5H1396236</t>
  </si>
  <si>
    <t>MR0EX8CB8H1396618</t>
  </si>
  <si>
    <t>MR0EX8CBXH1395874</t>
  </si>
  <si>
    <t>MR0EX8DD3H0174395</t>
  </si>
  <si>
    <t>MR0EX8DD7H0174156</t>
  </si>
  <si>
    <t>MR0EX8DD8H0250791</t>
  </si>
  <si>
    <t>MR0EX8DD1H0173679</t>
  </si>
  <si>
    <t>MR0EX8DD1H0250860</t>
  </si>
  <si>
    <t>MR0EX8DD3H0250648</t>
  </si>
  <si>
    <t>MR0EX8DD6H0174407</t>
  </si>
  <si>
    <t>MR0EX8DD2H0174159</t>
  </si>
  <si>
    <t>MR0EX8DD7H0250930</t>
  </si>
  <si>
    <t>MR0EX8DD1H0250910</t>
  </si>
  <si>
    <t>MR0EX8DD5H0174320</t>
  </si>
  <si>
    <t>MR0EX8DD3H0250715</t>
  </si>
  <si>
    <t>MR0EX8DD0H0250512</t>
  </si>
  <si>
    <t>MR0EX8DDXH0174247</t>
  </si>
  <si>
    <t>MR0EX8DDXH0174295</t>
  </si>
  <si>
    <t>MR0EX8DD5H0174480</t>
  </si>
  <si>
    <t>MR0EX8DD8H0251181</t>
  </si>
  <si>
    <t>MR0EX8DD8H0174442</t>
  </si>
  <si>
    <t>MR0EX8DDXH0174488</t>
  </si>
  <si>
    <t>MR0EX8DD9H0251173</t>
  </si>
  <si>
    <t>MR0EX8DD9H0250900</t>
  </si>
  <si>
    <t>MR0EX8DD4G0170368</t>
  </si>
  <si>
    <t>MR0EX8DD3H0251119</t>
  </si>
  <si>
    <t>MR0EX8DD9H0249553</t>
  </si>
  <si>
    <t>5TDKY5G19HS067279</t>
  </si>
  <si>
    <t>9BWLB45ZXB4002555</t>
  </si>
  <si>
    <t>3N1CK3CD7EL226976</t>
  </si>
  <si>
    <t>3VW2W1AJ2EM227437</t>
  </si>
  <si>
    <t>3N1CN7AD7FL939329</t>
  </si>
  <si>
    <t>JS2YC51S2E6100201</t>
  </si>
  <si>
    <t>1G1195SX7EF158155</t>
  </si>
  <si>
    <t>TMCJT3BE6FJ643778</t>
  </si>
  <si>
    <t>5TDYK3DC3ES429995</t>
  </si>
  <si>
    <t>3G1TA5AF9EL155207</t>
  </si>
  <si>
    <t>JM1BL1U58D1791440</t>
  </si>
  <si>
    <t>3N6AD31C4GK824649</t>
  </si>
  <si>
    <t>3VW2W1AJ0EM250358</t>
  </si>
  <si>
    <t>3HGRM3875EG002085</t>
  </si>
  <si>
    <t>9FBHS2AA1FM115890</t>
  </si>
  <si>
    <t>3VWBV49M7DM041961</t>
  </si>
  <si>
    <t>3GNCJ7CE3FL117018</t>
  </si>
  <si>
    <t>1C4AJPCB9DD283505</t>
  </si>
  <si>
    <t>VF1LZ12T8EC278455</t>
  </si>
  <si>
    <t>KL1PM5C56AK574252</t>
  </si>
  <si>
    <t>3G1TB5AF8FL150370</t>
  </si>
  <si>
    <t>MMM148ED2DH810175</t>
  </si>
  <si>
    <t>KL1CM6CD3CC555523</t>
  </si>
  <si>
    <t>KL8CM6CD4FC745840</t>
  </si>
  <si>
    <t>WF0LP3XH4B1129617</t>
  </si>
  <si>
    <t>JS3TE04V8E4101552</t>
  </si>
  <si>
    <t>3N1CK3CDXEL226776</t>
  </si>
  <si>
    <t>5YFBURHE0GP377137</t>
  </si>
  <si>
    <t>JTDBT9K30F1437432</t>
  </si>
  <si>
    <t>MR0CX12G7E0119035</t>
  </si>
  <si>
    <t>5YFBURHE6FP265408</t>
  </si>
  <si>
    <t>MARZO.2017</t>
  </si>
  <si>
    <t>ABRIL.2017</t>
  </si>
  <si>
    <t>ZA04020</t>
  </si>
  <si>
    <t>AA10880</t>
  </si>
  <si>
    <t>AA10881</t>
  </si>
  <si>
    <t>AA10822</t>
  </si>
  <si>
    <t>ZA04018</t>
  </si>
  <si>
    <t>AA10875</t>
  </si>
  <si>
    <t>AA10877</t>
  </si>
  <si>
    <t>AA10978</t>
  </si>
  <si>
    <t>AA10837</t>
  </si>
  <si>
    <t>AA10848</t>
  </si>
  <si>
    <t>ZA04010</t>
  </si>
  <si>
    <t>ZA04011</t>
  </si>
  <si>
    <t>AA10850</t>
  </si>
  <si>
    <t>AA10851</t>
  </si>
  <si>
    <t>ZA04022</t>
  </si>
  <si>
    <t>AA10965</t>
  </si>
  <si>
    <t>AA10858</t>
  </si>
  <si>
    <t>AA10893</t>
  </si>
  <si>
    <t>AA10938</t>
  </si>
  <si>
    <t>ZA04042</t>
  </si>
  <si>
    <t>AA10974</t>
  </si>
  <si>
    <t>AA10976</t>
  </si>
  <si>
    <t>AA10859</t>
  </si>
  <si>
    <t>AA10904</t>
  </si>
  <si>
    <t>AA10787</t>
  </si>
  <si>
    <t>AA10805</t>
  </si>
  <si>
    <t>AA10891</t>
  </si>
  <si>
    <t>ZA04028</t>
  </si>
  <si>
    <t>ZA04029</t>
  </si>
  <si>
    <t>AA10905</t>
  </si>
  <si>
    <t>AA10906</t>
  </si>
  <si>
    <t>ZA04031</t>
  </si>
  <si>
    <t>AA10913</t>
  </si>
  <si>
    <t>AA10934</t>
  </si>
  <si>
    <t>ZA04040</t>
  </si>
  <si>
    <t>ZA04041</t>
  </si>
  <si>
    <t>AA10957</t>
  </si>
  <si>
    <t>AA10967</t>
  </si>
  <si>
    <t>AA10970</t>
  </si>
  <si>
    <t>AA10861</t>
  </si>
  <si>
    <t>ZA04039</t>
  </si>
  <si>
    <t>AA10959</t>
  </si>
  <si>
    <t>AA10981</t>
  </si>
  <si>
    <t>AA10793</t>
  </si>
  <si>
    <t>AA10794</t>
  </si>
  <si>
    <t>AA10796</t>
  </si>
  <si>
    <t>AA10795</t>
  </si>
  <si>
    <t>AA10792</t>
  </si>
  <si>
    <t>ZA03997</t>
  </si>
  <si>
    <t>AA10802</t>
  </si>
  <si>
    <t>AA10814</t>
  </si>
  <si>
    <t>AA10849</t>
  </si>
  <si>
    <t>AA10872</t>
  </si>
  <si>
    <t>AA10871</t>
  </si>
  <si>
    <t>AA10920</t>
  </si>
  <si>
    <t>AA10928</t>
  </si>
  <si>
    <t>AA10947</t>
  </si>
  <si>
    <t>AA10999</t>
  </si>
  <si>
    <t>ZA03996</t>
  </si>
  <si>
    <t>AA10791</t>
  </si>
  <si>
    <t>AA10810</t>
  </si>
  <si>
    <t>AA10843</t>
  </si>
  <si>
    <t>AA10841</t>
  </si>
  <si>
    <t>AA10844</t>
  </si>
  <si>
    <t>ZA04014</t>
  </si>
  <si>
    <t>ZA04015</t>
  </si>
  <si>
    <t>AA10866</t>
  </si>
  <si>
    <t>AA10867</t>
  </si>
  <si>
    <t>AA10888</t>
  </si>
  <si>
    <t>AA10908</t>
  </si>
  <si>
    <t>AA10907</t>
  </si>
  <si>
    <t>ZA04030</t>
  </si>
  <si>
    <t>AA10911</t>
  </si>
  <si>
    <t>AA10916</t>
  </si>
  <si>
    <t>AA10925</t>
  </si>
  <si>
    <t>AA10924</t>
  </si>
  <si>
    <t>AA10919</t>
  </si>
  <si>
    <t>AA10926</t>
  </si>
  <si>
    <t>AA10932</t>
  </si>
  <si>
    <t>AA10933</t>
  </si>
  <si>
    <t>AA10964</t>
  </si>
  <si>
    <t>AA10963</t>
  </si>
  <si>
    <t>AA10962</t>
  </si>
  <si>
    <t>AA10899</t>
  </si>
  <si>
    <t>AA10828</t>
  </si>
  <si>
    <t>AA10853</t>
  </si>
  <si>
    <t>AA10897</t>
  </si>
  <si>
    <t>AA10912</t>
  </si>
  <si>
    <t>AA10809</t>
  </si>
  <si>
    <t>AA10915</t>
  </si>
  <si>
    <t>AA10936</t>
  </si>
  <si>
    <t>AA10953</t>
  </si>
  <si>
    <t>AA10980</t>
  </si>
  <si>
    <t>ZA04047</t>
  </si>
  <si>
    <t>AA10985</t>
  </si>
  <si>
    <t>AA10998</t>
  </si>
  <si>
    <t>AA10958</t>
  </si>
  <si>
    <t>ZA04003</t>
  </si>
  <si>
    <t>ZA04004</t>
  </si>
  <si>
    <t>AA10817</t>
  </si>
  <si>
    <t>AA10818</t>
  </si>
  <si>
    <t>AA10819</t>
  </si>
  <si>
    <t>AA10825</t>
  </si>
  <si>
    <t>AA10833</t>
  </si>
  <si>
    <t>ZA04009</t>
  </si>
  <si>
    <t>AA10846</t>
  </si>
  <si>
    <t>AA10886</t>
  </si>
  <si>
    <t>AA10903</t>
  </si>
  <si>
    <t>AA10789</t>
  </si>
  <si>
    <t>ZA04002</t>
  </si>
  <si>
    <t>AA10937</t>
  </si>
  <si>
    <t>AA10830</t>
  </si>
  <si>
    <t>AA10854</t>
  </si>
  <si>
    <t>AA10921</t>
  </si>
  <si>
    <t>AA10949</t>
  </si>
  <si>
    <t>AA10800</t>
  </si>
  <si>
    <t>AA10892</t>
  </si>
  <si>
    <t>AA10847</t>
  </si>
  <si>
    <t>AA10890</t>
  </si>
  <si>
    <t>ZA04043</t>
  </si>
  <si>
    <t>AA10973</t>
  </si>
  <si>
    <t>AA10975</t>
  </si>
  <si>
    <t>AA10876</t>
  </si>
  <si>
    <t>ZA04008</t>
  </si>
  <si>
    <t>AA10838</t>
  </si>
  <si>
    <t>AA10842</t>
  </si>
  <si>
    <t>AA10902</t>
  </si>
  <si>
    <t>ZA03999</t>
  </si>
  <si>
    <t>AA10798</t>
  </si>
  <si>
    <t>AA10804</t>
  </si>
  <si>
    <t>AA10806</t>
  </si>
  <si>
    <t>AA10807</t>
  </si>
  <si>
    <t>AA10914</t>
  </si>
  <si>
    <t>AA10961</t>
  </si>
  <si>
    <t>AA10960</t>
  </si>
  <si>
    <t>AA10982</t>
  </si>
  <si>
    <t>AA10987</t>
  </si>
  <si>
    <t>AA10992</t>
  </si>
  <si>
    <t>AA10991</t>
  </si>
  <si>
    <t>AA10994</t>
  </si>
  <si>
    <t>AA10993</t>
  </si>
  <si>
    <t>AA10813</t>
  </si>
  <si>
    <t>AA10868</t>
  </si>
  <si>
    <t>ZA04023</t>
  </si>
  <si>
    <t>AA10883</t>
  </si>
  <si>
    <t>ZA04024</t>
  </si>
  <si>
    <t>AA10894</t>
  </si>
  <si>
    <t>ZA04048</t>
  </si>
  <si>
    <t>AA10995</t>
  </si>
  <si>
    <t>AA10996</t>
  </si>
  <si>
    <t>AA10882</t>
  </si>
  <si>
    <t>ZA04021</t>
  </si>
  <si>
    <t>AA10874</t>
  </si>
  <si>
    <t>AA10803</t>
  </si>
  <si>
    <t>AA10922</t>
  </si>
  <si>
    <t>ZA03998</t>
  </si>
  <si>
    <t>AA10799</t>
  </si>
  <si>
    <t>AA10801</t>
  </si>
  <si>
    <t>AA10968</t>
  </si>
  <si>
    <t>AA10956</t>
  </si>
  <si>
    <t>AA10826</t>
  </si>
  <si>
    <t>ZA04019</t>
  </si>
  <si>
    <t>AA10878</t>
  </si>
  <si>
    <t>AA10879</t>
  </si>
  <si>
    <t>AA10917</t>
  </si>
  <si>
    <t>ZA04032</t>
  </si>
  <si>
    <t>AA10918</t>
  </si>
  <si>
    <t>AA10944</t>
  </si>
  <si>
    <t>AA10945</t>
  </si>
  <si>
    <t>AA10946</t>
  </si>
  <si>
    <t>AA10983</t>
  </si>
  <si>
    <t>AA10989</t>
  </si>
  <si>
    <t>AA10780</t>
  </si>
  <si>
    <t>AA10786</t>
  </si>
  <si>
    <t>ZA03994</t>
  </si>
  <si>
    <t>AA10788</t>
  </si>
  <si>
    <t>AA10812</t>
  </si>
  <si>
    <t>AA10816</t>
  </si>
  <si>
    <t>ZA04005</t>
  </si>
  <si>
    <t>AA10820</t>
  </si>
  <si>
    <t>AA10821</t>
  </si>
  <si>
    <t>AA10824</t>
  </si>
  <si>
    <t>AA10823</t>
  </si>
  <si>
    <t>AA10831</t>
  </si>
  <si>
    <t>AA10836</t>
  </si>
  <si>
    <t>AA10832</t>
  </si>
  <si>
    <t>AA10845</t>
  </si>
  <si>
    <t>AA10852</t>
  </si>
  <si>
    <t>AA10855</t>
  </si>
  <si>
    <t>ZA04012</t>
  </si>
  <si>
    <t>AA10862</t>
  </si>
  <si>
    <t>AA10863</t>
  </si>
  <si>
    <t>AA10860</t>
  </si>
  <si>
    <t>AA10864</t>
  </si>
  <si>
    <t>AA10865</t>
  </si>
  <si>
    <t>ZA04025</t>
  </si>
  <si>
    <t>AA10895</t>
  </si>
  <si>
    <t>ZA04027</t>
  </si>
  <si>
    <t>AA10900</t>
  </si>
  <si>
    <t>AA10901</t>
  </si>
  <si>
    <t>AA10929</t>
  </si>
  <si>
    <t>ZA04033</t>
  </si>
  <si>
    <t>AA10935</t>
  </si>
  <si>
    <t>AA10940</t>
  </si>
  <si>
    <t>ZA04044</t>
  </si>
  <si>
    <t>AA10977</t>
  </si>
  <si>
    <t>AA10979</t>
  </si>
  <si>
    <t>AA10986</t>
  </si>
  <si>
    <t>AA10988</t>
  </si>
  <si>
    <t>AA10997</t>
  </si>
  <si>
    <t>AA10783</t>
  </si>
  <si>
    <t>AA10869</t>
  </si>
  <si>
    <t>ZA04034</t>
  </si>
  <si>
    <t>AA10943</t>
  </si>
  <si>
    <t>ZA04036</t>
  </si>
  <si>
    <t>AA10941</t>
  </si>
  <si>
    <t>ZA04035</t>
  </si>
  <si>
    <t>AA10942</t>
  </si>
  <si>
    <t>AA10971</t>
  </si>
  <si>
    <t>AA10923</t>
  </si>
  <si>
    <t>ZA03993</t>
  </si>
  <si>
    <t>AA10778</t>
  </si>
  <si>
    <t>AA10785</t>
  </si>
  <si>
    <t>AA10784</t>
  </si>
  <si>
    <t>AA10797</t>
  </si>
  <si>
    <t>ZA04000</t>
  </si>
  <si>
    <t>AA10811</t>
  </si>
  <si>
    <t>AA10815</t>
  </si>
  <si>
    <t>AA10827</t>
  </si>
  <si>
    <t>AA10834</t>
  </si>
  <si>
    <t>ZA04007</t>
  </si>
  <si>
    <t>AA10839</t>
  </si>
  <si>
    <t>AA10856</t>
  </si>
  <si>
    <t>AA10857</t>
  </si>
  <si>
    <t>AA10885</t>
  </si>
  <si>
    <t>AA10884</t>
  </si>
  <si>
    <t>ZA04016</t>
  </si>
  <si>
    <t>ZA04017</t>
  </si>
  <si>
    <t>AA10870</t>
  </si>
  <si>
    <t>AA10873</t>
  </si>
  <si>
    <t>AA10909</t>
  </si>
  <si>
    <t>ZA04026</t>
  </si>
  <si>
    <t>AA10896</t>
  </si>
  <si>
    <t>AA10898</t>
  </si>
  <si>
    <t>AA10910</t>
  </si>
  <si>
    <t>AA10927</t>
  </si>
  <si>
    <t>AA10930</t>
  </si>
  <si>
    <t>AA10931</t>
  </si>
  <si>
    <t>ZA04037</t>
  </si>
  <si>
    <t>AA10948</t>
  </si>
  <si>
    <t>AA10951</t>
  </si>
  <si>
    <t>AA10939</t>
  </si>
  <si>
    <t>AA10952</t>
  </si>
  <si>
    <t>ZA04038</t>
  </si>
  <si>
    <t>AA10955</t>
  </si>
  <si>
    <t>ZA04046</t>
  </si>
  <si>
    <t>AA10984</t>
  </si>
  <si>
    <t>AA10790</t>
  </si>
  <si>
    <t>AA10808</t>
  </si>
  <si>
    <t>AA10835</t>
  </si>
  <si>
    <t>ZA04006</t>
  </si>
  <si>
    <t>AA10840</t>
  </si>
  <si>
    <t>AA10889</t>
  </si>
  <si>
    <t>MAR</t>
  </si>
  <si>
    <t>HIGHLANDER LE</t>
  </si>
  <si>
    <t>HIGHLANDER XLE</t>
  </si>
  <si>
    <t>PEDRO MARTINEZ MAGUEYAL</t>
  </si>
  <si>
    <t>1066-TCN17</t>
  </si>
  <si>
    <t>1096-TCN17</t>
  </si>
  <si>
    <t>0815-TCN17</t>
  </si>
  <si>
    <t>0750-TCN17</t>
  </si>
  <si>
    <t>0996-TCN17</t>
  </si>
  <si>
    <t>1047-TCN17</t>
  </si>
  <si>
    <t>0831-TCN17</t>
  </si>
  <si>
    <t>1136-TCN17</t>
  </si>
  <si>
    <t>0854-TCN17</t>
  </si>
  <si>
    <t>1204-TCN17</t>
  </si>
  <si>
    <t>0801-TCN17</t>
  </si>
  <si>
    <t>0883-TCN17</t>
  </si>
  <si>
    <t>1088-TCN17</t>
  </si>
  <si>
    <t>1139-TCN17</t>
  </si>
  <si>
    <t>1156-TCN17</t>
  </si>
  <si>
    <t>0769-TCN17</t>
  </si>
  <si>
    <t>0965-TCN17</t>
  </si>
  <si>
    <t>0843-TCN17</t>
  </si>
  <si>
    <t>1075-TCN17</t>
  </si>
  <si>
    <t>1076-TCN17</t>
  </si>
  <si>
    <t>1078-TCN17</t>
  </si>
  <si>
    <t>1079-TCN17</t>
  </si>
  <si>
    <t>1080-TCN17</t>
  </si>
  <si>
    <t>1094-TCN17</t>
  </si>
  <si>
    <t>1123-TCN17</t>
  </si>
  <si>
    <t>1132-TCN17</t>
  </si>
  <si>
    <t>1133-TCN17</t>
  </si>
  <si>
    <t>1148-TCN17</t>
  </si>
  <si>
    <t>1150-TCN17</t>
  </si>
  <si>
    <t>1173-TCN17</t>
  </si>
  <si>
    <t>1174-TCN17</t>
  </si>
  <si>
    <t>1077-TCN17</t>
  </si>
  <si>
    <t>1029-TCN17</t>
  </si>
  <si>
    <t>1022-TCN17</t>
  </si>
  <si>
    <t>1121-TCN17</t>
  </si>
  <si>
    <t>1130-TCN17</t>
  </si>
  <si>
    <t>1125-TCN17</t>
  </si>
  <si>
    <t>1143-TCN17</t>
  </si>
  <si>
    <t>1135-TCN17</t>
  </si>
  <si>
    <t>0992-TCN17</t>
  </si>
  <si>
    <t>1020-TCN17</t>
  </si>
  <si>
    <t>1127-TCN17</t>
  </si>
  <si>
    <t>1129-TCN17</t>
  </si>
  <si>
    <t>1154-TCN17</t>
  </si>
  <si>
    <t>1155-TCN17</t>
  </si>
  <si>
    <t>1010-TCN17</t>
  </si>
  <si>
    <t>1144-TCN17</t>
  </si>
  <si>
    <t>1153-TCN17</t>
  </si>
  <si>
    <t>1142-TCN17</t>
  </si>
  <si>
    <t>1098-TCN17</t>
  </si>
  <si>
    <t>1124-TCN17</t>
  </si>
  <si>
    <t>1140-TCN17</t>
  </si>
  <si>
    <t>1146-TCN17</t>
  </si>
  <si>
    <t>1092-TCN17</t>
  </si>
  <si>
    <t>0998-TCN17</t>
  </si>
  <si>
    <t>0732-TCN17</t>
  </si>
  <si>
    <t>1159-TCN17</t>
  </si>
  <si>
    <t>1206-TCN17</t>
  </si>
  <si>
    <t>1212-TCN17</t>
  </si>
  <si>
    <t>0948-TCN17</t>
  </si>
  <si>
    <t>0915-TCN17</t>
  </si>
  <si>
    <t>1025-TCN17</t>
  </si>
  <si>
    <t>1118-TCN17</t>
  </si>
  <si>
    <t>1065-TCN17</t>
  </si>
  <si>
    <t>1138-TCN17</t>
  </si>
  <si>
    <t>0835-TCN17</t>
  </si>
  <si>
    <t>0688-TCN17</t>
  </si>
  <si>
    <t>1102-TCN17</t>
  </si>
  <si>
    <t>1097-TCN17</t>
  </si>
  <si>
    <t>1149-TCN17</t>
  </si>
  <si>
    <t>0283-TCN17</t>
  </si>
  <si>
    <t>1087-TCN17</t>
  </si>
  <si>
    <t>1137-TCN17</t>
  </si>
  <si>
    <t>0690-TCN17</t>
  </si>
  <si>
    <t>1043-TCN17</t>
  </si>
  <si>
    <t>1179-TCN17</t>
  </si>
  <si>
    <t>1081-TCN17</t>
  </si>
  <si>
    <t>1120-TCN17</t>
  </si>
  <si>
    <t>0993-TCN17</t>
  </si>
  <si>
    <t>1147-TCN17</t>
  </si>
  <si>
    <t>0756-TCN17</t>
  </si>
  <si>
    <t>0863-TCN17</t>
  </si>
  <si>
    <t>0755-TCN17</t>
  </si>
  <si>
    <t>0740-TCN17</t>
  </si>
  <si>
    <t>0741-TCN17</t>
  </si>
  <si>
    <t>0753-TCN17</t>
  </si>
  <si>
    <t>0754-TCN17</t>
  </si>
  <si>
    <t>0794-TCN17</t>
  </si>
  <si>
    <t>1067-TCN17</t>
  </si>
  <si>
    <t>0001-TCN18</t>
  </si>
  <si>
    <t>1044-TCN17</t>
  </si>
  <si>
    <t>1117-TCN17</t>
  </si>
  <si>
    <t>1086-TCN17</t>
  </si>
  <si>
    <t>0991-TCN17</t>
  </si>
  <si>
    <t>1084-TCN17</t>
  </si>
  <si>
    <t>1203-TCN17</t>
  </si>
  <si>
    <t>1202-TCN17</t>
  </si>
  <si>
    <t>0859-TCN17</t>
  </si>
  <si>
    <t>0858-TCN17</t>
  </si>
  <si>
    <t>0857-TCN17</t>
  </si>
  <si>
    <t>0860-TCN17</t>
  </si>
  <si>
    <t>0924-TCN17</t>
  </si>
  <si>
    <t>0925-TCN17</t>
  </si>
  <si>
    <t>1103-TCN17</t>
  </si>
  <si>
    <t>1208-TCN17</t>
  </si>
  <si>
    <t>1072-TCN17</t>
  </si>
  <si>
    <t>1073-TCN17</t>
  </si>
  <si>
    <t>1069-TCN17</t>
  </si>
  <si>
    <t>1093-TCN17</t>
  </si>
  <si>
    <t>1095-TCN17</t>
  </si>
  <si>
    <t>1099-TCN17</t>
  </si>
  <si>
    <t>1100-TCN17</t>
  </si>
  <si>
    <t>1101-TCN17</t>
  </si>
  <si>
    <t>1104-TCN17</t>
  </si>
  <si>
    <t>1107-TCN17</t>
  </si>
  <si>
    <t>1112-TCN17</t>
  </si>
  <si>
    <t>1105-TCN17</t>
  </si>
  <si>
    <t>0902-TCN17</t>
  </si>
  <si>
    <t>1106-TCN17</t>
  </si>
  <si>
    <t>1113-TCN17</t>
  </si>
  <si>
    <t>1114-TCN17</t>
  </si>
  <si>
    <t>1115-TCN17</t>
  </si>
  <si>
    <t>1119-TCN17</t>
  </si>
  <si>
    <t>1141-TCN17</t>
  </si>
  <si>
    <t>1151-TCN17</t>
  </si>
  <si>
    <t>1158-TCN17</t>
  </si>
  <si>
    <t>1160-TCN17</t>
  </si>
  <si>
    <t>1192-TCN17</t>
  </si>
  <si>
    <t>1190-TCN17</t>
  </si>
  <si>
    <t>1199-TCN17</t>
  </si>
  <si>
    <t>1200-TCN17</t>
  </si>
  <si>
    <t>0678-TCN17</t>
  </si>
  <si>
    <t>1247-TCN16</t>
  </si>
  <si>
    <t>0649-TCN17</t>
  </si>
  <si>
    <t>0652-TCN17</t>
  </si>
  <si>
    <t>0679-TCN17</t>
  </si>
  <si>
    <t>0240-TCN17</t>
  </si>
  <si>
    <t>0677-TCN17</t>
  </si>
  <si>
    <t>0036-TCU17</t>
  </si>
  <si>
    <t>0074-TCU17</t>
  </si>
  <si>
    <t>0064-TCU17</t>
  </si>
  <si>
    <t>0023-TCU17</t>
  </si>
  <si>
    <t>0024-TCU17</t>
  </si>
  <si>
    <t>0070-TCU17</t>
  </si>
  <si>
    <t>0084-TCU17</t>
  </si>
  <si>
    <t>0207-TCU16</t>
  </si>
  <si>
    <t>0022-TCU17</t>
  </si>
  <si>
    <t>0028-TCU17</t>
  </si>
  <si>
    <t>0026-TCU17</t>
  </si>
  <si>
    <t>0080-TCU17</t>
  </si>
  <si>
    <t>0090-TCU17</t>
  </si>
  <si>
    <t>0082-TCU17</t>
  </si>
  <si>
    <t>0087-TCU17</t>
  </si>
  <si>
    <t>0094-TCU17</t>
  </si>
  <si>
    <t>0225-TCU16</t>
  </si>
  <si>
    <t>0010-TCU17</t>
  </si>
  <si>
    <t>0075-TCU17</t>
  </si>
  <si>
    <t>0065-TCU17</t>
  </si>
  <si>
    <t>0085-TCU17</t>
  </si>
  <si>
    <t>0092-TCU17</t>
  </si>
  <si>
    <t>BELTRAN MEDINA MA. P</t>
  </si>
  <si>
    <t>PEREZ XICOTENCATL FE</t>
  </si>
  <si>
    <t>GONZALEZ MORALES FRA</t>
  </si>
  <si>
    <t>MEZA HERNANDEZ RUBEN</t>
  </si>
  <si>
    <t>PELAYO IBARRA ELVA R</t>
  </si>
  <si>
    <t>TORRES LEON LUIS ENR</t>
  </si>
  <si>
    <t>PAREDES MARTINEZ GIL</t>
  </si>
  <si>
    <t>JIMENEZ PATIÑO BREND</t>
  </si>
  <si>
    <t>GARCIA DIAZ MIGUEL A</t>
  </si>
  <si>
    <t>CARRANZA TELLEZ BREN</t>
  </si>
  <si>
    <t>REYES DELGADO ANTONI</t>
  </si>
  <si>
    <t>CARREÑO PEREZ GUSTAV</t>
  </si>
  <si>
    <t>DIAZ DE LEON RAMIREZ</t>
  </si>
  <si>
    <t>RESENDIZ OLVERA PATR</t>
  </si>
  <si>
    <t>AUTOMOTRIZ OAXACA DE</t>
  </si>
  <si>
    <t>SAMURAI MOTORS XALAP</t>
  </si>
  <si>
    <t>CHAVEZ MORALES LUIS</t>
  </si>
  <si>
    <t>AYALA LOPEZ MARIA RO</t>
  </si>
  <si>
    <t>CARMONA BENITEZ HUMB</t>
  </si>
  <si>
    <t>MARTINEZ ARRIAGA MAR</t>
  </si>
  <si>
    <t>MAÑON LOPEZ JOSE ROD</t>
  </si>
  <si>
    <t>JUAREZ ARREDONDO ARM</t>
  </si>
  <si>
    <t>CERRO FRESH S DE RL</t>
  </si>
  <si>
    <t>YERENA RAMIREZ MARIA</t>
  </si>
  <si>
    <t>SAMANO ABONCE MARIBE</t>
  </si>
  <si>
    <t>ARRENDADORA Y FACTOR</t>
  </si>
  <si>
    <t>SALDAÑA BANDA NANCY</t>
  </si>
  <si>
    <t>ANGEL DIAZ ESTEBAN</t>
  </si>
  <si>
    <t>MASCARELL VELEZ JUAN</t>
  </si>
  <si>
    <t>SPARTON INDUSTRIA DE</t>
  </si>
  <si>
    <t>SANCHEZ LIMA RAMON J</t>
  </si>
  <si>
    <t>ZARCO ARELLANO ROGEL</t>
  </si>
  <si>
    <t>MANRIQUEZ GUERRERO M</t>
  </si>
  <si>
    <t>ZAMUDIO GUTIERREZ FL</t>
  </si>
  <si>
    <t>MARTINEZ MATA JOSE</t>
  </si>
  <si>
    <t>MARTINEZ LOPEZ ERIKA</t>
  </si>
  <si>
    <t>QUINTANILLA OROPEZA</t>
  </si>
  <si>
    <t>MIRANDA ROSILLO LEOP</t>
  </si>
  <si>
    <t>MARTINEZ GARCIA RITA</t>
  </si>
  <si>
    <t>GRANADOS FRIAS MA. D</t>
  </si>
  <si>
    <t>JIMENEZ VEGA EVA</t>
  </si>
  <si>
    <t>GASTRONOMICA PLAZA D</t>
  </si>
  <si>
    <t>MEZA SOTO MARIA GUAD</t>
  </si>
  <si>
    <t>VAZQUEZ OLMOS EDGARD</t>
  </si>
  <si>
    <t>AGUADO MEDINA VERONI</t>
  </si>
  <si>
    <t>GAMEZ MORENO JOSE MA</t>
  </si>
  <si>
    <t>BARAJAS HERNANDEZ MA</t>
  </si>
  <si>
    <t>JAMAICA LARA JOSE CA</t>
  </si>
  <si>
    <t>SAUZA VEGA JOSE ELIA</t>
  </si>
  <si>
    <t>PEDRAZA ZAPOTITLA SE</t>
  </si>
  <si>
    <t>ALVAREZ GINORI MA DE</t>
  </si>
  <si>
    <t>TOYOTETSU DE MEXICO</t>
  </si>
  <si>
    <t>DOMINGUEZ GOMEZ NOBE</t>
  </si>
  <si>
    <t>SERVICIO Y ENTRETENI</t>
  </si>
  <si>
    <t>GUTIERREZ MARTINEZ J</t>
  </si>
  <si>
    <t>TURISMOS PEJO TUR SA</t>
  </si>
  <si>
    <t>APARICIO GONZALEZ EN</t>
  </si>
  <si>
    <t>INMOBILIARIA M Y CON</t>
  </si>
  <si>
    <t>HERRERA YAÑEZ J. PED</t>
  </si>
  <si>
    <t>NAVARRETE BOLAÑOS MA</t>
  </si>
  <si>
    <t>VICENTE MARTINEZ SIL</t>
  </si>
  <si>
    <t>CONCRETOS ABCD SA DE</t>
  </si>
  <si>
    <t>LUGO BADILLO RODOLFO</t>
  </si>
  <si>
    <t>CASTILLO RANGEL MA V</t>
  </si>
  <si>
    <t>RIVERA GALLARDO JUAN</t>
  </si>
  <si>
    <t>ALVAREZ PLAZA ROSA N</t>
  </si>
  <si>
    <t>MARTINEZ GALVAN MIRN</t>
  </si>
  <si>
    <t>OLIVERA NICOLAS HUMB</t>
  </si>
  <si>
    <t>GUTIERREZ RIVERA PET</t>
  </si>
  <si>
    <t>VEGA TIRADO JOSE</t>
  </si>
  <si>
    <t>GOMEZ RUIZ CESAR</t>
  </si>
  <si>
    <t>BAUTISTA ALEGRIA ROG</t>
  </si>
  <si>
    <t>STERLING ARANA EUGEN</t>
  </si>
  <si>
    <t>SERVICIOS ESPECIALIZ</t>
  </si>
  <si>
    <t>GUZMAN AFOROS Y EQUI</t>
  </si>
  <si>
    <t>MORALES ANGEL RODRIG</t>
  </si>
  <si>
    <t>PEREZ ORTEGA ADAN</t>
  </si>
  <si>
    <t>ORTIZ MENDOZA DANIEL</t>
  </si>
  <si>
    <t>AMADOR JUAREZ JAFET</t>
  </si>
  <si>
    <t>AT IRRIGACION SA DE</t>
  </si>
  <si>
    <t>TIRADO ROSILLO HENRR</t>
  </si>
  <si>
    <t>TORRES RODRIGUEZ JOS</t>
  </si>
  <si>
    <t>ALVAREZ ARIAS VICTOR</t>
  </si>
  <si>
    <t>SIERRA GONZALEZ BENI</t>
  </si>
  <si>
    <t>GARCIA RIOS JORGE</t>
  </si>
  <si>
    <t>GUILLEN HERNANDEZ MA</t>
  </si>
  <si>
    <t>SANTOYO ZAVALA J. GU</t>
  </si>
  <si>
    <t>ESCUTIA HERRERA ALAN</t>
  </si>
  <si>
    <t>CERVANTES GARCIA ANE</t>
  </si>
  <si>
    <t>MONTIJO GASTELUM JOS</t>
  </si>
  <si>
    <t>PAZ MUÑOZ RAFAEL</t>
  </si>
  <si>
    <t>GONZALEZ GERVACIO AN</t>
  </si>
  <si>
    <t>PEREZ VELAZQUEZ SAND</t>
  </si>
  <si>
    <t>EQUIPOS COMERCIALES</t>
  </si>
  <si>
    <t>DURAN AYALA NILVIA</t>
  </si>
  <si>
    <t>JIMENEZ MALDONADO MA</t>
  </si>
  <si>
    <t>CRUZ LOPEZ NORMA GAB</t>
  </si>
  <si>
    <t>CONTRERAS RODRIGUEZ</t>
  </si>
  <si>
    <t>GUZMAN VELASCO Y ASO</t>
  </si>
  <si>
    <t>MORELOS TORRES BLANC</t>
  </si>
  <si>
    <t>PROMOTORA INMOBILIAR</t>
  </si>
  <si>
    <t>MALDONADO NITO BEATR</t>
  </si>
  <si>
    <t>HERNANDEZ VILLANUEVA</t>
  </si>
  <si>
    <t>JUAREZ JUAREZ EFRAIN</t>
  </si>
  <si>
    <t>SANCHEZ VEANA JAVIER</t>
  </si>
  <si>
    <t>PEREZ MARTINEZ JOSE</t>
  </si>
  <si>
    <t>3MYDLAYV8HY176232</t>
  </si>
  <si>
    <t>JTDKBRFUXH3551306</t>
  </si>
  <si>
    <t>JTDKBRFU6H3036688</t>
  </si>
  <si>
    <t>JTDKBRFUXH3544887</t>
  </si>
  <si>
    <t>JTDKBRFU9H3037947</t>
  </si>
  <si>
    <t>JTDKBRFU0H3553145</t>
  </si>
  <si>
    <t>5YFBPRHE5HP636049</t>
  </si>
  <si>
    <t>5YFBPRHE2HP674600</t>
  </si>
  <si>
    <t>5YFBPRHE2HP637272</t>
  </si>
  <si>
    <t>5YFBPRHE3HP668014</t>
  </si>
  <si>
    <t>5YFBPRHE7HP634318</t>
  </si>
  <si>
    <t>5YFBPRHE1HP639742</t>
  </si>
  <si>
    <t>5YFBPRHE1HP665628</t>
  </si>
  <si>
    <t>5YFBPRHEXHP664803</t>
  </si>
  <si>
    <t>5YFBPRHE1HP640809</t>
  </si>
  <si>
    <t>5YFBPRHE6HP630504</t>
  </si>
  <si>
    <t>5YFBPRHE6HP643477</t>
  </si>
  <si>
    <t>5YFBPRHE0HP645340</t>
  </si>
  <si>
    <t>MR2B29F38H1052600</t>
  </si>
  <si>
    <t>MR2B29F36H1050621</t>
  </si>
  <si>
    <t>MR2B29F36H1054068</t>
  </si>
  <si>
    <t>MR2B29F38H1052452</t>
  </si>
  <si>
    <t>MR2B29F38H1051138</t>
  </si>
  <si>
    <t>MR2B29F37H1052622</t>
  </si>
  <si>
    <t>MR2B29F35H1055115</t>
  </si>
  <si>
    <t>MR2B29F3XH1055434</t>
  </si>
  <si>
    <t>MR2B29F30H1050937</t>
  </si>
  <si>
    <t>MR2B29F39H1053125</t>
  </si>
  <si>
    <t>MR2B29F33H1052522</t>
  </si>
  <si>
    <t>MR2B29F31H1053443</t>
  </si>
  <si>
    <t>MR2B29F3XH1054042</t>
  </si>
  <si>
    <t>MR2B29F31H1055242</t>
  </si>
  <si>
    <t>MR2B29F34H1048172</t>
  </si>
  <si>
    <t>MR2B29F37H1050501</t>
  </si>
  <si>
    <t>MR2B29F31H1054138</t>
  </si>
  <si>
    <t>MR2B29F31H1052387</t>
  </si>
  <si>
    <t>MR2B29F30H1047665</t>
  </si>
  <si>
    <t>MR2B29F38H1058963</t>
  </si>
  <si>
    <t>MR2B29F37H1055830</t>
  </si>
  <si>
    <t>MR2B29F38H1047638</t>
  </si>
  <si>
    <t>MR2B29F38H1048045</t>
  </si>
  <si>
    <t>MR2B29F38H1047719</t>
  </si>
  <si>
    <t>MR2B29F31H1053250</t>
  </si>
  <si>
    <t>MR2B29F30H1054163</t>
  </si>
  <si>
    <t>MR2B29F38H1054279</t>
  </si>
  <si>
    <t>MR2B29F35H1049010</t>
  </si>
  <si>
    <t>MR2B29F30H1058312</t>
  </si>
  <si>
    <t>MR2B29F33H1047739</t>
  </si>
  <si>
    <t>MR2K29F37H1056069</t>
  </si>
  <si>
    <t>MR2K29F38H1051141</t>
  </si>
  <si>
    <t>MR2K29F3XH1052582</t>
  </si>
  <si>
    <t>MR2K29F37H1053429</t>
  </si>
  <si>
    <t>MR2K29F30H1056642</t>
  </si>
  <si>
    <t>MHKMF53E0HK009310</t>
  </si>
  <si>
    <t>MHKMF53E4HK009181</t>
  </si>
  <si>
    <t>MHKMF53EXHK008259</t>
  </si>
  <si>
    <t>MHKMF53E8HK009474</t>
  </si>
  <si>
    <t>MHKMF53E2HK009924</t>
  </si>
  <si>
    <t>MHKMF53E1HK008327</t>
  </si>
  <si>
    <t>MHKMF53F3HK015336</t>
  </si>
  <si>
    <t>MHKMF53F0HK015035</t>
  </si>
  <si>
    <t>MHKMF53F5HK015516</t>
  </si>
  <si>
    <t>MHKMF53F9HK017012</t>
  </si>
  <si>
    <t>MHKMF53FXHK015818</t>
  </si>
  <si>
    <t>MHKMF53F3HK016339</t>
  </si>
  <si>
    <t>4T1BF1FK7HU379004</t>
  </si>
  <si>
    <t>4T1BF1FK2HU716873</t>
  </si>
  <si>
    <t>2T3RFREVXHW622840</t>
  </si>
  <si>
    <t>2T3RFREV7HW611066</t>
  </si>
  <si>
    <t>2T3RFREV6HW623869</t>
  </si>
  <si>
    <t>2T3RFREVXHW552885</t>
  </si>
  <si>
    <t>2T3ZFREV7HW363661</t>
  </si>
  <si>
    <t>2T3ZFREV9HW364908</t>
  </si>
  <si>
    <t>2T3JFREV3HW581125</t>
  </si>
  <si>
    <t>2T3JFREV5HW611032</t>
  </si>
  <si>
    <t>2T3JFREV3HW626791</t>
  </si>
  <si>
    <t>5TDKZ3DCXHS835956</t>
  </si>
  <si>
    <t>5TDYZ3DC5HS840248</t>
  </si>
  <si>
    <t>5TDYZ3DC4HS829919</t>
  </si>
  <si>
    <t>5TDYZ3DC8HS838929</t>
  </si>
  <si>
    <t>JTFPX22P5H0071598</t>
  </si>
  <si>
    <t>JTFPX22P2H0072269</t>
  </si>
  <si>
    <t>JTFPX22P4H0071561</t>
  </si>
  <si>
    <t>JTFPX22P9H0071149</t>
  </si>
  <si>
    <t>JTFPX22P2H0071168</t>
  </si>
  <si>
    <t>JTFPX22P8H0071255</t>
  </si>
  <si>
    <t>JTFPX22P0H0071279</t>
  </si>
  <si>
    <t>JTFPX22P5H0071858</t>
  </si>
  <si>
    <t>JTFSX23PXH6177129</t>
  </si>
  <si>
    <t>JTFSX23P8J617854</t>
  </si>
  <si>
    <t>5TDKZRFH2HS204355</t>
  </si>
  <si>
    <t>5TDKZRFH8HS205963</t>
  </si>
  <si>
    <t>5TDZZRFH3HS203648</t>
  </si>
  <si>
    <t>5TDZZRFH3HS202225</t>
  </si>
  <si>
    <t>5TDYZRFH0HS204560</t>
  </si>
  <si>
    <t>3TMAZ5CN1HM041275</t>
  </si>
  <si>
    <t>3TMCZ5AN5HM083010</t>
  </si>
  <si>
    <t>MR0EX8CB5H1395958</t>
  </si>
  <si>
    <t>MR0EX8CB9H1395896</t>
  </si>
  <si>
    <t>MR0EX8CB0H1395852</t>
  </si>
  <si>
    <t>MR0EX8CB3H1395991</t>
  </si>
  <si>
    <t>MR0EX8CB4H1396227</t>
  </si>
  <si>
    <t>MR0EX8CB2H1396257</t>
  </si>
  <si>
    <t>MR0EX8CB9H1397096</t>
  </si>
  <si>
    <t>MR0EX8CB6H1397301</t>
  </si>
  <si>
    <t>MR0EX8DD9H0251612</t>
  </si>
  <si>
    <t>MR0EX8DD7H0174755</t>
  </si>
  <si>
    <t>MR0EX8DD7H0174545</t>
  </si>
  <si>
    <t>MR0EX8DD0H0251756</t>
  </si>
  <si>
    <t>MR0EX8DD0H0251885</t>
  </si>
  <si>
    <t>MR0EX8DD3H0251931</t>
  </si>
  <si>
    <t>MR0EX8DD2H0251600</t>
  </si>
  <si>
    <t>MR0EX8DD0H0251577</t>
  </si>
  <si>
    <t>MR0EX8DD9H0174661</t>
  </si>
  <si>
    <t>MR0EX8DD9H0251707</t>
  </si>
  <si>
    <t>MR0EX8DD5H0251252</t>
  </si>
  <si>
    <t>MR0EX8DD2H0251614</t>
  </si>
  <si>
    <t>MR0EX8DD5H0250571</t>
  </si>
  <si>
    <t>MR0EX8DD0H0251627</t>
  </si>
  <si>
    <t>MR0EX8DD7H0251320</t>
  </si>
  <si>
    <t>MR0EX8DD0H0251420</t>
  </si>
  <si>
    <t>MR0EX8DD0H0251868</t>
  </si>
  <si>
    <t>MR0EX8DD4H0251792</t>
  </si>
  <si>
    <t>MR0EX8DD5H0251588</t>
  </si>
  <si>
    <t>MR0EX8DD7H0175226</t>
  </si>
  <si>
    <t>MR0EX8DD4H0252070</t>
  </si>
  <si>
    <t>MR0EX8DD8H0252086</t>
  </si>
  <si>
    <t>MR0EX8DD7H0252418</t>
  </si>
  <si>
    <t>MR0EX8DD0H0175116</t>
  </si>
  <si>
    <t>MR0EX8DD0H0252227</t>
  </si>
  <si>
    <t>MR0EX8DDXH0252462</t>
  </si>
  <si>
    <t>MR0EX8DD2H0173366</t>
  </si>
  <si>
    <t>MR0EX8DD4G0170113</t>
  </si>
  <si>
    <t>MR0EX8DD5H0172793</t>
  </si>
  <si>
    <t>MR0EX8DD9H0249326</t>
  </si>
  <si>
    <t>MR0EX8DD1H0249529</t>
  </si>
  <si>
    <t>MR0EX8DD4H0247094</t>
  </si>
  <si>
    <t>5TDYY5G16HS067394</t>
  </si>
  <si>
    <t>3G1TA5AF6EL185846</t>
  </si>
  <si>
    <t>5TDKK4CC8AS337658</t>
  </si>
  <si>
    <t>VF1LZ12T1EC285585</t>
  </si>
  <si>
    <t>1C3ADZAB7DN619821</t>
  </si>
  <si>
    <t>8AWDB42H6EA015781</t>
  </si>
  <si>
    <t>5TDKK3DC2CS213378</t>
  </si>
  <si>
    <t>MR0EX32G3E0260883</t>
  </si>
  <si>
    <t>5GAKV7ED4BJ338577</t>
  </si>
  <si>
    <t>3N1CK3CS8CL212421</t>
  </si>
  <si>
    <t>3N1AB6AD9CL689078</t>
  </si>
  <si>
    <t>3N1BC1AS1FK192667</t>
  </si>
  <si>
    <t>3VW1M1AJ0GM229367</t>
  </si>
  <si>
    <t>1FMCU0F73EUB19100</t>
  </si>
  <si>
    <t>3G1J85DC6FS596501</t>
  </si>
  <si>
    <t>MR0EX32G3D0005214</t>
  </si>
  <si>
    <t>1G1195SX0FF322055</t>
  </si>
  <si>
    <t>5TDYK3DC0CS213163</t>
  </si>
  <si>
    <t>JTDKN3DU7E1856244</t>
  </si>
  <si>
    <t>5TDYK3DC1ES417053</t>
  </si>
  <si>
    <t>5YFBURHE1FP356683</t>
  </si>
  <si>
    <t>MR0EX32G5F0267853</t>
  </si>
  <si>
    <t>AA10990</t>
  </si>
  <si>
    <t>AA10829</t>
  </si>
  <si>
    <t>AA10887</t>
  </si>
  <si>
    <t>AA10950</t>
  </si>
  <si>
    <t>AA10954</t>
  </si>
  <si>
    <t>AA10966</t>
  </si>
  <si>
    <t>AA10972</t>
  </si>
  <si>
    <t>AA10969</t>
  </si>
  <si>
    <t>AA10779</t>
  </si>
  <si>
    <t>AA10781</t>
  </si>
  <si>
    <t>AA10782</t>
  </si>
  <si>
    <t>1211-TCN17</t>
  </si>
  <si>
    <t>0927-TCN17</t>
  </si>
  <si>
    <t>0949-TCN17</t>
  </si>
  <si>
    <t>1168-TCN17</t>
  </si>
  <si>
    <t>1030-TCN17</t>
  </si>
  <si>
    <t>1111-TCN17</t>
  </si>
  <si>
    <t>1167-TCN17</t>
  </si>
  <si>
    <t>1195-TCN17</t>
  </si>
  <si>
    <t>1070-TCN17</t>
  </si>
  <si>
    <t>1071-TCN17</t>
  </si>
  <si>
    <t>ALVARADO BELTRAN JOR</t>
  </si>
  <si>
    <t>LEMUS GUTIERREZ BERT</t>
  </si>
  <si>
    <t>CONSORCIO ELECTRICO</t>
  </si>
  <si>
    <t>HUERTA NUñEZ LILIAN</t>
  </si>
  <si>
    <t>COMAGRICEN SA DE CV</t>
  </si>
  <si>
    <t>VEGA BARRETO LADISLA</t>
  </si>
  <si>
    <t>JARAL ORTIZ LUCILA</t>
  </si>
  <si>
    <t>RODRIGUEZ FLORES RUB</t>
  </si>
  <si>
    <t>MR0EX8CB2H1397375</t>
  </si>
  <si>
    <t>MR0EX8CB9H1396241</t>
  </si>
  <si>
    <t>MR0EX8CB6H1396309</t>
  </si>
  <si>
    <t>MR0EX8CB7H1397131</t>
  </si>
  <si>
    <t>MR0EX8CB6H1396410</t>
  </si>
  <si>
    <t>MR0EX8CB8H1397204</t>
  </si>
  <si>
    <t>MR0EX8CB5H1396995</t>
  </si>
  <si>
    <t>MR0EX8CB4H1397359</t>
  </si>
  <si>
    <t>MR0EX8DD5H0251414</t>
  </si>
  <si>
    <t>MR0EX8DD2H0174615</t>
  </si>
  <si>
    <t>YARIS R</t>
  </si>
  <si>
    <t>REPORTE DE ISAN ABRIL.2017</t>
  </si>
  <si>
    <t>MAY</t>
  </si>
  <si>
    <t>AA11139</t>
  </si>
  <si>
    <t>AA11143</t>
  </si>
  <si>
    <t>AA11011</t>
  </si>
  <si>
    <t>AA11114</t>
  </si>
  <si>
    <t>ZA04094</t>
  </si>
  <si>
    <t>AA11136</t>
  </si>
  <si>
    <t>AA11015</t>
  </si>
  <si>
    <t>AA11006</t>
  </si>
  <si>
    <t>AA11140</t>
  </si>
  <si>
    <t>AA11025</t>
  </si>
  <si>
    <t>AA11007</t>
  </si>
  <si>
    <t>AA11080</t>
  </si>
  <si>
    <t>ZA04095</t>
  </si>
  <si>
    <t>AA11137</t>
  </si>
  <si>
    <t>AA11138</t>
  </si>
  <si>
    <t>AA11010</t>
  </si>
  <si>
    <t>AA11004</t>
  </si>
  <si>
    <t>ZA04063</t>
  </si>
  <si>
    <t>AA11036</t>
  </si>
  <si>
    <t>ZA04062</t>
  </si>
  <si>
    <t>AA11044</t>
  </si>
  <si>
    <t>AA11058</t>
  </si>
  <si>
    <t>AA11084</t>
  </si>
  <si>
    <t>AA11141</t>
  </si>
  <si>
    <t>ZA04097</t>
  </si>
  <si>
    <t>AA11144</t>
  </si>
  <si>
    <t>AA11154</t>
  </si>
  <si>
    <t>AA11176</t>
  </si>
  <si>
    <t>AA11172</t>
  </si>
  <si>
    <t>AA11171</t>
  </si>
  <si>
    <t>AA11183</t>
  </si>
  <si>
    <t>AA11003</t>
  </si>
  <si>
    <t>AA11002</t>
  </si>
  <si>
    <t>AA11081</t>
  </si>
  <si>
    <t>AA11086</t>
  </si>
  <si>
    <t>AA11109</t>
  </si>
  <si>
    <t>AA11117</t>
  </si>
  <si>
    <t>AA11181</t>
  </si>
  <si>
    <t>ZA04110</t>
  </si>
  <si>
    <t>AA11179</t>
  </si>
  <si>
    <t>AA11189</t>
  </si>
  <si>
    <t>AA11149</t>
  </si>
  <si>
    <t>AA11032</t>
  </si>
  <si>
    <t>AA11059</t>
  </si>
  <si>
    <t>AA11063</t>
  </si>
  <si>
    <t>ZA04067</t>
  </si>
  <si>
    <t>AA11068</t>
  </si>
  <si>
    <t>AA11070</t>
  </si>
  <si>
    <t>AA11113</t>
  </si>
  <si>
    <t>AA11134</t>
  </si>
  <si>
    <t>AA11204</t>
  </si>
  <si>
    <t>AA11034</t>
  </si>
  <si>
    <t>AA11055</t>
  </si>
  <si>
    <t>AA11073</t>
  </si>
  <si>
    <t>ZA04075</t>
  </si>
  <si>
    <t>AA11083</t>
  </si>
  <si>
    <t>AA11089</t>
  </si>
  <si>
    <t>AA11111</t>
  </si>
  <si>
    <t>AA11158</t>
  </si>
  <si>
    <t>AA11164</t>
  </si>
  <si>
    <t>AA11203</t>
  </si>
  <si>
    <t>AA11188</t>
  </si>
  <si>
    <t>AA11190</t>
  </si>
  <si>
    <t>AA11051</t>
  </si>
  <si>
    <t>AA11016</t>
  </si>
  <si>
    <t>AA11078</t>
  </si>
  <si>
    <t>AA11038</t>
  </si>
  <si>
    <t>ZA04064</t>
  </si>
  <si>
    <t>ZA04073</t>
  </si>
  <si>
    <t>ZA04076</t>
  </si>
  <si>
    <t>AA11088</t>
  </si>
  <si>
    <t>AA11092</t>
  </si>
  <si>
    <t>AA11121</t>
  </si>
  <si>
    <t>ZA04090</t>
  </si>
  <si>
    <t>AA11130</t>
  </si>
  <si>
    <t>AA11148</t>
  </si>
  <si>
    <t>AA11159</t>
  </si>
  <si>
    <t>ZA04100</t>
  </si>
  <si>
    <t>ZA04109</t>
  </si>
  <si>
    <t>AA11178</t>
  </si>
  <si>
    <t>AA11186</t>
  </si>
  <si>
    <t>AA11185</t>
  </si>
  <si>
    <t>AA11206</t>
  </si>
  <si>
    <t>AA11008</t>
  </si>
  <si>
    <t>AA11048</t>
  </si>
  <si>
    <t>AA11047</t>
  </si>
  <si>
    <t>ZA04087</t>
  </si>
  <si>
    <t>AA11123</t>
  </si>
  <si>
    <t>AA11126</t>
  </si>
  <si>
    <t>AA11145</t>
  </si>
  <si>
    <t>AA11161</t>
  </si>
  <si>
    <t>AA11205</t>
  </si>
  <si>
    <t>AA11165</t>
  </si>
  <si>
    <t>ZA04088</t>
  </si>
  <si>
    <t>AA11124</t>
  </si>
  <si>
    <t>AA11127</t>
  </si>
  <si>
    <t>AA11024</t>
  </si>
  <si>
    <t>AA11099</t>
  </si>
  <si>
    <t>AA11142</t>
  </si>
  <si>
    <t>AA11194</t>
  </si>
  <si>
    <t>AA11100</t>
  </si>
  <si>
    <t>ZA04082</t>
  </si>
  <si>
    <t>ZA04083</t>
  </si>
  <si>
    <t>AA11103</t>
  </si>
  <si>
    <t>AA11104</t>
  </si>
  <si>
    <t>ZA04107</t>
  </si>
  <si>
    <t>AA11173</t>
  </si>
  <si>
    <t>AA11184</t>
  </si>
  <si>
    <t>ZA04056</t>
  </si>
  <si>
    <t>AA11020</t>
  </si>
  <si>
    <t>AA11033</t>
  </si>
  <si>
    <t>AA11094</t>
  </si>
  <si>
    <t>AA11116</t>
  </si>
  <si>
    <t>ZA04091</t>
  </si>
  <si>
    <t>AA11131</t>
  </si>
  <si>
    <t>AA11132</t>
  </si>
  <si>
    <t>ZA04103</t>
  </si>
  <si>
    <t>ZA04104</t>
  </si>
  <si>
    <t>AA11163</t>
  </si>
  <si>
    <t>AA11037</t>
  </si>
  <si>
    <t>AA11054</t>
  </si>
  <si>
    <t>AA11009</t>
  </si>
  <si>
    <t>ZA04060</t>
  </si>
  <si>
    <t>AA11027</t>
  </si>
  <si>
    <t>AA11112</t>
  </si>
  <si>
    <t>AA11128</t>
  </si>
  <si>
    <t>AA11129</t>
  </si>
  <si>
    <t>AA11152</t>
  </si>
  <si>
    <t>AA11153</t>
  </si>
  <si>
    <t>AA11151</t>
  </si>
  <si>
    <t>AA11182</t>
  </si>
  <si>
    <t>ZA04049</t>
  </si>
  <si>
    <t>AA11000</t>
  </si>
  <si>
    <t>ZA04051</t>
  </si>
  <si>
    <t>ZA04052</t>
  </si>
  <si>
    <t>AA11014</t>
  </si>
  <si>
    <t>AA11017</t>
  </si>
  <si>
    <t>AA11031</t>
  </si>
  <si>
    <t>ZA04066</t>
  </si>
  <si>
    <t>AA11052</t>
  </si>
  <si>
    <t>AA11057</t>
  </si>
  <si>
    <t>AA11061</t>
  </si>
  <si>
    <t>ZA04074</t>
  </si>
  <si>
    <t>AA11115</t>
  </si>
  <si>
    <t>ZA04092</t>
  </si>
  <si>
    <t>AA11133</t>
  </si>
  <si>
    <t>AA11150</t>
  </si>
  <si>
    <t>ZA04098</t>
  </si>
  <si>
    <t>ZA04099</t>
  </si>
  <si>
    <t>AA11156</t>
  </si>
  <si>
    <t>AA11157</t>
  </si>
  <si>
    <t>AA11187</t>
  </si>
  <si>
    <t>AA11056</t>
  </si>
  <si>
    <t>AA11166</t>
  </si>
  <si>
    <t>AA11060</t>
  </si>
  <si>
    <t>AA11108</t>
  </si>
  <si>
    <t>ZA04085</t>
  </si>
  <si>
    <t>AA11125</t>
  </si>
  <si>
    <t>AA11013</t>
  </si>
  <si>
    <t>ZA04053</t>
  </si>
  <si>
    <t>ZA04058</t>
  </si>
  <si>
    <t>AA11018</t>
  </si>
  <si>
    <t>AA11021</t>
  </si>
  <si>
    <t>ZA04054</t>
  </si>
  <si>
    <t>ZA04059</t>
  </si>
  <si>
    <t>AA11019</t>
  </si>
  <si>
    <t>AA11022</t>
  </si>
  <si>
    <t>AA11120</t>
  </si>
  <si>
    <t>AA11135</t>
  </si>
  <si>
    <t>AA11170</t>
  </si>
  <si>
    <t>ZA04057</t>
  </si>
  <si>
    <t>AA11026</t>
  </si>
  <si>
    <t>AA11028</t>
  </si>
  <si>
    <t>AA11045</t>
  </si>
  <si>
    <t>AA11064</t>
  </si>
  <si>
    <t>AA11085</t>
  </si>
  <si>
    <t>AA11110</t>
  </si>
  <si>
    <t>ZA04108</t>
  </si>
  <si>
    <t>AA11177</t>
  </si>
  <si>
    <t>AA11001</t>
  </si>
  <si>
    <t>ZA04055</t>
  </si>
  <si>
    <t>AA11035</t>
  </si>
  <si>
    <t>AA11069</t>
  </si>
  <si>
    <t>ZA04077</t>
  </si>
  <si>
    <t>AA11090</t>
  </si>
  <si>
    <t>AA11093</t>
  </si>
  <si>
    <t>AA11098</t>
  </si>
  <si>
    <t>ZA04081</t>
  </si>
  <si>
    <t>AA11102</t>
  </si>
  <si>
    <t>AA11169</t>
  </si>
  <si>
    <t>AA11168</t>
  </si>
  <si>
    <t>ZA04112</t>
  </si>
  <si>
    <t>AA11200</t>
  </si>
  <si>
    <t>AA11202</t>
  </si>
  <si>
    <t>AA11106</t>
  </si>
  <si>
    <t>AA11155</t>
  </si>
  <si>
    <t>ZA04101</t>
  </si>
  <si>
    <t>AA11160</t>
  </si>
  <si>
    <t>AA11167</t>
  </si>
  <si>
    <t>ZA04105</t>
  </si>
  <si>
    <t>AA11180</t>
  </si>
  <si>
    <t>AA11175</t>
  </si>
  <si>
    <t>ZA04106</t>
  </si>
  <si>
    <t>AA11174</t>
  </si>
  <si>
    <t>AA11195</t>
  </si>
  <si>
    <t>AA11196</t>
  </si>
  <si>
    <t>AA11199</t>
  </si>
  <si>
    <t>AA11197</t>
  </si>
  <si>
    <t>AA11005</t>
  </si>
  <si>
    <t>AA11012</t>
  </si>
  <si>
    <t>AA11023</t>
  </si>
  <si>
    <t>AA11029</t>
  </si>
  <si>
    <t>ZA04061</t>
  </si>
  <si>
    <t>AA11030</t>
  </si>
  <si>
    <t>AA11040</t>
  </si>
  <si>
    <t>AA11039</t>
  </si>
  <si>
    <t>AA11042</t>
  </si>
  <si>
    <t>AA11043</t>
  </si>
  <si>
    <t>AA11046</t>
  </si>
  <si>
    <t>AA11041</t>
  </si>
  <si>
    <t>AA11053</t>
  </si>
  <si>
    <t>AA11050</t>
  </si>
  <si>
    <t>AA11049</t>
  </si>
  <si>
    <t>ZA04065</t>
  </si>
  <si>
    <t>AA11062</t>
  </si>
  <si>
    <t>AA11066</t>
  </si>
  <si>
    <t>AA11065</t>
  </si>
  <si>
    <t>AA11067</t>
  </si>
  <si>
    <t>AA11072</t>
  </si>
  <si>
    <t>ZA04068</t>
  </si>
  <si>
    <t>AA11071</t>
  </si>
  <si>
    <t>ZA04069</t>
  </si>
  <si>
    <t>AA11074</t>
  </si>
  <si>
    <t>ZA04071</t>
  </si>
  <si>
    <t>AA11075</t>
  </si>
  <si>
    <t>AA11077</t>
  </si>
  <si>
    <t>ZA04072</t>
  </si>
  <si>
    <t>AA11079</t>
  </si>
  <si>
    <t>AA11082</t>
  </si>
  <si>
    <t>ZA04070</t>
  </si>
  <si>
    <t>AA11076</t>
  </si>
  <si>
    <t>AA11087</t>
  </si>
  <si>
    <t>ZA04078</t>
  </si>
  <si>
    <t>ZA04079</t>
  </si>
  <si>
    <t>AA11095</t>
  </si>
  <si>
    <t>AA11096</t>
  </si>
  <si>
    <t>ZA04084</t>
  </si>
  <si>
    <t>AA11105</t>
  </si>
  <si>
    <t>ZA04080</t>
  </si>
  <si>
    <t>AA11101</t>
  </si>
  <si>
    <t>AA11107</t>
  </si>
  <si>
    <t>AA11118</t>
  </si>
  <si>
    <t>ZA04086</t>
  </si>
  <si>
    <t>AA11122</t>
  </si>
  <si>
    <t>AA11146</t>
  </si>
  <si>
    <t>ZA04102</t>
  </si>
  <si>
    <t>AA11162</t>
  </si>
  <si>
    <t>AA11201</t>
  </si>
  <si>
    <t>ZA04113</t>
  </si>
  <si>
    <t>AA11207</t>
  </si>
  <si>
    <t>AA11193</t>
  </si>
  <si>
    <t>AA11198</t>
  </si>
  <si>
    <t>AA11191</t>
  </si>
  <si>
    <t>AA11091</t>
  </si>
  <si>
    <t>AA11097</t>
  </si>
  <si>
    <t>AA11119</t>
  </si>
  <si>
    <t>AA11147</t>
  </si>
  <si>
    <t>ZA04111</t>
  </si>
  <si>
    <t>AA11192</t>
  </si>
  <si>
    <t>00520AJ</t>
  </si>
  <si>
    <t>TIIDA SEDAN SENSE T/A</t>
  </si>
  <si>
    <t>RUBEN ALVAREZ AGUILERA</t>
  </si>
  <si>
    <t>DIEGO KISAI ALBA GALLART</t>
  </si>
  <si>
    <t>JESUS ALBERTO ARIAS OLVERA</t>
  </si>
  <si>
    <t>1210-TCN17</t>
  </si>
  <si>
    <t>1213-TCN17</t>
  </si>
  <si>
    <t>1229-TCN17</t>
  </si>
  <si>
    <t>1219-TCN17</t>
  </si>
  <si>
    <t>1171-TCN17</t>
  </si>
  <si>
    <t>1222-TCN17</t>
  </si>
  <si>
    <t>1162-TCN17</t>
  </si>
  <si>
    <t>1234-TCN17</t>
  </si>
  <si>
    <t>1232-TCN17</t>
  </si>
  <si>
    <t>1134-TCN17</t>
  </si>
  <si>
    <t>1083-TCN17</t>
  </si>
  <si>
    <t>1231-TCN17</t>
  </si>
  <si>
    <t>1230-TCN17</t>
  </si>
  <si>
    <t>1256-TCN17</t>
  </si>
  <si>
    <t>1126-TCN17</t>
  </si>
  <si>
    <t>1313-TCN17</t>
  </si>
  <si>
    <t>1382-TCN17</t>
  </si>
  <si>
    <t>1333-TCN17</t>
  </si>
  <si>
    <t>1383-TCN17</t>
  </si>
  <si>
    <t>1384-TCN17</t>
  </si>
  <si>
    <t>1400-TCN17</t>
  </si>
  <si>
    <t>1175-TCN17</t>
  </si>
  <si>
    <t>1227-TCN17</t>
  </si>
  <si>
    <t>1240-TCN17</t>
  </si>
  <si>
    <t>1157-TCN17</t>
  </si>
  <si>
    <t>1145-TCN17</t>
  </si>
  <si>
    <t>1152-TCN17</t>
  </si>
  <si>
    <t>1282-TCN17</t>
  </si>
  <si>
    <t>1316-TCN17</t>
  </si>
  <si>
    <t>1318-TCN17</t>
  </si>
  <si>
    <t>1166-TCN17</t>
  </si>
  <si>
    <t>1257-TCN17</t>
  </si>
  <si>
    <t>1259-TCN17</t>
  </si>
  <si>
    <t>1248-TCN17</t>
  </si>
  <si>
    <t>1290-TCN17</t>
  </si>
  <si>
    <t>1320-TCN17</t>
  </si>
  <si>
    <t>1387-TCN17</t>
  </si>
  <si>
    <t>1024-TCN17</t>
  </si>
  <si>
    <t>1255-TCN17</t>
  </si>
  <si>
    <t>1063-TCN17</t>
  </si>
  <si>
    <t>1023-TCN17</t>
  </si>
  <si>
    <t>1064-TCN17</t>
  </si>
  <si>
    <t>1346-TCN17</t>
  </si>
  <si>
    <t>1049-TCN17</t>
  </si>
  <si>
    <t>1405-TCN17</t>
  </si>
  <si>
    <t>1397-TCN17</t>
  </si>
  <si>
    <t>1398-TCN17</t>
  </si>
  <si>
    <t>1253-TCN17</t>
  </si>
  <si>
    <t>0588-TCN17</t>
  </si>
  <si>
    <t>0955-TCN17</t>
  </si>
  <si>
    <t>1242-TCN17</t>
  </si>
  <si>
    <t>0282-TCN17</t>
  </si>
  <si>
    <t>0364-TCN17</t>
  </si>
  <si>
    <t>1184-TCN17</t>
  </si>
  <si>
    <t>1233-TCN17</t>
  </si>
  <si>
    <t>1249-TCN17</t>
  </si>
  <si>
    <t>1250-TCN17</t>
  </si>
  <si>
    <t>1272-TCN17</t>
  </si>
  <si>
    <t>1185-TCN17</t>
  </si>
  <si>
    <t>1283-TCN17</t>
  </si>
  <si>
    <t>1293-TCN17</t>
  </si>
  <si>
    <t>1294-TCN17</t>
  </si>
  <si>
    <t>1305-TCN17</t>
  </si>
  <si>
    <t>1307-TCN17</t>
  </si>
  <si>
    <t>1187-TCN17</t>
  </si>
  <si>
    <t>1285-TCN17</t>
  </si>
  <si>
    <t>0290-TCN17</t>
  </si>
  <si>
    <t>1408-TCN17</t>
  </si>
  <si>
    <t>1188-TCN17</t>
  </si>
  <si>
    <t>1263-TCN17</t>
  </si>
  <si>
    <t>1323-TCN17</t>
  </si>
  <si>
    <t>1180-TCN17</t>
  </si>
  <si>
    <t>1165-TCN17</t>
  </si>
  <si>
    <t>1164-TCN17</t>
  </si>
  <si>
    <t>1181-TCN17</t>
  </si>
  <si>
    <t>1247-TCN17</t>
  </si>
  <si>
    <t>1251-TCN17</t>
  </si>
  <si>
    <t>0793-TCN17</t>
  </si>
  <si>
    <t>0875-TCN17</t>
  </si>
  <si>
    <t>0917-TCN17</t>
  </si>
  <si>
    <t>0918-TCN17</t>
  </si>
  <si>
    <t>0864-TCN17</t>
  </si>
  <si>
    <t>0919-TCN17</t>
  </si>
  <si>
    <t>0920-TCN17</t>
  </si>
  <si>
    <t>0923-TCN17</t>
  </si>
  <si>
    <t>0003-TCN18</t>
  </si>
  <si>
    <t>0004-TCN18</t>
  </si>
  <si>
    <t>0005-TCN18</t>
  </si>
  <si>
    <t>0008-TCN18</t>
  </si>
  <si>
    <t>0007-TCN18</t>
  </si>
  <si>
    <t>1254-TCN17</t>
  </si>
  <si>
    <t>1226-TCN17</t>
  </si>
  <si>
    <t>1289-TCN17</t>
  </si>
  <si>
    <t>1109-TCN17</t>
  </si>
  <si>
    <t>1306-TCN17</t>
  </si>
  <si>
    <t>1321-TCN17</t>
  </si>
  <si>
    <t>1110-TCN17</t>
  </si>
  <si>
    <t>1235-TCN17</t>
  </si>
  <si>
    <t>1196-TCN17</t>
  </si>
  <si>
    <t>1221-TCN17</t>
  </si>
  <si>
    <t>1220-TCN17</t>
  </si>
  <si>
    <t>1197-TCN17</t>
  </si>
  <si>
    <t>1191-TCN17</t>
  </si>
  <si>
    <t>1217-TCN17</t>
  </si>
  <si>
    <t>1216-TCN17</t>
  </si>
  <si>
    <t>1193-TCN17</t>
  </si>
  <si>
    <t>1214-TCN17</t>
  </si>
  <si>
    <t>1274-TCN17</t>
  </si>
  <si>
    <t>1299-TCN17</t>
  </si>
  <si>
    <t>1218-TCN17</t>
  </si>
  <si>
    <t>0232-TCN17</t>
  </si>
  <si>
    <t>0744-TCN17</t>
  </si>
  <si>
    <t>0633-TCN17</t>
  </si>
  <si>
    <t>0852-TCN17</t>
  </si>
  <si>
    <t>0853-TCN17</t>
  </si>
  <si>
    <t>0208-TCU16</t>
  </si>
  <si>
    <t>0101-TCU17</t>
  </si>
  <si>
    <t>0066-TCU17</t>
  </si>
  <si>
    <t>0073-TCU17</t>
  </si>
  <si>
    <t>0086-TCU17</t>
  </si>
  <si>
    <t>0093-TCU17</t>
  </si>
  <si>
    <t>0076-TCU17</t>
  </si>
  <si>
    <t>0089-TCU17</t>
  </si>
  <si>
    <t>0244-TCU16</t>
  </si>
  <si>
    <t>0249-TCU16</t>
  </si>
  <si>
    <t>0061-TCU17</t>
  </si>
  <si>
    <t>0072-TCU17</t>
  </si>
  <si>
    <t>0103-TCU17</t>
  </si>
  <si>
    <t>0106-TCU17</t>
  </si>
  <si>
    <t>0098-TCU17</t>
  </si>
  <si>
    <t>0100-TCU17</t>
  </si>
  <si>
    <t>0248-TCU16</t>
  </si>
  <si>
    <t>0109-TCU17</t>
  </si>
  <si>
    <t>0102-TCU17</t>
  </si>
  <si>
    <t>0107-TCU17</t>
  </si>
  <si>
    <t>0088-TCU17</t>
  </si>
  <si>
    <t>0039-TCU17</t>
  </si>
  <si>
    <t>0096-TCU17</t>
  </si>
  <si>
    <t>0078-TCU17</t>
  </si>
  <si>
    <t>0113-TCU17</t>
  </si>
  <si>
    <t>0117-TCU17</t>
  </si>
  <si>
    <t>0124-TCU17</t>
  </si>
  <si>
    <t>0171-TCN17</t>
  </si>
  <si>
    <t>0110-TCU17</t>
  </si>
  <si>
    <t>0043-TCU17</t>
  </si>
  <si>
    <t>0111-TCU17</t>
  </si>
  <si>
    <t>DE LEON MARTINEZ HUG</t>
  </si>
  <si>
    <t>MONTOYA ANDRADE GRAC</t>
  </si>
  <si>
    <t>RUELAS SANTOYO CRIST</t>
  </si>
  <si>
    <t>SANCHEZ MARQUEZ JUAN</t>
  </si>
  <si>
    <t>ESPINOZA BOLAÑOS HER</t>
  </si>
  <si>
    <t>GARCIA GRANDE J. ROG</t>
  </si>
  <si>
    <t>RODRIGUEZ MONTOYA RI</t>
  </si>
  <si>
    <t>INSTITUTO YURIRENSE</t>
  </si>
  <si>
    <t>SANCHEZ QUINTANILLA</t>
  </si>
  <si>
    <t>DIAZ GONZALEZ GERARD</t>
  </si>
  <si>
    <t>GOMEZ PORTALES JOAQU</t>
  </si>
  <si>
    <t>MONTELLANO RESENDIZ</t>
  </si>
  <si>
    <t>AVILA AREVALO CUAUHT</t>
  </si>
  <si>
    <t>MARTINEZ COVARRUBIAS</t>
  </si>
  <si>
    <t>CISNEROS ALEJANDRE L</t>
  </si>
  <si>
    <t>CERVANTES JUAN ADRIA</t>
  </si>
  <si>
    <t>TOYOCOAPA S DE RL DE</t>
  </si>
  <si>
    <t>ORTEGA CORDERO JONAT</t>
  </si>
  <si>
    <t>PEREZ MARTHA</t>
  </si>
  <si>
    <t>VELAZQUEZ MENDOZA CO</t>
  </si>
  <si>
    <t>OVIEDO MENDOZA CECIL</t>
  </si>
  <si>
    <t>RANGEL SANCHEZ MARTH</t>
  </si>
  <si>
    <t>POZAS MEDINA ANGELIC</t>
  </si>
  <si>
    <t>SANCHEZ GARCIA AMADO</t>
  </si>
  <si>
    <t>TAPIA RAMOS EDER</t>
  </si>
  <si>
    <t>PESJOVI SA DE CV</t>
  </si>
  <si>
    <t>GONZALEZ ESPITIA YOL</t>
  </si>
  <si>
    <t>GUTIERREZ RENDON EDG</t>
  </si>
  <si>
    <t>SIGMA QUALITY ASSIST</t>
  </si>
  <si>
    <t>DALTON AUTOMOTRIZ S.</t>
  </si>
  <si>
    <t>MARTINEZ VEGA FERMIN</t>
  </si>
  <si>
    <t>MEDICA SANTA CARMEN</t>
  </si>
  <si>
    <t>GARCIA IBARRA ANA MA</t>
  </si>
  <si>
    <t>NUÑEZ OLIVARES MARIA</t>
  </si>
  <si>
    <t>OLVERA DIAZ CARMEN I</t>
  </si>
  <si>
    <t>VALADEZ TOVAR J ROSA</t>
  </si>
  <si>
    <t>ZARATE BARRON J CARM</t>
  </si>
  <si>
    <t>OPERADORA DACT SA DE</t>
  </si>
  <si>
    <t>ESTRADA BALTAZAR ALE</t>
  </si>
  <si>
    <t>FRIAS VERA CLEMENTE</t>
  </si>
  <si>
    <t>FRIAS VERA JESUS CLE</t>
  </si>
  <si>
    <t>MEDINA FREYRE HECTOR</t>
  </si>
  <si>
    <t>MARTINEZ HERNANDEZ A</t>
  </si>
  <si>
    <t>GONZALEZ OLALDE CARL</t>
  </si>
  <si>
    <t>PEREDA CORRO CLAUDIA</t>
  </si>
  <si>
    <t>AYALA ZARAGOZA ALFRE</t>
  </si>
  <si>
    <t>ACEROS Y GALVANIZADO</t>
  </si>
  <si>
    <t>RODRIGUEZ HAGELSIEB</t>
  </si>
  <si>
    <t>TOYOMOTORS DE IRAPUA</t>
  </si>
  <si>
    <t>MARTINEZ SANCHEZ LUI</t>
  </si>
  <si>
    <t>ARELLANO PATIÑO FELI</t>
  </si>
  <si>
    <t>NICOMETAL BAJIO SA D</t>
  </si>
  <si>
    <t>ALMANZA VERA LEOPOLD</t>
  </si>
  <si>
    <t>READY SOLUTIONS SA D</t>
  </si>
  <si>
    <t>ZASOL INTEGRA CORPOR</t>
  </si>
  <si>
    <t>AVILA GONZALEZ MARIO</t>
  </si>
  <si>
    <t>AVILA GONZALEZ APOLI</t>
  </si>
  <si>
    <t>SILVA PEREZ ELIZABET</t>
  </si>
  <si>
    <t>BLACKALLER SAUCEDO P</t>
  </si>
  <si>
    <t>GUERRERO GARCIA MA T</t>
  </si>
  <si>
    <t>GARCIA RIVERA PEDRO</t>
  </si>
  <si>
    <t>MARTINEZ RODRIGUEZ S</t>
  </si>
  <si>
    <t>RIJK ZWAAN PROMEX SA</t>
  </si>
  <si>
    <t>ALECSA PACHUCA S. DE</t>
  </si>
  <si>
    <t>MENDOZA CANO YRMA</t>
  </si>
  <si>
    <t>GUIDO LOPEZ ARMANDO</t>
  </si>
  <si>
    <t>LANUZA VERA AGUSTIN</t>
  </si>
  <si>
    <t>MUÑOZ VEGA MANUEL</t>
  </si>
  <si>
    <t>BELTRAN MEDINA MA PA</t>
  </si>
  <si>
    <t>DISEÑO Y FABRICACION</t>
  </si>
  <si>
    <t>GONZALEZ CALDERON FR</t>
  </si>
  <si>
    <t>PAREDES FERNANDEZ LE</t>
  </si>
  <si>
    <t>GALINDO RODRIGUEZ AD</t>
  </si>
  <si>
    <t>RODRIGUEZ VILLEGAS L</t>
  </si>
  <si>
    <t>SEGURA VALLE RAFAEL</t>
  </si>
  <si>
    <t>QUMA DEL BAJIO, S.A.</t>
  </si>
  <si>
    <t>ORNI DEL BAJIO, S.A.</t>
  </si>
  <si>
    <t>PROYECTOS ELECTRICOS</t>
  </si>
  <si>
    <t>CONTRERAS SANDOVAL E</t>
  </si>
  <si>
    <t>MACIAS MOTORS S.A DE</t>
  </si>
  <si>
    <t>HUERTA JIMENEZ AIMEE</t>
  </si>
  <si>
    <t>GALVAN VALDEZ MARIA</t>
  </si>
  <si>
    <t>GUTIERREZ MORENO SAR</t>
  </si>
  <si>
    <t>ORTIZ DIAZ SACRAMENT</t>
  </si>
  <si>
    <t>HERRERA VILLAGOMEZ J</t>
  </si>
  <si>
    <t>MENDEZ ARGUELLO JULI</t>
  </si>
  <si>
    <t>GOMEZ GONZALEZ SAMUE</t>
  </si>
  <si>
    <t>SANCHEZ HURTADO NAHU</t>
  </si>
  <si>
    <t>AVALOS MINJARES ISRA</t>
  </si>
  <si>
    <t>LARA GAYTAN ANGELICA</t>
  </si>
  <si>
    <t>MANCERA PEREZ ELIZAB</t>
  </si>
  <si>
    <t>LUNA NIETO JOSE MANU</t>
  </si>
  <si>
    <t>GRUPO M.SEMINUEVOS S</t>
  </si>
  <si>
    <t>ROMERO ESPINOSA ANAB</t>
  </si>
  <si>
    <t>ACOPA MONTEJO MARCOS</t>
  </si>
  <si>
    <t>REVILLA MALDONADO FR</t>
  </si>
  <si>
    <t>TORRES RAMIREZ LILIA</t>
  </si>
  <si>
    <t>REVILLA MALDONADO FE</t>
  </si>
  <si>
    <t>LEON HERNANDEZ CLAUD</t>
  </si>
  <si>
    <t>GONZALEZ SANCHEZ JOR</t>
  </si>
  <si>
    <t>HERNANDEZ CARPIA BER</t>
  </si>
  <si>
    <t>HERNANDEZ CARAPIA BE</t>
  </si>
  <si>
    <t>CORTES FONSECA FLAVI</t>
  </si>
  <si>
    <t>ABOYTES ENRIQUEZ LAU</t>
  </si>
  <si>
    <t>CHICO LOPEZ CARLOS F</t>
  </si>
  <si>
    <t>LIZARDI LUNA GUILLER</t>
  </si>
  <si>
    <t>SEGURA CAMPOS SANDRA</t>
  </si>
  <si>
    <t>GONZALEZ ALVAREZ CAR</t>
  </si>
  <si>
    <t>CORREA VILCHEZ MA VI</t>
  </si>
  <si>
    <t>MARTINEZ GOMEZ ANTON</t>
  </si>
  <si>
    <t>MELECIO SANCHEZ JAVI</t>
  </si>
  <si>
    <t>RODRIGUEZ GARCIA LUI</t>
  </si>
  <si>
    <t>OLVERA MARTINEZ MARL</t>
  </si>
  <si>
    <t>3MYDLAYV0HY177066</t>
  </si>
  <si>
    <t>3MYDLAYV8HY176943</t>
  </si>
  <si>
    <t>3MYDLAYVXHY18447</t>
  </si>
  <si>
    <t>JTDKBRFUXH3555954</t>
  </si>
  <si>
    <t>JTDKBRFU2H3039507</t>
  </si>
  <si>
    <t>5YFBPRHE4HP675215</t>
  </si>
  <si>
    <t>5YFBPRHE4HP668491</t>
  </si>
  <si>
    <t>5YFBPRHEXHP674179</t>
  </si>
  <si>
    <t>5YFBPRHE6HP670310</t>
  </si>
  <si>
    <t>5YFBPRHE4HP621929</t>
  </si>
  <si>
    <t>5YFBPRHE0HP660212</t>
  </si>
  <si>
    <t>5YFBPRHE1HP665595</t>
  </si>
  <si>
    <t>MR2B29F38H105822</t>
  </si>
  <si>
    <t>MR2B29F33H1062399</t>
  </si>
  <si>
    <t>MR2B29F38H1055142</t>
  </si>
  <si>
    <t>MR2B29F37H1064527</t>
  </si>
  <si>
    <t>MR2B29F33H1065383</t>
  </si>
  <si>
    <t>MR2B29F34H1063271</t>
  </si>
  <si>
    <t>MR2B29F30H1065762</t>
  </si>
  <si>
    <t>MR2B29F31H1063552</t>
  </si>
  <si>
    <t>MR2B29F3XH1060682</t>
  </si>
  <si>
    <t>MR2B29F37H1056010</t>
  </si>
  <si>
    <t>MR2B29F37H1055732</t>
  </si>
  <si>
    <t>MR2B29F3XH1059998</t>
  </si>
  <si>
    <t>MR2B29F32H1052415</t>
  </si>
  <si>
    <t>MR2B29F38H1056971</t>
  </si>
  <si>
    <t>MR2B29F33H1048194</t>
  </si>
  <si>
    <t>MR2B29F35H1066793</t>
  </si>
  <si>
    <t>MR2B29F36H1064289</t>
  </si>
  <si>
    <t>MR2K29F36H1060582</t>
  </si>
  <si>
    <t>MR2K29F30H1052008</t>
  </si>
  <si>
    <t>MR2K29F32H1063172</t>
  </si>
  <si>
    <t>MHKMF53E1HK010479</t>
  </si>
  <si>
    <t>MHKMF53E5HK010050</t>
  </si>
  <si>
    <t>MHKMF53E6HK010798</t>
  </si>
  <si>
    <t>MHKMF53E5HK010422</t>
  </si>
  <si>
    <t>MHKMF53E7HK011135</t>
  </si>
  <si>
    <t>MHKMF53F8HK015655</t>
  </si>
  <si>
    <t>MHKMF53F4HK017905</t>
  </si>
  <si>
    <t>MHKMF53F8HK015834</t>
  </si>
  <si>
    <t>MHKMF53F1HK015416</t>
  </si>
  <si>
    <t>MHKMF53F9HK016457</t>
  </si>
  <si>
    <t>MHKMF53F1HK017795</t>
  </si>
  <si>
    <t>MHKMF53F5HK016374</t>
  </si>
  <si>
    <t>MHKMF53FXHK015186</t>
  </si>
  <si>
    <t>MHKMF53F3HK018396</t>
  </si>
  <si>
    <t>MHKMF53F8HK018037</t>
  </si>
  <si>
    <t>4T1BF1FK5HU365196</t>
  </si>
  <si>
    <t>4T1BF1FK9HU363225</t>
  </si>
  <si>
    <t>2T3RFREV6HW597595</t>
  </si>
  <si>
    <t>2T3RFREV3HW631332</t>
  </si>
  <si>
    <t>2T3RFREV5HW552793</t>
  </si>
  <si>
    <t>2T3RFREV6HW554472</t>
  </si>
  <si>
    <t>2T3RFREV3HW630505</t>
  </si>
  <si>
    <t>2T3ZFREV3HW365780</t>
  </si>
  <si>
    <t>2T3ZFREV1HW367155</t>
  </si>
  <si>
    <t>2T3ZFREV6HW367409</t>
  </si>
  <si>
    <t>2T3ZFREV0HW369124</t>
  </si>
  <si>
    <t>2T3ZFREV3HW364631</t>
  </si>
  <si>
    <t>2T3ZFREV6HW368320</t>
  </si>
  <si>
    <t>2T3ZFREV7HW369816</t>
  </si>
  <si>
    <t>2T3JFREV0HW644651</t>
  </si>
  <si>
    <t>2T3DFREV3HW639439</t>
  </si>
  <si>
    <t>2T3DFREV3HW63943</t>
  </si>
  <si>
    <t>2T3RFREV1HW630132</t>
  </si>
  <si>
    <t>2T3RFREV1HW626856</t>
  </si>
  <si>
    <t>2T3RFREV6HW556013</t>
  </si>
  <si>
    <t>5TDKZ3DC1HS854007</t>
  </si>
  <si>
    <t>5TDYZ3DC2HS845469</t>
  </si>
  <si>
    <t>5TDYZ3DC9HS850023</t>
  </si>
  <si>
    <t>5TDYZ3DC6HS852912</t>
  </si>
  <si>
    <t>5TDYZ3DC3HS841253</t>
  </si>
  <si>
    <t>5TDYZ3DC8HS842852</t>
  </si>
  <si>
    <t>5TDYZ3DC6HS842767</t>
  </si>
  <si>
    <t>5TDYZ3DC0HS842120</t>
  </si>
  <si>
    <t>5TDYZ3DC1HS842630</t>
  </si>
  <si>
    <t>5TDYZ3DC1HS847567</t>
  </si>
  <si>
    <t>JTFPX22P5H0071794</t>
  </si>
  <si>
    <t>JTFPX22P6H0072386</t>
  </si>
  <si>
    <t>JTFPX22P3H0072538</t>
  </si>
  <si>
    <t>JTFPX22P4H0072726</t>
  </si>
  <si>
    <t>JTFPX22P4H0072452</t>
  </si>
  <si>
    <t>JTFPX22P9H0072740</t>
  </si>
  <si>
    <t>JTFPX22P3H0072748</t>
  </si>
  <si>
    <t>JTFPX22P8H0072938</t>
  </si>
  <si>
    <t>JTFSX23P9J617990</t>
  </si>
  <si>
    <t>JTFSX23P3J6179763</t>
  </si>
  <si>
    <t>JTFSX23P9J617953</t>
  </si>
  <si>
    <t>JTFSX23P2J6180192</t>
  </si>
  <si>
    <t>JTFSX23PXJ6179694</t>
  </si>
  <si>
    <t>5TDKZRFH3HS206602</t>
  </si>
  <si>
    <t>5TDYZRFH6HS208192</t>
  </si>
  <si>
    <t>3TMCZ5AN4HM087775</t>
  </si>
  <si>
    <t>MR0EX8CB9H1397132</t>
  </si>
  <si>
    <t>MR0EX8CB6H1397833</t>
  </si>
  <si>
    <t>MR0EX8CBXH139702</t>
  </si>
  <si>
    <t>MR0EX8CB8H1397137</t>
  </si>
  <si>
    <t>MR0EX8CB7H1397288</t>
  </si>
  <si>
    <t>MR0EX8CB0H1397407</t>
  </si>
  <si>
    <t>MR0EX8CB1H1397416</t>
  </si>
  <si>
    <t>MR0EX8CB8H1397414</t>
  </si>
  <si>
    <t>MR0EX8CB5H1397435</t>
  </si>
  <si>
    <t>MR0EX8DDXH0175155</t>
  </si>
  <si>
    <t>MR0EX8DD3H0252254</t>
  </si>
  <si>
    <t>MR0EX8DD5H0251977</t>
  </si>
  <si>
    <t>MR0EX8DD0H0252437</t>
  </si>
  <si>
    <t>MR0EX8DD5H0175192</t>
  </si>
  <si>
    <t>MR0EX8DD6H0175721</t>
  </si>
  <si>
    <t>MR0EX8DD0H0175763</t>
  </si>
  <si>
    <t>MR0EX8DD1H0252432</t>
  </si>
  <si>
    <t>MR0EX8DD0H0170479</t>
  </si>
  <si>
    <t>MR0EX8DD1H0249966</t>
  </si>
  <si>
    <t>MR0EX8DD6H0172611</t>
  </si>
  <si>
    <t>MR0EX8DD2H0174064</t>
  </si>
  <si>
    <t>MR0EX8DDXH0250274</t>
  </si>
  <si>
    <t>3VWGW6AJ4FM236855</t>
  </si>
  <si>
    <t>3N1CK3CD8FL257736</t>
  </si>
  <si>
    <t>MA6CC6CD1HT012707</t>
  </si>
  <si>
    <t>KL8CM6CDXFC805572</t>
  </si>
  <si>
    <t>MHKMC13E7CK000131</t>
  </si>
  <si>
    <t>9BWAB05U3FP518409</t>
  </si>
  <si>
    <t>KL1MJ6A08DC054951</t>
  </si>
  <si>
    <t>5TDYK3DC0CS223613</t>
  </si>
  <si>
    <t>3C6SRADT8DG513384</t>
  </si>
  <si>
    <t>VSS1T65F9GR033871</t>
  </si>
  <si>
    <t>5TDYK3DC2CS220194</t>
  </si>
  <si>
    <t>VF1LZ12T9DC269388</t>
  </si>
  <si>
    <t>3FAFP4AJ9FM218115</t>
  </si>
  <si>
    <t>5TDZK3EH2DS116384</t>
  </si>
  <si>
    <t>TMCJT3BE5FJ619617</t>
  </si>
  <si>
    <t>3G1TC5CF9CL149752</t>
  </si>
  <si>
    <t>3G1TA5AF4DL179851</t>
  </si>
  <si>
    <t>3FAFP4AJ2EM238544</t>
  </si>
  <si>
    <t>3N1AB7AD6GL608002</t>
  </si>
  <si>
    <t>5TDYK3DC2BS024769</t>
  </si>
  <si>
    <t>9FBHS2AA2DM001006</t>
  </si>
  <si>
    <t>JTDKN3DU1B1326637</t>
  </si>
  <si>
    <t>8AWDD42H5EA015104</t>
  </si>
  <si>
    <t>3GNAL7EK5FS551466</t>
  </si>
  <si>
    <t>3VWRV09M5AM041704</t>
  </si>
  <si>
    <t>3VWLV49M5BM060641</t>
  </si>
  <si>
    <t>2T3DF4EV1EW131503</t>
  </si>
  <si>
    <t>MR0EX8DD9H0247589</t>
  </si>
  <si>
    <t>2T3BF4EV3EW134152</t>
  </si>
  <si>
    <t>5YFBURHE0GP370205</t>
  </si>
  <si>
    <t>5YFBURHE8EP045315</t>
  </si>
  <si>
    <t>REPORTE DE ISAN MAYO.2017</t>
  </si>
  <si>
    <t>JUNIO.2017</t>
  </si>
  <si>
    <t>JUN</t>
  </si>
  <si>
    <t>REPORTE DE ISAN JUN.2017</t>
  </si>
  <si>
    <t>AA11367</t>
  </si>
  <si>
    <t>1381-TCN17</t>
  </si>
  <si>
    <t>GUTIERREZ CASTAÑEDA</t>
  </si>
  <si>
    <t>4T1BF1FK3HU657137</t>
  </si>
  <si>
    <t>AA11395</t>
  </si>
  <si>
    <t>0205-TCN17</t>
  </si>
  <si>
    <t>ROSAS VILLEGAS MARIA</t>
  </si>
  <si>
    <t>5YFBPRHE1HP572527</t>
  </si>
  <si>
    <t>AA11373</t>
  </si>
  <si>
    <t>1163-TCN17</t>
  </si>
  <si>
    <t>FERNANDEZ MORALES RO</t>
  </si>
  <si>
    <t>5YFBPRHE6HP668458</t>
  </si>
  <si>
    <t>AA11374</t>
  </si>
  <si>
    <t>1292-TCN17</t>
  </si>
  <si>
    <t>VALDES ROMAN JOSE DE</t>
  </si>
  <si>
    <t>5YFBPRHE7HP687200</t>
  </si>
  <si>
    <t>AA11270</t>
  </si>
  <si>
    <t>1042-TCN17</t>
  </si>
  <si>
    <t>JIMENEZ GUTIERREZ ES</t>
  </si>
  <si>
    <t>5YFBPRHEXHP658306</t>
  </si>
  <si>
    <t>AA11382</t>
  </si>
  <si>
    <t>0833-TCN17</t>
  </si>
  <si>
    <t>RAMIREZ ARREGUIN LUI</t>
  </si>
  <si>
    <t>5YFBPRHE1HP634914</t>
  </si>
  <si>
    <t>AA11366</t>
  </si>
  <si>
    <t>1389-TCN17</t>
  </si>
  <si>
    <t>UNIRENTA ARRENDAMIEN</t>
  </si>
  <si>
    <t>5YFBPRHE5HP693951</t>
  </si>
  <si>
    <t>AA11273</t>
  </si>
  <si>
    <t>1442-TCN17</t>
  </si>
  <si>
    <t>ZAMACONA RUIZ ALFONS</t>
  </si>
  <si>
    <t>5YFBPRHE0HP683098</t>
  </si>
  <si>
    <t>AA11312</t>
  </si>
  <si>
    <t>1452-TCN17</t>
  </si>
  <si>
    <t>SISTEMAS ELECTRONICO</t>
  </si>
  <si>
    <t>5YFBPRHE1HP686723</t>
  </si>
  <si>
    <t>AA11350</t>
  </si>
  <si>
    <t>1319-TCN17</t>
  </si>
  <si>
    <t>MARTINEZ ALCOCER CAR</t>
  </si>
  <si>
    <t>5YFBPRHE1HP688326</t>
  </si>
  <si>
    <t>AA11281</t>
  </si>
  <si>
    <t>1409-TCN17</t>
  </si>
  <si>
    <t>JIMENEZ MONTOYA TERE</t>
  </si>
  <si>
    <t>5TDYZ3DC0HS855241</t>
  </si>
  <si>
    <t>AA11368</t>
  </si>
  <si>
    <t>1223-TCN17</t>
  </si>
  <si>
    <t>ANTITRIPS DE MEXICO</t>
  </si>
  <si>
    <t>5TDYZ3DC9HS846022</t>
  </si>
  <si>
    <t>AA11256</t>
  </si>
  <si>
    <t>1436-TCN17</t>
  </si>
  <si>
    <t>GONZALEZ CHAUVET JAC</t>
  </si>
  <si>
    <t>2T3ZFREV3HW375354</t>
  </si>
  <si>
    <t>AA11271</t>
  </si>
  <si>
    <t>1284-TCN17</t>
  </si>
  <si>
    <t>CARRILLO CABADA JOSE</t>
  </si>
  <si>
    <t>2T3ZFREV6HW366258</t>
  </si>
  <si>
    <t>AA11310</t>
  </si>
  <si>
    <t>1189-TCN17</t>
  </si>
  <si>
    <t>MENDEZ PANIAGUA BENJ</t>
  </si>
  <si>
    <t>5TDYZ3DC6HS843708</t>
  </si>
  <si>
    <t>AA11272</t>
  </si>
  <si>
    <t>1441-TCN17</t>
  </si>
  <si>
    <t>RICO GONZALEZ MARTHA</t>
  </si>
  <si>
    <t>2T3RFREV6HW656371</t>
  </si>
  <si>
    <t>AA11225</t>
  </si>
  <si>
    <t>1432-TCN17</t>
  </si>
  <si>
    <t>ESTEVES BUTANDA RAQU</t>
  </si>
  <si>
    <t>2T3RFREV8HW621203</t>
  </si>
  <si>
    <t>AA11347</t>
  </si>
  <si>
    <t>1490-TCN17</t>
  </si>
  <si>
    <t>RAMIREZ PIZANO JOSE</t>
  </si>
  <si>
    <t>2T3JFREVXHW589075</t>
  </si>
  <si>
    <t>AA11258</t>
  </si>
  <si>
    <t>0617-TCN17</t>
  </si>
  <si>
    <t>GASCA MACIAS JOSE OS</t>
  </si>
  <si>
    <t>2T3RFREV1HW565024</t>
  </si>
  <si>
    <t>AA11282</t>
  </si>
  <si>
    <t>1186-TCN17</t>
  </si>
  <si>
    <t>RUIZ RAMIREZ RAUL</t>
  </si>
  <si>
    <t>2T3RFREV4HW627211</t>
  </si>
  <si>
    <t>AA11400</t>
  </si>
  <si>
    <t>1090-TCN17</t>
  </si>
  <si>
    <t>GASTRONOMIA DEL BAJI</t>
  </si>
  <si>
    <t>2T3RFREV6HW614511</t>
  </si>
  <si>
    <t>AA11348</t>
  </si>
  <si>
    <t>1386-TCN17</t>
  </si>
  <si>
    <t>NIETO MOSQUEDA ALMA</t>
  </si>
  <si>
    <t>MR2K29F34H1067370</t>
  </si>
  <si>
    <t>AA11383</t>
  </si>
  <si>
    <t>1527-TCN17</t>
  </si>
  <si>
    <t>PEREZ GARCIA YULIANA</t>
  </si>
  <si>
    <t>MR2K29F34H1060158</t>
  </si>
  <si>
    <t>AA11238</t>
  </si>
  <si>
    <t>1391-TCN17</t>
  </si>
  <si>
    <t>JTDKBRFU6H3559306</t>
  </si>
  <si>
    <t>AA11210</t>
  </si>
  <si>
    <t>ALVAREZ MORALES ALFR</t>
  </si>
  <si>
    <t>AA11398</t>
  </si>
  <si>
    <t>0016-TCN18</t>
  </si>
  <si>
    <t>JTFSX23P1J6180944</t>
  </si>
  <si>
    <t>AA11337</t>
  </si>
  <si>
    <t>0014-TCN18</t>
  </si>
  <si>
    <t>HERNANDEZ VEGA JUAN</t>
  </si>
  <si>
    <t>JTFSX23P3J6181402</t>
  </si>
  <si>
    <t>AA11234</t>
  </si>
  <si>
    <t>0006-TCN18</t>
  </si>
  <si>
    <t>RODRIGUEZ LUGO JOSE</t>
  </si>
  <si>
    <t>JTFSX23P4J6179819</t>
  </si>
  <si>
    <t>AA11267</t>
  </si>
  <si>
    <t>0013-TCN18</t>
  </si>
  <si>
    <t>JTFSX23P5J6180705</t>
  </si>
  <si>
    <t>AA11220</t>
  </si>
  <si>
    <t>0009-TCN18</t>
  </si>
  <si>
    <t>HERNANDEZ ARIZA DANI</t>
  </si>
  <si>
    <t>JTFSX23P6J6180602</t>
  </si>
  <si>
    <t>AA11232</t>
  </si>
  <si>
    <t>0011-TCN18</t>
  </si>
  <si>
    <t>TURISMO ALDOS S DE R</t>
  </si>
  <si>
    <t>JTFSX23P6J6180759</t>
  </si>
  <si>
    <t>AA11249</t>
  </si>
  <si>
    <t>1435-TCN17</t>
  </si>
  <si>
    <t>TOVAR RINCON MAYRA V</t>
  </si>
  <si>
    <t>MR2B29F30H1068130</t>
  </si>
  <si>
    <t>AA11247</t>
  </si>
  <si>
    <t>1385-TCN17</t>
  </si>
  <si>
    <t>MEDINA DELGADO ROMEL</t>
  </si>
  <si>
    <t>MR2B29F31H1060764</t>
  </si>
  <si>
    <t>AA11239</t>
  </si>
  <si>
    <t>1379-TCN17</t>
  </si>
  <si>
    <t>BALDERAS AGUILAR CLA</t>
  </si>
  <si>
    <t>MR2B29F32H1066766</t>
  </si>
  <si>
    <t>AA11322</t>
  </si>
  <si>
    <t>1454-TCN17</t>
  </si>
  <si>
    <t>CHAVERO GARCIA ANA K</t>
  </si>
  <si>
    <t>MR2B29F32H1067710</t>
  </si>
  <si>
    <t>AA11339</t>
  </si>
  <si>
    <t>ANGELA DANIELA ARROYO TORRES</t>
  </si>
  <si>
    <t>1464-TCN17</t>
  </si>
  <si>
    <t>GOBIERNO DIGITAL SA</t>
  </si>
  <si>
    <t>MR2B29F32H1068694</t>
  </si>
  <si>
    <t>AA11314</t>
  </si>
  <si>
    <t>1312-TCN17</t>
  </si>
  <si>
    <t>DIAZ FIGUEROA MARLA</t>
  </si>
  <si>
    <t>MR2B29F36H1064115</t>
  </si>
  <si>
    <t>AA11331</t>
  </si>
  <si>
    <t>1399-TCN17</t>
  </si>
  <si>
    <t>MUÑOZ PEREZ CARLOS O</t>
  </si>
  <si>
    <t>MR2B29F39H1064058</t>
  </si>
  <si>
    <t>AA11320</t>
  </si>
  <si>
    <t>1336-TCN17</t>
  </si>
  <si>
    <t>GARCIA ANDRADE JESUS</t>
  </si>
  <si>
    <t>MR2B29F30H1063414</t>
  </si>
  <si>
    <t>AA11376</t>
  </si>
  <si>
    <t>1469-TCN17</t>
  </si>
  <si>
    <t>MR2B29F30H1067883</t>
  </si>
  <si>
    <t>AA11338</t>
  </si>
  <si>
    <t>1460-TCN17</t>
  </si>
  <si>
    <t>RIVERA MANDUJANO CLA</t>
  </si>
  <si>
    <t>MR2B29F30H1068869</t>
  </si>
  <si>
    <t>AA11243</t>
  </si>
  <si>
    <t>1335-TCN17</t>
  </si>
  <si>
    <t>VEJAR JIMENEZ MARIA</t>
  </si>
  <si>
    <t>MR2B29F31H1061929</t>
  </si>
  <si>
    <t>AA11351</t>
  </si>
  <si>
    <t>1472-TCN17</t>
  </si>
  <si>
    <t>CARDENAS MARIA GABRI</t>
  </si>
  <si>
    <t>MR2B29F32H1068842</t>
  </si>
  <si>
    <t>AA11319</t>
  </si>
  <si>
    <t>1317-TCN17</t>
  </si>
  <si>
    <t>SALAS CANCINO EFREN</t>
  </si>
  <si>
    <t>MR2B29F33H1064475</t>
  </si>
  <si>
    <t>AA11375</t>
  </si>
  <si>
    <t>1507-TCN17</t>
  </si>
  <si>
    <t>RODRIGUEZ HERNANDEZ</t>
  </si>
  <si>
    <t>MR2B29F33H1070907</t>
  </si>
  <si>
    <t>AA11349</t>
  </si>
  <si>
    <t>1342-TCN17</t>
  </si>
  <si>
    <t>LOPEZ MARTINEZ MARIB</t>
  </si>
  <si>
    <t>MR2B29F34H1067398</t>
  </si>
  <si>
    <t>AA11388</t>
  </si>
  <si>
    <t>CESAR HUMBERTO GONZALEZ RICO</t>
  </si>
  <si>
    <t>1502-TCN17</t>
  </si>
  <si>
    <t>GARCIA ARROYO RICARD</t>
  </si>
  <si>
    <t>MR2B29F39H1069681</t>
  </si>
  <si>
    <t>AA11329</t>
  </si>
  <si>
    <t>1453-TCN17</t>
  </si>
  <si>
    <t>MONTOYA GODINEZ JAQU</t>
  </si>
  <si>
    <t>MHKMF53E2HK011642</t>
  </si>
  <si>
    <t>AA11221</t>
  </si>
  <si>
    <t>1427-TCN17</t>
  </si>
  <si>
    <t>MHKMF53E8HK010687</t>
  </si>
  <si>
    <t>ZA04115</t>
  </si>
  <si>
    <t>AA11223</t>
  </si>
  <si>
    <t>1431-TCN17</t>
  </si>
  <si>
    <t>BOTELLO MEZA LORENA</t>
  </si>
  <si>
    <t>MHKMF53F1HK017490</t>
  </si>
  <si>
    <t>AA11387</t>
  </si>
  <si>
    <t>1478-TCN17</t>
  </si>
  <si>
    <t>PARRA MEJIA VICTOR H</t>
  </si>
  <si>
    <t>MHKMF53F3HK018740</t>
  </si>
  <si>
    <t>AA11255</t>
  </si>
  <si>
    <t>1437-TCN17</t>
  </si>
  <si>
    <t>DE LA ROCHA LEDEZMA</t>
  </si>
  <si>
    <t>MHKMF53F4HK017175</t>
  </si>
  <si>
    <t>AA11212</t>
  </si>
  <si>
    <t>1396-TCN17</t>
  </si>
  <si>
    <t>FERNANDEZ NOLASCO YO</t>
  </si>
  <si>
    <t>MHKMF53F4HK018097</t>
  </si>
  <si>
    <t>AA11389</t>
  </si>
  <si>
    <t>1448-TCN17</t>
  </si>
  <si>
    <t>FLORES GOMEZ JOAQUIN</t>
  </si>
  <si>
    <t>MHKMF53F5HK017413</t>
  </si>
  <si>
    <t>AA11371</t>
  </si>
  <si>
    <t>1433-TCN17</t>
  </si>
  <si>
    <t>HERNANDEZ QUINTERO M</t>
  </si>
  <si>
    <t>MHKMF53F5HK018657</t>
  </si>
  <si>
    <t>AA11385</t>
  </si>
  <si>
    <t>1522-TCN17</t>
  </si>
  <si>
    <t>MHKMF53F9HK018726</t>
  </si>
  <si>
    <t>AA11354</t>
  </si>
  <si>
    <t>1443-TCN17</t>
  </si>
  <si>
    <t>PEREZ FIGUEROA FLORE</t>
  </si>
  <si>
    <t>MHKMF53FXHK017343</t>
  </si>
  <si>
    <t>AA11215</t>
  </si>
  <si>
    <t>1426-TCN17</t>
  </si>
  <si>
    <t>GARCIA MANRIQUEZ M.</t>
  </si>
  <si>
    <t>MHKMF53FXHK018668</t>
  </si>
  <si>
    <t>AA11335</t>
  </si>
  <si>
    <t>1456-TCN17</t>
  </si>
  <si>
    <t>VILLA REYES RUBEN</t>
  </si>
  <si>
    <t>5TDKZRFHXHS211389</t>
  </si>
  <si>
    <t>AA11228</t>
  </si>
  <si>
    <t>1238-TCN17</t>
  </si>
  <si>
    <t>5TDYZRFH0HS207961</t>
  </si>
  <si>
    <t>AA11268</t>
  </si>
  <si>
    <t>1438-TCN17</t>
  </si>
  <si>
    <t>JAMAICA OCHOA ALEJAN</t>
  </si>
  <si>
    <t>5TDYZRFH6HS215935</t>
  </si>
  <si>
    <t>AA11401</t>
  </si>
  <si>
    <t>1459-TCN17</t>
  </si>
  <si>
    <t>PANTOJA JACAL MANUEL</t>
  </si>
  <si>
    <t>5TDYZRFH8HS212695</t>
  </si>
  <si>
    <t>AA11334</t>
  </si>
  <si>
    <t>1273-TCN17</t>
  </si>
  <si>
    <t>CALDERON BECERRA JUA</t>
  </si>
  <si>
    <t>5TDYZRFHXHS210415</t>
  </si>
  <si>
    <t>AA11330</t>
  </si>
  <si>
    <t>1311-TCN17</t>
  </si>
  <si>
    <t>CARAPIA MALDONADO FE</t>
  </si>
  <si>
    <t>3MYDLAYV7HY187013</t>
  </si>
  <si>
    <t>AA11286</t>
  </si>
  <si>
    <t>1326-TCN17</t>
  </si>
  <si>
    <t>GARCIA PEREZ ISIDRO</t>
  </si>
  <si>
    <t>MR0EX8CB3H1397515</t>
  </si>
  <si>
    <t>AA11358</t>
  </si>
  <si>
    <t>1328-TCN17</t>
  </si>
  <si>
    <t>COPEM S.A DE C.V</t>
  </si>
  <si>
    <t>MR0EX8CB3H1397739</t>
  </si>
  <si>
    <t>AA11344</t>
  </si>
  <si>
    <t>1440-TCN17</t>
  </si>
  <si>
    <t>GONZALEZ BRIONES GER</t>
  </si>
  <si>
    <t>MR0EX8CB3H1398101</t>
  </si>
  <si>
    <t>AA11240</t>
  </si>
  <si>
    <t>1296-TCN17</t>
  </si>
  <si>
    <t>TRANSPORTES Y SERVIC</t>
  </si>
  <si>
    <t>MR0EX8CB6H1397539</t>
  </si>
  <si>
    <t>AA11343</t>
  </si>
  <si>
    <t>1485-TCN17</t>
  </si>
  <si>
    <t>REFACCIONES Y ACCESO</t>
  </si>
  <si>
    <t>MR0EX8CB7H1398263</t>
  </si>
  <si>
    <t>AA11333</t>
  </si>
  <si>
    <t>1461-TCN17</t>
  </si>
  <si>
    <t>RUIZ FLORES HECTOR</t>
  </si>
  <si>
    <t>MR0EX8CB0H1398279</t>
  </si>
  <si>
    <t>AA11327</t>
  </si>
  <si>
    <t>1377-TCN17</t>
  </si>
  <si>
    <t>DOÑATE RODRIGUEZ VEN</t>
  </si>
  <si>
    <t>MR0EX8CB1H1398095</t>
  </si>
  <si>
    <t>AA11283</t>
  </si>
  <si>
    <t>1345-TCN17</t>
  </si>
  <si>
    <t>MR0EX8CB7H1397887</t>
  </si>
  <si>
    <t>AA11219</t>
  </si>
  <si>
    <t>0921-TCN17</t>
  </si>
  <si>
    <t>PIÑON GONZALEZ J REF</t>
  </si>
  <si>
    <t>JTFPX22P9H0072866</t>
  </si>
  <si>
    <t>AA11298</t>
  </si>
  <si>
    <t>1449-TCN17</t>
  </si>
  <si>
    <t>ALFARO MEDINA RAUL</t>
  </si>
  <si>
    <t>3TMAZ5CN4HM043604</t>
  </si>
  <si>
    <t>AA11369</t>
  </si>
  <si>
    <t>1526-TCN17</t>
  </si>
  <si>
    <t>3TMCZ5AN1HM094134</t>
  </si>
  <si>
    <t>AA11365</t>
  </si>
  <si>
    <t>1525-TCN17</t>
  </si>
  <si>
    <t>MUÑOZ MAYA EDUARDO L</t>
  </si>
  <si>
    <t>3TMCZ5AN5HM093858</t>
  </si>
  <si>
    <t>AA11405</t>
  </si>
  <si>
    <t>1535-TCN17</t>
  </si>
  <si>
    <t>MARTINEZ BALDERAS J</t>
  </si>
  <si>
    <t>3TMCZ5ANXHM094990</t>
  </si>
  <si>
    <t>AA11328</t>
  </si>
  <si>
    <t>1455-TCN17</t>
  </si>
  <si>
    <t>RAMIREZ URBINA LUCIA</t>
  </si>
  <si>
    <t>5TFHY5F14HX649747</t>
  </si>
  <si>
    <t>AA11402</t>
  </si>
  <si>
    <t>1533-TCN17</t>
  </si>
  <si>
    <t>PONCE HIDALGO VICTOR</t>
  </si>
  <si>
    <t>5TFHY5F17HX656868</t>
  </si>
  <si>
    <t>AA11244</t>
  </si>
  <si>
    <t>1434-TCN17</t>
  </si>
  <si>
    <t>COMERCIALIZADORA REC</t>
  </si>
  <si>
    <t>5TFHY5F19HX638095</t>
  </si>
  <si>
    <t>AA11357</t>
  </si>
  <si>
    <t>0934-TCN17</t>
  </si>
  <si>
    <t>MR0EX8DD4H0250738</t>
  </si>
  <si>
    <t>AA11364</t>
  </si>
  <si>
    <t>1371-TCN17</t>
  </si>
  <si>
    <t>MR0EX8DD4H0252697</t>
  </si>
  <si>
    <t>AA11262</t>
  </si>
  <si>
    <t>0867-TCN17</t>
  </si>
  <si>
    <t>MR0EX8DD6H0250577</t>
  </si>
  <si>
    <t>AA11222</t>
  </si>
  <si>
    <t>1368-TCN17</t>
  </si>
  <si>
    <t>SANDOVAL CHAVEZ PEDR</t>
  </si>
  <si>
    <t>MR0EX8DD8H0175316</t>
  </si>
  <si>
    <t>AA11342</t>
  </si>
  <si>
    <t>ROBLES CAMPOS MARIA</t>
  </si>
  <si>
    <t>AA11211</t>
  </si>
  <si>
    <t>1297-TCN17</t>
  </si>
  <si>
    <t>VEGA SUAREZ MARCO AN</t>
  </si>
  <si>
    <t>MR0EX8DD1H0174993</t>
  </si>
  <si>
    <t>AA11260</t>
  </si>
  <si>
    <t>1215-TCN17</t>
  </si>
  <si>
    <t>GARCIA TOLEDO ISRAEL</t>
  </si>
  <si>
    <t>MR0EX8DD1H0251961</t>
  </si>
  <si>
    <t>AA11352</t>
  </si>
  <si>
    <t>1359-TCN17</t>
  </si>
  <si>
    <t>SANCHEZ GOMEZ GERARD</t>
  </si>
  <si>
    <t>MR0EX8DD1H0252625</t>
  </si>
  <si>
    <t>AA11280</t>
  </si>
  <si>
    <t>1276-TCN17</t>
  </si>
  <si>
    <t>RODRIGUEZ GALVAN SER</t>
  </si>
  <si>
    <t>MR0EX8DD2H0175845</t>
  </si>
  <si>
    <t>AA11326</t>
  </si>
  <si>
    <t>1300-TCN17</t>
  </si>
  <si>
    <t>LOPEZ RODRIGUEZ FRAN</t>
  </si>
  <si>
    <t>MR0EX8DD4H0175877</t>
  </si>
  <si>
    <t>AA11295</t>
  </si>
  <si>
    <t>1277-TCN17</t>
  </si>
  <si>
    <t>AIZCORBE CABEZA DE V</t>
  </si>
  <si>
    <t>MR0EX8DD4H0253333</t>
  </si>
  <si>
    <t>AA11397</t>
  </si>
  <si>
    <t>1376-TCN17</t>
  </si>
  <si>
    <t>MR0EX8DD5H0252952</t>
  </si>
  <si>
    <t>AA11324</t>
  </si>
  <si>
    <t>1363-TCN17</t>
  </si>
  <si>
    <t>MIRANDA MARQUEZ CAMI</t>
  </si>
  <si>
    <t>MR0EX8DD7H0252953</t>
  </si>
  <si>
    <t>AA11332</t>
  </si>
  <si>
    <t>1367-TCN17</t>
  </si>
  <si>
    <t>HERNANDEZ ORTEGA J J</t>
  </si>
  <si>
    <t>MR0EX8DD7H0253231</t>
  </si>
  <si>
    <t>AA11311</t>
  </si>
  <si>
    <t>1198-TCN17</t>
  </si>
  <si>
    <t>ELECTROMECANICA INDU</t>
  </si>
  <si>
    <t>MR0EX8DD9H0175020</t>
  </si>
  <si>
    <t>AA11305</t>
  </si>
  <si>
    <t>1279-TCN17</t>
  </si>
  <si>
    <t>ARREOLA JUAREZ CRISP</t>
  </si>
  <si>
    <t>MR0EX8DD9H0253568</t>
  </si>
  <si>
    <t>AA11315</t>
  </si>
  <si>
    <t>1275-TCN17</t>
  </si>
  <si>
    <t>AUDIFFRED VAZQUEZ MA</t>
  </si>
  <si>
    <t>MR0EX8DDXH0175771</t>
  </si>
  <si>
    <t>AA11253</t>
  </si>
  <si>
    <t>ZA04127</t>
  </si>
  <si>
    <t>ZA04117</t>
  </si>
  <si>
    <t>AA11226</t>
  </si>
  <si>
    <t>ZA04116</t>
  </si>
  <si>
    <t>AA11224</t>
  </si>
  <si>
    <t>AA11227</t>
  </si>
  <si>
    <t>COMERCIALIZADORA MEX</t>
  </si>
  <si>
    <t>ZA04118</t>
  </si>
  <si>
    <t>AA11264</t>
  </si>
  <si>
    <t>ZA04129</t>
  </si>
  <si>
    <t>AA11323</t>
  </si>
  <si>
    <t>ZA04144</t>
  </si>
  <si>
    <t>ZA04142</t>
  </si>
  <si>
    <t>1252-TCN17</t>
  </si>
  <si>
    <t>5TFHY5F19HX640655</t>
  </si>
  <si>
    <t>AA11318</t>
  </si>
  <si>
    <t>AA11386</t>
  </si>
  <si>
    <t>ZA04164</t>
  </si>
  <si>
    <t>AA11259</t>
  </si>
  <si>
    <t>RENTERIA GOMEZ FELIX</t>
  </si>
  <si>
    <t>ZA04150</t>
  </si>
  <si>
    <t>AA11290</t>
  </si>
  <si>
    <t>ZA04135</t>
  </si>
  <si>
    <t>AA11296</t>
  </si>
  <si>
    <t>ZA04155</t>
  </si>
  <si>
    <t>ZA04114</t>
  </si>
  <si>
    <t>AA11209</t>
  </si>
  <si>
    <t>AA11229</t>
  </si>
  <si>
    <t>ZA04120</t>
  </si>
  <si>
    <t>AA11317</t>
  </si>
  <si>
    <t>ZA04145</t>
  </si>
  <si>
    <t>AA11237</t>
  </si>
  <si>
    <t>ZA04123</t>
  </si>
  <si>
    <t>AA11245</t>
  </si>
  <si>
    <t>URBA PAVIMENTOS SA D</t>
  </si>
  <si>
    <t>ZA04154</t>
  </si>
  <si>
    <t>ZA04119</t>
  </si>
  <si>
    <t>AA11233</t>
  </si>
  <si>
    <t>SILVESTRE ALVA HUGO</t>
  </si>
  <si>
    <t>AA11345</t>
  </si>
  <si>
    <t>ZA04152</t>
  </si>
  <si>
    <t>AA11269</t>
  </si>
  <si>
    <t>ZA04149</t>
  </si>
  <si>
    <t>AA11254</t>
  </si>
  <si>
    <t>ZA04132</t>
  </si>
  <si>
    <t>ZA04148</t>
  </si>
  <si>
    <t>AA11340</t>
  </si>
  <si>
    <t>AA11289</t>
  </si>
  <si>
    <t>ZA04140</t>
  </si>
  <si>
    <t>AA11302</t>
  </si>
  <si>
    <t>ZA04141</t>
  </si>
  <si>
    <t>ZA04122</t>
  </si>
  <si>
    <t>AA11241</t>
  </si>
  <si>
    <t>AA11217</t>
  </si>
  <si>
    <t>ZA04121</t>
  </si>
  <si>
    <t>AA11346</t>
  </si>
  <si>
    <t>ZA04151</t>
  </si>
  <si>
    <t>AA11208</t>
  </si>
  <si>
    <t>ZA04146</t>
  </si>
  <si>
    <t>ZA04124</t>
  </si>
  <si>
    <t>AA11248</t>
  </si>
  <si>
    <t>AA11377</t>
  </si>
  <si>
    <t>1287-TCN17</t>
  </si>
  <si>
    <t>MR2K29F30H1052185</t>
  </si>
  <si>
    <t>ZA04160</t>
  </si>
  <si>
    <t>ZA04137</t>
  </si>
  <si>
    <t>1245-TCN17</t>
  </si>
  <si>
    <t>3MYDLAYV1HY184687</t>
  </si>
  <si>
    <t>AA11300</t>
  </si>
  <si>
    <t>AA11306</t>
  </si>
  <si>
    <t>1451-TCN17</t>
  </si>
  <si>
    <t>AA11261</t>
  </si>
  <si>
    <t>1324-TCN17</t>
  </si>
  <si>
    <t>3MYDLAYVXHY187944</t>
  </si>
  <si>
    <t>AA11336</t>
  </si>
  <si>
    <t>1463-TCN17</t>
  </si>
  <si>
    <t>3MYDLAYV3HY189700</t>
  </si>
  <si>
    <t>AA11359</t>
  </si>
  <si>
    <t>1325-TCN17</t>
  </si>
  <si>
    <t>3MYDLAYV1HY188156</t>
  </si>
  <si>
    <t>AA11399</t>
  </si>
  <si>
    <t>1466-TCN17</t>
  </si>
  <si>
    <t>5YFBPRHE0HP696806</t>
  </si>
  <si>
    <t>AA11265</t>
  </si>
  <si>
    <t>1280-TCN17</t>
  </si>
  <si>
    <t>MR2B29F35H1065014</t>
  </si>
  <si>
    <t>AA11275</t>
  </si>
  <si>
    <t>1339-TCN17</t>
  </si>
  <si>
    <t>MR2B29F31H1064801</t>
  </si>
  <si>
    <t>AA11263</t>
  </si>
  <si>
    <t>1288-TCN17</t>
  </si>
  <si>
    <t>MR2K29F36H1058301</t>
  </si>
  <si>
    <t>AA11404</t>
  </si>
  <si>
    <t>AA11218</t>
  </si>
  <si>
    <t>1425-TCN17</t>
  </si>
  <si>
    <t>MHKMF53E8HK010530</t>
  </si>
  <si>
    <t>AA11301</t>
  </si>
  <si>
    <t>1450-TCN17</t>
  </si>
  <si>
    <t>AA11390</t>
  </si>
  <si>
    <t>1520-TCN17</t>
  </si>
  <si>
    <t>MHKMF53EXHK011324</t>
  </si>
  <si>
    <t>AA11372</t>
  </si>
  <si>
    <t>0725-TCN17</t>
  </si>
  <si>
    <t>4T1BF1FK0HU374498</t>
  </si>
  <si>
    <t>AA11363</t>
  </si>
  <si>
    <t>0726-TCN17</t>
  </si>
  <si>
    <t>4T1BF1FK1HU720428</t>
  </si>
  <si>
    <t>AA11321</t>
  </si>
  <si>
    <t>1243-TCN17</t>
  </si>
  <si>
    <t>2T3RFREV2HW631337</t>
  </si>
  <si>
    <t>AA11216</t>
  </si>
  <si>
    <t>0838-TCN17</t>
  </si>
  <si>
    <t>2T3JFREV5HW591686</t>
  </si>
  <si>
    <t>AA11391</t>
  </si>
  <si>
    <t>1487-TCN17</t>
  </si>
  <si>
    <t>VALOR FARRERA AUTOMO</t>
  </si>
  <si>
    <t>5TDKZ3DC2HS862021</t>
  </si>
  <si>
    <t>AA11299</t>
  </si>
  <si>
    <t>1224-TCN17</t>
  </si>
  <si>
    <t>5TDYZ3DC9HS842925</t>
  </si>
  <si>
    <t>AA11360</t>
  </si>
  <si>
    <t>0922-TCN17</t>
  </si>
  <si>
    <t>JTFPX22P0H0072870</t>
  </si>
  <si>
    <t>AA11396</t>
  </si>
  <si>
    <t>0017-TCN18</t>
  </si>
  <si>
    <t>JTFSX23PXJ6180926</t>
  </si>
  <si>
    <t>AA11214</t>
  </si>
  <si>
    <t>1410-TCN17</t>
  </si>
  <si>
    <t>5TDKZRFH0HS211370</t>
  </si>
  <si>
    <t>AA11257</t>
  </si>
  <si>
    <t>1439-TCN17</t>
  </si>
  <si>
    <t>5TDYZRFH9HS212804</t>
  </si>
  <si>
    <t>AA11266</t>
  </si>
  <si>
    <t>1241-TCN17</t>
  </si>
  <si>
    <t>MR0EX8CB2H1397473</t>
  </si>
  <si>
    <t>AA11403</t>
  </si>
  <si>
    <t>1493-TCN17</t>
  </si>
  <si>
    <t>MR0EX8CB5H1398424</t>
  </si>
  <si>
    <t>AA11277</t>
  </si>
  <si>
    <t>1301-TCN17</t>
  </si>
  <si>
    <t>MR0EX8DD0H0175892</t>
  </si>
  <si>
    <t>AA11276</t>
  </si>
  <si>
    <t>1304-TCN17</t>
  </si>
  <si>
    <t>MR0EX8DD2H0253279</t>
  </si>
  <si>
    <t>AA11274</t>
  </si>
  <si>
    <t>1353-TCN17</t>
  </si>
  <si>
    <t>MR0EX8DD4H0175281</t>
  </si>
  <si>
    <t>AA11361</t>
  </si>
  <si>
    <t>1364-TCN17</t>
  </si>
  <si>
    <t>MR0EX8DD7H0252984</t>
  </si>
  <si>
    <t>AA11213</t>
  </si>
  <si>
    <t>YARIS PREMIUM AUT HB</t>
  </si>
  <si>
    <t>0105-TCU17</t>
  </si>
  <si>
    <t>ARELLANO OLIVARES JU</t>
  </si>
  <si>
    <t>VSSJJ65P4DR013084</t>
  </si>
  <si>
    <t>USADOS</t>
  </si>
  <si>
    <t>AA11230</t>
  </si>
  <si>
    <t>0112-TCU17</t>
  </si>
  <si>
    <t>ESTEFANIA LOPEZ LUIS</t>
  </si>
  <si>
    <t>MEX4G2605FT021005</t>
  </si>
  <si>
    <t>AA11236</t>
  </si>
  <si>
    <t>0012-TCU17</t>
  </si>
  <si>
    <t>SANCHEZ ORTIZ MARCO</t>
  </si>
  <si>
    <t>3G1TC5CF9CL132367</t>
  </si>
  <si>
    <t>AA11235</t>
  </si>
  <si>
    <t>0134-TCU17</t>
  </si>
  <si>
    <t>ALVAREZ VAZQUEZ GUST</t>
  </si>
  <si>
    <t>JE4LD2135FZ012922</t>
  </si>
  <si>
    <t>AA11242</t>
  </si>
  <si>
    <t>0133-TCU17</t>
  </si>
  <si>
    <t>CHANONA RAMIREZ FRAN</t>
  </si>
  <si>
    <t>5KBRL5844FB803165</t>
  </si>
  <si>
    <t>AA11246</t>
  </si>
  <si>
    <t>0125-TCU17</t>
  </si>
  <si>
    <t>TOVAR CHAVEZ JOSE CA</t>
  </si>
  <si>
    <t>9FBHS2AA4DM001816</t>
  </si>
  <si>
    <t>ZA04126</t>
  </si>
  <si>
    <t>AA11251</t>
  </si>
  <si>
    <t>0129-TCU17</t>
  </si>
  <si>
    <t>GALVAN RUFINO MA LOU</t>
  </si>
  <si>
    <t>9FBHS2AA3EM100192</t>
  </si>
  <si>
    <t>ZA04125</t>
  </si>
  <si>
    <t>0130-TCU17</t>
  </si>
  <si>
    <t>GOMEZ VAZQUEZ RAUL D</t>
  </si>
  <si>
    <t>3N1BC1AS0FK199318</t>
  </si>
  <si>
    <t>AA11250</t>
  </si>
  <si>
    <t>AA11252</t>
  </si>
  <si>
    <t>ZA04130</t>
  </si>
  <si>
    <t>AA11279</t>
  </si>
  <si>
    <t>ZA04131</t>
  </si>
  <si>
    <t>AA11278</t>
  </si>
  <si>
    <t>AA11288</t>
  </si>
  <si>
    <t>0083-TCU17</t>
  </si>
  <si>
    <t>MIER PEREZ FABIANA</t>
  </si>
  <si>
    <t>MMM148ED8DH677714</t>
  </si>
  <si>
    <t>AA11287</t>
  </si>
  <si>
    <t>0115-TCU17</t>
  </si>
  <si>
    <t>ESPECIALIDADES SANTA</t>
  </si>
  <si>
    <t>MMM148FB6FH613753</t>
  </si>
  <si>
    <t>ZA04133</t>
  </si>
  <si>
    <t>AA11291</t>
  </si>
  <si>
    <t>MANCERA JIMENEZ J. J</t>
  </si>
  <si>
    <t>AA11284</t>
  </si>
  <si>
    <t>0141-TCU17</t>
  </si>
  <si>
    <t>JTFPX22P1B0029226</t>
  </si>
  <si>
    <t>AA11294</t>
  </si>
  <si>
    <t>0123-TCU17</t>
  </si>
  <si>
    <t>AA11303</t>
  </si>
  <si>
    <t>MANDUJANO MENDOZA AL</t>
  </si>
  <si>
    <t>AA11304</t>
  </si>
  <si>
    <t>0127-TCU17</t>
  </si>
  <si>
    <t>MANDUJANO SALINAS BL</t>
  </si>
  <si>
    <t>3VW1V49M0FM015734</t>
  </si>
  <si>
    <t>ZA04138</t>
  </si>
  <si>
    <t>AA11307</t>
  </si>
  <si>
    <t>AA11309</t>
  </si>
  <si>
    <t>0139-TCU17</t>
  </si>
  <si>
    <t>GARCIA FLORES GERARD</t>
  </si>
  <si>
    <t>JM3KE2B79E0360348</t>
  </si>
  <si>
    <t>AA11325</t>
  </si>
  <si>
    <t>0148-TCU17</t>
  </si>
  <si>
    <t>3TMJU4GN9DM145347</t>
  </si>
  <si>
    <t>AA11353</t>
  </si>
  <si>
    <t>0151-TCU17</t>
  </si>
  <si>
    <t>FLORES RIOS CARLOS</t>
  </si>
  <si>
    <t>JTFSX23P7E6146612</t>
  </si>
  <si>
    <t>AA11362</t>
  </si>
  <si>
    <t>0051-TCU17</t>
  </si>
  <si>
    <t>5TDKKRFH6FS039394</t>
  </si>
  <si>
    <t>ZA04156</t>
  </si>
  <si>
    <t>AA11370</t>
  </si>
  <si>
    <t>AA11384</t>
  </si>
  <si>
    <t>0121-TCU17</t>
  </si>
  <si>
    <t>1FM5K7F81DGA90483</t>
  </si>
  <si>
    <t>AA11392</t>
  </si>
  <si>
    <t>0155-TCU17</t>
  </si>
  <si>
    <t>SAN JUAN DEL RIO MOT</t>
  </si>
  <si>
    <t>3G1TA5AF4DL155002</t>
  </si>
  <si>
    <t>AA11231</t>
  </si>
  <si>
    <t>0131-TCU17</t>
  </si>
  <si>
    <t>AMIREZ ADRIAN FELIP</t>
  </si>
  <si>
    <t>MHKMF53EXGK004212</t>
  </si>
  <si>
    <t>AA11285</t>
  </si>
  <si>
    <t>0017-TCU17</t>
  </si>
  <si>
    <t>EGA CUELLAR DANIEL</t>
  </si>
  <si>
    <t>5YFBURHE6GP540874</t>
  </si>
  <si>
    <t>ZA04134</t>
  </si>
  <si>
    <t>0137-TCU17</t>
  </si>
  <si>
    <t>ORIN GUERRERO EVERA</t>
  </si>
  <si>
    <t>2T1BU4EE5DC026341</t>
  </si>
  <si>
    <t>AA11292</t>
  </si>
  <si>
    <t>AA11293</t>
  </si>
  <si>
    <t>ONZON MARROQUIN JUA</t>
  </si>
  <si>
    <t>ZA04136</t>
  </si>
  <si>
    <t>AA11297</t>
  </si>
  <si>
    <t>AA11316</t>
  </si>
  <si>
    <t>0120-TCU17</t>
  </si>
  <si>
    <t>VAZQUEZ NAVA NIMROD</t>
  </si>
  <si>
    <t>3MYDLAYV5GY120814</t>
  </si>
  <si>
    <t>A11313</t>
  </si>
  <si>
    <t>0136-TCU17</t>
  </si>
  <si>
    <t>HERNANDEZ DEL RAZO J</t>
  </si>
  <si>
    <t>VNKKTUD36FA018878</t>
  </si>
  <si>
    <t>ZA04139</t>
  </si>
  <si>
    <t>MONZON MARROQUIN JUA</t>
  </si>
  <si>
    <t>AA11308</t>
  </si>
  <si>
    <t>ZA04147</t>
  </si>
  <si>
    <t>VEGA CUELLAR DANIEL</t>
  </si>
  <si>
    <t>AA11341</t>
  </si>
  <si>
    <t>AA11355</t>
  </si>
  <si>
    <t>0126-TCU17</t>
  </si>
  <si>
    <t>VENTURA SANTAMARIA E</t>
  </si>
  <si>
    <t>VNKKTUD31FA028167</t>
  </si>
  <si>
    <t>ZA04153</t>
  </si>
  <si>
    <t>AA11356</t>
  </si>
  <si>
    <t>ZA04157</t>
  </si>
  <si>
    <t>0128-TCU17</t>
  </si>
  <si>
    <t>HERRERA HUTTERER DAV</t>
  </si>
  <si>
    <t>5TDYK3DC7FS533195</t>
  </si>
  <si>
    <t>ZA04158</t>
  </si>
  <si>
    <t>ZA04159</t>
  </si>
  <si>
    <t>AA11378</t>
  </si>
  <si>
    <t>AA11379</t>
  </si>
  <si>
    <t>AA11380</t>
  </si>
  <si>
    <t>AA11381</t>
  </si>
  <si>
    <t>ZA04162</t>
  </si>
  <si>
    <t>ZA04163</t>
  </si>
  <si>
    <t>AA11393</t>
  </si>
  <si>
    <t>AA11394</t>
  </si>
  <si>
    <t>JULIO.2017</t>
  </si>
  <si>
    <t>JUL</t>
  </si>
  <si>
    <t>REPORTE DE ISAN JUL.2017</t>
  </si>
  <si>
    <t>1380-TCN17</t>
  </si>
  <si>
    <t>1260-TCN17</t>
  </si>
  <si>
    <t>1498-TCN17</t>
  </si>
  <si>
    <t>1411-TCN17</t>
  </si>
  <si>
    <t>1536-TCN17</t>
  </si>
  <si>
    <t>1392-TCN17</t>
  </si>
  <si>
    <t>1393-TCN17</t>
  </si>
  <si>
    <t>1544-TCN17</t>
  </si>
  <si>
    <t>0912-TCN17</t>
  </si>
  <si>
    <t>0938-TCN17</t>
  </si>
  <si>
    <t>1600-TCN17</t>
  </si>
  <si>
    <t>1548-TCN17</t>
  </si>
  <si>
    <t>1623-TCN17</t>
  </si>
  <si>
    <t>0870-TCN17</t>
  </si>
  <si>
    <t>0967-TCN17</t>
  </si>
  <si>
    <t>1489-TCN17</t>
  </si>
  <si>
    <t>0724-TCN17</t>
  </si>
  <si>
    <t>1583-TCN17</t>
  </si>
  <si>
    <t>1631-TCN17</t>
  </si>
  <si>
    <t>1468-TCN17</t>
  </si>
  <si>
    <t>1567-TCN17</t>
  </si>
  <si>
    <t>1598-TCN17</t>
  </si>
  <si>
    <t>0856-TCN17</t>
  </si>
  <si>
    <t>1161-TCN17</t>
  </si>
  <si>
    <t>1401-TCN17</t>
  </si>
  <si>
    <t>1388-TCN17</t>
  </si>
  <si>
    <t>1560-TCN17</t>
  </si>
  <si>
    <t>1568-TCN17</t>
  </si>
  <si>
    <t>1183-TCN17</t>
  </si>
  <si>
    <t>0872-TCN17</t>
  </si>
  <si>
    <t>1390-TCN17</t>
  </si>
  <si>
    <t>1322-TCN17</t>
  </si>
  <si>
    <t>1643-TCN17</t>
  </si>
  <si>
    <t>1237-TCN17</t>
  </si>
  <si>
    <t>1539-TCN17</t>
  </si>
  <si>
    <t>1540-TCN17</t>
  </si>
  <si>
    <t>1578-TCN17</t>
  </si>
  <si>
    <t>1581-TCN17</t>
  </si>
  <si>
    <t>1582-TCN17</t>
  </si>
  <si>
    <t>1572-TCN17</t>
  </si>
  <si>
    <t>1650-TCN17</t>
  </si>
  <si>
    <t>1338-TCN17</t>
  </si>
  <si>
    <t>1499-TCN17</t>
  </si>
  <si>
    <t>1475-TCN17</t>
  </si>
  <si>
    <t>1341-TCN17</t>
  </si>
  <si>
    <t>1501-TCN17</t>
  </si>
  <si>
    <t>1500-TCN17</t>
  </si>
  <si>
    <t>1570-TCN17</t>
  </si>
  <si>
    <t>1613-TCN17</t>
  </si>
  <si>
    <t>1614-TCN17</t>
  </si>
  <si>
    <t>1551-TCN17</t>
  </si>
  <si>
    <t>1556-TCN17</t>
  </si>
  <si>
    <t>1518-TCN17</t>
  </si>
  <si>
    <t>1586-TCN17</t>
  </si>
  <si>
    <t>1524-TCN17</t>
  </si>
  <si>
    <t>1521-TCN17</t>
  </si>
  <si>
    <t>1446-TCN17</t>
  </si>
  <si>
    <t>1552-TCN17</t>
  </si>
  <si>
    <t>1534-TCN17</t>
  </si>
  <si>
    <t>0749-TCN17</t>
  </si>
  <si>
    <t>1347-TCN17</t>
  </si>
  <si>
    <t>1538-TCN17</t>
  </si>
  <si>
    <t>1554-TCN17</t>
  </si>
  <si>
    <t>1033-TCN17</t>
  </si>
  <si>
    <t>1271-TCN17</t>
  </si>
  <si>
    <t>1622-TCN17</t>
  </si>
  <si>
    <t>1531-TCN17</t>
  </si>
  <si>
    <t>1648-TCN17</t>
  </si>
  <si>
    <t>1625-TCN17</t>
  </si>
  <si>
    <t>1403-TCN17</t>
  </si>
  <si>
    <t>1091-TCN17</t>
  </si>
  <si>
    <t>1430-TCN17</t>
  </si>
  <si>
    <t>1486-TCN17</t>
  </si>
  <si>
    <t>1480-TCN17</t>
  </si>
  <si>
    <t>1584-TCN17</t>
  </si>
  <si>
    <t>1569-TCN17</t>
  </si>
  <si>
    <t>1082-TCN17</t>
  </si>
  <si>
    <t>0020-TCN18</t>
  </si>
  <si>
    <t>0018-TCN18</t>
  </si>
  <si>
    <t>0019-TCN18</t>
  </si>
  <si>
    <t>0026-TCN18</t>
  </si>
  <si>
    <t>1651-TCN17</t>
  </si>
  <si>
    <t>1558-TCN17</t>
  </si>
  <si>
    <t>1532-TCN17</t>
  </si>
  <si>
    <t>1624-TCN17</t>
  </si>
  <si>
    <t>1634-TCN17</t>
  </si>
  <si>
    <t>1633-TCN17</t>
  </si>
  <si>
    <t>1327-TCN17</t>
  </si>
  <si>
    <t>1378-TCN17</t>
  </si>
  <si>
    <t>1349-TCN17</t>
  </si>
  <si>
    <t>1483-TCN17</t>
  </si>
  <si>
    <t>1492-TCN17</t>
  </si>
  <si>
    <t>1494-TCN17</t>
  </si>
  <si>
    <t>1495-TCN17</t>
  </si>
  <si>
    <t>1329-TCN17</t>
  </si>
  <si>
    <t>1361-TCN17</t>
  </si>
  <si>
    <t>1365-TCN17</t>
  </si>
  <si>
    <t>1302-TCN17</t>
  </si>
  <si>
    <t>1303-TCN17</t>
  </si>
  <si>
    <t>1366-TCN17</t>
  </si>
  <si>
    <t>1278-TCN17</t>
  </si>
  <si>
    <t>1298-TCN17</t>
  </si>
  <si>
    <t>1309-TCN17</t>
  </si>
  <si>
    <t>1352-TCN17</t>
  </si>
  <si>
    <t>1354-TCN17</t>
  </si>
  <si>
    <t>1356-TCN17</t>
  </si>
  <si>
    <t>1360-TCN17</t>
  </si>
  <si>
    <t>1357-TCN17</t>
  </si>
  <si>
    <t>1541-TCN17</t>
  </si>
  <si>
    <t>0904-TCN17</t>
  </si>
  <si>
    <t>0954-TCN17</t>
  </si>
  <si>
    <t>1310-TCN17</t>
  </si>
  <si>
    <t>0553-TCN17</t>
  </si>
  <si>
    <t>0140-TCU17</t>
  </si>
  <si>
    <t>0154-TCU17</t>
  </si>
  <si>
    <t>0149-TCU17</t>
  </si>
  <si>
    <t>0162-TCU17</t>
  </si>
  <si>
    <t>0150-TCU17</t>
  </si>
  <si>
    <t>0114-TCU17</t>
  </si>
  <si>
    <t>0170-TCU17</t>
  </si>
  <si>
    <t>0143-TCU17</t>
  </si>
  <si>
    <t>0157-TCU17</t>
  </si>
  <si>
    <t>0037-TCU17</t>
  </si>
  <si>
    <t>0058-TCU17</t>
  </si>
  <si>
    <t>0108-TCU17</t>
  </si>
  <si>
    <t>0147-TCU17</t>
  </si>
  <si>
    <t>0178-TCU17</t>
  </si>
  <si>
    <t>0132-TCU17</t>
  </si>
  <si>
    <t>0166-TCU17</t>
  </si>
  <si>
    <t>0091-TCU17</t>
  </si>
  <si>
    <t>0161-TCU17</t>
  </si>
  <si>
    <t>0095-TCU17</t>
  </si>
  <si>
    <t>0169-TCU17</t>
  </si>
  <si>
    <t>0158-TCU17</t>
  </si>
  <si>
    <t>HIACE CUMMUTER S LONG</t>
  </si>
  <si>
    <t>CAMRY SE V6</t>
  </si>
  <si>
    <t>AA11520</t>
  </si>
  <si>
    <t>AA11425</t>
  </si>
  <si>
    <t>AA11434</t>
  </si>
  <si>
    <t>AA11498</t>
  </si>
  <si>
    <t>AA11533</t>
  </si>
  <si>
    <t>AA11541</t>
  </si>
  <si>
    <t>AA11540</t>
  </si>
  <si>
    <t>AA11542</t>
  </si>
  <si>
    <t>AA11548</t>
  </si>
  <si>
    <t>AA11547</t>
  </si>
  <si>
    <t>AA11549</t>
  </si>
  <si>
    <t>AA11506</t>
  </si>
  <si>
    <t>AA11508</t>
  </si>
  <si>
    <t>ZA04197</t>
  </si>
  <si>
    <t>ZA04198</t>
  </si>
  <si>
    <t>AA11513</t>
  </si>
  <si>
    <t>AA11516</t>
  </si>
  <si>
    <t>AA11458</t>
  </si>
  <si>
    <t>AA11494</t>
  </si>
  <si>
    <t>AA11492</t>
  </si>
  <si>
    <t>AA11477</t>
  </si>
  <si>
    <t>ZA04189</t>
  </si>
  <si>
    <t>AA11484</t>
  </si>
  <si>
    <t>AA11529</t>
  </si>
  <si>
    <t>ZA04211</t>
  </si>
  <si>
    <t>AA11569</t>
  </si>
  <si>
    <t>AA11545</t>
  </si>
  <si>
    <t>AA11505</t>
  </si>
  <si>
    <t>AA11519</t>
  </si>
  <si>
    <t>AA11558</t>
  </si>
  <si>
    <t>ZA04208</t>
  </si>
  <si>
    <t>AA11563</t>
  </si>
  <si>
    <t>ZA04210</t>
  </si>
  <si>
    <t>AA11566</t>
  </si>
  <si>
    <t>AA11572</t>
  </si>
  <si>
    <t>AA11577</t>
  </si>
  <si>
    <t>ZA04165</t>
  </si>
  <si>
    <t>AA11421</t>
  </si>
  <si>
    <t>AA11473</t>
  </si>
  <si>
    <t>AA11472</t>
  </si>
  <si>
    <t>AA11483</t>
  </si>
  <si>
    <t>AA11551</t>
  </si>
  <si>
    <t>AA11579</t>
  </si>
  <si>
    <t>AA11468</t>
  </si>
  <si>
    <t>ZA04187</t>
  </si>
  <si>
    <t>AA11469</t>
  </si>
  <si>
    <t>AA11503</t>
  </si>
  <si>
    <t>ZA04206</t>
  </si>
  <si>
    <t>AA11546</t>
  </si>
  <si>
    <t>AA11550</t>
  </si>
  <si>
    <t>ZA04213</t>
  </si>
  <si>
    <t>AA11573</t>
  </si>
  <si>
    <t>AA11576</t>
  </si>
  <si>
    <t>AA11420</t>
  </si>
  <si>
    <t>AA11417</t>
  </si>
  <si>
    <t>ZA04172</t>
  </si>
  <si>
    <t>AA11427</t>
  </si>
  <si>
    <t>AA11470</t>
  </si>
  <si>
    <t>AA11476</t>
  </si>
  <si>
    <t>AA11475</t>
  </si>
  <si>
    <t>ZA04190</t>
  </si>
  <si>
    <t>AA11487</t>
  </si>
  <si>
    <t>AA11523</t>
  </si>
  <si>
    <t>ZA04201</t>
  </si>
  <si>
    <t>AA11525</t>
  </si>
  <si>
    <t>AA11553</t>
  </si>
  <si>
    <t>ZA04171</t>
  </si>
  <si>
    <t>ZA04177</t>
  </si>
  <si>
    <t>AA11441</t>
  </si>
  <si>
    <t>AA11451</t>
  </si>
  <si>
    <t>AA11448</t>
  </si>
  <si>
    <t>ZA04183</t>
  </si>
  <si>
    <t>AA11457</t>
  </si>
  <si>
    <t>AA11465</t>
  </si>
  <si>
    <t>AA11496</t>
  </si>
  <si>
    <t>AA11497</t>
  </si>
  <si>
    <t>AA11578</t>
  </si>
  <si>
    <t>AA11464</t>
  </si>
  <si>
    <t>ZA04192</t>
  </si>
  <si>
    <t>AA11518</t>
  </si>
  <si>
    <t>AA11559</t>
  </si>
  <si>
    <t>AA11431</t>
  </si>
  <si>
    <t>AA11432</t>
  </si>
  <si>
    <t>AA11488</t>
  </si>
  <si>
    <t>AA11489</t>
  </si>
  <si>
    <t>AA11509</t>
  </si>
  <si>
    <t>ZA04175</t>
  </si>
  <si>
    <t>AA11433</t>
  </si>
  <si>
    <t>AA11443</t>
  </si>
  <si>
    <t>AA11442</t>
  </si>
  <si>
    <t>AA11459</t>
  </si>
  <si>
    <t>AA11485</t>
  </si>
  <si>
    <t>AA11580</t>
  </si>
  <si>
    <t>AA11407</t>
  </si>
  <si>
    <t>ZA04168</t>
  </si>
  <si>
    <t>ZA04169</t>
  </si>
  <si>
    <t>AA11412</t>
  </si>
  <si>
    <t>AA11413</t>
  </si>
  <si>
    <t>ZA04170</t>
  </si>
  <si>
    <t>AA11418</t>
  </si>
  <si>
    <t>AA11406</t>
  </si>
  <si>
    <t>ZA04173</t>
  </si>
  <si>
    <t>AA11428</t>
  </si>
  <si>
    <t>AA11429</t>
  </si>
  <si>
    <t>ZA04212</t>
  </si>
  <si>
    <t>AA11570</t>
  </si>
  <si>
    <t>AA11575</t>
  </si>
  <si>
    <t>AA11444</t>
  </si>
  <si>
    <t>AA11502</t>
  </si>
  <si>
    <t>AA11526</t>
  </si>
  <si>
    <t>AA11560</t>
  </si>
  <si>
    <t>AA11511</t>
  </si>
  <si>
    <t>ZA04200</t>
  </si>
  <si>
    <t>AA11552</t>
  </si>
  <si>
    <t>AA11409</t>
  </si>
  <si>
    <t>ZA04166</t>
  </si>
  <si>
    <t>AA11410</t>
  </si>
  <si>
    <t>AA11462</t>
  </si>
  <si>
    <t>ZA04186</t>
  </si>
  <si>
    <t>AA11467</t>
  </si>
  <si>
    <t>AA11426</t>
  </si>
  <si>
    <t>AA11435</t>
  </si>
  <si>
    <t>AA11481</t>
  </si>
  <si>
    <t>ZA04195</t>
  </si>
  <si>
    <t>AA11539</t>
  </si>
  <si>
    <t>AA11461</t>
  </si>
  <si>
    <t>AA11561</t>
  </si>
  <si>
    <t>AA11463</t>
  </si>
  <si>
    <t>ZA04184</t>
  </si>
  <si>
    <t>AA11466</t>
  </si>
  <si>
    <t>AA11415</t>
  </si>
  <si>
    <t>AA11414</t>
  </si>
  <si>
    <t>ZA04193</t>
  </si>
  <si>
    <t>ZA04194</t>
  </si>
  <si>
    <t>AA11499</t>
  </si>
  <si>
    <t>AA11501</t>
  </si>
  <si>
    <t>AA11504</t>
  </si>
  <si>
    <t>AA11557</t>
  </si>
  <si>
    <t>AA11436</t>
  </si>
  <si>
    <t>AA11449</t>
  </si>
  <si>
    <t>AA11507</t>
  </si>
  <si>
    <t>ZA04207</t>
  </si>
  <si>
    <t>AA11530</t>
  </si>
  <si>
    <t>AA11532</t>
  </si>
  <si>
    <t>AA11437</t>
  </si>
  <si>
    <t>AA11455</t>
  </si>
  <si>
    <t>AA11555</t>
  </si>
  <si>
    <t>AA11565</t>
  </si>
  <si>
    <t>AA11408</t>
  </si>
  <si>
    <t>ZA04167</t>
  </si>
  <si>
    <t>AA11411</t>
  </si>
  <si>
    <t>ZA04181</t>
  </si>
  <si>
    <t>AA11453</t>
  </si>
  <si>
    <t>AA11493</t>
  </si>
  <si>
    <t>AA11500</t>
  </si>
  <si>
    <t>AA11424</t>
  </si>
  <si>
    <t>AA11423</t>
  </si>
  <si>
    <t>AA11422</t>
  </si>
  <si>
    <t>AA11474</t>
  </si>
  <si>
    <t>AA11479</t>
  </si>
  <si>
    <t>AA11514</t>
  </si>
  <si>
    <t>AA11517</t>
  </si>
  <si>
    <t>AA11527</t>
  </si>
  <si>
    <t>AA11524</t>
  </si>
  <si>
    <t>AA11522</t>
  </si>
  <si>
    <t>AA11535</t>
  </si>
  <si>
    <t>AA11531</t>
  </si>
  <si>
    <t>AA11554</t>
  </si>
  <si>
    <t>AA11562</t>
  </si>
  <si>
    <t>AA11574</t>
  </si>
  <si>
    <t>AA11419</t>
  </si>
  <si>
    <t>AA11438</t>
  </si>
  <si>
    <t>AA11439</t>
  </si>
  <si>
    <t>ZA04174</t>
  </si>
  <si>
    <t>AA11491</t>
  </si>
  <si>
    <t>AA11556</t>
  </si>
  <si>
    <t>AA11482</t>
  </si>
  <si>
    <t>AA11416</t>
  </si>
  <si>
    <t>AA11430</t>
  </si>
  <si>
    <t>ZA04176</t>
  </si>
  <si>
    <t>ZA04178</t>
  </si>
  <si>
    <t>AA11440</t>
  </si>
  <si>
    <t>AA11446</t>
  </si>
  <si>
    <t>AA11445</t>
  </si>
  <si>
    <t>AA11447</t>
  </si>
  <si>
    <t>ZA04182</t>
  </si>
  <si>
    <t>AA11454</t>
  </si>
  <si>
    <t>AA11456</t>
  </si>
  <si>
    <t>AA11471</t>
  </si>
  <si>
    <t>ZA04188</t>
  </si>
  <si>
    <t>AA11490</t>
  </si>
  <si>
    <t>ZA04191</t>
  </si>
  <si>
    <t>AA11495</t>
  </si>
  <si>
    <t>ZA04196</t>
  </si>
  <si>
    <t>AA11515</t>
  </si>
  <si>
    <t>AA11510</t>
  </si>
  <si>
    <t>AA11521</t>
  </si>
  <si>
    <t>ZA04199</t>
  </si>
  <si>
    <t>AA11528</t>
  </si>
  <si>
    <t>AA11534</t>
  </si>
  <si>
    <t>AA11538</t>
  </si>
  <si>
    <t>ZA04205</t>
  </si>
  <si>
    <t>AA11544</t>
  </si>
  <si>
    <t>ZA04209</t>
  </si>
  <si>
    <t>AA11564</t>
  </si>
  <si>
    <t>AA11567</t>
  </si>
  <si>
    <t>AA11568</t>
  </si>
  <si>
    <t>AA11571</t>
  </si>
  <si>
    <t>AA11450</t>
  </si>
  <si>
    <t>ZA04179</t>
  </si>
  <si>
    <t>AA11452</t>
  </si>
  <si>
    <t>AA11460</t>
  </si>
  <si>
    <t>AA11478</t>
  </si>
  <si>
    <t>AA11480</t>
  </si>
  <si>
    <t>AA11486</t>
  </si>
  <si>
    <t>AA11512</t>
  </si>
  <si>
    <t>ZA04203</t>
  </si>
  <si>
    <t>AA11536</t>
  </si>
  <si>
    <t>AA11537</t>
  </si>
  <si>
    <t>ZA04204</t>
  </si>
  <si>
    <t>AA11543</t>
  </si>
  <si>
    <t>MARIA GABRIELA LARA LIZARDI</t>
  </si>
  <si>
    <t>MARIO CASAS VILLANUEVA</t>
  </si>
  <si>
    <t>JOSE EDUARDO ARIAS CERDO</t>
  </si>
  <si>
    <t>YADIRA JANETH GONZALEZ OLALDE</t>
  </si>
  <si>
    <t>CARLOS ISRAEL VELAZQUEZ FALCON</t>
  </si>
  <si>
    <t>VALENCIA CASTILLO LU</t>
  </si>
  <si>
    <t>RIVERA UTRERA MARIA</t>
  </si>
  <si>
    <t>GARCIA GUTIERREZ MAR</t>
  </si>
  <si>
    <t>SANCHEZ CASTILLO FEL</t>
  </si>
  <si>
    <t>OCHOA CASTILLO J JUL</t>
  </si>
  <si>
    <t>OCHOA CASTILLO J.JUL</t>
  </si>
  <si>
    <t>LARA ZUñIGA JOSEFINA</t>
  </si>
  <si>
    <t>AGROIMPERIO DEL BAJI</t>
  </si>
  <si>
    <t>MUñOZ LEDO ALVAREZ R</t>
  </si>
  <si>
    <t>ROSALES ARGUETA JUAN</t>
  </si>
  <si>
    <t>CARDONA ESCOTO VIRID</t>
  </si>
  <si>
    <t>PERALTA CUESTA VICTO</t>
  </si>
  <si>
    <t>GALLARDO ZAVALA JAIM</t>
  </si>
  <si>
    <t>TAMAYO HERNANDEZ JOS</t>
  </si>
  <si>
    <t>ARVIZU GONZALEZ JUAN</t>
  </si>
  <si>
    <t>LAUDA MONESTEL RAFAE</t>
  </si>
  <si>
    <t>RIVERA RUIZ BLANCA I</t>
  </si>
  <si>
    <t>HERNANDEZ ANAYA DULC</t>
  </si>
  <si>
    <t>TREJO PEREZ GUSTAVO</t>
  </si>
  <si>
    <t>ARENAS ROSILLO J EUG</t>
  </si>
  <si>
    <t>MATA LOPEZ JULIO CES</t>
  </si>
  <si>
    <t>CALLEJAS SORIANO GAB</t>
  </si>
  <si>
    <t>MANCERA VALADEZ MARI</t>
  </si>
  <si>
    <t>CISNEROS GARCIA ADAN</t>
  </si>
  <si>
    <t>ESQUIVEL OLIVEROS SA</t>
  </si>
  <si>
    <t>MALDONADO GONZALEZ M</t>
  </si>
  <si>
    <t>BELLO PALOMARES ALAN</t>
  </si>
  <si>
    <t>LOZANO VEGA JOSE LUI</t>
  </si>
  <si>
    <t>VALLE SANCHEZ MARY F</t>
  </si>
  <si>
    <t>SIMPLE LEASE, S.A.P.</t>
  </si>
  <si>
    <t>RODRIGUEZ VAZQUEZ JU</t>
  </si>
  <si>
    <t>SANCHEZ MARTINEZ MAR</t>
  </si>
  <si>
    <t>RODRIGUEZ LEON MA. R</t>
  </si>
  <si>
    <t>SANCHEZ ORTIZ JUANA</t>
  </si>
  <si>
    <t>DIAZ QUIÑONEZ JORGE</t>
  </si>
  <si>
    <t>MARTINEZ SANCHEZ CAR</t>
  </si>
  <si>
    <t>ESPINOZA ALVAREZ YES</t>
  </si>
  <si>
    <t>FLORES ROSALES ELISE</t>
  </si>
  <si>
    <t>OCHMANN SIORDIA PAUL</t>
  </si>
  <si>
    <t>FTS AUTOMOTIVE MEXIC</t>
  </si>
  <si>
    <t>PEREZ FLORES J CARME</t>
  </si>
  <si>
    <t>SAENZ SALDIVAR ENRIQ</t>
  </si>
  <si>
    <t>CARREÑO MONTOYA J GU</t>
  </si>
  <si>
    <t>VELASQUEZ AGUILAR AL</t>
  </si>
  <si>
    <t>VENTA DE SERVICIOS,</t>
  </si>
  <si>
    <t>SIETE REALES S.P.R D</t>
  </si>
  <si>
    <t>AUTOTRANSPORTES OBAS</t>
  </si>
  <si>
    <t>RIVERA AGUADO JOSUE</t>
  </si>
  <si>
    <t>COSS BERNAL FRANCISC</t>
  </si>
  <si>
    <t>PARDO GARCIA FRANCIS</t>
  </si>
  <si>
    <t>MEJIA BARRIOS ABEL</t>
  </si>
  <si>
    <t>MOLINA ALVAREZ J ROB</t>
  </si>
  <si>
    <t>PAREDES MELESIO ROBE</t>
  </si>
  <si>
    <t>ROJAS MARTINEZ JAVIE</t>
  </si>
  <si>
    <t>HEREDIA MARTINEZ BUL</t>
  </si>
  <si>
    <t>VILLEGAS TORRES JAIM</t>
  </si>
  <si>
    <t>LOPEZ BAEZ ISRAEL</t>
  </si>
  <si>
    <t>ORTEGA ELIAS CESAR O</t>
  </si>
  <si>
    <t>GARCIA ESPARZA ERNES</t>
  </si>
  <si>
    <t>MOTA MUñOZ JORGE ALE</t>
  </si>
  <si>
    <t>ALVAREZ MOLINA CAROL</t>
  </si>
  <si>
    <t>VARGAS ALVARADO MART</t>
  </si>
  <si>
    <t>RUBIELL GARCIA ROJAS</t>
  </si>
  <si>
    <t>SALINAS HERNANDEZ GE</t>
  </si>
  <si>
    <t>MARTINEZ ROMERO VERA</t>
  </si>
  <si>
    <t>MUÑOZ ROJAS RAUL ALF</t>
  </si>
  <si>
    <t>AGRICOLA ABASA SPR D</t>
  </si>
  <si>
    <t>GONZALEZ ARROYO CARL</t>
  </si>
  <si>
    <t>BALTAZAR BLANCARTE J</t>
  </si>
  <si>
    <t>BAUTISTA JAIME MARIO</t>
  </si>
  <si>
    <t>ABOYTES JARAMILLO AN</t>
  </si>
  <si>
    <t>HERNANDEZ FLORES VAN</t>
  </si>
  <si>
    <t>DIAZ ROJAS ROCIO JAN</t>
  </si>
  <si>
    <t>HERNANDEZ MENDOZA MA</t>
  </si>
  <si>
    <t>RIVERA RENDON MA DEL</t>
  </si>
  <si>
    <t>BUENAVISTA GAMEZ VEN</t>
  </si>
  <si>
    <t>ROMERO GUERRERO ARMA</t>
  </si>
  <si>
    <t>4T1BF1FK2HU396728</t>
  </si>
  <si>
    <t>MHKMF53F0HK017500</t>
  </si>
  <si>
    <t>MR0EX8CB0H1398380</t>
  </si>
  <si>
    <t>2T3RFREV1HW617851</t>
  </si>
  <si>
    <t>JTFSX23P2J6181827</t>
  </si>
  <si>
    <t>JTFSX23P2J6181603</t>
  </si>
  <si>
    <t>MR0EX32G8D0252406</t>
  </si>
  <si>
    <t>MR2B29F36H1072490</t>
  </si>
  <si>
    <t>MR0EX8DD2H0249071</t>
  </si>
  <si>
    <t>MR2B29F34H1073170</t>
  </si>
  <si>
    <t>5YFBPRHE3HP690790</t>
  </si>
  <si>
    <t>MR0EX8DD8H0253027</t>
  </si>
  <si>
    <t>MR0EX8DD1H0252804</t>
  </si>
  <si>
    <t>MR0EX8DD5H0175306</t>
  </si>
  <si>
    <t>3MYDLAYV0HY185104</t>
  </si>
  <si>
    <t>4T1BF1FK9HU388240</t>
  </si>
  <si>
    <t>2T1BU4EE5CC858129</t>
  </si>
  <si>
    <t>MHKMF53E3HK011634</t>
  </si>
  <si>
    <t>MHKMF53E3HK011245</t>
  </si>
  <si>
    <t>MHKMF53F6HK018649</t>
  </si>
  <si>
    <t>3MYDLAYV7HY190834</t>
  </si>
  <si>
    <t>5TDYZ3DC7HS858833</t>
  </si>
  <si>
    <t>5TDYZRFH2HS21074</t>
  </si>
  <si>
    <t>MR0EX8CBXH1397737</t>
  </si>
  <si>
    <t>MR0EX8DDXH0250615</t>
  </si>
  <si>
    <t>MR0EX8DD0H0250655</t>
  </si>
  <si>
    <t>MHKMF53F3HK018849</t>
  </si>
  <si>
    <t>MHKMF53F2HK017613</t>
  </si>
  <si>
    <t>2T3RFREV9HW639497</t>
  </si>
  <si>
    <t>9BWAB45U1DP143592</t>
  </si>
  <si>
    <t>JTDKT9D32CD506614</t>
  </si>
  <si>
    <t>MR2B29F39H1069518</t>
  </si>
  <si>
    <t>5TDYZRFH2HS218847</t>
  </si>
  <si>
    <t>3MYDLAYV5GY124605</t>
  </si>
  <si>
    <t>MR2B29F39H1064688</t>
  </si>
  <si>
    <t>MR0EX8CB7H1398487</t>
  </si>
  <si>
    <t>9BWLB45Z5D4201547</t>
  </si>
  <si>
    <t>MR0EX8CB9H139808</t>
  </si>
  <si>
    <t>5YFBPRHE8HP637941</t>
  </si>
  <si>
    <t>MHKMF53F5HK01865</t>
  </si>
  <si>
    <t>2T3WF4EV3DW035394</t>
  </si>
  <si>
    <t>5TDYZ3DC6HS868673</t>
  </si>
  <si>
    <t>5TDKZ3DC0HS856363</t>
  </si>
  <si>
    <t>JTFPX22P5J0076970</t>
  </si>
  <si>
    <t>MR2K29F34H1074593</t>
  </si>
  <si>
    <t>MR2B29F35H1069158</t>
  </si>
  <si>
    <t>5TDKZ3DC2HS860334</t>
  </si>
  <si>
    <t>5YFBPRHE5HP691441</t>
  </si>
  <si>
    <t>MR2B29F30H1074705</t>
  </si>
  <si>
    <t>MMM148EDXDH699391</t>
  </si>
  <si>
    <t>5YFBPRHE0HP714270</t>
  </si>
  <si>
    <t>5YFBPRHE9HP711352</t>
  </si>
  <si>
    <t>MR0EX8DD7H0252077</t>
  </si>
  <si>
    <t>MR2B29F35H1073520</t>
  </si>
  <si>
    <t>MR2B29F37H1072319</t>
  </si>
  <si>
    <t>5YFBPRHE4HP628220</t>
  </si>
  <si>
    <t>JTDKN3DU8F1902147</t>
  </si>
  <si>
    <t>3TMAZ5CNXGM010430</t>
  </si>
  <si>
    <t>5TDYZ3DC7HS867421</t>
  </si>
  <si>
    <t>5TDKY5G17HS067202</t>
  </si>
  <si>
    <t>5YFBPRHE2HP673463</t>
  </si>
  <si>
    <t>5YFBPRHE6HP646816</t>
  </si>
  <si>
    <t>MHKMF53F7HK018479</t>
  </si>
  <si>
    <t>5YFBURHE6GP367003</t>
  </si>
  <si>
    <t>MHKMF53E9HK011234</t>
  </si>
  <si>
    <t>MHKMF53E6HK011451</t>
  </si>
  <si>
    <t>MHKMC13F5DK005211</t>
  </si>
  <si>
    <t>MR0EX8DD8H0175509</t>
  </si>
  <si>
    <t>5YFBPRHE1HP689203</t>
  </si>
  <si>
    <t>MR0EX8CB1H1398498</t>
  </si>
  <si>
    <t>5YFBPRHE0HP642714</t>
  </si>
  <si>
    <t>MR2B29F39H1066540</t>
  </si>
  <si>
    <t>MR2B29F37H1069663</t>
  </si>
  <si>
    <t>3MYDLAYV1HY189307</t>
  </si>
  <si>
    <t>JTFSX23P3J6182114</t>
  </si>
  <si>
    <t>2T3RFREV3HW667022</t>
  </si>
  <si>
    <t>5YFBPRHE3HP688425</t>
  </si>
  <si>
    <t>5YFBPRHE5HP712109</t>
  </si>
  <si>
    <t>JTDKBRFU4H3562897</t>
  </si>
  <si>
    <t>5TDYZRFH6HS221542</t>
  </si>
  <si>
    <t>JTDKBRFU7H3565065</t>
  </si>
  <si>
    <t>MHKMF53EXHK010626</t>
  </si>
  <si>
    <t>9FBHS2AA9FM116494</t>
  </si>
  <si>
    <t>2T3JFREVXHW668911</t>
  </si>
  <si>
    <t>3TMJU4GN5DM141277</t>
  </si>
  <si>
    <t>MR0EX8DD9H0252436</t>
  </si>
  <si>
    <t>3N1BC1AS8AL417184</t>
  </si>
  <si>
    <t>MR0EX8DD1H0253158</t>
  </si>
  <si>
    <t>MR2K29F31H1074700</t>
  </si>
  <si>
    <t>5YFBPRHE0HP713149</t>
  </si>
  <si>
    <t>3MYDLAYV6HY188363</t>
  </si>
  <si>
    <t>MR0EX8DDXH0253515</t>
  </si>
  <si>
    <t>MR2B29F38H1074760</t>
  </si>
  <si>
    <t>MR0EX8DD1H0175027</t>
  </si>
  <si>
    <t>2T3ZFREVXHW386884</t>
  </si>
  <si>
    <t>MR0EX8DD2H0253346</t>
  </si>
  <si>
    <t>5YFBPRHE3HP706910</t>
  </si>
  <si>
    <t>3TMCZ5AN7HM088371</t>
  </si>
  <si>
    <t>MR0EX8DD2H0175330</t>
  </si>
  <si>
    <t>3TMCZ5AN6HM093559</t>
  </si>
  <si>
    <t>3MYDLAYV0HY191260</t>
  </si>
  <si>
    <t>JTEBU11F28K018758</t>
  </si>
  <si>
    <t>MR0EX8DD2H0175246</t>
  </si>
  <si>
    <t>5TDYK3DC5FS528089</t>
  </si>
  <si>
    <t>3C6YRAAKXDG274961</t>
  </si>
  <si>
    <t>JTDKBRFU9H3559851</t>
  </si>
  <si>
    <t>JTDKBRFU8H3559663</t>
  </si>
  <si>
    <t>JTDKBRFU7H3564837</t>
  </si>
  <si>
    <t>5YFBPRHE9HP701193</t>
  </si>
  <si>
    <t>JTDKBRFU9H3549627</t>
  </si>
  <si>
    <t>JTDKBRFU3H3037877</t>
  </si>
  <si>
    <t>JTDKBRFU7H3046761</t>
  </si>
  <si>
    <t>5YFBPRHE0HP718867</t>
  </si>
  <si>
    <t>2T3JFREV4HW578699</t>
  </si>
  <si>
    <t>MR2B29F38H1075746</t>
  </si>
  <si>
    <t>MR0EX8DD8H0175557</t>
  </si>
  <si>
    <t>MR0EX8CB4H1397880</t>
  </si>
  <si>
    <t>5TDKZRFH6HS218646</t>
  </si>
  <si>
    <t>5YFBPRHE4HP637094</t>
  </si>
  <si>
    <t>MR2K29F32H1074995</t>
  </si>
  <si>
    <t>2T3ZFREV2HW387768</t>
  </si>
  <si>
    <t>5TDYZ3DC5HS836216</t>
  </si>
  <si>
    <t>MR0EX8DD9H0252789</t>
  </si>
  <si>
    <t>MR0EX8CB0H1398234</t>
  </si>
  <si>
    <t>3N1CN7AD3GK390784</t>
  </si>
  <si>
    <t>3GNAL7EK7DS625967</t>
  </si>
  <si>
    <t>4T1BF1FK3HU391246</t>
  </si>
  <si>
    <t>3N1BC1AS2BK196723</t>
  </si>
  <si>
    <t>5YFBPRHE8HP667201</t>
  </si>
  <si>
    <t>5YFBPRHE0HP676006</t>
  </si>
  <si>
    <t>MR0EX8DD3H0175613</t>
  </si>
  <si>
    <t>5YFBPRHEXHP669029</t>
  </si>
  <si>
    <t>MR2B29F35H1069581</t>
  </si>
  <si>
    <t>5YFBPRHE1HP640535</t>
  </si>
  <si>
    <t>MHKMF53FXHK014359</t>
  </si>
  <si>
    <t>2T3JFREVXHW58907</t>
  </si>
  <si>
    <t>AGOSTO.2017</t>
  </si>
  <si>
    <t>AGO</t>
  </si>
  <si>
    <t>REPORTE DE ISAN AGO.2017</t>
  </si>
  <si>
    <t>AA11612</t>
  </si>
  <si>
    <t>AA11707</t>
  </si>
  <si>
    <t>AA11717</t>
  </si>
  <si>
    <t>AA11602</t>
  </si>
  <si>
    <t>ZA04236</t>
  </si>
  <si>
    <t>AA11623</t>
  </si>
  <si>
    <t>AA11624</t>
  </si>
  <si>
    <t>AA11631</t>
  </si>
  <si>
    <t>ZA04237</t>
  </si>
  <si>
    <t>ZA04238</t>
  </si>
  <si>
    <t>ZA04239</t>
  </si>
  <si>
    <t>AA11629</t>
  </si>
  <si>
    <t>AA11632</t>
  </si>
  <si>
    <t>AA11633</t>
  </si>
  <si>
    <t>AA11643</t>
  </si>
  <si>
    <t>AA11647</t>
  </si>
  <si>
    <t>ZA04271</t>
  </si>
  <si>
    <t>AA11766</t>
  </si>
  <si>
    <t>AA11767</t>
  </si>
  <si>
    <t>AA11792</t>
  </si>
  <si>
    <t>AA11649</t>
  </si>
  <si>
    <t>ZA04247</t>
  </si>
  <si>
    <t>AA11677</t>
  </si>
  <si>
    <t>AA11678</t>
  </si>
  <si>
    <t>ZA04252</t>
  </si>
  <si>
    <t>AA11704</t>
  </si>
  <si>
    <t>AA11757</t>
  </si>
  <si>
    <t>AA11754</t>
  </si>
  <si>
    <t>AA11791</t>
  </si>
  <si>
    <t>AA11625</t>
  </si>
  <si>
    <t>AA11688</t>
  </si>
  <si>
    <t>AA11693</t>
  </si>
  <si>
    <t>ZA04262</t>
  </si>
  <si>
    <t>ZA04263</t>
  </si>
  <si>
    <t>AA11738</t>
  </si>
  <si>
    <t>AA11739</t>
  </si>
  <si>
    <t>ZA04264</t>
  </si>
  <si>
    <t>AA11740</t>
  </si>
  <si>
    <t>ZA04215</t>
  </si>
  <si>
    <t>AA11585</t>
  </si>
  <si>
    <t>AA11588</t>
  </si>
  <si>
    <t>AA11587</t>
  </si>
  <si>
    <t>AA11586</t>
  </si>
  <si>
    <t>AA11584</t>
  </si>
  <si>
    <t>AA11590</t>
  </si>
  <si>
    <t>AA11763</t>
  </si>
  <si>
    <t>AA11686</t>
  </si>
  <si>
    <t>ZA04249</t>
  </si>
  <si>
    <t>AA11692</t>
  </si>
  <si>
    <t>AA11701</t>
  </si>
  <si>
    <t>AA11715</t>
  </si>
  <si>
    <t>AA11788</t>
  </si>
  <si>
    <t>AA11581</t>
  </si>
  <si>
    <t>AA11636</t>
  </si>
  <si>
    <t>AA11671</t>
  </si>
  <si>
    <t>AA11670</t>
  </si>
  <si>
    <t>AA11694</t>
  </si>
  <si>
    <t>AA11690</t>
  </si>
  <si>
    <t>AA11698</t>
  </si>
  <si>
    <t>AA11697</t>
  </si>
  <si>
    <t>AA11721</t>
  </si>
  <si>
    <t>AA11755</t>
  </si>
  <si>
    <t>AA11778</t>
  </si>
  <si>
    <t>AA11773</t>
  </si>
  <si>
    <t>AA11787</t>
  </si>
  <si>
    <t>AA11781</t>
  </si>
  <si>
    <t>AA11589</t>
  </si>
  <si>
    <t>AA11620</t>
  </si>
  <si>
    <t>AA11668</t>
  </si>
  <si>
    <t>AA11663</t>
  </si>
  <si>
    <t>AA11681</t>
  </si>
  <si>
    <t>AA11689</t>
  </si>
  <si>
    <t>AA11734</t>
  </si>
  <si>
    <t>ZA04265</t>
  </si>
  <si>
    <t>AA11741</t>
  </si>
  <si>
    <t>ZA04273</t>
  </si>
  <si>
    <t>AA11774</t>
  </si>
  <si>
    <t>ZA04241</t>
  </si>
  <si>
    <t>AA11764</t>
  </si>
  <si>
    <t>AA11730</t>
  </si>
  <si>
    <t>ZA04261</t>
  </si>
  <si>
    <t>AA11731</t>
  </si>
  <si>
    <t>AA11591</t>
  </si>
  <si>
    <t>ZA04225</t>
  </si>
  <si>
    <t>AA11601</t>
  </si>
  <si>
    <t>AA11617</t>
  </si>
  <si>
    <t>ZA04235</t>
  </si>
  <si>
    <t>AA11627</t>
  </si>
  <si>
    <t>AA11644</t>
  </si>
  <si>
    <t>AA11662</t>
  </si>
  <si>
    <t>AA11705</t>
  </si>
  <si>
    <t>AA11722</t>
  </si>
  <si>
    <t>ZA04260</t>
  </si>
  <si>
    <t>AA11736</t>
  </si>
  <si>
    <t>AA11742</t>
  </si>
  <si>
    <t>ZA04267</t>
  </si>
  <si>
    <t>AA11750</t>
  </si>
  <si>
    <t>AA11769</t>
  </si>
  <si>
    <t>AA11771</t>
  </si>
  <si>
    <t>ZA04274</t>
  </si>
  <si>
    <t>AA11775</t>
  </si>
  <si>
    <t>AA11779</t>
  </si>
  <si>
    <t>ZA04217</t>
  </si>
  <si>
    <t>ZA04218</t>
  </si>
  <si>
    <t>AA11592</t>
  </si>
  <si>
    <t>AA11593</t>
  </si>
  <si>
    <t>ZA04227</t>
  </si>
  <si>
    <t>AA11607</t>
  </si>
  <si>
    <t>AA11635</t>
  </si>
  <si>
    <t>AA11641</t>
  </si>
  <si>
    <t>AA11651</t>
  </si>
  <si>
    <t>AA11667</t>
  </si>
  <si>
    <t>AA11672</t>
  </si>
  <si>
    <t>ZA04257</t>
  </si>
  <si>
    <t>AA11728</t>
  </si>
  <si>
    <t>AA11744</t>
  </si>
  <si>
    <t>AA11745</t>
  </si>
  <si>
    <t>ZA04269</t>
  </si>
  <si>
    <t>AA11760</t>
  </si>
  <si>
    <t>AA11783</t>
  </si>
  <si>
    <t>AA11784</t>
  </si>
  <si>
    <t>AA11712</t>
  </si>
  <si>
    <t>AA11640</t>
  </si>
  <si>
    <t>AA11777</t>
  </si>
  <si>
    <t>AA11659</t>
  </si>
  <si>
    <t>AA11748</t>
  </si>
  <si>
    <t>AA11751</t>
  </si>
  <si>
    <t>AA11762</t>
  </si>
  <si>
    <t>AA11761</t>
  </si>
  <si>
    <t>AA11683</t>
  </si>
  <si>
    <t>ZA04250</t>
  </si>
  <si>
    <t>AA11702</t>
  </si>
  <si>
    <t>ZA04254</t>
  </si>
  <si>
    <t>AA11710</t>
  </si>
  <si>
    <t>AA11639</t>
  </si>
  <si>
    <t>AA11654</t>
  </si>
  <si>
    <t>AA11706</t>
  </si>
  <si>
    <t>ZA04256</t>
  </si>
  <si>
    <t>AA11719</t>
  </si>
  <si>
    <t>AA11716</t>
  </si>
  <si>
    <t>AA11756</t>
  </si>
  <si>
    <t>AA11782</t>
  </si>
  <si>
    <t>ZA04229</t>
  </si>
  <si>
    <t>AA11609</t>
  </si>
  <si>
    <t>AA11610</t>
  </si>
  <si>
    <t>AA11618</t>
  </si>
  <si>
    <t>ZA04245</t>
  </si>
  <si>
    <t>AA11657</t>
  </si>
  <si>
    <t>ZA04251</t>
  </si>
  <si>
    <t>AA11703</t>
  </si>
  <si>
    <t>ZA04259</t>
  </si>
  <si>
    <t>AA11727</t>
  </si>
  <si>
    <t>ZA04268</t>
  </si>
  <si>
    <t>AA11758</t>
  </si>
  <si>
    <t>AA11759</t>
  </si>
  <si>
    <t>AA11669</t>
  </si>
  <si>
    <t>AA11785</t>
  </si>
  <si>
    <t>AA11605</t>
  </si>
  <si>
    <t>AA11611</t>
  </si>
  <si>
    <t>ZA04232</t>
  </si>
  <si>
    <t>AA11619</t>
  </si>
  <si>
    <t>AA11621</t>
  </si>
  <si>
    <t>ZA04233</t>
  </si>
  <si>
    <t>AA11622</t>
  </si>
  <si>
    <t>AA11732</t>
  </si>
  <si>
    <t>ZA04230</t>
  </si>
  <si>
    <t>AA11613</t>
  </si>
  <si>
    <t>AA11614</t>
  </si>
  <si>
    <t>AA11770</t>
  </si>
  <si>
    <t>AA11638</t>
  </si>
  <si>
    <t>AA11630</t>
  </si>
  <si>
    <t>AA11687</t>
  </si>
  <si>
    <t>AA11714</t>
  </si>
  <si>
    <t>ZA04226</t>
  </si>
  <si>
    <t>AA11603</t>
  </si>
  <si>
    <t>AA11606</t>
  </si>
  <si>
    <t>AA11642</t>
  </si>
  <si>
    <t>ZA04243</t>
  </si>
  <si>
    <t>AA11648</t>
  </si>
  <si>
    <t>AA11665</t>
  </si>
  <si>
    <t>AA11628</t>
  </si>
  <si>
    <t>AA11594</t>
  </si>
  <si>
    <t>AA11652</t>
  </si>
  <si>
    <t>AA11733</t>
  </si>
  <si>
    <t>AA11786</t>
  </si>
  <si>
    <t>AA11747</t>
  </si>
  <si>
    <t>ZA04219</t>
  </si>
  <si>
    <t>ZA04221</t>
  </si>
  <si>
    <t>ZA04222</t>
  </si>
  <si>
    <t>ZA04223</t>
  </si>
  <si>
    <t>ZA04224</t>
  </si>
  <si>
    <t>AA11596</t>
  </si>
  <si>
    <t>AA11597</t>
  </si>
  <si>
    <t>AA11598</t>
  </si>
  <si>
    <t>AA11599</t>
  </si>
  <si>
    <t>AA11600</t>
  </si>
  <si>
    <t>AA11726</t>
  </si>
  <si>
    <t>AA11724</t>
  </si>
  <si>
    <t>AA11684</t>
  </si>
  <si>
    <t>AA11696</t>
  </si>
  <si>
    <t>AA11695</t>
  </si>
  <si>
    <t>AA11729</t>
  </si>
  <si>
    <t>AA11743</t>
  </si>
  <si>
    <t>ZA04272</t>
  </si>
  <si>
    <t>AA11768</t>
  </si>
  <si>
    <t>AA11776</t>
  </si>
  <si>
    <t>AA11604</t>
  </si>
  <si>
    <t>AA11608</t>
  </si>
  <si>
    <t>AA11637</t>
  </si>
  <si>
    <t>ZA04240</t>
  </si>
  <si>
    <t>AA11646</t>
  </si>
  <si>
    <t>AA11645</t>
  </si>
  <si>
    <t>AA11650</t>
  </si>
  <si>
    <t>AA11660</t>
  </si>
  <si>
    <t>AA11658</t>
  </si>
  <si>
    <t>AA11674</t>
  </si>
  <si>
    <t>AA11675</t>
  </si>
  <si>
    <t>AA11680</t>
  </si>
  <si>
    <t>ZA04255</t>
  </si>
  <si>
    <t>AA11711</t>
  </si>
  <si>
    <t>AA11753</t>
  </si>
  <si>
    <t>AA11772</t>
  </si>
  <si>
    <t>ZA04216</t>
  </si>
  <si>
    <t>AA11583</t>
  </si>
  <si>
    <t>AA11582</t>
  </si>
  <si>
    <t>ZA04220</t>
  </si>
  <si>
    <t>AA11595</t>
  </si>
  <si>
    <t>AA11615</t>
  </si>
  <si>
    <t>AA11666</t>
  </si>
  <si>
    <t>AA11682</t>
  </si>
  <si>
    <t>AA11713</t>
  </si>
  <si>
    <t>AA11718</t>
  </si>
  <si>
    <t>AA11725</t>
  </si>
  <si>
    <t>AA11746</t>
  </si>
  <si>
    <t>ZA04275</t>
  </si>
  <si>
    <t>AA11790</t>
  </si>
  <si>
    <t>AA11789</t>
  </si>
  <si>
    <t>AA11780</t>
  </si>
  <si>
    <t>AA11616</t>
  </si>
  <si>
    <t>ZA04244</t>
  </si>
  <si>
    <t>AA11653</t>
  </si>
  <si>
    <t>AA11656</t>
  </si>
  <si>
    <t>AA11664</t>
  </si>
  <si>
    <t>AA11673</t>
  </si>
  <si>
    <t>AA11676</t>
  </si>
  <si>
    <t>AA11679</t>
  </si>
  <si>
    <t>AA11685</t>
  </si>
  <si>
    <t>AA11700</t>
  </si>
  <si>
    <t>AA11699</t>
  </si>
  <si>
    <t>AA11691</t>
  </si>
  <si>
    <t>ZA04253</t>
  </si>
  <si>
    <t>AA11708</t>
  </si>
  <si>
    <t>AA11709</t>
  </si>
  <si>
    <t>AA11720</t>
  </si>
  <si>
    <t>ZA04258</t>
  </si>
  <si>
    <t>AA11723</t>
  </si>
  <si>
    <t>AA11735</t>
  </si>
  <si>
    <t>AA11737</t>
  </si>
  <si>
    <t>AA11749</t>
  </si>
  <si>
    <t>AA11752</t>
  </si>
  <si>
    <t>ZA04270</t>
  </si>
  <si>
    <t>AA11626</t>
  </si>
  <si>
    <t>AA11634</t>
  </si>
  <si>
    <t>AA11655</t>
  </si>
  <si>
    <t>ZA04246</t>
  </si>
  <si>
    <t>AA11661</t>
  </si>
  <si>
    <t>AA11765</t>
  </si>
  <si>
    <t>YARIS R LE MT</t>
  </si>
  <si>
    <t>CAMRY 2018 SE</t>
  </si>
  <si>
    <t>HILUX 4X2 DOBLE CABINA BASE</t>
  </si>
  <si>
    <t>VENTO AT</t>
  </si>
  <si>
    <t>AURELIO FERREIRA MONDRAGON</t>
  </si>
  <si>
    <t>JOSE GUADALIPE ARRIOLA GALLEGO</t>
  </si>
  <si>
    <t>REYNA BEATRIZ FIGEROA AGUIRRE</t>
  </si>
  <si>
    <t>1286-TCN17</t>
  </si>
  <si>
    <t>1497-TCN17</t>
  </si>
  <si>
    <t>1712-TCN17</t>
  </si>
  <si>
    <t>1543-TCN17</t>
  </si>
  <si>
    <t>1170-TCN17</t>
  </si>
  <si>
    <t>0911-TCN17</t>
  </si>
  <si>
    <t>0937-TCN17</t>
  </si>
  <si>
    <t>1239-TCN17</t>
  </si>
  <si>
    <t>1601-TCN17</t>
  </si>
  <si>
    <t>0936-TCN17</t>
  </si>
  <si>
    <t>1604-TCN17</t>
  </si>
  <si>
    <t>1671-TCN17</t>
  </si>
  <si>
    <t>0792-TCN17</t>
  </si>
  <si>
    <t>1777-TCN17</t>
  </si>
  <si>
    <t>1678-TCN17</t>
  </si>
  <si>
    <t>1706-TCN17</t>
  </si>
  <si>
    <t>0962-TCN17</t>
  </si>
  <si>
    <t>1574-TCN17</t>
  </si>
  <si>
    <t>1575-TCN17</t>
  </si>
  <si>
    <t>1576-TCN17</t>
  </si>
  <si>
    <t>1577-TCN17</t>
  </si>
  <si>
    <t>1668-TCN17</t>
  </si>
  <si>
    <t>1767-TCN17</t>
  </si>
  <si>
    <t>1620-TCN17</t>
  </si>
  <si>
    <t>1653-TCN17</t>
  </si>
  <si>
    <t>1711-TCN17</t>
  </si>
  <si>
    <t>1716-TCN17</t>
  </si>
  <si>
    <t>1661-TCN17</t>
  </si>
  <si>
    <t>1679-TCN17</t>
  </si>
  <si>
    <t>1656-TCN17</t>
  </si>
  <si>
    <t>1703-TCN17</t>
  </si>
  <si>
    <t>1632-TCN17</t>
  </si>
  <si>
    <t>1707-TCN17</t>
  </si>
  <si>
    <t>1708-TCN17</t>
  </si>
  <si>
    <t>1709-TCN17</t>
  </si>
  <si>
    <t>1680-TCN17</t>
  </si>
  <si>
    <t>1720-TCN17</t>
  </si>
  <si>
    <t>1718-TCN17</t>
  </si>
  <si>
    <t>1723-TCN17</t>
  </si>
  <si>
    <t>1734-TCN17</t>
  </si>
  <si>
    <t>1735-TCN17</t>
  </si>
  <si>
    <t>1515-TCN17</t>
  </si>
  <si>
    <t>1340-TCN17</t>
  </si>
  <si>
    <t>1315-TCN17</t>
  </si>
  <si>
    <t>1474-TCN17</t>
  </si>
  <si>
    <t>1589-TCN17</t>
  </si>
  <si>
    <t>1281-TCN17</t>
  </si>
  <si>
    <t>1593-TCN17</t>
  </si>
  <si>
    <t>1617-TCN17</t>
  </si>
  <si>
    <t>1550-TCN17</t>
  </si>
  <si>
    <t>1563-TCN17</t>
  </si>
  <si>
    <t>1565-TCN17</t>
  </si>
  <si>
    <t>1672-TCN17</t>
  </si>
  <si>
    <t>1696-TCN17</t>
  </si>
  <si>
    <t>1700-TCN17</t>
  </si>
  <si>
    <t>1697-TCN17</t>
  </si>
  <si>
    <t>1519-TCN17</t>
  </si>
  <si>
    <t>1676-TCN17</t>
  </si>
  <si>
    <t>1781-TCN17</t>
  </si>
  <si>
    <t>1780-TCN17</t>
  </si>
  <si>
    <t>1585-TCN17</t>
  </si>
  <si>
    <t>1444-TCN17</t>
  </si>
  <si>
    <t>1573-TCN17</t>
  </si>
  <si>
    <t>1447-TCN17</t>
  </si>
  <si>
    <t>1701-TCN17</t>
  </si>
  <si>
    <t>1580-TCN17</t>
  </si>
  <si>
    <t>1636-TCN17</t>
  </si>
  <si>
    <t>1457-TCN17</t>
  </si>
  <si>
    <t>1644-TCN17</t>
  </si>
  <si>
    <t>1762-TCN17</t>
  </si>
  <si>
    <t>1764-TCN17</t>
  </si>
  <si>
    <t>1395-TCN17</t>
  </si>
  <si>
    <t>1476-TCN17</t>
  </si>
  <si>
    <t>1571-TCN17</t>
  </si>
  <si>
    <t>0034-TCN18</t>
  </si>
  <si>
    <t>0032-TCN18</t>
  </si>
  <si>
    <t>0033-TCN18</t>
  </si>
  <si>
    <t>0035-TCN18</t>
  </si>
  <si>
    <t>1638-TCN17</t>
  </si>
  <si>
    <t>1537-TCN17</t>
  </si>
  <si>
    <t>1675-TCN17</t>
  </si>
  <si>
    <t>1458-TCN17</t>
  </si>
  <si>
    <t>1683-TCN17</t>
  </si>
  <si>
    <t>1685-TCN17</t>
  </si>
  <si>
    <t>1784-TCN17</t>
  </si>
  <si>
    <t>1629-TCN17</t>
  </si>
  <si>
    <t>1677-TCN17</t>
  </si>
  <si>
    <t>1686-TCN17</t>
  </si>
  <si>
    <t>1261-TCN17</t>
  </si>
  <si>
    <t>1610-TCN17</t>
  </si>
  <si>
    <t>1635-TCN17</t>
  </si>
  <si>
    <t>1655-TCN17</t>
  </si>
  <si>
    <t>1654-TCN17</t>
  </si>
  <si>
    <t>1733-TCN17</t>
  </si>
  <si>
    <t>0029-TCN18</t>
  </si>
  <si>
    <t>0024-TCN18</t>
  </si>
  <si>
    <t>0028-TCN18</t>
  </si>
  <si>
    <t>0025-TCN18</t>
  </si>
  <si>
    <t>1704-TCN17</t>
  </si>
  <si>
    <t>1639-TCN17</t>
  </si>
  <si>
    <t>1681-TCN17</t>
  </si>
  <si>
    <t>1702-TCN17</t>
  </si>
  <si>
    <t>1669-TCN17</t>
  </si>
  <si>
    <t>1684-TCN17</t>
  </si>
  <si>
    <t>1763-TCN17</t>
  </si>
  <si>
    <t>1698-TCN17</t>
  </si>
  <si>
    <t>1713-TCN17</t>
  </si>
  <si>
    <t>1511-TCN17</t>
  </si>
  <si>
    <t>1513-TCN17</t>
  </si>
  <si>
    <t>1646-TCN17</t>
  </si>
  <si>
    <t>1496-TCN17</t>
  </si>
  <si>
    <t>1528-TCN17</t>
  </si>
  <si>
    <t>1722-TCN17</t>
  </si>
  <si>
    <t>1721-TCN17</t>
  </si>
  <si>
    <t>1783-TCN17</t>
  </si>
  <si>
    <t>1308-TCN17</t>
  </si>
  <si>
    <t>1355-TCN17</t>
  </si>
  <si>
    <t>1374-TCN17</t>
  </si>
  <si>
    <t>1362-TCN17</t>
  </si>
  <si>
    <t>1373-TCN17</t>
  </si>
  <si>
    <t>1375-TCN17</t>
  </si>
  <si>
    <t>1423-TCN17</t>
  </si>
  <si>
    <t>1419-TCN17</t>
  </si>
  <si>
    <t>1420-TCN17</t>
  </si>
  <si>
    <t>1330-TCN17</t>
  </si>
  <si>
    <t>1417-TCN17</t>
  </si>
  <si>
    <t>1414-TCN17</t>
  </si>
  <si>
    <t>1370-TCN17</t>
  </si>
  <si>
    <t>1372-TCN17</t>
  </si>
  <si>
    <t>1674-TCN17</t>
  </si>
  <si>
    <t>1682-TCN17</t>
  </si>
  <si>
    <t>1705-TCN17</t>
  </si>
  <si>
    <t>1369-TCN17</t>
  </si>
  <si>
    <t>1715-TCN17</t>
  </si>
  <si>
    <t>1776-TCN17</t>
  </si>
  <si>
    <t>1194-TCN17</t>
  </si>
  <si>
    <t>1201-TCN17</t>
  </si>
  <si>
    <t>0160-TCU17</t>
  </si>
  <si>
    <t>0165-TCU17</t>
  </si>
  <si>
    <t>0185-TCU17</t>
  </si>
  <si>
    <t>0182-TCU17</t>
  </si>
  <si>
    <t>0184-TCU17</t>
  </si>
  <si>
    <t>0176-TCU17</t>
  </si>
  <si>
    <t>0168-TCU17</t>
  </si>
  <si>
    <t>0181-TCU17</t>
  </si>
  <si>
    <t>0188-TCU17</t>
  </si>
  <si>
    <t>0193-TCU17</t>
  </si>
  <si>
    <t>0172-TCU17</t>
  </si>
  <si>
    <t>0197-TCU17</t>
  </si>
  <si>
    <t>0167-TCU17</t>
  </si>
  <si>
    <t>0190-TCU17</t>
  </si>
  <si>
    <t>0198-TCU17</t>
  </si>
  <si>
    <t>0164-TCU17</t>
  </si>
  <si>
    <t>0180-TCU17</t>
  </si>
  <si>
    <t>0116-TCU17</t>
  </si>
  <si>
    <t>0192-TCU17</t>
  </si>
  <si>
    <t>0202-TCU17</t>
  </si>
  <si>
    <t>PABLO TLALOLINI DANI</t>
  </si>
  <si>
    <t>BALLEZA PEREZ RICARD</t>
  </si>
  <si>
    <t>GOMEZ GARCIA ANDRES</t>
  </si>
  <si>
    <t>MICHEL GODOY XOCHITL</t>
  </si>
  <si>
    <t>FUENTES ALVARADO JOS</t>
  </si>
  <si>
    <t>DI CIERO SAN MARTIN</t>
  </si>
  <si>
    <t>VICTORIANO LERMA OLI</t>
  </si>
  <si>
    <t>VARELA RAMIREZ JOSE</t>
  </si>
  <si>
    <t>MARTINEZ MEDINA MARI</t>
  </si>
  <si>
    <t>SANCHEZ ESPINOZA RAM</t>
  </si>
  <si>
    <t>HERRERA PATRICIA</t>
  </si>
  <si>
    <t>ALCOCER SORIA RAMON</t>
  </si>
  <si>
    <t>GARCIA CAMPOS GABRIE</t>
  </si>
  <si>
    <t>MEDINA AGUILAR HECTO</t>
  </si>
  <si>
    <t>HERNANDEZ MARTINEZ M</t>
  </si>
  <si>
    <t>GONZALEZ DEL RIO OSC</t>
  </si>
  <si>
    <t>RODRIGUEZ ALONSO ALF</t>
  </si>
  <si>
    <t>GARCIA NAVARRO JAVIE</t>
  </si>
  <si>
    <t>CAMACHO ANTONIO ENRI</t>
  </si>
  <si>
    <t>PREMIER DE ORIENTE M</t>
  </si>
  <si>
    <t>ESTRELLA MENDOZA MON</t>
  </si>
  <si>
    <t>CARRASCO GARCIA MANU</t>
  </si>
  <si>
    <t>BAÑUELOS DOMINGUEZ L</t>
  </si>
  <si>
    <t>PUENTE CENDEJAS VALE</t>
  </si>
  <si>
    <t>SERVICIO EMPRESARIAL</t>
  </si>
  <si>
    <t>SIERRA VILLAGOMEZ MO</t>
  </si>
  <si>
    <t>RENTAL SOLUTIONS S.A</t>
  </si>
  <si>
    <t>CRUZ GONZALEZ MOISES</t>
  </si>
  <si>
    <t>MONTOYA GUERRERO EVA</t>
  </si>
  <si>
    <t>RIVERA RAMIREZ GLORI</t>
  </si>
  <si>
    <t>MEDINA ROJAS NAYELI</t>
  </si>
  <si>
    <t>MENDOZA SILVA ROBERT</t>
  </si>
  <si>
    <t>RAMOS JIMENEZ BELIND</t>
  </si>
  <si>
    <t>ALVAREZ GINORI FRANC</t>
  </si>
  <si>
    <t>MORENO GUTIERREZ ZHE</t>
  </si>
  <si>
    <t>VILLAGOMEZ BACA MA D</t>
  </si>
  <si>
    <t>PATIÑO OJEDA MA DE L</t>
  </si>
  <si>
    <t>GARCIA HERRERA JUANA</t>
  </si>
  <si>
    <t>GALINDO MARTINEZ VAL</t>
  </si>
  <si>
    <t>MARTINEZ SERRANO MOI</t>
  </si>
  <si>
    <t>DELGADO MUÑIZ LEANDR</t>
  </si>
  <si>
    <t>TRANSPORTACIONES Y T</t>
  </si>
  <si>
    <t>GRUPO LA SIESTA DIVE</t>
  </si>
  <si>
    <t>JAUREGUI NAVARRETE G</t>
  </si>
  <si>
    <t>ARELLANO MARTIN FILA</t>
  </si>
  <si>
    <t>VARGAS GUTIERREZ RAU</t>
  </si>
  <si>
    <t>VILLALBA ACOSTA FERN</t>
  </si>
  <si>
    <t>HUITRON ROMERO TAURI</t>
  </si>
  <si>
    <t>MAQUINADOS INDUSTRIA</t>
  </si>
  <si>
    <t>GUARNEROS GUTIERREZ</t>
  </si>
  <si>
    <t>VAZQUEZ SERAPIO MARC</t>
  </si>
  <si>
    <t>MEDINA MENDOZA LUIS</t>
  </si>
  <si>
    <t>HERNANDEZ PEREZ LAZA</t>
  </si>
  <si>
    <t>NIETO TRENADO VIRGIN</t>
  </si>
  <si>
    <t>PROMOTORA DE SERVICI</t>
  </si>
  <si>
    <t>SANCHEZ PEREZ DAVID</t>
  </si>
  <si>
    <t>DEL RIO MORENO CARLO</t>
  </si>
  <si>
    <t>RAMOS SAAVEDRA JENNI</t>
  </si>
  <si>
    <t>GUTIERREZ MORALES FE</t>
  </si>
  <si>
    <t>PERFORACIONES BONANZ</t>
  </si>
  <si>
    <t>YERENA VERA ANTONIO</t>
  </si>
  <si>
    <t>CRAIL ILUMINACION S.</t>
  </si>
  <si>
    <t>RODRIGUEZ COSS JOSE</t>
  </si>
  <si>
    <t>ESTRADA CONTRERAS AG</t>
  </si>
  <si>
    <t>ABOYTES ARRIAGA YOLA</t>
  </si>
  <si>
    <t>CAMACHO MUÑIZ FELIPE</t>
  </si>
  <si>
    <t>MARTINEZ C ENRIQUE</t>
  </si>
  <si>
    <t>HUERTA SALTO JOSE MA</t>
  </si>
  <si>
    <t>GARCIA PARADA LILIA</t>
  </si>
  <si>
    <t>OLVERA CABRERA JOSE</t>
  </si>
  <si>
    <t>GOMEZ GALLEGOS JOSE</t>
  </si>
  <si>
    <t>DE SANTIAGO GALVAN A</t>
  </si>
  <si>
    <t>LOPEZ SOLANO MARTHA</t>
  </si>
  <si>
    <t>CORTES ARIAS GEMMA G</t>
  </si>
  <si>
    <t>RODRIGUEZ CARREñO JO</t>
  </si>
  <si>
    <t>GUTIERREZ DE VELASCO</t>
  </si>
  <si>
    <t>AGUILAR BEDOLLA MA.</t>
  </si>
  <si>
    <t>MANDUJANO ESTRADA IL</t>
  </si>
  <si>
    <t>BALTAZAR GASCA SACIL</t>
  </si>
  <si>
    <t>CARRILLO SALAS ALBER</t>
  </si>
  <si>
    <t>FLORES CALVILLO KARL</t>
  </si>
  <si>
    <t>MAGUEYAL MARTINEZ PE</t>
  </si>
  <si>
    <t>LOPEZ MENDOZA JOSE M</t>
  </si>
  <si>
    <t>JAY HATFIELD STEPHAN</t>
  </si>
  <si>
    <t>BAUTISTA JAIME MARIA</t>
  </si>
  <si>
    <t>GUTIERREZ MENDOZA RA</t>
  </si>
  <si>
    <t>RAMIREZ QUEZADA JUAN</t>
  </si>
  <si>
    <t>RIVERA VEGA MA DE JE</t>
  </si>
  <si>
    <t>THIRION MARIA DEL RA</t>
  </si>
  <si>
    <t>MENDOZA ALVAREZ MARC</t>
  </si>
  <si>
    <t>SILVA MARTINEZ ADRIA</t>
  </si>
  <si>
    <t>MEDINA CHAVEZ ALMA R</t>
  </si>
  <si>
    <t>3MYDLAYV2HY186349</t>
  </si>
  <si>
    <t>3MYDLAYV5HY190914</t>
  </si>
  <si>
    <t>3MYDLAYV8HY192625</t>
  </si>
  <si>
    <t>JTDKBRFU2H3563210</t>
  </si>
  <si>
    <t>JTDKBRFU5H3039209</t>
  </si>
  <si>
    <t>JTDKBRFU7H3037722</t>
  </si>
  <si>
    <t>JTDKBRFU2H3037708</t>
  </si>
  <si>
    <t>JTDKBRFU5H3039940</t>
  </si>
  <si>
    <t>JTDKBRFUXH3566288</t>
  </si>
  <si>
    <t>JTDKBRFU6H3037694</t>
  </si>
  <si>
    <t>JTDKBRFU3H3566603</t>
  </si>
  <si>
    <t>JTDKBRFU3H3567475</t>
  </si>
  <si>
    <t>JTDKBRFU0H3035813</t>
  </si>
  <si>
    <t>5YFBPRHE7HP733561</t>
  </si>
  <si>
    <t>5YFBPRHE9HP645756</t>
  </si>
  <si>
    <t>5YFBPRHE9HP729981</t>
  </si>
  <si>
    <t>5YFBPRHE0HP646486</t>
  </si>
  <si>
    <t>5YFBPRHE0HP658265</t>
  </si>
  <si>
    <t>5YFBPRHE5HP658746</t>
  </si>
  <si>
    <t>5YFBPRHE9HP661116</t>
  </si>
  <si>
    <t>5YFBPRHE8HP655971</t>
  </si>
  <si>
    <t>5YFBPRHE8HP622985</t>
  </si>
  <si>
    <t>5YFBPRHE8HP731589</t>
  </si>
  <si>
    <t>5YFBPRHE9HP710511</t>
  </si>
  <si>
    <t>5YFBPRHE0HP726029</t>
  </si>
  <si>
    <t>5YFBPRHE9HP733920</t>
  </si>
  <si>
    <t>5YFBPRHE4HP731539</t>
  </si>
  <si>
    <t>MR2B29F34H1077574</t>
  </si>
  <si>
    <t>MR2B29F39H1072046</t>
  </si>
  <si>
    <t>MR2B29F34H1077235</t>
  </si>
  <si>
    <t>MR2B29F3XH1081127</t>
  </si>
  <si>
    <t>MR2B29F38H1076542</t>
  </si>
  <si>
    <t>MR2B29F34H1079566</t>
  </si>
  <si>
    <t>MR2B29F36H1080282</t>
  </si>
  <si>
    <t>MR2B29F37H1078749</t>
  </si>
  <si>
    <t>MR2B29F36H1076233</t>
  </si>
  <si>
    <t>MR2B29F31H1081145</t>
  </si>
  <si>
    <t>MR2B29F30H1077667</t>
  </si>
  <si>
    <t>MR2B29F33H1080255</t>
  </si>
  <si>
    <t>MR2B29F34H1081690</t>
  </si>
  <si>
    <t>MR2B29F35H1082217</t>
  </si>
  <si>
    <t>MR2B29F36H1069685</t>
  </si>
  <si>
    <t>MR2B29F31H1066516</t>
  </si>
  <si>
    <t>MR2B29F30H1060173</t>
  </si>
  <si>
    <t>MR2B29F34H1068972</t>
  </si>
  <si>
    <t>MR2B29F38H1072572</t>
  </si>
  <si>
    <t>MR2B29F38H1065234</t>
  </si>
  <si>
    <t>MR2B29F30H1074008</t>
  </si>
  <si>
    <t>MR2K29F3XH1074825</t>
  </si>
  <si>
    <t>MHKMF53EXHK011615</t>
  </si>
  <si>
    <t>MHKMF53E4HK011254</t>
  </si>
  <si>
    <t>MHKMF53E6HK011210</t>
  </si>
  <si>
    <t>MHKMF53E7HK011426</t>
  </si>
  <si>
    <t>MHKMF53E0HK011977</t>
  </si>
  <si>
    <t>MHKMF53EXHK012277</t>
  </si>
  <si>
    <t>MHKMF53E7HK012155</t>
  </si>
  <si>
    <t>MHKMF53E4HK011271</t>
  </si>
  <si>
    <t>MHKMF53E5HK012025</t>
  </si>
  <si>
    <t>MHKMF53E4HK009228</t>
  </si>
  <si>
    <t>MHKMF53E5HK012588</t>
  </si>
  <si>
    <t>MHKMF53FXHK018931</t>
  </si>
  <si>
    <t>MHKMF53F9HK017897</t>
  </si>
  <si>
    <t>MHKMF53F1HK019076</t>
  </si>
  <si>
    <t>MHKMF53F9HK018001</t>
  </si>
  <si>
    <t>MHKMF53F7HK020135</t>
  </si>
  <si>
    <t>MHKMF53F3HK016115</t>
  </si>
  <si>
    <t>MHKMF53F4HK019668</t>
  </si>
  <si>
    <t>MHKMF53F1HK018378</t>
  </si>
  <si>
    <t>MHKMF53F4HK019301</t>
  </si>
  <si>
    <t>MHKMF53F5HK020179</t>
  </si>
  <si>
    <t>MHKMF53F3HK020097</t>
  </si>
  <si>
    <t>MHKMF53E7HK011037</t>
  </si>
  <si>
    <t>MHKMF53F5HK018576</t>
  </si>
  <si>
    <t>MHKMF53FXHK019335</t>
  </si>
  <si>
    <t>4T1B11HKXJU001812</t>
  </si>
  <si>
    <t>4T1B11HK1JU001472</t>
  </si>
  <si>
    <t>4T1B11HK3JU501097</t>
  </si>
  <si>
    <t>4T1B11HK1JU50257</t>
  </si>
  <si>
    <t>2T3RFREV5HW671783</t>
  </si>
  <si>
    <t>2T3ZFREVXHW379627</t>
  </si>
  <si>
    <t>2T3ZFREV8HW387256</t>
  </si>
  <si>
    <t>2T3ZFREVXHW363072</t>
  </si>
  <si>
    <t>2T3ZFREV4HW388033</t>
  </si>
  <si>
    <t>2T3ZFREV6HW393105</t>
  </si>
  <si>
    <t>2T3ZFREV1HW387731</t>
  </si>
  <si>
    <t>2T3JFREV4HW670864</t>
  </si>
  <si>
    <t>2T3JFREV3HW676879</t>
  </si>
  <si>
    <t>2T3JFREV9HW676966</t>
  </si>
  <si>
    <t>2T3DFREV0HW635560</t>
  </si>
  <si>
    <t>5TDKZ3DC0HS869291</t>
  </si>
  <si>
    <t>5TDYZ3DC4HS871930</t>
  </si>
  <si>
    <t>5TDYZ3DC9HS872989</t>
  </si>
  <si>
    <t>5TDYZ3DC6HS872318</t>
  </si>
  <si>
    <t>5TDYZ3DC2HS876348</t>
  </si>
  <si>
    <t>JTFPX22P6J0077156</t>
  </si>
  <si>
    <t>JTFPX22P1J0076982</t>
  </si>
  <si>
    <t>JTFPX22P6J007612</t>
  </si>
  <si>
    <t>JTFPX22P1J0077047</t>
  </si>
  <si>
    <t>JTFSX23P1J6182550</t>
  </si>
  <si>
    <t>5TDKZRFH4HS221559</t>
  </si>
  <si>
    <t>5TDKZRFH6HS218405</t>
  </si>
  <si>
    <t>5TDYZRFH2HS224955</t>
  </si>
  <si>
    <t>3TMCZ5AN4HM099926</t>
  </si>
  <si>
    <t>3TMCZ5AN0HM100473</t>
  </si>
  <si>
    <t>3TMCZ5AN8HM095233</t>
  </si>
  <si>
    <t>3TMCZ5AN9HM099808</t>
  </si>
  <si>
    <t>3TMCZ5AN3HM105084</t>
  </si>
  <si>
    <t>MR0EX8CB7H1398442</t>
  </si>
  <si>
    <t>MR0EX8CB1H1398470</t>
  </si>
  <si>
    <t>MR0EX8CB9H1396076</t>
  </si>
  <si>
    <t>MR0EX8CB8H1398515</t>
  </si>
  <si>
    <t>MR0EX8CB5H1398388</t>
  </si>
  <si>
    <t>MR0EX8CB4H1398916</t>
  </si>
  <si>
    <t>MR0EX8CBXH1398872</t>
  </si>
  <si>
    <t>MR0EX8CB8H1398966</t>
  </si>
  <si>
    <t>MR0EX8DD6H0253351</t>
  </si>
  <si>
    <t>MR0EX8DD6H0175380</t>
  </si>
  <si>
    <t>MR0EX8DDXH0175558</t>
  </si>
  <si>
    <t>MR0EX8DD7H0252838</t>
  </si>
  <si>
    <t>MR0EX8DD1H0175299</t>
  </si>
  <si>
    <t>MR0EX8DD6H0252832</t>
  </si>
  <si>
    <t>MR0EX8DD7H0253052</t>
  </si>
  <si>
    <t>MR0EX8DD1H0252835</t>
  </si>
  <si>
    <t>MR0EX8DD7H0252323</t>
  </si>
  <si>
    <t>MR0EX8DD5H0175614</t>
  </si>
  <si>
    <t>MR0EX8DD6H0175508</t>
  </si>
  <si>
    <t>MR0EX8DD8H0253142</t>
  </si>
  <si>
    <t>MR0EX8DDXH0175690</t>
  </si>
  <si>
    <t>MR0EX8DD3H0253274</t>
  </si>
  <si>
    <t>MR0EX8DD5H0251204</t>
  </si>
  <si>
    <t>MR0EX8DD4H0253221</t>
  </si>
  <si>
    <t>MR0EX8DD6H0248134</t>
  </si>
  <si>
    <t>MR0EX8DD0H0175407</t>
  </si>
  <si>
    <t>MR0EX8DDXH0251893</t>
  </si>
  <si>
    <t>MR0EX8DD4H0253929</t>
  </si>
  <si>
    <t>5TFHY5F14HX639591</t>
  </si>
  <si>
    <t>5TFHY5F12HX635555</t>
  </si>
  <si>
    <t>JE3AU26U7FU003519</t>
  </si>
  <si>
    <t>JTFSX23P4E6146437</t>
  </si>
  <si>
    <t>3N6DD13S78K003746</t>
  </si>
  <si>
    <t>3VW2W2AJ8DM228208</t>
  </si>
  <si>
    <t>MEX3G2608ET013233</t>
  </si>
  <si>
    <t>2T1BE4EE2CC050009</t>
  </si>
  <si>
    <t>2C4JC1AG3ER344433</t>
  </si>
  <si>
    <t>VF1VY2GY3CC412212</t>
  </si>
  <si>
    <t>9FB461JS9GM590243</t>
  </si>
  <si>
    <t>3N6DD23T7EK030147</t>
  </si>
  <si>
    <t>JN1AF55C1DT050450</t>
  </si>
  <si>
    <t>2FMDK38C59BA63680</t>
  </si>
  <si>
    <t>MA6CA6AD6GT040669</t>
  </si>
  <si>
    <t>JTFSX23PXF6165012</t>
  </si>
  <si>
    <t>JTDBT923084018689</t>
  </si>
  <si>
    <t>4T1BF1FK4CU118051</t>
  </si>
  <si>
    <t>JTDBT9K38F1439607</t>
  </si>
  <si>
    <t>4T1BK1FK2FU027862</t>
  </si>
  <si>
    <t xml:space="preserve">  </t>
  </si>
  <si>
    <t>SEPTIEMBRE.2017</t>
  </si>
  <si>
    <t>AA11804</t>
  </si>
  <si>
    <t>AA11881</t>
  </si>
  <si>
    <t>ZA04308</t>
  </si>
  <si>
    <t>AA11799</t>
  </si>
  <si>
    <t>AA11808</t>
  </si>
  <si>
    <t>AA11899</t>
  </si>
  <si>
    <t>ZA04313</t>
  </si>
  <si>
    <t>AA11935</t>
  </si>
  <si>
    <t>AA11936</t>
  </si>
  <si>
    <t>AA11817</t>
  </si>
  <si>
    <t>ZA04288</t>
  </si>
  <si>
    <t>AA11955</t>
  </si>
  <si>
    <t>AA11826</t>
  </si>
  <si>
    <t>AA11892</t>
  </si>
  <si>
    <t>AA11838</t>
  </si>
  <si>
    <t>ZA04292</t>
  </si>
  <si>
    <t>AA11843</t>
  </si>
  <si>
    <t>AA11844</t>
  </si>
  <si>
    <t>AA11873</t>
  </si>
  <si>
    <t>AA11910</t>
  </si>
  <si>
    <t>AA11915</t>
  </si>
  <si>
    <t>AA11803</t>
  </si>
  <si>
    <t>AA11845</t>
  </si>
  <si>
    <t>AA11876</t>
  </si>
  <si>
    <t>ZA04328</t>
  </si>
  <si>
    <t>AA11992</t>
  </si>
  <si>
    <t>AA11991</t>
  </si>
  <si>
    <t>AA11821</t>
  </si>
  <si>
    <t>ZA04291</t>
  </si>
  <si>
    <t>AA11840</t>
  </si>
  <si>
    <t>AA11842</t>
  </si>
  <si>
    <t>AA11863</t>
  </si>
  <si>
    <t>AA11883</t>
  </si>
  <si>
    <t>ZA04306</t>
  </si>
  <si>
    <t>AA11909</t>
  </si>
  <si>
    <t>AA11809</t>
  </si>
  <si>
    <t>AA11993</t>
  </si>
  <si>
    <t>AA11795</t>
  </si>
  <si>
    <t>AA11888</t>
  </si>
  <si>
    <t>AA11886</t>
  </si>
  <si>
    <t>ZA04304</t>
  </si>
  <si>
    <t>AA11901</t>
  </si>
  <si>
    <t>AA11902</t>
  </si>
  <si>
    <t>AA11938</t>
  </si>
  <si>
    <t>AA11937</t>
  </si>
  <si>
    <t>AA11946</t>
  </si>
  <si>
    <t>AA11949</t>
  </si>
  <si>
    <t>AA11973</t>
  </si>
  <si>
    <t>AA11975</t>
  </si>
  <si>
    <t>AA11974</t>
  </si>
  <si>
    <t>ZA04286</t>
  </si>
  <si>
    <t>AA11828</t>
  </si>
  <si>
    <t>ZA04287</t>
  </si>
  <si>
    <t>AA11831</t>
  </si>
  <si>
    <t>AA11861</t>
  </si>
  <si>
    <t>ZA04303</t>
  </si>
  <si>
    <t>AA11900</t>
  </si>
  <si>
    <t>AA11990</t>
  </si>
  <si>
    <t>ZA04315</t>
  </si>
  <si>
    <t>AA11943</t>
  </si>
  <si>
    <t>AA11947</t>
  </si>
  <si>
    <t>ZA04324</t>
  </si>
  <si>
    <t>AA11926</t>
  </si>
  <si>
    <t>AA11930</t>
  </si>
  <si>
    <t>AA11920</t>
  </si>
  <si>
    <t>ZA04322</t>
  </si>
  <si>
    <t>AA11967</t>
  </si>
  <si>
    <t>AA11968</t>
  </si>
  <si>
    <t>AA11981</t>
  </si>
  <si>
    <t>AA11994</t>
  </si>
  <si>
    <t>AA11995</t>
  </si>
  <si>
    <t>ZA04277</t>
  </si>
  <si>
    <t>AA11794</t>
  </si>
  <si>
    <t>ZA04281</t>
  </si>
  <si>
    <t>AA11815</t>
  </si>
  <si>
    <t>AA11833</t>
  </si>
  <si>
    <t>AA11835</t>
  </si>
  <si>
    <t>AA11860</t>
  </si>
  <si>
    <t>ZA04295</t>
  </si>
  <si>
    <t>AA11854</t>
  </si>
  <si>
    <t>AA11855</t>
  </si>
  <si>
    <t>ZA04300</t>
  </si>
  <si>
    <t>AA11868</t>
  </si>
  <si>
    <t>AA11891</t>
  </si>
  <si>
    <t>ZA04302</t>
  </si>
  <si>
    <t>AA11893</t>
  </si>
  <si>
    <t>AA11913</t>
  </si>
  <si>
    <t>ZA04311</t>
  </si>
  <si>
    <t>AA11922</t>
  </si>
  <si>
    <t>AA11939</t>
  </si>
  <si>
    <t>AA11944</t>
  </si>
  <si>
    <t>AA11945</t>
  </si>
  <si>
    <t>AA11964</t>
  </si>
  <si>
    <t>ZA04321</t>
  </si>
  <si>
    <t>AA11963</t>
  </si>
  <si>
    <t>AA11916</t>
  </si>
  <si>
    <t>AA11836</t>
  </si>
  <si>
    <t>ZA04289</t>
  </si>
  <si>
    <t>ZA04294</t>
  </si>
  <si>
    <t>AA11847</t>
  </si>
  <si>
    <t>AA11848</t>
  </si>
  <si>
    <t>AA11853</t>
  </si>
  <si>
    <t>AA11882</t>
  </si>
  <si>
    <t>AA11919</t>
  </si>
  <si>
    <t>AA11872</t>
  </si>
  <si>
    <t>AA11858</t>
  </si>
  <si>
    <t>AA11982</t>
  </si>
  <si>
    <t>AA11822</t>
  </si>
  <si>
    <t>AA11870</t>
  </si>
  <si>
    <t>AA11875</t>
  </si>
  <si>
    <t>AA11877</t>
  </si>
  <si>
    <t>ZA04301</t>
  </si>
  <si>
    <t>AA11889</t>
  </si>
  <si>
    <t>AA11896</t>
  </si>
  <si>
    <t>ZA04314</t>
  </si>
  <si>
    <t>AA11940</t>
  </si>
  <si>
    <t>ZA04307</t>
  </si>
  <si>
    <t>AA11941</t>
  </si>
  <si>
    <t>AA11970</t>
  </si>
  <si>
    <t>AA11965</t>
  </si>
  <si>
    <t>AA11980</t>
  </si>
  <si>
    <t>ZA04327</t>
  </si>
  <si>
    <t>AA11871</t>
  </si>
  <si>
    <t>AA11931</t>
  </si>
  <si>
    <t>AA11814</t>
  </si>
  <si>
    <t>ZA04283</t>
  </si>
  <si>
    <t>AA11825</t>
  </si>
  <si>
    <t>AA11829</t>
  </si>
  <si>
    <t>AA11874</t>
  </si>
  <si>
    <t>AA11869</t>
  </si>
  <si>
    <t>AA11878</t>
  </si>
  <si>
    <t>AA11890</t>
  </si>
  <si>
    <t>AA11954</t>
  </si>
  <si>
    <t>AA11953</t>
  </si>
  <si>
    <t>AA11961</t>
  </si>
  <si>
    <t>AA11984</t>
  </si>
  <si>
    <t>AA11985</t>
  </si>
  <si>
    <t>AA11816</t>
  </si>
  <si>
    <t>AA11934</t>
  </si>
  <si>
    <t>AA11823</t>
  </si>
  <si>
    <t>AA11851</t>
  </si>
  <si>
    <t>AA11852</t>
  </si>
  <si>
    <t>AA11966</t>
  </si>
  <si>
    <t>AA11983</t>
  </si>
  <si>
    <t>AA11837</t>
  </si>
  <si>
    <t>AA11865</t>
  </si>
  <si>
    <t>AA11885</t>
  </si>
  <si>
    <t>AA11924</t>
  </si>
  <si>
    <t>ZA04323</t>
  </si>
  <si>
    <t>AA11959</t>
  </si>
  <si>
    <t>AA11969</t>
  </si>
  <si>
    <t>AA11958</t>
  </si>
  <si>
    <t>ZA04326</t>
  </si>
  <si>
    <t>AA11978</t>
  </si>
  <si>
    <t>AA11942</t>
  </si>
  <si>
    <t>AA11813</t>
  </si>
  <si>
    <t>AA11818</t>
  </si>
  <si>
    <t>ZA04293</t>
  </si>
  <si>
    <t>AA11846</t>
  </si>
  <si>
    <t>AA11887</t>
  </si>
  <si>
    <t>ZA04309</t>
  </si>
  <si>
    <t>AA11917</t>
  </si>
  <si>
    <t>AA11933</t>
  </si>
  <si>
    <t>ZA04278</t>
  </si>
  <si>
    <t>AA11800</t>
  </si>
  <si>
    <t>AA11801</t>
  </si>
  <si>
    <t>AA11859</t>
  </si>
  <si>
    <t>ZA04299</t>
  </si>
  <si>
    <t>AA11867</t>
  </si>
  <si>
    <t>AA11880</t>
  </si>
  <si>
    <t>AA11918</t>
  </si>
  <si>
    <t>AA11986</t>
  </si>
  <si>
    <t>AA11807</t>
  </si>
  <si>
    <t>AA11806</t>
  </si>
  <si>
    <t>AA11952</t>
  </si>
  <si>
    <t>AA11977</t>
  </si>
  <si>
    <t>AA11812</t>
  </si>
  <si>
    <t>AA11864</t>
  </si>
  <si>
    <t>AA11921</t>
  </si>
  <si>
    <t>AA11802</t>
  </si>
  <si>
    <t>AA11805</t>
  </si>
  <si>
    <t>AA11820</t>
  </si>
  <si>
    <t>AA11862</t>
  </si>
  <si>
    <t>AA11894</t>
  </si>
  <si>
    <t>AA11895</t>
  </si>
  <si>
    <t>AA11903</t>
  </si>
  <si>
    <t>AA11972</t>
  </si>
  <si>
    <t>AA11979</t>
  </si>
  <si>
    <t>ZA04276</t>
  </si>
  <si>
    <t>AA11793</t>
  </si>
  <si>
    <t>AA11832</t>
  </si>
  <si>
    <t>AA11857</t>
  </si>
  <si>
    <t>ZA04296</t>
  </si>
  <si>
    <t>AA11856</t>
  </si>
  <si>
    <t>ZA04298</t>
  </si>
  <si>
    <t>AA11866</t>
  </si>
  <si>
    <t>AA11950</t>
  </si>
  <si>
    <t>AA11962</t>
  </si>
  <si>
    <t>ZA04318</t>
  </si>
  <si>
    <t>AA11956</t>
  </si>
  <si>
    <t>AA11960</t>
  </si>
  <si>
    <t>ZA04285</t>
  </si>
  <si>
    <t>AA11827</t>
  </si>
  <si>
    <t>AA11819</t>
  </si>
  <si>
    <t>ZA04282</t>
  </si>
  <si>
    <t>AA11824</t>
  </si>
  <si>
    <t>AA11834</t>
  </si>
  <si>
    <t>AA11830</t>
  </si>
  <si>
    <t>ZA04290</t>
  </si>
  <si>
    <t>AA11839</t>
  </si>
  <si>
    <t>AA11841</t>
  </si>
  <si>
    <t>AA11908</t>
  </si>
  <si>
    <t>AA11907</t>
  </si>
  <si>
    <t>AA11904</t>
  </si>
  <si>
    <t>AA11912</t>
  </si>
  <si>
    <t>ZA04316</t>
  </si>
  <si>
    <t>AA11932</t>
  </si>
  <si>
    <t>AA11948</t>
  </si>
  <si>
    <t>ZA04320</t>
  </si>
  <si>
    <t>AA11971</t>
  </si>
  <si>
    <t>ZA04317</t>
  </si>
  <si>
    <t>AA11957</t>
  </si>
  <si>
    <t>AA11976</t>
  </si>
  <si>
    <t>AA11988</t>
  </si>
  <si>
    <t>AA11989</t>
  </si>
  <si>
    <t>AA11796</t>
  </si>
  <si>
    <t>AA11797</t>
  </si>
  <si>
    <t>AA11798</t>
  </si>
  <si>
    <t>ZA04279</t>
  </si>
  <si>
    <t>ZA04280</t>
  </si>
  <si>
    <t>AA11810</t>
  </si>
  <si>
    <t>AA11811</t>
  </si>
  <si>
    <t>AA11879</t>
  </si>
  <si>
    <t>AA11884</t>
  </si>
  <si>
    <t>AA11898</t>
  </si>
  <si>
    <t>AA11897</t>
  </si>
  <si>
    <t>ZA04305</t>
  </si>
  <si>
    <t>AA11905</t>
  </si>
  <si>
    <t>AA11906</t>
  </si>
  <si>
    <t>AA11914</t>
  </si>
  <si>
    <t>AA11911</t>
  </si>
  <si>
    <t>AA11927</t>
  </si>
  <si>
    <t>AA11928</t>
  </si>
  <si>
    <t>ZA04310</t>
  </si>
  <si>
    <t>AA11923</t>
  </si>
  <si>
    <t>AA11925</t>
  </si>
  <si>
    <t>PICKUP TUNDRA 4X4 1794</t>
  </si>
  <si>
    <t>JUAN ANTONIO GOMEZ AGUILAR</t>
  </si>
  <si>
    <t>1559-TCN17</t>
  </si>
  <si>
    <t>0045-TCN18</t>
  </si>
  <si>
    <t>1769-TCN17</t>
  </si>
  <si>
    <t>1465-TCN17</t>
  </si>
  <si>
    <t>1857-TCN17</t>
  </si>
  <si>
    <t>1169-TCN17</t>
  </si>
  <si>
    <t>1798-TCN17</t>
  </si>
  <si>
    <t>0885-TCN17</t>
  </si>
  <si>
    <t>1628-TCN17</t>
  </si>
  <si>
    <t>1855-TCN17</t>
  </si>
  <si>
    <t>1467-TCN17</t>
  </si>
  <si>
    <t>1802-TCN17</t>
  </si>
  <si>
    <t>1772-TCN17</t>
  </si>
  <si>
    <t>0687-TCN17</t>
  </si>
  <si>
    <t>1862-TCN17</t>
  </si>
  <si>
    <t>1074-TCN17</t>
  </si>
  <si>
    <t>1647-TCN17</t>
  </si>
  <si>
    <t>1652-TCN17</t>
  </si>
  <si>
    <t>1178-TCN17</t>
  </si>
  <si>
    <t>1773-TCN17</t>
  </si>
  <si>
    <t>1236-TCN17</t>
  </si>
  <si>
    <t>1649-TCN17</t>
  </si>
  <si>
    <t>1619-TCN17</t>
  </si>
  <si>
    <t>1853-TCN17</t>
  </si>
  <si>
    <t>1793-TCN17</t>
  </si>
  <si>
    <t>1824-TCN17</t>
  </si>
  <si>
    <t>1736-TCN17</t>
  </si>
  <si>
    <t>1836-TCN17</t>
  </si>
  <si>
    <t>1837-TCN17</t>
  </si>
  <si>
    <t>1719-TCN17</t>
  </si>
  <si>
    <t>1834-TCN17</t>
  </si>
  <si>
    <t>1838-TCN17</t>
  </si>
  <si>
    <t>1839-TCN17</t>
  </si>
  <si>
    <t>1840-TCN17</t>
  </si>
  <si>
    <t>1717-TCN17</t>
  </si>
  <si>
    <t>1867-TCN17</t>
  </si>
  <si>
    <t>1868-TCN17</t>
  </si>
  <si>
    <t>1128-TCN17</t>
  </si>
  <si>
    <t>1470-TCN17</t>
  </si>
  <si>
    <t>1640-TCN17</t>
  </si>
  <si>
    <t>1630-TCN17</t>
  </si>
  <si>
    <t>1605-TCN17</t>
  </si>
  <si>
    <t>1831-TCN17</t>
  </si>
  <si>
    <t>1859-TCN17</t>
  </si>
  <si>
    <t>1860-TCN17</t>
  </si>
  <si>
    <t>1822-TCN17</t>
  </si>
  <si>
    <t>1893-TCN17</t>
  </si>
  <si>
    <t>1804-TCN17</t>
  </si>
  <si>
    <t>1562-TCN17</t>
  </si>
  <si>
    <t>1775-TCN17</t>
  </si>
  <si>
    <t>1854-TCN17</t>
  </si>
  <si>
    <t>1564-TCN17</t>
  </si>
  <si>
    <t>1833-TCN17</t>
  </si>
  <si>
    <t>1888-TCN17</t>
  </si>
  <si>
    <t>1695-TCN17</t>
  </si>
  <si>
    <t>0054-TCN18</t>
  </si>
  <si>
    <t>0043-TCN18</t>
  </si>
  <si>
    <t>0038-TCN18</t>
  </si>
  <si>
    <t>0050-TCN18</t>
  </si>
  <si>
    <t>0055-TCN18</t>
  </si>
  <si>
    <t>0036-TCN18</t>
  </si>
  <si>
    <t>0047-TCN18</t>
  </si>
  <si>
    <t>0056-TCN18</t>
  </si>
  <si>
    <t>1445-TCN17</t>
  </si>
  <si>
    <t>1244-TCN17</t>
  </si>
  <si>
    <t>1794-TCN17</t>
  </si>
  <si>
    <t>1637-TCN17</t>
  </si>
  <si>
    <t>1608-TCN17</t>
  </si>
  <si>
    <t>1856-TCN17</t>
  </si>
  <si>
    <t>1814-TCN17</t>
  </si>
  <si>
    <t>1850-TCN17</t>
  </si>
  <si>
    <t>0969-TCN17</t>
  </si>
  <si>
    <t>1089-TCN17</t>
  </si>
  <si>
    <t>0968-TCN17</t>
  </si>
  <si>
    <t>1892-TCN17</t>
  </si>
  <si>
    <t>1295-TCN17</t>
  </si>
  <si>
    <t>1851-TCN17</t>
  </si>
  <si>
    <t>1714-TCN17</t>
  </si>
  <si>
    <t>1788-TCN17</t>
  </si>
  <si>
    <t>1182-TCN17</t>
  </si>
  <si>
    <t>1796-TCN17</t>
  </si>
  <si>
    <t>1774-TCN17</t>
  </si>
  <si>
    <t>1789-TCN17</t>
  </si>
  <si>
    <t>1872-TCN17</t>
  </si>
  <si>
    <t>1873-TCN17</t>
  </si>
  <si>
    <t>1885-TCN17</t>
  </si>
  <si>
    <t>1852-TCN17</t>
  </si>
  <si>
    <t>1871-TCN17</t>
  </si>
  <si>
    <t>0030-TCN18</t>
  </si>
  <si>
    <t>0062-TCN18</t>
  </si>
  <si>
    <t>0023-TCN18</t>
  </si>
  <si>
    <t>0021-TCN18</t>
  </si>
  <si>
    <t>0022-TCN18</t>
  </si>
  <si>
    <t>0027-TCN18</t>
  </si>
  <si>
    <t>0031-TCN18</t>
  </si>
  <si>
    <t>0040-TCN18</t>
  </si>
  <si>
    <t>0048-TCN18</t>
  </si>
  <si>
    <t>0057-TCN18</t>
  </si>
  <si>
    <t>0058-TCN18</t>
  </si>
  <si>
    <t>0067-TCN18</t>
  </si>
  <si>
    <t>0068-TCN18</t>
  </si>
  <si>
    <t>0691-TCN17</t>
  </si>
  <si>
    <t>1797-TCN17</t>
  </si>
  <si>
    <t>1782-TCN17</t>
  </si>
  <si>
    <t>1848-TCN17</t>
  </si>
  <si>
    <t>1849-TCN17</t>
  </si>
  <si>
    <t>1791-TCN17</t>
  </si>
  <si>
    <t>1823-TCN17</t>
  </si>
  <si>
    <t>1825-TCN17</t>
  </si>
  <si>
    <t>1863-TCN17</t>
  </si>
  <si>
    <t>1864-TCN17</t>
  </si>
  <si>
    <t>1865-TCN17</t>
  </si>
  <si>
    <t>1886-TCN17</t>
  </si>
  <si>
    <t>1348-TCN17</t>
  </si>
  <si>
    <t>1512-TCN17</t>
  </si>
  <si>
    <t>1344-TCN17</t>
  </si>
  <si>
    <t>1413-TCN17</t>
  </si>
  <si>
    <t>1786-TCN17</t>
  </si>
  <si>
    <t>1817-TCN17</t>
  </si>
  <si>
    <t>1843-TCN17</t>
  </si>
  <si>
    <t>1792-TCN17</t>
  </si>
  <si>
    <t>1358-TCN17</t>
  </si>
  <si>
    <t>1416-TCN17</t>
  </si>
  <si>
    <t>1815-TCN17</t>
  </si>
  <si>
    <t>1418-TCN17</t>
  </si>
  <si>
    <t>1412-TCN17</t>
  </si>
  <si>
    <t>1481-TCN17</t>
  </si>
  <si>
    <t>1819-TCN17</t>
  </si>
  <si>
    <t>1415-TCN17</t>
  </si>
  <si>
    <t>1881-TCN17</t>
  </si>
  <si>
    <t>1331-TCN17</t>
  </si>
  <si>
    <t>0946-TCN17</t>
  </si>
  <si>
    <t>1887-TCN17</t>
  </si>
  <si>
    <t>1889-TCN17</t>
  </si>
  <si>
    <t>0066-TCN18</t>
  </si>
  <si>
    <t>0144-TCU17</t>
  </si>
  <si>
    <t>0163-TCU17</t>
  </si>
  <si>
    <t>0209-TCU17</t>
  </si>
  <si>
    <t>0199-TCU17</t>
  </si>
  <si>
    <t>0208-TCU17</t>
  </si>
  <si>
    <t>0210-TCU17</t>
  </si>
  <si>
    <t>0201-TCU17</t>
  </si>
  <si>
    <t>0119-TCU17</t>
  </si>
  <si>
    <t>0233-TCU16</t>
  </si>
  <si>
    <t>0153-TCU17</t>
  </si>
  <si>
    <t>0224-TCU17</t>
  </si>
  <si>
    <t>0174-TCU17</t>
  </si>
  <si>
    <t>0177-TCU17</t>
  </si>
  <si>
    <t>0142-TCU17</t>
  </si>
  <si>
    <t>0138-TCU17</t>
  </si>
  <si>
    <t>0104-TCU17</t>
  </si>
  <si>
    <t>0081-TCU17</t>
  </si>
  <si>
    <t>0214-TCU17</t>
  </si>
  <si>
    <t>0211-TCU17</t>
  </si>
  <si>
    <t>0206-TCU17</t>
  </si>
  <si>
    <t>0207-TCU17</t>
  </si>
  <si>
    <t>0173-TCU17</t>
  </si>
  <si>
    <t>0186-TCU17</t>
  </si>
  <si>
    <t>0218-TCU17</t>
  </si>
  <si>
    <t>HERRERA SANCHEZ CLAU</t>
  </si>
  <si>
    <t>FLORES SASTRE MARIA</t>
  </si>
  <si>
    <t>RUIZ ORTEGA JAVIER</t>
  </si>
  <si>
    <t>GOMEZ SAMANO ANDRES</t>
  </si>
  <si>
    <t>MORERA GONZALEZ JOSE</t>
  </si>
  <si>
    <t>ESCALERA CHAVEZ DANI</t>
  </si>
  <si>
    <t>ROSALES CAMPOS JESUS</t>
  </si>
  <si>
    <t>GRANADOS URIBE MARIA</t>
  </si>
  <si>
    <t>ROMERO MARTINEZ MARI</t>
  </si>
  <si>
    <t>TALAVERA LEMUS DANIE</t>
  </si>
  <si>
    <t>MARTINEZ GUERRERO MA</t>
  </si>
  <si>
    <t>SOTO ROJAS REGINO</t>
  </si>
  <si>
    <t>GUERRERO GUERRERO GL</t>
  </si>
  <si>
    <t>MARTINEZ BRINDIS JOS</t>
  </si>
  <si>
    <t>MALDONADO PATLAN ESP</t>
  </si>
  <si>
    <t>JUAREZ GUTIERREZ LET</t>
  </si>
  <si>
    <t>RAZO VAZQUEZ MA. CON</t>
  </si>
  <si>
    <t>CRUZ MUÑOZ CESAR OMA</t>
  </si>
  <si>
    <t>LOPEZ PUGA CRISTINA</t>
  </si>
  <si>
    <t>LOPEZ BARRERA GERARD</t>
  </si>
  <si>
    <t>VAZQUEZ RAMIREZ JOSE</t>
  </si>
  <si>
    <t>HERNANDEZ NUÑEZ MA.</t>
  </si>
  <si>
    <t>ARREGUIN RESENDIZ MA</t>
  </si>
  <si>
    <t>MOLINA LEMUS GEORGIN</t>
  </si>
  <si>
    <t>ESTRADA POSADA AUROR</t>
  </si>
  <si>
    <t>MENDOZA MOYA MARIA I</t>
  </si>
  <si>
    <t>ALCANTAR BLANCO JOSE</t>
  </si>
  <si>
    <t>CARRION VEGA MA. GUA</t>
  </si>
  <si>
    <t>GARCIA RAMIREZ ANAST</t>
  </si>
  <si>
    <t>ORUCUTA MORALES YOLA</t>
  </si>
  <si>
    <t>HURTADO MORENO FABIO</t>
  </si>
  <si>
    <t>VIEYRA LUNA DAVID</t>
  </si>
  <si>
    <t>CARDONA RODRIGUEZ MA</t>
  </si>
  <si>
    <t>ARVIZU RAZO NOEMI</t>
  </si>
  <si>
    <t>CHAVEZ LARA LUISA SO</t>
  </si>
  <si>
    <t>ORTEGA LEON HIPOLITO</t>
  </si>
  <si>
    <t>UGALDE BELTRAN JORGE</t>
  </si>
  <si>
    <t>HERNANDEZ ZENIZO IGN</t>
  </si>
  <si>
    <t>LARA FLORES ENGRACIA</t>
  </si>
  <si>
    <t>PIñA LEDESMA MIGUEL</t>
  </si>
  <si>
    <t>HERNANDEZ CORDERO PA</t>
  </si>
  <si>
    <t>QUINTANA RODRIGUEZ G</t>
  </si>
  <si>
    <t>COLEY GRAY LORRAINE</t>
  </si>
  <si>
    <t>GRAY LORRAINE COLEY</t>
  </si>
  <si>
    <t>ZURICH COMPAÑIA DE S</t>
  </si>
  <si>
    <t>DEANDA RAMIREZ ANGEL</t>
  </si>
  <si>
    <t>JAMAICA GARCIA GEORG</t>
  </si>
  <si>
    <t>HAN BOYEON</t>
  </si>
  <si>
    <t>ARRENDADORA BBH SAPI</t>
  </si>
  <si>
    <t>DOMINGUEZ GOMEZ MIRN</t>
  </si>
  <si>
    <t>DISTRIBUIDORA DE CEM</t>
  </si>
  <si>
    <t>LOPEZ GONZALEZ ROSA</t>
  </si>
  <si>
    <t>CALIDAD DE CAMPECHE,</t>
  </si>
  <si>
    <t>CALIDAD DE TABASCO,</t>
  </si>
  <si>
    <t>DURAN AGUACALIENTE J</t>
  </si>
  <si>
    <t>GOMEZ SERRANO ARELI</t>
  </si>
  <si>
    <t>GONZALEZ ANAYA SERGI</t>
  </si>
  <si>
    <t>MENDEZ RUBIO IVAN AU</t>
  </si>
  <si>
    <t>GUTIERREZ MEJIA EFRE</t>
  </si>
  <si>
    <t>ROSALES PEREZ BEATRI</t>
  </si>
  <si>
    <t>URIBE OSORNIO JANETT</t>
  </si>
  <si>
    <t>PRODUCTOS METALICOS</t>
  </si>
  <si>
    <t>STERLING BOURS ENRIQ</t>
  </si>
  <si>
    <t>VARGAS GOMEZ LIBIA</t>
  </si>
  <si>
    <t>OLVERA AGUILAR JOSE</t>
  </si>
  <si>
    <t>AZUARA MARTINEZ MARI</t>
  </si>
  <si>
    <t>LOPEZ SOTO RAMIRO</t>
  </si>
  <si>
    <t>PRODOCSA SA DE CV</t>
  </si>
  <si>
    <t>AUTOPASION ZARAGOZA</t>
  </si>
  <si>
    <t>MENDOZA RAMIREZ MART</t>
  </si>
  <si>
    <t>RAMIREZ RAMIREZ FERN</t>
  </si>
  <si>
    <t>LOYOLA VERA MIGUEL</t>
  </si>
  <si>
    <t>JUAREZ MANCERA OMAR</t>
  </si>
  <si>
    <t>REYES ARAMBURO HILDA</t>
  </si>
  <si>
    <t>DUX BIOTECH SA DE CV</t>
  </si>
  <si>
    <t>ALBA Y MACHUCA CONST</t>
  </si>
  <si>
    <t>SILVA SERRANO MARIA</t>
  </si>
  <si>
    <t>MIRANDA PEREZ ALEJAN</t>
  </si>
  <si>
    <t>ABASTECEDORA DE BIEN</t>
  </si>
  <si>
    <t>PRIETO AVILA MARISOL</t>
  </si>
  <si>
    <t>RODRIGUEZ DELGADO AN</t>
  </si>
  <si>
    <t>AGUIRRE MEZA KAREN A</t>
  </si>
  <si>
    <t>CEDILLO MARTINEZ CON</t>
  </si>
  <si>
    <t>GARCIA JIMENEZ EFRAI</t>
  </si>
  <si>
    <t>SALGADO URIOSTEGUI S</t>
  </si>
  <si>
    <t>LAGUNA GARCIA MARTIN</t>
  </si>
  <si>
    <t>JIMENEZ VAZQUEZ NIDI</t>
  </si>
  <si>
    <t>TRAPOTEX S.A. DE C.V</t>
  </si>
  <si>
    <t>GONZALEZ ROJAS NORMA</t>
  </si>
  <si>
    <t>JAIME LEON JESUS</t>
  </si>
  <si>
    <t>CAMPOS GUERRA ZAIRA</t>
  </si>
  <si>
    <t>MORENO CORREA FELIPE</t>
  </si>
  <si>
    <t>BERNAL HERNANDEZ ELP</t>
  </si>
  <si>
    <t>TIRADO LANDEROS CARL</t>
  </si>
  <si>
    <t>MALAGON NARA MARIA G</t>
  </si>
  <si>
    <t>MANDUJANO AVILA CARL</t>
  </si>
  <si>
    <t>AGUILAR IBARRA ROSA</t>
  </si>
  <si>
    <t>GARCIA JIMENEZ JUAN</t>
  </si>
  <si>
    <t>RODRIGUEZ MADRID JOR</t>
  </si>
  <si>
    <t>PADILLA RODRIGUEZ MA</t>
  </si>
  <si>
    <t>AGUILAR RUIZ MA REFU</t>
  </si>
  <si>
    <t>ENRIQUEZ RIVAS LUIS</t>
  </si>
  <si>
    <t>TAVARES ESCOTO ERNES</t>
  </si>
  <si>
    <t>3MYDLAYV2HY192510</t>
  </si>
  <si>
    <t>3MYDLAYV5JY303735</t>
  </si>
  <si>
    <t>JTDKBRFU0H3570320</t>
  </si>
  <si>
    <t>JTDKBRFU6H3561458</t>
  </si>
  <si>
    <t>JTDKBRFU3H3045543</t>
  </si>
  <si>
    <t>JTDKBRFU7H3039129</t>
  </si>
  <si>
    <t>JTDKBRFU8H3571795</t>
  </si>
  <si>
    <t>JTDKBRFU5H3545350</t>
  </si>
  <si>
    <t>5YFBPRHE7HP718929</t>
  </si>
  <si>
    <t>5YFBPRHE0HP729223</t>
  </si>
  <si>
    <t>5YFBPRHE4HP700761</t>
  </si>
  <si>
    <t>5YFBPRHE8HP720690</t>
  </si>
  <si>
    <t>5YFBPRHE0HP733515</t>
  </si>
  <si>
    <t>5YFBPRHE6HP625691</t>
  </si>
  <si>
    <t>5YFBPRHEXHP696926</t>
  </si>
  <si>
    <t>5YFBPRHE2HP630225</t>
  </si>
  <si>
    <t>5YFBPRHE3HP720810</t>
  </si>
  <si>
    <t>5YFBPRHE6HP721871</t>
  </si>
  <si>
    <t>5YFBPRHE7HP671806</t>
  </si>
  <si>
    <t>5YFBPRHEXHP734414</t>
  </si>
  <si>
    <t>5YFBPRHEXHP674411</t>
  </si>
  <si>
    <t>5YFBPRHE5HP699751</t>
  </si>
  <si>
    <t>5YFBPRHEXHP718312</t>
  </si>
  <si>
    <t>5YFBPRHE4HP711582</t>
  </si>
  <si>
    <t>5YFBPRHE7HP724813</t>
  </si>
  <si>
    <t>5YFBPRHE5HP729816</t>
  </si>
  <si>
    <t>MR2B29F37H1083174</t>
  </si>
  <si>
    <t>MR2B29F34H1085772</t>
  </si>
  <si>
    <t>MR2B29F31H1086328</t>
  </si>
  <si>
    <t>MR2B29F31H1079914</t>
  </si>
  <si>
    <t>MR2B29F3XH1084478</t>
  </si>
  <si>
    <t>MR2B29F31H1087205</t>
  </si>
  <si>
    <t>MR2B29F34H1087327</t>
  </si>
  <si>
    <t>MR2B29F3XH1087719</t>
  </si>
  <si>
    <t>MR2B29F31H1077953</t>
  </si>
  <si>
    <t>MR2B29F32H1088752</t>
  </si>
  <si>
    <t>MR2B29F31H1089388</t>
  </si>
  <si>
    <t>MR2B29F30H1051473</t>
  </si>
  <si>
    <t>MR2B29F36H1068150</t>
  </si>
  <si>
    <t>MR2K29F38H1076024</t>
  </si>
  <si>
    <t>MR2K29F30H1074980</t>
  </si>
  <si>
    <t>MR2K29F30H1074414</t>
  </si>
  <si>
    <t>MHKMF53E2HK012709</t>
  </si>
  <si>
    <t>MHKMF53EXHK012943</t>
  </si>
  <si>
    <t>MHKMF53E1HK012622</t>
  </si>
  <si>
    <t>MHKMF53E4HK012596</t>
  </si>
  <si>
    <t>MHKMF53E5HK012851</t>
  </si>
  <si>
    <t>MHKMF53F8HK019849</t>
  </si>
  <si>
    <t>MHKMF53F8HK018586</t>
  </si>
  <si>
    <t>MHKMF53F8HK020404</t>
  </si>
  <si>
    <t>MHKMF53F0HK020736</t>
  </si>
  <si>
    <t>MHKMF53F8HK018989</t>
  </si>
  <si>
    <t>MHKMF53F5HK020795</t>
  </si>
  <si>
    <t>MHKMF53FXHK020601</t>
  </si>
  <si>
    <t>MHKMF53F4HK018942</t>
  </si>
  <si>
    <t>4T1B11HKXJU007576</t>
  </si>
  <si>
    <t>4T1B11HK5JU002883</t>
  </si>
  <si>
    <t>4T1B11HKXJU001809</t>
  </si>
  <si>
    <t>4T1B11HK2JU502595</t>
  </si>
  <si>
    <t>4T1B11HK9JU006886</t>
  </si>
  <si>
    <t>4T1B11HK8JU001436</t>
  </si>
  <si>
    <t>4T1B11HK3JU001747</t>
  </si>
  <si>
    <t>4T1B11HK2JU005823</t>
  </si>
  <si>
    <t>2T3RFREV4HW648933</t>
  </si>
  <si>
    <t>2T3RFREV8HW632024</t>
  </si>
  <si>
    <t>2T3RFREV7HW682588</t>
  </si>
  <si>
    <t>2T3RFREV3HW670907</t>
  </si>
  <si>
    <t>2T3RFREV3HW665495</t>
  </si>
  <si>
    <t>2T3RFREV3HW630326</t>
  </si>
  <si>
    <t>2T3ZFREV2HW38776</t>
  </si>
  <si>
    <t>2T3ZFREV6HW401784</t>
  </si>
  <si>
    <t>2T3DFREV7HW605617</t>
  </si>
  <si>
    <t>2T3DFREV4HW615408</t>
  </si>
  <si>
    <t>2T3DFREV3HW602634</t>
  </si>
  <si>
    <t>5TDYZ3DC4HS852522</t>
  </si>
  <si>
    <t>5TDYZ3DC0HS885579</t>
  </si>
  <si>
    <t>5TDYZ3DC3HS851135</t>
  </si>
  <si>
    <t>5TDYZ3DC2HS877841</t>
  </si>
  <si>
    <t>5TDYZ3DC4HS842377</t>
  </si>
  <si>
    <t>5TDYZ3DC2HS879475</t>
  </si>
  <si>
    <t>5TDYZ3DC8HS878394</t>
  </si>
  <si>
    <t>5TDYZ3DCXHS879207</t>
  </si>
  <si>
    <t>5TDYZ3DCXHS883564</t>
  </si>
  <si>
    <t>5TDYZ3DC7HS886308</t>
  </si>
  <si>
    <t>5TDYZ3DC3HS880182</t>
  </si>
  <si>
    <t>5TDYZ3DC2HS884675</t>
  </si>
  <si>
    <t>5TDYZ3DC1HS882741</t>
  </si>
  <si>
    <t>JTFPX22P3J0077504</t>
  </si>
  <si>
    <t>JTFPX22P8J0078468</t>
  </si>
  <si>
    <t>JTFPX22P9J0076972</t>
  </si>
  <si>
    <t>JTFPX22P0J0076763</t>
  </si>
  <si>
    <t>JTFPX22P7J0076887</t>
  </si>
  <si>
    <t>JTFPX22P5J0077150</t>
  </si>
  <si>
    <t>JTFPX22P2J0077218</t>
  </si>
  <si>
    <t>JTFSX23PXJ6183504</t>
  </si>
  <si>
    <t>JTFSX23P5J6184110</t>
  </si>
  <si>
    <t>JTFSX23P3J6183716</t>
  </si>
  <si>
    <t>JTFSX23PXJ6183695</t>
  </si>
  <si>
    <t>JTFSX23P7J6184240</t>
  </si>
  <si>
    <t>JTFSX23PXJ6184328</t>
  </si>
  <si>
    <t>5TDKZRFH7HS192087</t>
  </si>
  <si>
    <t>5TDZZRFH7HS227645</t>
  </si>
  <si>
    <t>5TDYZRFH5HS219202</t>
  </si>
  <si>
    <t>3TMAZ5CNXHM048998</t>
  </si>
  <si>
    <t>3TMAZ5CN3HM049006</t>
  </si>
  <si>
    <t>3TMCZ5AN1HM106024</t>
  </si>
  <si>
    <t>3TMCZ5AN3HM105053</t>
  </si>
  <si>
    <t>3TMCZ5AN5HM108469</t>
  </si>
  <si>
    <t>3TMCZ5AN0HM108590</t>
  </si>
  <si>
    <t>3TMCZ5AN8HM10989</t>
  </si>
  <si>
    <t>3TMCZ5AN5HM10991</t>
  </si>
  <si>
    <t>3TMCZ5AN1HM100014</t>
  </si>
  <si>
    <t>MR0EX8CB2H1397747</t>
  </si>
  <si>
    <t>MR0EX8CB8H1398451</t>
  </si>
  <si>
    <t>MR0EX8CB6H1397959</t>
  </si>
  <si>
    <t>MR0EX8CBXH1397558</t>
  </si>
  <si>
    <t>MR0EX8CB4H1398995</t>
  </si>
  <si>
    <t>MR0EX8CB8H1399146</t>
  </si>
  <si>
    <t>MR0EX8CB0H1399139</t>
  </si>
  <si>
    <t>MR0EX8DD2H0176333</t>
  </si>
  <si>
    <t>MR0EX8DD3H0252030</t>
  </si>
  <si>
    <t>MR0EX8DD5H0175564</t>
  </si>
  <si>
    <t>MR0EX8DD9H025278</t>
  </si>
  <si>
    <t>MR0EX8DD1H0175495</t>
  </si>
  <si>
    <t>MR0EX8DD0H0252843</t>
  </si>
  <si>
    <t>MR0EX8DD8H0175641</t>
  </si>
  <si>
    <t>MR0EX8DD1H0176548</t>
  </si>
  <si>
    <t>MR0EX8DD8H0175574</t>
  </si>
  <si>
    <t>MR0EX8DD9H0254557</t>
  </si>
  <si>
    <t>MR0EX8DD7H0252791</t>
  </si>
  <si>
    <t>MR0EX8DD3H0250827</t>
  </si>
  <si>
    <t>MR0EX8DD0H0251322</t>
  </si>
  <si>
    <t>MR0EX8DDXH0175494</t>
  </si>
  <si>
    <t>5TFAY5F19JX684856</t>
  </si>
  <si>
    <t>1FMCU0EG4CKB36269</t>
  </si>
  <si>
    <t>MR0CX12G8E0116354</t>
  </si>
  <si>
    <t>1N6AAOEC2EN501015</t>
  </si>
  <si>
    <t>3C4PDCFG7DT582292</t>
  </si>
  <si>
    <t>MRHGM6660EP067681</t>
  </si>
  <si>
    <t>3N1CK3CD7DL259491</t>
  </si>
  <si>
    <t>JM3TCBDY2G0100666</t>
  </si>
  <si>
    <t>3N1CC1AS7GK199483</t>
  </si>
  <si>
    <t>5TDYK3DC2DS288089</t>
  </si>
  <si>
    <t>KL8CJ6AD3FC808423</t>
  </si>
  <si>
    <t>1C6RDUAK7CS711875</t>
  </si>
  <si>
    <t>2T3JFREV7GW456160</t>
  </si>
  <si>
    <t>MR0EX8CB0G1394117</t>
  </si>
  <si>
    <t>5YFBPRHE2HP606930</t>
  </si>
  <si>
    <t>JTDKBRFUXG3519826</t>
  </si>
  <si>
    <t>5YFBURHE0GP451060</t>
  </si>
  <si>
    <t>5YFBURHE8GP374583</t>
  </si>
  <si>
    <t>5TDYK3DC2FS549532</t>
  </si>
  <si>
    <t>5YFBURHE8EP027249</t>
  </si>
  <si>
    <t>MHKMC13F2EK008620</t>
  </si>
  <si>
    <t>5TDKKRFH9FS089223</t>
  </si>
  <si>
    <t>4T1BF1FK2GU566360</t>
  </si>
  <si>
    <t>MHKMC13F1FK011185</t>
  </si>
  <si>
    <t>AA11849</t>
  </si>
  <si>
    <t>AA11987</t>
  </si>
  <si>
    <t>AA11929</t>
  </si>
  <si>
    <t>AA11951</t>
  </si>
  <si>
    <t>AA11850</t>
  </si>
  <si>
    <t>A BAJA DEL ME ANTERIOR</t>
  </si>
  <si>
    <t>REPORTE DE ISAN SEP.2017</t>
  </si>
  <si>
    <t>Folio FINAL</t>
  </si>
  <si>
    <t>Folio INICIAL</t>
  </si>
  <si>
    <t>OCTUBRE.2017</t>
  </si>
  <si>
    <t>1861-TCN17</t>
  </si>
  <si>
    <t>3MYDLAYV5HY187513</t>
  </si>
  <si>
    <t>FERRER MONTELLANO RA</t>
  </si>
  <si>
    <t>0044-TCN18</t>
  </si>
  <si>
    <t>3MYDLAYV3JY303541</t>
  </si>
  <si>
    <t>1921-TCN17</t>
  </si>
  <si>
    <t>JTDKBRFU4H3049181</t>
  </si>
  <si>
    <t>REYES ANGELES MARIA</t>
  </si>
  <si>
    <t>1896-TCN17</t>
  </si>
  <si>
    <t>JTDKBRFU2H3052998</t>
  </si>
  <si>
    <t>1172-TCN17</t>
  </si>
  <si>
    <t>JTDKBRFUXH3554402</t>
  </si>
  <si>
    <t>1770-TCN17</t>
  </si>
  <si>
    <t>JTDKBRFU4H3050539</t>
  </si>
  <si>
    <t>SUAREZ NADAL EDGAR D</t>
  </si>
  <si>
    <t>1266-TCN17</t>
  </si>
  <si>
    <t>JTDKBRFUXH3040940</t>
  </si>
  <si>
    <t>GRANDE SILLERO HADA</t>
  </si>
  <si>
    <t>1268-TCN17</t>
  </si>
  <si>
    <t>JTDKBRFU3H3557500</t>
  </si>
  <si>
    <t>MAÑON MORALES JUAN</t>
  </si>
  <si>
    <t>1566-TCN17</t>
  </si>
  <si>
    <t>5YFBPRHE0HP711739</t>
  </si>
  <si>
    <t>0080-TCN18</t>
  </si>
  <si>
    <t>5YFBPRHE6JP740491</t>
  </si>
  <si>
    <t>TRANSPORTES EJECUTIV</t>
  </si>
  <si>
    <t>OJEDA VILLAGOMEZ MIG</t>
  </si>
  <si>
    <t>0071-TCN18</t>
  </si>
  <si>
    <t>5YFBPRHE1JP741614</t>
  </si>
  <si>
    <t>GOMEZ TREJO JUAN ARM</t>
  </si>
  <si>
    <t>1910-TCN17</t>
  </si>
  <si>
    <t>5YFBPRHE8HP702237</t>
  </si>
  <si>
    <t>PACHECO ORTIZ JAVIER</t>
  </si>
  <si>
    <t>1291-TCN17</t>
  </si>
  <si>
    <t>5YFBPRHE7HP685513</t>
  </si>
  <si>
    <t>NORIA LOPEZ MARIA IR</t>
  </si>
  <si>
    <t>MAYA ALBERTO MA. GUA</t>
  </si>
  <si>
    <t>1929-TCN17</t>
  </si>
  <si>
    <t>5YFBPRHE9HP729107</t>
  </si>
  <si>
    <t>ARTEAGA MARTINEZ JUA</t>
  </si>
  <si>
    <t>1858-TCN17</t>
  </si>
  <si>
    <t>5YFBPRHEXHP696604</t>
  </si>
  <si>
    <t>ROJAS LEON MARIO</t>
  </si>
  <si>
    <t>1766-TCN17</t>
  </si>
  <si>
    <t>5YFBPRHE1HP731109</t>
  </si>
  <si>
    <t>1934-TCN17</t>
  </si>
  <si>
    <t>5YFBPRHE1HP697947</t>
  </si>
  <si>
    <t>SAHAGUN MUÑOZ JUAN M</t>
  </si>
  <si>
    <t>HERRERA RAMIREZ REYN</t>
  </si>
  <si>
    <t>1835-TCN17</t>
  </si>
  <si>
    <t>MR2B29F3XH1084951</t>
  </si>
  <si>
    <t>HERRERA PATIÑO RAQUE</t>
  </si>
  <si>
    <t>1869-TCN17</t>
  </si>
  <si>
    <t>MR2B29F39H1091311</t>
  </si>
  <si>
    <t>1905-TCN17</t>
  </si>
  <si>
    <t>MR2B29F37H1080856</t>
  </si>
  <si>
    <t>1904-TCN17</t>
  </si>
  <si>
    <t>MR2B29F34H1091099</t>
  </si>
  <si>
    <t>1932-TCN17</t>
  </si>
  <si>
    <t>MR2B29F36H1092092</t>
  </si>
  <si>
    <t>IBARRA REYES BRENDA</t>
  </si>
  <si>
    <t>PEREZ DE LIRA LILIAN</t>
  </si>
  <si>
    <t>1941-TCN17</t>
  </si>
  <si>
    <t>MR2B29F30H1092105</t>
  </si>
  <si>
    <t>1942-TCN17</t>
  </si>
  <si>
    <t>MR2B29F32H1092171</t>
  </si>
  <si>
    <t>1943-TCN17</t>
  </si>
  <si>
    <t>MR2B29F36H1093369</t>
  </si>
  <si>
    <t>1314-TCN17</t>
  </si>
  <si>
    <t>MR2B29F38H1059028</t>
  </si>
  <si>
    <t>1473-TCN17</t>
  </si>
  <si>
    <t>MR2B29F38H1068957</t>
  </si>
  <si>
    <t>VILLASEÑOR PAREDES J</t>
  </si>
  <si>
    <t>1516-TCN17</t>
  </si>
  <si>
    <t>MR2B29F35H1071802</t>
  </si>
  <si>
    <t>JIMENEZ OLIVEROS MA.</t>
  </si>
  <si>
    <t>1663-TCN17</t>
  </si>
  <si>
    <t>MR2B29F30H1077202</t>
  </si>
  <si>
    <t>SANCHEZ USABIAGA FRA</t>
  </si>
  <si>
    <t>1664-TCN17</t>
  </si>
  <si>
    <t>MR2B29F32H1077394</t>
  </si>
  <si>
    <t>1503-TCN17</t>
  </si>
  <si>
    <t>MR2B29F37H1069744</t>
  </si>
  <si>
    <t>1727-TCN17</t>
  </si>
  <si>
    <t>MR2B29F37H1079187</t>
  </si>
  <si>
    <t>1779-TCN17</t>
  </si>
  <si>
    <t>MR2K29F31H1076995</t>
  </si>
  <si>
    <t>1626-TCN17</t>
  </si>
  <si>
    <t>MR2K29F37H1073745</t>
  </si>
  <si>
    <t>VAZQUEZ MORALES MARG</t>
  </si>
  <si>
    <t>1579-TCN17</t>
  </si>
  <si>
    <t>MR2K29F30H1074770</t>
  </si>
  <si>
    <t>QUIROZ GONZALEZ MIGU</t>
  </si>
  <si>
    <t>1743-TCN17</t>
  </si>
  <si>
    <t>MR2K29F36H1080153</t>
  </si>
  <si>
    <t>TORRES RAMOS FRANCIS</t>
  </si>
  <si>
    <t>1615-TCN17</t>
  </si>
  <si>
    <t>MR2K29F37H1073891</t>
  </si>
  <si>
    <t>1606-TCN17</t>
  </si>
  <si>
    <t>MR2K29F39H1075089</t>
  </si>
  <si>
    <t>FLORES GUTIERREZ AID</t>
  </si>
  <si>
    <t>CARDENAS TIERRABLANC</t>
  </si>
  <si>
    <t>1523-TCN17</t>
  </si>
  <si>
    <t>MHKMF53F5HK018528</t>
  </si>
  <si>
    <t>BALDERAS REVELES RUF</t>
  </si>
  <si>
    <t>1900-TCN17</t>
  </si>
  <si>
    <t>MHKMF53F1HK021152</t>
  </si>
  <si>
    <t>MACIAS QUINTANA MARI</t>
  </si>
  <si>
    <t>1915-TCN17</t>
  </si>
  <si>
    <t>MHKMF53F7HK021026</t>
  </si>
  <si>
    <t>1813-TCN17</t>
  </si>
  <si>
    <t>MHKMF53F2HK020107</t>
  </si>
  <si>
    <t>ARTEAGA ROJAS MERCED</t>
  </si>
  <si>
    <t>MARIAJOSE LOMELI GARZA</t>
  </si>
  <si>
    <t>1931-TCN17</t>
  </si>
  <si>
    <t>MHKMF53FXHK021165</t>
  </si>
  <si>
    <t>1897-TCN17</t>
  </si>
  <si>
    <t>MHKMF53F5HK021154</t>
  </si>
  <si>
    <t>1832-TCN17</t>
  </si>
  <si>
    <t>MHKMF53F8HK020726</t>
  </si>
  <si>
    <t>0151-TCN18</t>
  </si>
  <si>
    <t>MHKMF53F1JK022307</t>
  </si>
  <si>
    <t>YAÑEZ PANIAGUA EDITH</t>
  </si>
  <si>
    <t>0154-TCN18</t>
  </si>
  <si>
    <t>MHKMF53F3JK021823</t>
  </si>
  <si>
    <t>CERVANTES ARTEAGA IN</t>
  </si>
  <si>
    <t>0098-TCN18</t>
  </si>
  <si>
    <t>4T1B11HK3JU518823</t>
  </si>
  <si>
    <t>0046-TCN18</t>
  </si>
  <si>
    <t>4T1B11HK2JU001898</t>
  </si>
  <si>
    <t>OROZCO GARIBAY LUIS</t>
  </si>
  <si>
    <t>0049-TCN18</t>
  </si>
  <si>
    <t>4T1B11HK4JU500539</t>
  </si>
  <si>
    <t>0090-TCN18</t>
  </si>
  <si>
    <t>4T1B11HK1JU013766</t>
  </si>
  <si>
    <t>1692-TCN17</t>
  </si>
  <si>
    <t>2T3RFREV0HW675594</t>
  </si>
  <si>
    <t>ENRIQUEZ MARTINEZ AL</t>
  </si>
  <si>
    <t>1690-TCN17</t>
  </si>
  <si>
    <t>2T3RFREV4HW677199</t>
  </si>
  <si>
    <t>0143-TCN18</t>
  </si>
  <si>
    <t>2T3RFREV8JW697526</t>
  </si>
  <si>
    <t>1689-TCN17</t>
  </si>
  <si>
    <t>2T3RFREV0HW677197</t>
  </si>
  <si>
    <t>1801-TCN17</t>
  </si>
  <si>
    <t>2T3ZFREV4HW398061</t>
  </si>
  <si>
    <t>1404-TCN17</t>
  </si>
  <si>
    <t>2T3JFREVXHW574382</t>
  </si>
  <si>
    <t>1908-TCN17</t>
  </si>
  <si>
    <t>2T3DFREV6HW663315</t>
  </si>
  <si>
    <t>ROCA RENT S.A DE C.V</t>
  </si>
  <si>
    <t>1732-TCN17</t>
  </si>
  <si>
    <t>2T3RFREV6HW674529</t>
  </si>
  <si>
    <t>1407-TCN17</t>
  </si>
  <si>
    <t>2T3RFREV0HW633619</t>
  </si>
  <si>
    <t>1870-TCN17</t>
  </si>
  <si>
    <t>2T3RFREV2HW693014</t>
  </si>
  <si>
    <t>1609-TCN17</t>
  </si>
  <si>
    <t>5TDKZ3DC2HS869177</t>
  </si>
  <si>
    <t>1866-TCN17</t>
  </si>
  <si>
    <t>5TDKZ3DC8HS882662</t>
  </si>
  <si>
    <t>GONZALEZ SALOMON JOS</t>
  </si>
  <si>
    <t>1587-TCN17</t>
  </si>
  <si>
    <t>5TDYZ3DC8HS865290</t>
  </si>
  <si>
    <t>GARCIA CORONA MARTHA</t>
  </si>
  <si>
    <t>1919-TCN17</t>
  </si>
  <si>
    <t>5TDYZ3DCXHS889624</t>
  </si>
  <si>
    <t>1927-TCN17</t>
  </si>
  <si>
    <t>5TDYZ3DC5HS870365</t>
  </si>
  <si>
    <t>CALDERON RUIZ MA ANT</t>
  </si>
  <si>
    <t>1928-TCN17</t>
  </si>
  <si>
    <t>5TDYZ3DC5HS880507</t>
  </si>
  <si>
    <t>MENDOZA NAVA JOSE LU</t>
  </si>
  <si>
    <t>MARIA JOSE LOMELI GARZA</t>
  </si>
  <si>
    <t>1933-TCN17</t>
  </si>
  <si>
    <t>5TDYZ3DCXHS892202</t>
  </si>
  <si>
    <t>1936-TCN17</t>
  </si>
  <si>
    <t>5TDYZ3DC9HS894197</t>
  </si>
  <si>
    <t>VIGUERIAS ARREDONDO</t>
  </si>
  <si>
    <t>1906-TCN17</t>
  </si>
  <si>
    <t>5TDYZ3DC9HS888898</t>
  </si>
  <si>
    <t>1916-TCN17</t>
  </si>
  <si>
    <t>5TDYZ3DC2HS890816</t>
  </si>
  <si>
    <t>VILLALOBOS ZUñIGA RU</t>
  </si>
  <si>
    <t>1116-TCN17</t>
  </si>
  <si>
    <t>5TDYZ3DC6HS840050</t>
  </si>
  <si>
    <t>ROMERO HERNANDEZ JUA</t>
  </si>
  <si>
    <t>1264-TCN17</t>
  </si>
  <si>
    <t>5TDYZ3DC5HS850262</t>
  </si>
  <si>
    <t>1488-TCN17</t>
  </si>
  <si>
    <t>5TDYZ3DC8HS860476</t>
  </si>
  <si>
    <t>0141-TCN18</t>
  </si>
  <si>
    <t>JTFPX22P1J0079641</t>
  </si>
  <si>
    <t>PANIFICADORA TIO SAM</t>
  </si>
  <si>
    <t>0117-TCN18</t>
  </si>
  <si>
    <t>JTFSX23P8J6184649</t>
  </si>
  <si>
    <t>ROJAS VALENCIA JOSE</t>
  </si>
  <si>
    <t>0116-TCN18</t>
  </si>
  <si>
    <t>JTFSX23P1J6184623</t>
  </si>
  <si>
    <t>0142-TCN18</t>
  </si>
  <si>
    <t>JTFSX23P2J6185537</t>
  </si>
  <si>
    <t>NAVARRETE FLORES RUB</t>
  </si>
  <si>
    <t>1561-TCN17</t>
  </si>
  <si>
    <t>5TDKZRFH7HS217781</t>
  </si>
  <si>
    <t>1694-TCN17</t>
  </si>
  <si>
    <t>5TDKZRFH0HS223924</t>
  </si>
  <si>
    <t>HERNANDEZ GUILLEN GI</t>
  </si>
  <si>
    <t>1699-TCN17</t>
  </si>
  <si>
    <t>3TMCZ5AN6HM100929</t>
  </si>
  <si>
    <t>JAIMES MOJICA ECLISE</t>
  </si>
  <si>
    <t>1876-TCN17</t>
  </si>
  <si>
    <t>3TMCZ5AN2HM104962</t>
  </si>
  <si>
    <t>1799-TCN17</t>
  </si>
  <si>
    <t>3TMCZ5AN8HM104559</t>
  </si>
  <si>
    <t>CENTRAL DE LAMINAS Q</t>
  </si>
  <si>
    <t>1924-TCN17</t>
  </si>
  <si>
    <t>3TMCZ5AN1HM115015</t>
  </si>
  <si>
    <t>MORALES LOPEZ MARTHA</t>
  </si>
  <si>
    <t>1894-TCN17</t>
  </si>
  <si>
    <t>3TMCZ5AN8HM103413</t>
  </si>
  <si>
    <t>MALDONADO TORRES SAL</t>
  </si>
  <si>
    <t>1918-TCN17</t>
  </si>
  <si>
    <t>3TMCZ5AN1HM114821</t>
  </si>
  <si>
    <t>1925-TCN17</t>
  </si>
  <si>
    <t>3TMCZ5AN2HM113628</t>
  </si>
  <si>
    <t>1938-TCN17</t>
  </si>
  <si>
    <t>3TMCZ5AN7HM114497</t>
  </si>
  <si>
    <t>DIAZ LEON AGUSTIN</t>
  </si>
  <si>
    <t>HILUX DIESEL BASE</t>
  </si>
  <si>
    <t>0127-TCN18</t>
  </si>
  <si>
    <t>MR0FA8CD9J3900286</t>
  </si>
  <si>
    <t>CORTES VEGA RAUL</t>
  </si>
  <si>
    <t>HILUX DIESEL EQUIPADA</t>
  </si>
  <si>
    <t>0148-TCN18</t>
  </si>
  <si>
    <t>MR0HA8CD5J1087999</t>
  </si>
  <si>
    <t>ROSALES ALANIS ALEJA</t>
  </si>
  <si>
    <t>0185-TCN18</t>
  </si>
  <si>
    <t>MR0HA8CD9J1087679</t>
  </si>
  <si>
    <t>HILUX CABINA SENCILLA 5MT 4X2 AC</t>
  </si>
  <si>
    <t>1491-TCN17</t>
  </si>
  <si>
    <t>MR0EX8CB3H1398292</t>
  </si>
  <si>
    <t>1510-TCN17</t>
  </si>
  <si>
    <t>MR0EX8CB7H1398439</t>
  </si>
  <si>
    <t>1514-TCN17</t>
  </si>
  <si>
    <t>MR0EX8CB1H1398503</t>
  </si>
  <si>
    <t>1816-TCN17</t>
  </si>
  <si>
    <t>MR0EX8CB9H1399107</t>
  </si>
  <si>
    <t>1877-TCN17</t>
  </si>
  <si>
    <t>MR0EX8CB2H1399255</t>
  </si>
  <si>
    <t>SANCHEZ VERA JOSE AN</t>
  </si>
  <si>
    <t>1343-TCN17</t>
  </si>
  <si>
    <t>MR0EX8CB3H1397899</t>
  </si>
  <si>
    <t>0118-TCN18</t>
  </si>
  <si>
    <t>MR0EX8CBXJ1399333</t>
  </si>
  <si>
    <t>VARGAS VARGAS GERARD</t>
  </si>
  <si>
    <t>0119-TCN18</t>
  </si>
  <si>
    <t>MR0EX8CB0J1399356</t>
  </si>
  <si>
    <t>0126-TCN18</t>
  </si>
  <si>
    <t>MR0EX8CB9J1399467</t>
  </si>
  <si>
    <t>PRODUCTORA AGRICOLA</t>
  </si>
  <si>
    <t>0120-TCN18</t>
  </si>
  <si>
    <t>MR0EX8CB8J1399590</t>
  </si>
  <si>
    <t>ABEL DAVID AVRAHAM</t>
  </si>
  <si>
    <t>0181-TCN18</t>
  </si>
  <si>
    <t>MR0EX8CBXJ1399641</t>
  </si>
  <si>
    <t>SOLUCIONES INTEGRALE</t>
  </si>
  <si>
    <t>0184-TCN18</t>
  </si>
  <si>
    <t>MR0EX8CB9J1399730</t>
  </si>
  <si>
    <t>1422-TCN17</t>
  </si>
  <si>
    <t>MR0EX8DD9H0252954</t>
  </si>
  <si>
    <t>ORDUÑO MELENDEZ ALEJ</t>
  </si>
  <si>
    <t>1595-TCN17</t>
  </si>
  <si>
    <t>MR0EX8DD6H0176061</t>
  </si>
  <si>
    <t>PEREZ HERNANDEZ GRAC</t>
  </si>
  <si>
    <t>1818-TCN17</t>
  </si>
  <si>
    <t>MR0EX8DD3H0176518</t>
  </si>
  <si>
    <t>MARTINEZ NUÑEZ JOSE</t>
  </si>
  <si>
    <t>1879-TCN17</t>
  </si>
  <si>
    <t>MR0EX8DD7H0177073</t>
  </si>
  <si>
    <t>1596-TCN17</t>
  </si>
  <si>
    <t>MR0EX8DD6H0176108</t>
  </si>
  <si>
    <t>PRODUCTORES AGRICOLA</t>
  </si>
  <si>
    <t>1597-TCN17</t>
  </si>
  <si>
    <t>MR0EX8DD1H0253791</t>
  </si>
  <si>
    <t>TOVAR BUTANDA ANA LI</t>
  </si>
  <si>
    <t>1820-TCN17</t>
  </si>
  <si>
    <t>MR0EX8DD6H0176867</t>
  </si>
  <si>
    <t>SOLIS VALLE JORHUS H</t>
  </si>
  <si>
    <t>1812-TCN17</t>
  </si>
  <si>
    <t>MR0EX8DDXH0254373</t>
  </si>
  <si>
    <t>UNISEM, S.A. DE C.V.</t>
  </si>
  <si>
    <t>1821-TCN17</t>
  </si>
  <si>
    <t>MR0EX8DD4H0176897</t>
  </si>
  <si>
    <t>TORNILLOS INDUSTRIAL</t>
  </si>
  <si>
    <t>1667-TCN17</t>
  </si>
  <si>
    <t>MR0EX8DDXH0253918</t>
  </si>
  <si>
    <t>0139-TCN18</t>
  </si>
  <si>
    <t>MR0EX8DD8J0255141</t>
  </si>
  <si>
    <t>MARTINEZ PEREZ SALVA</t>
  </si>
  <si>
    <t>0140-TCN18</t>
  </si>
  <si>
    <t>MR0EX8DD9J0255276</t>
  </si>
  <si>
    <t>RIVAS BARBOSA GLORIA</t>
  </si>
  <si>
    <t>0144-TCN18</t>
  </si>
  <si>
    <t>MR0EX8DD3J0254897</t>
  </si>
  <si>
    <t>MEDINA SOTO LAURA</t>
  </si>
  <si>
    <t>0146-TCN18</t>
  </si>
  <si>
    <t>MR0EX8DD9J0255293</t>
  </si>
  <si>
    <t>JUAREZ RODRIGUEZ FRA</t>
  </si>
  <si>
    <t>1811-TCN17</t>
  </si>
  <si>
    <t>MR0EX8DD6H0176898</t>
  </si>
  <si>
    <t>AGUIRRE GARCIA VICEN</t>
  </si>
  <si>
    <t>0149-TCN18</t>
  </si>
  <si>
    <t>MR0EX8DDXJ0254816</t>
  </si>
  <si>
    <t>PEREZ ALCANTAR CHRIS</t>
  </si>
  <si>
    <t>0147-TCN18</t>
  </si>
  <si>
    <t>MR0EX8DD6J0255025</t>
  </si>
  <si>
    <t>CASTRO HERRERA JOSE</t>
  </si>
  <si>
    <t>0156-TCN18</t>
  </si>
  <si>
    <t>MR0EX8DDXJ0177123</t>
  </si>
  <si>
    <t>ALMAGUER TOLEDO MARI</t>
  </si>
  <si>
    <t>1935-TCN17</t>
  </si>
  <si>
    <t>MR0EX8DD5H0176536</t>
  </si>
  <si>
    <t>TREJO HEREDIA CARLOS</t>
  </si>
  <si>
    <t>1421-TCN17</t>
  </si>
  <si>
    <t>MR0EX8DD7H0175498</t>
  </si>
  <si>
    <t>1890-TCN17</t>
  </si>
  <si>
    <t>MR0EX8DD5H0175662</t>
  </si>
  <si>
    <t>1898-TCN17</t>
  </si>
  <si>
    <t>MR0EX8DD0H0251711</t>
  </si>
  <si>
    <t>0092-TCN18</t>
  </si>
  <si>
    <t>5TDYY5G10JS069373</t>
  </si>
  <si>
    <t>0175-TCU17</t>
  </si>
  <si>
    <t>VF1LZ32T8CC257680</t>
  </si>
  <si>
    <t>JAMAICA AMEZCUA JAVI</t>
  </si>
  <si>
    <t>0187-TCU17</t>
  </si>
  <si>
    <t>2C4JC1AG7DR731016</t>
  </si>
  <si>
    <t>CHAPARRO MONROY JIME</t>
  </si>
  <si>
    <t>0227-TCU17</t>
  </si>
  <si>
    <t>WF0BP4H20E4111212</t>
  </si>
  <si>
    <t>CONTRERAS PEREZ ROBE</t>
  </si>
  <si>
    <t>0152-TCU17</t>
  </si>
  <si>
    <t>1FADP3L9XGL218678</t>
  </si>
  <si>
    <t>ESTRADA HERRERA ROSA</t>
  </si>
  <si>
    <t>0223-TCU17</t>
  </si>
  <si>
    <t>MR0EX32G0C0003855</t>
  </si>
  <si>
    <t>MENDEZ TORRES LUIS F</t>
  </si>
  <si>
    <t>0205-TCU17</t>
  </si>
  <si>
    <t>3N1CK3CD7EL237704</t>
  </si>
  <si>
    <t>CRUZ HERNANDEZ LILIA</t>
  </si>
  <si>
    <t>0156-TCU17</t>
  </si>
  <si>
    <t>9FBHS2A67FM115775</t>
  </si>
  <si>
    <t>LOPEZ GASCA LUIS GUI</t>
  </si>
  <si>
    <t>0219-TCU17</t>
  </si>
  <si>
    <t>19XFB2686FE601636</t>
  </si>
  <si>
    <t>GOMEZ CANELO MARIA V</t>
  </si>
  <si>
    <t>0235-TCU17</t>
  </si>
  <si>
    <t>3G1TB5AF1DL149915</t>
  </si>
  <si>
    <t>QUERETARO MOTORS S.A</t>
  </si>
  <si>
    <t>0236-TCU17</t>
  </si>
  <si>
    <t>0238-TCU17</t>
  </si>
  <si>
    <t>3G1TB5AF1DL14991</t>
  </si>
  <si>
    <t>0204-TCU17</t>
  </si>
  <si>
    <t>3TMLU4EN3EM153666</t>
  </si>
  <si>
    <t>HERNANDEZ BERNAL MIG</t>
  </si>
  <si>
    <t>0228-TCU17</t>
  </si>
  <si>
    <t>1FMCU0F77EUE03507</t>
  </si>
  <si>
    <t>SOTO RODRIGUEZ EDGAR</t>
  </si>
  <si>
    <t>0222-TCU17</t>
  </si>
  <si>
    <t>GALLARDO SALAZAR LUI</t>
  </si>
  <si>
    <t>GALLARDO SAMANIEGO A</t>
  </si>
  <si>
    <t>0215-TCU17</t>
  </si>
  <si>
    <t>VNKKTUD33FA036383</t>
  </si>
  <si>
    <t>DELGADILLO MEJIA MAR</t>
  </si>
  <si>
    <t>0221-TCU17</t>
  </si>
  <si>
    <t>MHKMC13F1FK015396</t>
  </si>
  <si>
    <t>ALVARADO RAMIREZ PED</t>
  </si>
  <si>
    <t>0118-TCU17</t>
  </si>
  <si>
    <t>5TDKKRFH4GS143397</t>
  </si>
  <si>
    <t>JIMENEZ GARZA HUGO</t>
  </si>
  <si>
    <t>0213-TCU17</t>
  </si>
  <si>
    <t>VNKKTUD38GA059563</t>
  </si>
  <si>
    <t>ROSILLO ARROYO J. JE</t>
  </si>
  <si>
    <t>0212-TCU17</t>
  </si>
  <si>
    <t>5TDYKRFHXFS044429</t>
  </si>
  <si>
    <t>DIAZ SPENCER NATALIA</t>
  </si>
  <si>
    <t>0230-TCU17</t>
  </si>
  <si>
    <t>CARMONA RODRIGUEZ HU</t>
  </si>
  <si>
    <t>0239-TCU17</t>
  </si>
  <si>
    <t>4T1BK1FK5CU005706</t>
  </si>
  <si>
    <t>CORIA BARRIGA MARIO</t>
  </si>
  <si>
    <t>0231-TCU17</t>
  </si>
  <si>
    <t>5YFBURHE7GP437592</t>
  </si>
  <si>
    <t>HERNANDEZ RUIZ RICAR</t>
  </si>
  <si>
    <t>AA12040</t>
  </si>
  <si>
    <t>AA12001</t>
  </si>
  <si>
    <t>ZA04390</t>
  </si>
  <si>
    <t>AA12127</t>
  </si>
  <si>
    <t>ZA04385</t>
  </si>
  <si>
    <t>AA12132</t>
  </si>
  <si>
    <t>AA12187</t>
  </si>
  <si>
    <t>AA12000</t>
  </si>
  <si>
    <t>AA12056</t>
  </si>
  <si>
    <t>ZA04356</t>
  </si>
  <si>
    <t>AA12063</t>
  </si>
  <si>
    <t>AA12071</t>
  </si>
  <si>
    <t>ZA04359</t>
  </si>
  <si>
    <t>AA12073</t>
  </si>
  <si>
    <t>AA12125</t>
  </si>
  <si>
    <t>AA12135</t>
  </si>
  <si>
    <t>AA12018</t>
  </si>
  <si>
    <t>AA12084</t>
  </si>
  <si>
    <t>ZA04367</t>
  </si>
  <si>
    <t>AA12092</t>
  </si>
  <si>
    <t>ZA04395</t>
  </si>
  <si>
    <t>ZA04362</t>
  </si>
  <si>
    <t>AA12083</t>
  </si>
  <si>
    <t>ZA04372</t>
  </si>
  <si>
    <t>AA12104</t>
  </si>
  <si>
    <t>AA11996</t>
  </si>
  <si>
    <t>AA12031</t>
  </si>
  <si>
    <t>AA12059</t>
  </si>
  <si>
    <t>AA12141</t>
  </si>
  <si>
    <t>ZA04396</t>
  </si>
  <si>
    <t>AA12161</t>
  </si>
  <si>
    <t>AA12160</t>
  </si>
  <si>
    <t>AA11998</t>
  </si>
  <si>
    <t>AA12015</t>
  </si>
  <si>
    <t>AA12098</t>
  </si>
  <si>
    <t>AA12170</t>
  </si>
  <si>
    <t>ZA04331</t>
  </si>
  <si>
    <t>AA11999</t>
  </si>
  <si>
    <t>AA12043</t>
  </si>
  <si>
    <t>AA12044</t>
  </si>
  <si>
    <t>ZA04357</t>
  </si>
  <si>
    <t>AA12064</t>
  </si>
  <si>
    <t>AA12099</t>
  </si>
  <si>
    <t>AA12167</t>
  </si>
  <si>
    <t>AA12190</t>
  </si>
  <si>
    <t>AA12201</t>
  </si>
  <si>
    <t>AA12202</t>
  </si>
  <si>
    <t>AA12203</t>
  </si>
  <si>
    <t>AA12019</t>
  </si>
  <si>
    <t>AA12042</t>
  </si>
  <si>
    <t>AA12048</t>
  </si>
  <si>
    <t>AA12082</t>
  </si>
  <si>
    <t>AA12109</t>
  </si>
  <si>
    <t>AA12133</t>
  </si>
  <si>
    <t>AA12134</t>
  </si>
  <si>
    <t>ZA04391</t>
  </si>
  <si>
    <t>AA12027</t>
  </si>
  <si>
    <t>ZA04355</t>
  </si>
  <si>
    <t>AA12058</t>
  </si>
  <si>
    <t>AA12060</t>
  </si>
  <si>
    <t>AA12155</t>
  </si>
  <si>
    <t>AA12152</t>
  </si>
  <si>
    <t>AA12038</t>
  </si>
  <si>
    <t>ZA04353</t>
  </si>
  <si>
    <t>AA12057</t>
  </si>
  <si>
    <t>AA12068</t>
  </si>
  <si>
    <t>AA12159</t>
  </si>
  <si>
    <t>ZA04392</t>
  </si>
  <si>
    <t>ZA04335</t>
  </si>
  <si>
    <t>AA12009</t>
  </si>
  <si>
    <t>AA12010</t>
  </si>
  <si>
    <t>AA12023</t>
  </si>
  <si>
    <t>ZA04345</t>
  </si>
  <si>
    <t>AA12032</t>
  </si>
  <si>
    <t>ZA04346</t>
  </si>
  <si>
    <t>AA12033</t>
  </si>
  <si>
    <t>AA12037</t>
  </si>
  <si>
    <t>AA12086</t>
  </si>
  <si>
    <t>AA12171</t>
  </si>
  <si>
    <t>ZA04401</t>
  </si>
  <si>
    <t>AA12179</t>
  </si>
  <si>
    <t>AA12177</t>
  </si>
  <si>
    <t>AA12039</t>
  </si>
  <si>
    <t>AA12172</t>
  </si>
  <si>
    <t>AA12183</t>
  </si>
  <si>
    <t>ZA04402</t>
  </si>
  <si>
    <t>AA12180</t>
  </si>
  <si>
    <t>ZA04405</t>
  </si>
  <si>
    <t>AA12196</t>
  </si>
  <si>
    <t>AA12198</t>
  </si>
  <si>
    <t>AA12139</t>
  </si>
  <si>
    <t>ZA04394</t>
  </si>
  <si>
    <t>AA12107</t>
  </si>
  <si>
    <t>ZA04387</t>
  </si>
  <si>
    <t>AA12145</t>
  </si>
  <si>
    <t>AA12204</t>
  </si>
  <si>
    <t>AA12205</t>
  </si>
  <si>
    <t>AA12007</t>
  </si>
  <si>
    <t>AA12070</t>
  </si>
  <si>
    <t>ZA04360</t>
  </si>
  <si>
    <t>AA12072</t>
  </si>
  <si>
    <t>AA12147</t>
  </si>
  <si>
    <t>AA12156</t>
  </si>
  <si>
    <t>AA12065</t>
  </si>
  <si>
    <t>AA12188</t>
  </si>
  <si>
    <t>AA12046</t>
  </si>
  <si>
    <t>ZA04352</t>
  </si>
  <si>
    <t>AA12054</t>
  </si>
  <si>
    <t>AA12055</t>
  </si>
  <si>
    <t>AA12002</t>
  </si>
  <si>
    <t>AA12028</t>
  </si>
  <si>
    <t>ZA04348</t>
  </si>
  <si>
    <t>AA12194</t>
  </si>
  <si>
    <t>AA12052</t>
  </si>
  <si>
    <t>ZA04358</t>
  </si>
  <si>
    <t>AA12069</t>
  </si>
  <si>
    <t>AA12078</t>
  </si>
  <si>
    <t>ZA04363</t>
  </si>
  <si>
    <t>ZA04364</t>
  </si>
  <si>
    <t>ZA04365</t>
  </si>
  <si>
    <t>ZA04366</t>
  </si>
  <si>
    <t>AA12085</t>
  </si>
  <si>
    <t>AA12087</t>
  </si>
  <si>
    <t>AA12090</t>
  </si>
  <si>
    <t>AA12091</t>
  </si>
  <si>
    <t>AA12148</t>
  </si>
  <si>
    <t>AA12006</t>
  </si>
  <si>
    <t>AA12144</t>
  </si>
  <si>
    <t>AA12151</t>
  </si>
  <si>
    <t>ZA04388</t>
  </si>
  <si>
    <t>AA12149</t>
  </si>
  <si>
    <t>AA12150</t>
  </si>
  <si>
    <t>AA12168</t>
  </si>
  <si>
    <t>AA12175</t>
  </si>
  <si>
    <t>AA12080</t>
  </si>
  <si>
    <t>AA12097</t>
  </si>
  <si>
    <t>ZA04373</t>
  </si>
  <si>
    <t>AA12102</t>
  </si>
  <si>
    <t>AA12131</t>
  </si>
  <si>
    <t>AA12045</t>
  </si>
  <si>
    <t>AA12157</t>
  </si>
  <si>
    <t>ZA04342</t>
  </si>
  <si>
    <t>AA12026</t>
  </si>
  <si>
    <t>AA12153</t>
  </si>
  <si>
    <t>ZA04330</t>
  </si>
  <si>
    <t>AA11997</t>
  </si>
  <si>
    <t>AA12106</t>
  </si>
  <si>
    <t>AA12108</t>
  </si>
  <si>
    <t>AA12162</t>
  </si>
  <si>
    <t>AA12029</t>
  </si>
  <si>
    <t>ZA04374</t>
  </si>
  <si>
    <t>AA12128</t>
  </si>
  <si>
    <t>AA12067</t>
  </si>
  <si>
    <t>AA12077</t>
  </si>
  <si>
    <t>AA12136</t>
  </si>
  <si>
    <t>AA12164</t>
  </si>
  <si>
    <t>ZA04333</t>
  </si>
  <si>
    <t>ZA04334</t>
  </si>
  <si>
    <t>AA12004</t>
  </si>
  <si>
    <t>AA12005</t>
  </si>
  <si>
    <t>AA12008</t>
  </si>
  <si>
    <t>ZA04375</t>
  </si>
  <si>
    <t>AA12110</t>
  </si>
  <si>
    <t>AA12111</t>
  </si>
  <si>
    <t>AA12189</t>
  </si>
  <si>
    <t>AA12186</t>
  </si>
  <si>
    <t>AA12120</t>
  </si>
  <si>
    <t>ZA04403</t>
  </si>
  <si>
    <t>AA12193</t>
  </si>
  <si>
    <t>AA12191</t>
  </si>
  <si>
    <t>AA12210</t>
  </si>
  <si>
    <t>AA12016</t>
  </si>
  <si>
    <t>AA12021</t>
  </si>
  <si>
    <t>AA12020</t>
  </si>
  <si>
    <t>AA12088</t>
  </si>
  <si>
    <t>ZA04378</t>
  </si>
  <si>
    <t>AA12116</t>
  </si>
  <si>
    <t>AA12117</t>
  </si>
  <si>
    <t>AA12176</t>
  </si>
  <si>
    <t>AA12103</t>
  </si>
  <si>
    <t>AA12105</t>
  </si>
  <si>
    <t>AA12112</t>
  </si>
  <si>
    <t>AA12200</t>
  </si>
  <si>
    <t>AA12206</t>
  </si>
  <si>
    <t>AA12209</t>
  </si>
  <si>
    <t>AA12022</t>
  </si>
  <si>
    <t>AA12041</t>
  </si>
  <si>
    <t>AA12049</t>
  </si>
  <si>
    <t>AA12047</t>
  </si>
  <si>
    <t>ZA04350</t>
  </si>
  <si>
    <t>AA12050</t>
  </si>
  <si>
    <t>AA12066</t>
  </si>
  <si>
    <t>AA12093</t>
  </si>
  <si>
    <t>AA12096</t>
  </si>
  <si>
    <t>AA12114</t>
  </si>
  <si>
    <t>AA12113</t>
  </si>
  <si>
    <t>AA12115</t>
  </si>
  <si>
    <t>ZA04381</t>
  </si>
  <si>
    <t>AA12126</t>
  </si>
  <si>
    <t>ZA04384</t>
  </si>
  <si>
    <t>AA12130</t>
  </si>
  <si>
    <t>AA12137</t>
  </si>
  <si>
    <t>AA12138</t>
  </si>
  <si>
    <t>ZA04393</t>
  </si>
  <si>
    <t>AA12158</t>
  </si>
  <si>
    <t>AA12165</t>
  </si>
  <si>
    <t>AA12169</t>
  </si>
  <si>
    <t>AA12173</t>
  </si>
  <si>
    <t>ZA04399</t>
  </si>
  <si>
    <t>AA12178</t>
  </si>
  <si>
    <t>AA12185</t>
  </si>
  <si>
    <t>AA12195</t>
  </si>
  <si>
    <t>ZA04404</t>
  </si>
  <si>
    <t>AA12197</t>
  </si>
  <si>
    <t>AA12199</t>
  </si>
  <si>
    <t>ZA04406</t>
  </si>
  <si>
    <t>AA12207</t>
  </si>
  <si>
    <t>AA12208</t>
  </si>
  <si>
    <t>AA12034</t>
  </si>
  <si>
    <t>AA12081</t>
  </si>
  <si>
    <t>ZA04368</t>
  </si>
  <si>
    <t>AA12095</t>
  </si>
  <si>
    <t>AA12119</t>
  </si>
  <si>
    <t>ZA04382</t>
  </si>
  <si>
    <t>AA12129</t>
  </si>
  <si>
    <t>AA12089</t>
  </si>
  <si>
    <t>ZA04377</t>
  </si>
  <si>
    <t>AA12118</t>
  </si>
  <si>
    <t>AA12024</t>
  </si>
  <si>
    <t>AA12030</t>
  </si>
  <si>
    <t>AA12051</t>
  </si>
  <si>
    <t>ZA04354</t>
  </si>
  <si>
    <t>AA12074</t>
  </si>
  <si>
    <t>AA12076</t>
  </si>
  <si>
    <t>ZA04361</t>
  </si>
  <si>
    <t>AA12079</t>
  </si>
  <si>
    <t>AA12101</t>
  </si>
  <si>
    <t>AA12140</t>
  </si>
  <si>
    <t>ZA04386</t>
  </si>
  <si>
    <t>AA12146</t>
  </si>
  <si>
    <t>AA12142</t>
  </si>
  <si>
    <t>AA12143</t>
  </si>
  <si>
    <t>ZA04389</t>
  </si>
  <si>
    <t>AA12184</t>
  </si>
  <si>
    <t>AA12181</t>
  </si>
  <si>
    <t>AA12003</t>
  </si>
  <si>
    <t>ZA04339</t>
  </si>
  <si>
    <t>AA12013</t>
  </si>
  <si>
    <t>ZA04347</t>
  </si>
  <si>
    <t>AA12036</t>
  </si>
  <si>
    <t>AA12035</t>
  </si>
  <si>
    <t>AA12053</t>
  </si>
  <si>
    <t>AA12062</t>
  </si>
  <si>
    <t>AA12061</t>
  </si>
  <si>
    <t>ZA04379</t>
  </si>
  <si>
    <t>ZA04380</t>
  </si>
  <si>
    <t>AA12121</t>
  </si>
  <si>
    <t>AA12122</t>
  </si>
  <si>
    <t>AA12123</t>
  </si>
  <si>
    <t>AA12124</t>
  </si>
  <si>
    <t>AA12174</t>
  </si>
  <si>
    <t>AA12192</t>
  </si>
  <si>
    <t>SEP</t>
  </si>
  <si>
    <t>REPORTE DE ISAN OCT.2017</t>
  </si>
  <si>
    <t>AA12166</t>
  </si>
  <si>
    <t>AA12163</t>
  </si>
  <si>
    <t>ZA04400</t>
  </si>
  <si>
    <t>AA12182</t>
  </si>
  <si>
    <t>ZA04398</t>
  </si>
  <si>
    <t>ZA04397</t>
  </si>
  <si>
    <t>AA12154</t>
  </si>
  <si>
    <t>NOVIEMBRE.2017</t>
  </si>
  <si>
    <t>OCT</t>
  </si>
  <si>
    <t>NOV</t>
  </si>
  <si>
    <t>GRAN TOURER LUXURY LINE</t>
  </si>
  <si>
    <t>3MYDLAYV5HY175085</t>
  </si>
  <si>
    <t>3MYDLAYV2HY189736</t>
  </si>
  <si>
    <t>3MYDLAYVXJY305027</t>
  </si>
  <si>
    <t>3MYDLAYV6HY188234</t>
  </si>
  <si>
    <t>JTDKBRFU5H3053269</t>
  </si>
  <si>
    <t>JTDKBRFU4H3575391</t>
  </si>
  <si>
    <t>JTDKBRFU5H3044054</t>
  </si>
  <si>
    <t>JTDKBRFU7H3052124</t>
  </si>
  <si>
    <t>5YFBPRHE0JP742124</t>
  </si>
  <si>
    <t>5YFBPRHE4HP727328</t>
  </si>
  <si>
    <t>5YFBPRHE9JP747659</t>
  </si>
  <si>
    <t>5YFBPRHE7HP730675</t>
  </si>
  <si>
    <t>5YFBPRHE2HP645517</t>
  </si>
  <si>
    <t>5YFBPRHE2JP742111</t>
  </si>
  <si>
    <t>5YFBPRHE7JP742492</t>
  </si>
  <si>
    <t>5YFBPRHE6JP747182</t>
  </si>
  <si>
    <t>5YFBPRHE1JP747137</t>
  </si>
  <si>
    <t>5YFBPRHE8HP664704</t>
  </si>
  <si>
    <t>5YFBPRHE0JP739014</t>
  </si>
  <si>
    <t>5YFBPRHE1JP738504</t>
  </si>
  <si>
    <t>5YFBPRHE9HP674691</t>
  </si>
  <si>
    <t>5YFBPRHE3HP699165</t>
  </si>
  <si>
    <t>5YFBPRHE5JP751594</t>
  </si>
  <si>
    <t>MR2B29F33H1093040</t>
  </si>
  <si>
    <t>MR2B29F34H1092284</t>
  </si>
  <si>
    <t>MR2B29F30H1093433</t>
  </si>
  <si>
    <t>MR2B29F31H1092890</t>
  </si>
  <si>
    <t>MR2B29F39H1093026</t>
  </si>
  <si>
    <t>MR2B29F34H1093967</t>
  </si>
  <si>
    <t>MR2B29F33H1088789</t>
  </si>
  <si>
    <t>MR2B29F37H1087676</t>
  </si>
  <si>
    <t>MR2B29F32H103705</t>
  </si>
  <si>
    <t>MR2B29F35H1073498</t>
  </si>
  <si>
    <t>MR2B29F39H1074265</t>
  </si>
  <si>
    <t>MR2B29F3XH1078907</t>
  </si>
  <si>
    <t>MR2B29F38H1081174</t>
  </si>
  <si>
    <t>MR2B29F39H1072998</t>
  </si>
  <si>
    <t>MR2B29F3XH1080107</t>
  </si>
  <si>
    <t>MR2B29F39H1077747</t>
  </si>
  <si>
    <t>MR2B29F33H1078442</t>
  </si>
  <si>
    <t>MR2B29F35H1073727</t>
  </si>
  <si>
    <t>MR2B29F3XH1078745</t>
  </si>
  <si>
    <t>MR2B29F30H1078026</t>
  </si>
  <si>
    <t>MR2B29F38H1081028</t>
  </si>
  <si>
    <t>MR2B29F34H1081365</t>
  </si>
  <si>
    <t>MR2K29F34H1082208</t>
  </si>
  <si>
    <t>MR2K29F39H1077389</t>
  </si>
  <si>
    <t>MR2K29F3XH1083508</t>
  </si>
  <si>
    <t>MR2K29F38H1074595</t>
  </si>
  <si>
    <t>MR2K29F30H1075109</t>
  </si>
  <si>
    <t>MR2K29F32H1077427</t>
  </si>
  <si>
    <t>MR2K29F38H1081255</t>
  </si>
  <si>
    <t>MR2K29F38H1077853</t>
  </si>
  <si>
    <t>MR2K29F35H1078359</t>
  </si>
  <si>
    <t>MR2K29F36H1056578</t>
  </si>
  <si>
    <t>MR2K29F36H1073994</t>
  </si>
  <si>
    <t>MR2K29F35H108945</t>
  </si>
  <si>
    <t>MHKMF53E2JK013557</t>
  </si>
  <si>
    <t>MHKMF53E1JK013727</t>
  </si>
  <si>
    <t>MHKMF53E2JK014210</t>
  </si>
  <si>
    <t>MHKMF53EXJK013953</t>
  </si>
  <si>
    <t>MHKMF53E3JK014099</t>
  </si>
  <si>
    <t>MHKMF53FXJK022399</t>
  </si>
  <si>
    <t>MHKMF53F1JK022940</t>
  </si>
  <si>
    <t>MHKMF53F6JK021363</t>
  </si>
  <si>
    <t>MHKMF53F3JK022597</t>
  </si>
  <si>
    <t>MHKMF53F6JK021458</t>
  </si>
  <si>
    <t>4T1B11HK8JU016082</t>
  </si>
  <si>
    <t>4T1B11HK9JU036566</t>
  </si>
  <si>
    <t>4T1BF1FK8HU717283</t>
  </si>
  <si>
    <t>4T1B11HK9JU041976</t>
  </si>
  <si>
    <t>4T1B11HK4JU020341</t>
  </si>
  <si>
    <t>4T1B11HK6JU014217</t>
  </si>
  <si>
    <t>4T1B11HK2JU502502</t>
  </si>
  <si>
    <t>4T1B11HKXJU523212</t>
  </si>
  <si>
    <t>4T1B11HK1JU529237</t>
  </si>
  <si>
    <t>4T1B11HK6JU00162</t>
  </si>
  <si>
    <t>2T3RFREV6HW676779</t>
  </si>
  <si>
    <t>2T3RFREV6JW707065</t>
  </si>
  <si>
    <t>2T3RFREV0JW707529</t>
  </si>
  <si>
    <t>2T3RFREV2JW699689</t>
  </si>
  <si>
    <t>2T3RFREV0HW674073</t>
  </si>
  <si>
    <t>2T3RFREV2JW715602</t>
  </si>
  <si>
    <t>2T3RFREVXJW716898</t>
  </si>
  <si>
    <t>2T3RFREV9JW697826</t>
  </si>
  <si>
    <t>2T3RFREV8JW715331</t>
  </si>
  <si>
    <t>2T3ZFREV3HW399170</t>
  </si>
  <si>
    <t>2T3ZFREV0JW415895</t>
  </si>
  <si>
    <t>2T3ZFREV5HW384587</t>
  </si>
  <si>
    <t>2T3ZFREV5JW420963</t>
  </si>
  <si>
    <t>2T3ZFREV2JW407426</t>
  </si>
  <si>
    <t>2T3ZFREV2JW407457</t>
  </si>
  <si>
    <t>2T3JFREV2HW666828</t>
  </si>
  <si>
    <t>2T3JFREV7HW682250</t>
  </si>
  <si>
    <t>2T3RFREV2JW701201</t>
  </si>
  <si>
    <t>2T3RFREV1JW703473</t>
  </si>
  <si>
    <t>2T3RFREV5HW677647</t>
  </si>
  <si>
    <t>2T3RFREV5JW701127</t>
  </si>
  <si>
    <t>2T3RFREVXHW685095</t>
  </si>
  <si>
    <t>5TDKZ3DC7HS867750</t>
  </si>
  <si>
    <t>5TDKZ3DC5HS887088</t>
  </si>
  <si>
    <t>5TDYZ3DC6HS897168</t>
  </si>
  <si>
    <t>5TDYZ3DC0HS896856</t>
  </si>
  <si>
    <t>5TDYZ3DC3HS900009</t>
  </si>
  <si>
    <t>5TDYZ3DC6HS897994</t>
  </si>
  <si>
    <t>5TDYZ3DC9HS900533</t>
  </si>
  <si>
    <t>5TDYZ3DC3HS887505</t>
  </si>
  <si>
    <t>5TDYZ3DC1HS890421</t>
  </si>
  <si>
    <t>5TDYZ3DC1HS884621</t>
  </si>
  <si>
    <t>5TDYZ3DC7HS899057</t>
  </si>
  <si>
    <t>5TDYZ3DC6HS890365</t>
  </si>
  <si>
    <t>5TDYZ3DCXHS878512</t>
  </si>
  <si>
    <t>5TDYZ3DC7JS902965</t>
  </si>
  <si>
    <t>JTFPX22P3J0079432</t>
  </si>
  <si>
    <t>JTFSX23P8J6185364</t>
  </si>
  <si>
    <t>JTFSX23P8J6185316</t>
  </si>
  <si>
    <t>JTFSX23P8J6185980</t>
  </si>
  <si>
    <t>JTFSX23PXJ6186077</t>
  </si>
  <si>
    <t>JTFSX23P2J6185831</t>
  </si>
  <si>
    <t>JTFSX23P2J6186557</t>
  </si>
  <si>
    <t>JTFSX23P2J6186154</t>
  </si>
  <si>
    <t>5TDKZRFH7HS232703</t>
  </si>
  <si>
    <t>5TDKZRFH3HS229863</t>
  </si>
  <si>
    <t>5TDKZRFH9HS229852</t>
  </si>
  <si>
    <t>5TDKZRFH2HS229451</t>
  </si>
  <si>
    <t>5TDKZRFHXHS207858</t>
  </si>
  <si>
    <t>5TDYZRFH4HS229865</t>
  </si>
  <si>
    <t>5TDYZRFH4HS22793</t>
  </si>
  <si>
    <t>5TDYZRFH7HS228497</t>
  </si>
  <si>
    <t>5TDYZRFH9JS238292</t>
  </si>
  <si>
    <t>3TMCZ5AN2HM115248</t>
  </si>
  <si>
    <t>MR0FA8CDXJ3950288</t>
  </si>
  <si>
    <t>MR0HA8CD1J1055258</t>
  </si>
  <si>
    <t>MR0HA8CD2J1087474</t>
  </si>
  <si>
    <t>MR0HA8CD8J1055273</t>
  </si>
  <si>
    <t>MR0HA8CD5J1087694</t>
  </si>
  <si>
    <t>MR0HA8CD5J1055165</t>
  </si>
  <si>
    <t>MR0HA8CD9J1055184</t>
  </si>
  <si>
    <t>MR0HA8CD5J1055313</t>
  </si>
  <si>
    <t>MR0HA8CD8J1087706</t>
  </si>
  <si>
    <t>MR0HA8CD8J1088001</t>
  </si>
  <si>
    <t>MR0EX8CB7H1399140</t>
  </si>
  <si>
    <t>MR0EX8CB6J1399345</t>
  </si>
  <si>
    <t>MR0EX8CB9H1398247</t>
  </si>
  <si>
    <t>MR0EX8CB8J1399542</t>
  </si>
  <si>
    <t>MR0EX8CB7H1398215</t>
  </si>
  <si>
    <t>MR0EX8CB5H1398536</t>
  </si>
  <si>
    <t>MR0EX8CB1J1399625</t>
  </si>
  <si>
    <t>MR0EX8CB4J1399831</t>
  </si>
  <si>
    <t>MR0EX8CB1J1399897</t>
  </si>
  <si>
    <t>MR0EX8DD8J0255284</t>
  </si>
  <si>
    <t>MR0EX8DD9J0177128</t>
  </si>
  <si>
    <t>MR0EX8DD9H0176779</t>
  </si>
  <si>
    <t>MR0EX8DD4H0176608</t>
  </si>
  <si>
    <t>MR0EX8DD0H0176766</t>
  </si>
  <si>
    <t>MR0EX8DD2H0254528</t>
  </si>
  <si>
    <t>MR0EX8DD5J0254853</t>
  </si>
  <si>
    <t>MR0EX8DD1H0176792</t>
  </si>
  <si>
    <t>MR0EX8DD0J0255022</t>
  </si>
  <si>
    <t>MR0EX8DD0H0254205</t>
  </si>
  <si>
    <t>MR0EX8DD1J0255238</t>
  </si>
  <si>
    <t>MR0EX8DDXJ0254766</t>
  </si>
  <si>
    <t>MR0EX8DD3H0176938</t>
  </si>
  <si>
    <t>MR0EX8DD3H0176759</t>
  </si>
  <si>
    <t>MR0EX8DD4H0254580</t>
  </si>
  <si>
    <t>MR0EX8DDXH0176466</t>
  </si>
  <si>
    <t>MR0EX8DD1J0255045</t>
  </si>
  <si>
    <t>MR0EX8DD0J0177499</t>
  </si>
  <si>
    <t>5TDYY5G13JS069500</t>
  </si>
  <si>
    <t>5TFAY5F12JX684472</t>
  </si>
  <si>
    <t>5TFAY5F19JX693315</t>
  </si>
  <si>
    <t>KMHCM4NC5BU554346</t>
  </si>
  <si>
    <t>3HGRU5854GM004392</t>
  </si>
  <si>
    <t>5TDYK3DC7BS112572</t>
  </si>
  <si>
    <t>1GCRC9EC6GZ395703</t>
  </si>
  <si>
    <t>MAJFP1GD8FC141707</t>
  </si>
  <si>
    <t>1C3ADZAB8DN759988</t>
  </si>
  <si>
    <t>JS2ZC82SXG6303764</t>
  </si>
  <si>
    <t>KNDPR3NC3H7301762</t>
  </si>
  <si>
    <t>WAUAYA8X4DB062545</t>
  </si>
  <si>
    <t>KL4CJ9E80EB751070</t>
  </si>
  <si>
    <t>3N1CK3CD0CL242448</t>
  </si>
  <si>
    <t>9BWLL45Z6G4024203</t>
  </si>
  <si>
    <t>5KBRL5864CB801767</t>
  </si>
  <si>
    <t>3TMJU4GN0FM186548</t>
  </si>
  <si>
    <t>JTDKT9D36DD551704</t>
  </si>
  <si>
    <t>3TMJU4GN5FM176016</t>
  </si>
  <si>
    <t>5TDKKRFH3FS052166</t>
  </si>
  <si>
    <t>5YFBURHE5FP224560</t>
  </si>
  <si>
    <t>5YFBURHE3GP514474</t>
  </si>
  <si>
    <t>JTDKBRFU1H3026456</t>
  </si>
  <si>
    <t>2T3ZFREV5GW234896</t>
  </si>
  <si>
    <t>0868-TCN17</t>
  </si>
  <si>
    <t>1903-TCN17</t>
  </si>
  <si>
    <t>0053-TCN18</t>
  </si>
  <si>
    <t>1332-TCN17</t>
  </si>
  <si>
    <t>1913-TCN17</t>
  </si>
  <si>
    <t>1949-TCN17</t>
  </si>
  <si>
    <t>1545-TCN17</t>
  </si>
  <si>
    <t>1827-TCN17</t>
  </si>
  <si>
    <t>0082-TCN18</t>
  </si>
  <si>
    <t>1922-TCN17</t>
  </si>
  <si>
    <t>0106-TCN18</t>
  </si>
  <si>
    <t>1765-TCN17</t>
  </si>
  <si>
    <t>0961-TCN17</t>
  </si>
  <si>
    <t>0072-TCN18</t>
  </si>
  <si>
    <t>0085-TCN18</t>
  </si>
  <si>
    <t>0110-TCN18</t>
  </si>
  <si>
    <t>0109-TCN18</t>
  </si>
  <si>
    <t>1914-TCN17</t>
  </si>
  <si>
    <t>0083-TCN18</t>
  </si>
  <si>
    <t>0074-TCN18</t>
  </si>
  <si>
    <t>1402-TCN17</t>
  </si>
  <si>
    <t>1958-TCN17</t>
  </si>
  <si>
    <t>0211-TCN18</t>
  </si>
  <si>
    <t>1945-TCN17</t>
  </si>
  <si>
    <t>1946-TCN17</t>
  </si>
  <si>
    <t>1947-TCN17</t>
  </si>
  <si>
    <t>1944-TCN17</t>
  </si>
  <si>
    <t>1952-TCN17</t>
  </si>
  <si>
    <t>1963-TCN17</t>
  </si>
  <si>
    <t>1955-TCN17</t>
  </si>
  <si>
    <t>1964-TCN17</t>
  </si>
  <si>
    <t>1978-TCN17</t>
  </si>
  <si>
    <t>1590-TCN17</t>
  </si>
  <si>
    <t>1612-TCN17</t>
  </si>
  <si>
    <t>1726-TCN17</t>
  </si>
  <si>
    <t>1730-TCN17</t>
  </si>
  <si>
    <t>1611-TCN17</t>
  </si>
  <si>
    <t>1728-TCN17</t>
  </si>
  <si>
    <t>1744-TCN17</t>
  </si>
  <si>
    <t>1746-TCN17</t>
  </si>
  <si>
    <t>1591-TCN17</t>
  </si>
  <si>
    <t>1725-TCN17</t>
  </si>
  <si>
    <t>1745-TCN17</t>
  </si>
  <si>
    <t>1750-TCN17</t>
  </si>
  <si>
    <t>1731-TCN17</t>
  </si>
  <si>
    <t>1760-TCN17</t>
  </si>
  <si>
    <t>1641-TCN17</t>
  </si>
  <si>
    <t>1761-TCN17</t>
  </si>
  <si>
    <t>1627-TCN17</t>
  </si>
  <si>
    <t>1607-TCN17</t>
  </si>
  <si>
    <t>1666-TCN17</t>
  </si>
  <si>
    <t>1954-TCN17</t>
  </si>
  <si>
    <t>1909-TCN17</t>
  </si>
  <si>
    <t>1967-TCN17</t>
  </si>
  <si>
    <t>1177-TCN17</t>
  </si>
  <si>
    <t>1616-TCN17</t>
  </si>
  <si>
    <t>1975-TCN17</t>
  </si>
  <si>
    <t>0152-TCN18</t>
  </si>
  <si>
    <t>0182-TCN18</t>
  </si>
  <si>
    <t>0191-TCN18</t>
  </si>
  <si>
    <t>0189-TCN18</t>
  </si>
  <si>
    <t>0190-TCN18</t>
  </si>
  <si>
    <t>0192-TCN18</t>
  </si>
  <si>
    <t>0193-TCN18</t>
  </si>
  <si>
    <t>0159-TCN18</t>
  </si>
  <si>
    <t>0205-TCN18</t>
  </si>
  <si>
    <t>0150-TCN18</t>
  </si>
  <si>
    <t>0091-TCN18</t>
  </si>
  <si>
    <t>0247-TCN18</t>
  </si>
  <si>
    <t>0689-TCN17</t>
  </si>
  <si>
    <t>0244-TCN18</t>
  </si>
  <si>
    <t>0209-TCN18</t>
  </si>
  <si>
    <t>0136-TCN18</t>
  </si>
  <si>
    <t>0039-TCN18</t>
  </si>
  <si>
    <t>0223-TCN18</t>
  </si>
  <si>
    <t>0224-TCN18</t>
  </si>
  <si>
    <t>0061-TCN18</t>
  </si>
  <si>
    <t>1688-TCN17</t>
  </si>
  <si>
    <t>0215-TCN18</t>
  </si>
  <si>
    <t>0218-TCN18</t>
  </si>
  <si>
    <t>0219-TCN18</t>
  </si>
  <si>
    <t>1768-TCN17</t>
  </si>
  <si>
    <t>0232-TCN18</t>
  </si>
  <si>
    <t>0233-TCN18</t>
  </si>
  <si>
    <t>0243-TCN18</t>
  </si>
  <si>
    <t>0216-TCN18</t>
  </si>
  <si>
    <t>1800-TCN17</t>
  </si>
  <si>
    <t>0197-TCN18</t>
  </si>
  <si>
    <t>1642-TCN17</t>
  </si>
  <si>
    <t>0225-TCN18</t>
  </si>
  <si>
    <t>0101-TCN18</t>
  </si>
  <si>
    <t>0121-TCN18</t>
  </si>
  <si>
    <t>1599-TCN17</t>
  </si>
  <si>
    <t>1805-TCN17</t>
  </si>
  <si>
    <t>0104-TCN18</t>
  </si>
  <si>
    <t>0137-TCN18</t>
  </si>
  <si>
    <t>1693-TCN17</t>
  </si>
  <si>
    <t>0212-TCN18</t>
  </si>
  <si>
    <t>1787-TCN17</t>
  </si>
  <si>
    <t>1621-TCN17</t>
  </si>
  <si>
    <t>1976-TCN17</t>
  </si>
  <si>
    <t>1966-TCN17</t>
  </si>
  <si>
    <t>1968-TCN17</t>
  </si>
  <si>
    <t>1969-TCN17</t>
  </si>
  <si>
    <t>1972-TCN17</t>
  </si>
  <si>
    <t>1973-TCN17</t>
  </si>
  <si>
    <t>1911-TCN17</t>
  </si>
  <si>
    <t>1950-TCN17</t>
  </si>
  <si>
    <t>1912-TCN17</t>
  </si>
  <si>
    <t>1959-TCN17</t>
  </si>
  <si>
    <t>1956-TCN17</t>
  </si>
  <si>
    <t>1965-TCN17</t>
  </si>
  <si>
    <t>0255-TCN18</t>
  </si>
  <si>
    <t>0188-TCN18</t>
  </si>
  <si>
    <t>0183-TCN18</t>
  </si>
  <si>
    <t>0198-TCN18</t>
  </si>
  <si>
    <t>0206-TCN18</t>
  </si>
  <si>
    <t>0208-TCN18</t>
  </si>
  <si>
    <t>0230-TCN18</t>
  </si>
  <si>
    <t>0245-TCN18</t>
  </si>
  <si>
    <t>0246-TCN18</t>
  </si>
  <si>
    <t>1923-TCN17</t>
  </si>
  <si>
    <t>1846-TCN17</t>
  </si>
  <si>
    <t>1961-TCN17</t>
  </si>
  <si>
    <t>1874-TCN17</t>
  </si>
  <si>
    <t>1225-TCN17</t>
  </si>
  <si>
    <t>1847-TCN17</t>
  </si>
  <si>
    <t>1930-TCN17</t>
  </si>
  <si>
    <t>1875-TCN17</t>
  </si>
  <si>
    <t>0239-TCN18</t>
  </si>
  <si>
    <t>1951-TCN17</t>
  </si>
  <si>
    <t>0166-TCN18</t>
  </si>
  <si>
    <t>0169-TCN18</t>
  </si>
  <si>
    <t>0176-TCN18</t>
  </si>
  <si>
    <t>0170-TCN18</t>
  </si>
  <si>
    <t>0178-TCN18</t>
  </si>
  <si>
    <t>0167-TCN18</t>
  </si>
  <si>
    <t>0168-TCN18</t>
  </si>
  <si>
    <t>0201-TCN18</t>
  </si>
  <si>
    <t>0171-TCN18</t>
  </si>
  <si>
    <t>0200-TCN18</t>
  </si>
  <si>
    <t>1948-TCN17</t>
  </si>
  <si>
    <t>0180-TCN18</t>
  </si>
  <si>
    <t>1484-TCN17</t>
  </si>
  <si>
    <t>0217-TCN18</t>
  </si>
  <si>
    <t>1482-TCN17</t>
  </si>
  <si>
    <t>1594-TCN17</t>
  </si>
  <si>
    <t>0173-TCN18</t>
  </si>
  <si>
    <t>0240-TCN18</t>
  </si>
  <si>
    <t>0241-TCN18</t>
  </si>
  <si>
    <t>0158-TCN18</t>
  </si>
  <si>
    <t>0157-TCN18</t>
  </si>
  <si>
    <t>1953-TCN17</t>
  </si>
  <si>
    <t>1807-TCN17</t>
  </si>
  <si>
    <t>1809-TCN17</t>
  </si>
  <si>
    <t>1880-TCN17</t>
  </si>
  <si>
    <t>0213-TCN18</t>
  </si>
  <si>
    <t>1810-TCN17</t>
  </si>
  <si>
    <t>0221-TCN18</t>
  </si>
  <si>
    <t>1962-TCN17</t>
  </si>
  <si>
    <t>0222-TCN18</t>
  </si>
  <si>
    <t>0220-TCN18</t>
  </si>
  <si>
    <t>1878-TCN17</t>
  </si>
  <si>
    <t>1808-TCN17</t>
  </si>
  <si>
    <t>1882-TCN17</t>
  </si>
  <si>
    <t>1970-TCN17</t>
  </si>
  <si>
    <t>0194-TCN18</t>
  </si>
  <si>
    <t>0227-TCN18</t>
  </si>
  <si>
    <t>0093-TCN18</t>
  </si>
  <si>
    <t>0052-TCN18</t>
  </si>
  <si>
    <t>0231-TCN18</t>
  </si>
  <si>
    <t>0146-TCU17</t>
  </si>
  <si>
    <t>0200-TCU17</t>
  </si>
  <si>
    <t>0159-TCU17</t>
  </si>
  <si>
    <t>0241-TCU17</t>
  </si>
  <si>
    <t>0245-TCU17</t>
  </si>
  <si>
    <t>0135-TCU17</t>
  </si>
  <si>
    <t>0246-TCU17</t>
  </si>
  <si>
    <t>0248-TCU17</t>
  </si>
  <si>
    <t>0259-TCU17</t>
  </si>
  <si>
    <t>0216-TCU17</t>
  </si>
  <si>
    <t>0232-TCU17</t>
  </si>
  <si>
    <t>0244-TCU17</t>
  </si>
  <si>
    <t>0261-TCU17</t>
  </si>
  <si>
    <t>0247-TCU17</t>
  </si>
  <si>
    <t>0225-TCU17</t>
  </si>
  <si>
    <t>0195-TCU17</t>
  </si>
  <si>
    <t>0194-TCU17</t>
  </si>
  <si>
    <t>0249-TCU17</t>
  </si>
  <si>
    <t>0258-TCU17</t>
  </si>
  <si>
    <t>0255-TCU17</t>
  </si>
  <si>
    <t>0234-TCU17</t>
  </si>
  <si>
    <t>0251-TCU17</t>
  </si>
  <si>
    <t>0264-TCU17</t>
  </si>
  <si>
    <t>KEVIN FAVIAN ACEVEDO LARA</t>
  </si>
  <si>
    <t>FRANCISCO JAVIER MEZA MANRIQUE</t>
  </si>
  <si>
    <t>PAOLA CARDENAS TIERRABLANCA</t>
  </si>
  <si>
    <t>AA12235</t>
  </si>
  <si>
    <t>AA12420</t>
  </si>
  <si>
    <t>AA12304</t>
  </si>
  <si>
    <t>AA12405</t>
  </si>
  <si>
    <t>ZA04463</t>
  </si>
  <si>
    <t>AA12412</t>
  </si>
  <si>
    <t>AA12457</t>
  </si>
  <si>
    <t>AA12453</t>
  </si>
  <si>
    <t>ZA04432</t>
  </si>
  <si>
    <t>ZA04441</t>
  </si>
  <si>
    <t>AA12308</t>
  </si>
  <si>
    <t>AA12311</t>
  </si>
  <si>
    <t>AA12348</t>
  </si>
  <si>
    <t>AA12254</t>
  </si>
  <si>
    <t>ZA04436</t>
  </si>
  <si>
    <t>AA12293</t>
  </si>
  <si>
    <t>AA12454</t>
  </si>
  <si>
    <t>AA12233</t>
  </si>
  <si>
    <t>AA12307</t>
  </si>
  <si>
    <t>AA12234</t>
  </si>
  <si>
    <t>AA12329</t>
  </si>
  <si>
    <t>AA12223</t>
  </si>
  <si>
    <t>AA12229</t>
  </si>
  <si>
    <t>AA12228</t>
  </si>
  <si>
    <t>AA12295</t>
  </si>
  <si>
    <t>AA12294</t>
  </si>
  <si>
    <t>AA12327</t>
  </si>
  <si>
    <t>AA12333</t>
  </si>
  <si>
    <t>ZA04445</t>
  </si>
  <si>
    <t>AA12429</t>
  </si>
  <si>
    <t>ZA04472</t>
  </si>
  <si>
    <t>AA12459</t>
  </si>
  <si>
    <t>ZA04444</t>
  </si>
  <si>
    <t>AA12330</t>
  </si>
  <si>
    <t>AA12356</t>
  </si>
  <si>
    <t>ZA04446</t>
  </si>
  <si>
    <t>AA12336</t>
  </si>
  <si>
    <t>AA12337</t>
  </si>
  <si>
    <t>AA12211</t>
  </si>
  <si>
    <t>AA12212</t>
  </si>
  <si>
    <t>AA12213</t>
  </si>
  <si>
    <t>AA12218</t>
  </si>
  <si>
    <t>ZA04410</t>
  </si>
  <si>
    <t>AA12226</t>
  </si>
  <si>
    <t>AA12319</t>
  </si>
  <si>
    <t>AA12373</t>
  </si>
  <si>
    <t>AA12409</t>
  </si>
  <si>
    <t>AA12403</t>
  </si>
  <si>
    <t>ZA04461</t>
  </si>
  <si>
    <t>AA12410</t>
  </si>
  <si>
    <t>AA12470</t>
  </si>
  <si>
    <t>AA12291</t>
  </si>
  <si>
    <t>AA12301</t>
  </si>
  <si>
    <t>AA12302</t>
  </si>
  <si>
    <t>ZA04440</t>
  </si>
  <si>
    <t>AA12309</t>
  </si>
  <si>
    <t>AA12324</t>
  </si>
  <si>
    <t>AA12325</t>
  </si>
  <si>
    <t>AA12357</t>
  </si>
  <si>
    <t>AA12368</t>
  </si>
  <si>
    <t>AA12369</t>
  </si>
  <si>
    <t>AA12383</t>
  </si>
  <si>
    <t>AA12382</t>
  </si>
  <si>
    <t>AA12400</t>
  </si>
  <si>
    <t>AA12407</t>
  </si>
  <si>
    <t>ZA04479</t>
  </si>
  <si>
    <t>AA12468</t>
  </si>
  <si>
    <t>AA12469</t>
  </si>
  <si>
    <t>AA12471</t>
  </si>
  <si>
    <t>AA12274</t>
  </si>
  <si>
    <t>AA12278</t>
  </si>
  <si>
    <t>ZA04434</t>
  </si>
  <si>
    <t>AA12282</t>
  </si>
  <si>
    <t>AA12303</t>
  </si>
  <si>
    <t>AA12347</t>
  </si>
  <si>
    <t>AA12260</t>
  </si>
  <si>
    <t>AA12273</t>
  </si>
  <si>
    <t>AA12306</t>
  </si>
  <si>
    <t>AA12321</t>
  </si>
  <si>
    <t>ZA04448</t>
  </si>
  <si>
    <t>AA12339</t>
  </si>
  <si>
    <t>AA12393</t>
  </si>
  <si>
    <t>AA12397</t>
  </si>
  <si>
    <t>AA12419</t>
  </si>
  <si>
    <t>AA12415</t>
  </si>
  <si>
    <t>AA12438</t>
  </si>
  <si>
    <t>AA12462</t>
  </si>
  <si>
    <t>ZA04407</t>
  </si>
  <si>
    <t>AA12280</t>
  </si>
  <si>
    <t>AA12279</t>
  </si>
  <si>
    <t>AA12285</t>
  </si>
  <si>
    <t>ZA04439</t>
  </si>
  <si>
    <t>AA12312</t>
  </si>
  <si>
    <t>AA12349</t>
  </si>
  <si>
    <t>AA12404</t>
  </si>
  <si>
    <t>ZA04467</t>
  </si>
  <si>
    <t>AA12432</t>
  </si>
  <si>
    <t>ZA04471</t>
  </si>
  <si>
    <t>AA12437</t>
  </si>
  <si>
    <t>AA12440</t>
  </si>
  <si>
    <t>ZA04465</t>
  </si>
  <si>
    <t>AA12418</t>
  </si>
  <si>
    <t>AA12220</t>
  </si>
  <si>
    <t>ZA04412</t>
  </si>
  <si>
    <t>AA12227</t>
  </si>
  <si>
    <t>AA12240</t>
  </si>
  <si>
    <t>AA12238</t>
  </si>
  <si>
    <t>AA12286</t>
  </si>
  <si>
    <t>AA12401</t>
  </si>
  <si>
    <t>ZA04428</t>
  </si>
  <si>
    <t>AA12266</t>
  </si>
  <si>
    <t>AA12442</t>
  </si>
  <si>
    <t>AA12296</t>
  </si>
  <si>
    <t>AA12451</t>
  </si>
  <si>
    <t>ZA04450</t>
  </si>
  <si>
    <t>ZA04454</t>
  </si>
  <si>
    <t>AA12341</t>
  </si>
  <si>
    <t>AA12352</t>
  </si>
  <si>
    <t>AA12354</t>
  </si>
  <si>
    <t>ZA04473</t>
  </si>
  <si>
    <t>AA12445</t>
  </si>
  <si>
    <t>AA12446</t>
  </si>
  <si>
    <t>AA12317</t>
  </si>
  <si>
    <t>AA12332</t>
  </si>
  <si>
    <t>AA12350</t>
  </si>
  <si>
    <t>AA12378</t>
  </si>
  <si>
    <t>AA12388</t>
  </si>
  <si>
    <t>AA12430</t>
  </si>
  <si>
    <t>ZA04408</t>
  </si>
  <si>
    <t>AA12287</t>
  </si>
  <si>
    <t>AA12318</t>
  </si>
  <si>
    <t>AA12366</t>
  </si>
  <si>
    <t>AA12362</t>
  </si>
  <si>
    <t>AA12363</t>
  </si>
  <si>
    <t>AA12346</t>
  </si>
  <si>
    <t>AA12374</t>
  </si>
  <si>
    <t>ZA04466</t>
  </si>
  <si>
    <t>AA12416</t>
  </si>
  <si>
    <t>AA12424</t>
  </si>
  <si>
    <t>AA12426</t>
  </si>
  <si>
    <t>ZA04481</t>
  </si>
  <si>
    <t>AA12441</t>
  </si>
  <si>
    <t>AA12475</t>
  </si>
  <si>
    <t>AA12467</t>
  </si>
  <si>
    <t>AA12247</t>
  </si>
  <si>
    <t>AA12288</t>
  </si>
  <si>
    <t>AA12344</t>
  </si>
  <si>
    <t>ZA04458</t>
  </si>
  <si>
    <t>AA12372</t>
  </si>
  <si>
    <t>AA12375</t>
  </si>
  <si>
    <t>AA12449</t>
  </si>
  <si>
    <t>AA12472</t>
  </si>
  <si>
    <t>AA12381</t>
  </si>
  <si>
    <t>AA12384</t>
  </si>
  <si>
    <t>AA12246</t>
  </si>
  <si>
    <t>AA12267</t>
  </si>
  <si>
    <t>AA12289</t>
  </si>
  <si>
    <t>AA12290</t>
  </si>
  <si>
    <t>AA12328</t>
  </si>
  <si>
    <t>AA12463</t>
  </si>
  <si>
    <t>AA12284</t>
  </si>
  <si>
    <t>ZA04476</t>
  </si>
  <si>
    <t>AA12455</t>
  </si>
  <si>
    <t>AA12456</t>
  </si>
  <si>
    <t>AA12396</t>
  </si>
  <si>
    <t>AA12423</t>
  </si>
  <si>
    <t>AA12427</t>
  </si>
  <si>
    <t>AA12464</t>
  </si>
  <si>
    <t>ZA04478</t>
  </si>
  <si>
    <t>AA12465</t>
  </si>
  <si>
    <t>AA12466</t>
  </si>
  <si>
    <t>AA12214</t>
  </si>
  <si>
    <t>AA12241</t>
  </si>
  <si>
    <t>ZA04431</t>
  </si>
  <si>
    <t>AA12277</t>
  </si>
  <si>
    <t>ZA04435</t>
  </si>
  <si>
    <t>AA12283</t>
  </si>
  <si>
    <t>AA12305</t>
  </si>
  <si>
    <t>AA12364</t>
  </si>
  <si>
    <t>AA12310</t>
  </si>
  <si>
    <t>AA12402</t>
  </si>
  <si>
    <t>AA12473</t>
  </si>
  <si>
    <t>AA12245</t>
  </si>
  <si>
    <t>ZA04417</t>
  </si>
  <si>
    <t>AA12239</t>
  </si>
  <si>
    <t>AA12265</t>
  </si>
  <si>
    <t>AA12292</t>
  </si>
  <si>
    <t>ZA04437</t>
  </si>
  <si>
    <t>AA12298</t>
  </si>
  <si>
    <t>ZA04438</t>
  </si>
  <si>
    <t>AA12299</t>
  </si>
  <si>
    <t>AA12320</t>
  </si>
  <si>
    <t>AA12392</t>
  </si>
  <si>
    <t>ZA04464</t>
  </si>
  <si>
    <t>AA12413</t>
  </si>
  <si>
    <t>AA12447</t>
  </si>
  <si>
    <t>AA12444</t>
  </si>
  <si>
    <t>ZA04422</t>
  </si>
  <si>
    <t>AA12250</t>
  </si>
  <si>
    <t>AA12251</t>
  </si>
  <si>
    <t>AA12263</t>
  </si>
  <si>
    <t>AA12326</t>
  </si>
  <si>
    <t>AA12361</t>
  </si>
  <si>
    <t>AA12379</t>
  </si>
  <si>
    <t>AA12452</t>
  </si>
  <si>
    <t>AA12272</t>
  </si>
  <si>
    <t>AA12269</t>
  </si>
  <si>
    <t>AA12314</t>
  </si>
  <si>
    <t>ZA04451</t>
  </si>
  <si>
    <t>AA12343</t>
  </si>
  <si>
    <t>AA12450</t>
  </si>
  <si>
    <t>AA12261</t>
  </si>
  <si>
    <t>ZA04425</t>
  </si>
  <si>
    <t>AA12259</t>
  </si>
  <si>
    <t>ZA04429</t>
  </si>
  <si>
    <t>AA12271</t>
  </si>
  <si>
    <t>ZA04433</t>
  </si>
  <si>
    <t>ZA04477</t>
  </si>
  <si>
    <t>AA12458</t>
  </si>
  <si>
    <t>AA12460</t>
  </si>
  <si>
    <t>ZA04419</t>
  </si>
  <si>
    <t>ZA04420</t>
  </si>
  <si>
    <t>ZA04421</t>
  </si>
  <si>
    <t>ZA04423</t>
  </si>
  <si>
    <t>AA12248</t>
  </si>
  <si>
    <t>AA12249</t>
  </si>
  <si>
    <t>AA12252</t>
  </si>
  <si>
    <t>AA12253</t>
  </si>
  <si>
    <t>AA12359</t>
  </si>
  <si>
    <t>AA12216</t>
  </si>
  <si>
    <t>ZA04409</t>
  </si>
  <si>
    <t>AA12215</t>
  </si>
  <si>
    <t>AA12217</t>
  </si>
  <si>
    <t>ZA04414</t>
  </si>
  <si>
    <t>AA12221</t>
  </si>
  <si>
    <t>AA12232</t>
  </si>
  <si>
    <t>ZA04411</t>
  </si>
  <si>
    <t>AA12225</t>
  </si>
  <si>
    <t>ZA04415</t>
  </si>
  <si>
    <t>AA12222</t>
  </si>
  <si>
    <t>AA12231</t>
  </si>
  <si>
    <t>AA12256</t>
  </si>
  <si>
    <t>ZA04455</t>
  </si>
  <si>
    <t>AA12351</t>
  </si>
  <si>
    <t>AA12358</t>
  </si>
  <si>
    <t>AA12345</t>
  </si>
  <si>
    <t>AA12389</t>
  </si>
  <si>
    <t>ZA04468</t>
  </si>
  <si>
    <t>AA12425</t>
  </si>
  <si>
    <t>AA12433</t>
  </si>
  <si>
    <t>AA12219</t>
  </si>
  <si>
    <t>AA12242</t>
  </si>
  <si>
    <t>AA12268</t>
  </si>
  <si>
    <t>ZA04430</t>
  </si>
  <si>
    <t>AA12275</t>
  </si>
  <si>
    <t>ZA04456</t>
  </si>
  <si>
    <t>AA12360</t>
  </si>
  <si>
    <t>AA12422</t>
  </si>
  <si>
    <t>AA12431</t>
  </si>
  <si>
    <t>ZA04470</t>
  </si>
  <si>
    <t>ZA04442</t>
  </si>
  <si>
    <t>AA12315</t>
  </si>
  <si>
    <t>AA12436</t>
  </si>
  <si>
    <t>ZA04469</t>
  </si>
  <si>
    <t>AA12435</t>
  </si>
  <si>
    <t>AA12434</t>
  </si>
  <si>
    <t>AA12270</t>
  </si>
  <si>
    <t>AA12281</t>
  </si>
  <si>
    <t>AA12300</t>
  </si>
  <si>
    <t>AA12313</t>
  </si>
  <si>
    <t>AA12323</t>
  </si>
  <si>
    <t>AA12322</t>
  </si>
  <si>
    <t>AA12334</t>
  </si>
  <si>
    <t>AA12331</t>
  </si>
  <si>
    <t>ZA04447</t>
  </si>
  <si>
    <t>AA12338</t>
  </si>
  <si>
    <t>ZA04449</t>
  </si>
  <si>
    <t>AA12340</t>
  </si>
  <si>
    <t>AA12367</t>
  </si>
  <si>
    <t>ZA04452</t>
  </si>
  <si>
    <t>ZA04453</t>
  </si>
  <si>
    <t>AA12353</t>
  </si>
  <si>
    <t>AA12355</t>
  </si>
  <si>
    <t>AA12365</t>
  </si>
  <si>
    <t>AA12377</t>
  </si>
  <si>
    <t>ZA04460</t>
  </si>
  <si>
    <t>AA12380</t>
  </si>
  <si>
    <t>AA12387</t>
  </si>
  <si>
    <t>AA12385</t>
  </si>
  <si>
    <t>AA12408</t>
  </si>
  <si>
    <t>ZA04462</t>
  </si>
  <si>
    <t>AA12411</t>
  </si>
  <si>
    <t>AA12421</t>
  </si>
  <si>
    <t>AA12439</t>
  </si>
  <si>
    <t>AA12262</t>
  </si>
  <si>
    <t>AA12386</t>
  </si>
  <si>
    <t>AA12390</t>
  </si>
  <si>
    <t>ZA04418</t>
  </si>
  <si>
    <t>AA12243</t>
  </si>
  <si>
    <t>AA12244</t>
  </si>
  <si>
    <t>AA12414</t>
  </si>
  <si>
    <t>AA12224</t>
  </si>
  <si>
    <t>AA12230</t>
  </si>
  <si>
    <t>AA12264</t>
  </si>
  <si>
    <t>AA12258</t>
  </si>
  <si>
    <t>AA12316</t>
  </si>
  <si>
    <t>AA12335</t>
  </si>
  <si>
    <t>AA12342</t>
  </si>
  <si>
    <t>ZA04457</t>
  </si>
  <si>
    <t>AA12376</t>
  </si>
  <si>
    <t>AA12370</t>
  </si>
  <si>
    <t>AA12395</t>
  </si>
  <si>
    <t>AA12391</t>
  </si>
  <si>
    <t>AA12399</t>
  </si>
  <si>
    <t>AA12398</t>
  </si>
  <si>
    <t>AA12417</t>
  </si>
  <si>
    <t>AA12428</t>
  </si>
  <si>
    <t>ZA04474</t>
  </si>
  <si>
    <t>ZA04416</t>
  </si>
  <si>
    <t>AA12236</t>
  </si>
  <si>
    <t>AA12237</t>
  </si>
  <si>
    <t>AA12255</t>
  </si>
  <si>
    <t>ZA04424</t>
  </si>
  <si>
    <t>AA12257</t>
  </si>
  <si>
    <t>AA12276</t>
  </si>
  <si>
    <t>AA12297</t>
  </si>
  <si>
    <t>AA12371</t>
  </si>
  <si>
    <t>AA12394</t>
  </si>
  <si>
    <t>AA12406</t>
  </si>
  <si>
    <t>AA12443</t>
  </si>
  <si>
    <t>AA12448</t>
  </si>
  <si>
    <t>AA12461</t>
  </si>
  <si>
    <t>SILVA MARTINEZ ANA V</t>
  </si>
  <si>
    <t>MALAGON CANO MARIA G</t>
  </si>
  <si>
    <t>VALADEZ CORONA MARTI</t>
  </si>
  <si>
    <t>ROJAS MOLINA ROMEO</t>
  </si>
  <si>
    <t>ARRIAGA CHIMAL NADIA</t>
  </si>
  <si>
    <t>RICO MARTINEZ JOSE M</t>
  </si>
  <si>
    <t>VALLE HERNANDEZ LUIS</t>
  </si>
  <si>
    <t>HERNANDEZ CENTENO JA</t>
  </si>
  <si>
    <t>MENDOZA PATIÑO CALEB</t>
  </si>
  <si>
    <t>CASTRO RUIZ JONATAN</t>
  </si>
  <si>
    <t>MACIAS VELEZ ROSA MA</t>
  </si>
  <si>
    <t>AGUILAR ORTIZ JOSE J</t>
  </si>
  <si>
    <t>RODRIGUEZ MARTINEZ M</t>
  </si>
  <si>
    <t>PALLARES ZENEA MARIA</t>
  </si>
  <si>
    <t>PITAYO PEñA THELMA L</t>
  </si>
  <si>
    <t>DE SANTIAGO CARDENAS</t>
  </si>
  <si>
    <t>HERNANDEZ AGUILERA L</t>
  </si>
  <si>
    <t>GOMEZ SALAZAR MOISES</t>
  </si>
  <si>
    <t>DIAZ MALDONADO DAVID</t>
  </si>
  <si>
    <t>TECHNO ASSOCIE DE ME</t>
  </si>
  <si>
    <t>DURAN CASILLAS JULIE</t>
  </si>
  <si>
    <t>VAZQUEZ PEREZ J SALV</t>
  </si>
  <si>
    <t>CARRANZA LOZANO ARMI</t>
  </si>
  <si>
    <t>HUERTA RUIZ MARTHA</t>
  </si>
  <si>
    <t>LOPEZ GARCIA RAFAEL</t>
  </si>
  <si>
    <t>TRUJILLO ORTEGA FERN</t>
  </si>
  <si>
    <t>MERAZ SOSA ELISA</t>
  </si>
  <si>
    <t>RIVAS SALDAñA GLORIA</t>
  </si>
  <si>
    <t>FLORES BAUTISTA HECT</t>
  </si>
  <si>
    <t>PATIñO LEON LUIS</t>
  </si>
  <si>
    <t>NAVARRO LEDESMA MAYR</t>
  </si>
  <si>
    <t>KURIGAGE S.A. DE C.V</t>
  </si>
  <si>
    <t>PEREZ HUERTA CESAR E</t>
  </si>
  <si>
    <t>ESPITIA LOPEZ MARIA</t>
  </si>
  <si>
    <t>SERRANO POZOS PEDRO</t>
  </si>
  <si>
    <t>SANCHEZ ROMERO LUIS</t>
  </si>
  <si>
    <t>TREJO PACHECO MARTHA</t>
  </si>
  <si>
    <t>CAMARGO CHIMAL JAVIE</t>
  </si>
  <si>
    <t>VEGA MARTINEZ JOSE L</t>
  </si>
  <si>
    <t>GUERRERO ORTEGA GABR</t>
  </si>
  <si>
    <t>GONZALEZ MORALES JUA</t>
  </si>
  <si>
    <t>HERNANDEZ ENRIQUEZ I</t>
  </si>
  <si>
    <t>HURTADO SANCHEZ ANGE</t>
  </si>
  <si>
    <t>MARRACINO LUDOVICO G</t>
  </si>
  <si>
    <t>HERNANDEZ LOPEZ EDGA</t>
  </si>
  <si>
    <t>FLORES GARCIA MANUEL</t>
  </si>
  <si>
    <t>TOVAR CASTRO JOSE RI</t>
  </si>
  <si>
    <t>ZAVALA HERNANDEZ J J</t>
  </si>
  <si>
    <t>TOY AUTOMOTORES S.A.</t>
  </si>
  <si>
    <t>CHAVEZ MA. VICTORIA</t>
  </si>
  <si>
    <t>KARLSON CONTRA INCEN</t>
  </si>
  <si>
    <t>URIBE LIMON ROGELIO</t>
  </si>
  <si>
    <t>GRANULADOS DEL BAJIO</t>
  </si>
  <si>
    <t>DIAZ BONILLA ROBERTA</t>
  </si>
  <si>
    <t>S.E Y L.T. VILLARREA</t>
  </si>
  <si>
    <t>PATIñO ROSILLO LAURA</t>
  </si>
  <si>
    <t>FLORES VERA JOSE</t>
  </si>
  <si>
    <t>LARIOS CASTRO MANUEL</t>
  </si>
  <si>
    <t>TURISMOS CABRERA S A</t>
  </si>
  <si>
    <t>ZAVALA HERNANDEZ JOS</t>
  </si>
  <si>
    <t>TURISMO CABRERA S A</t>
  </si>
  <si>
    <t>CARBAJAL SANCHEZ JAV</t>
  </si>
  <si>
    <t>AUTOTRANSPORTES QUET</t>
  </si>
  <si>
    <t>GRUPO GASOLINERO BUG</t>
  </si>
  <si>
    <t>GONZALEZ MALDONADO J</t>
  </si>
  <si>
    <t>ROJAS GARCIA MANUEL</t>
  </si>
  <si>
    <t>AGUIRRE RODRIGUEZ JO</t>
  </si>
  <si>
    <t>GAGE CHRISTOPHER LYL</t>
  </si>
  <si>
    <t>ALVAREZ HERNANDEZ J</t>
  </si>
  <si>
    <t>GRUPO EDUCATIVO IMA</t>
  </si>
  <si>
    <t>RIOS GONZALEZ JOSE A</t>
  </si>
  <si>
    <t>MARTINEZ SANTANA LUI</t>
  </si>
  <si>
    <t>RAMIREZ ALAMILLA MA.</t>
  </si>
  <si>
    <t>RODRIGUEZ CORONA ROB</t>
  </si>
  <si>
    <t>MOSQUEDA DELGADILLO</t>
  </si>
  <si>
    <t>ZARATE JOAQUIN MARIA</t>
  </si>
  <si>
    <t>JUAREZ HERNANDEZ AUD</t>
  </si>
  <si>
    <t>ENRIQUEZ RAZO MARIA</t>
  </si>
  <si>
    <t>CAMARILLO MOCTEZUMA</t>
  </si>
  <si>
    <t>MATA ARELLANO VICENT</t>
  </si>
  <si>
    <t>ESTRATEGIA PEMAR SA</t>
  </si>
  <si>
    <t>AVE CONSULTING SC</t>
  </si>
  <si>
    <t>MORENO LIRA MARIA EL</t>
  </si>
  <si>
    <t>COPEM SA DE CV</t>
  </si>
  <si>
    <t>ESPAÑA PEREZ MOISES</t>
  </si>
  <si>
    <t>MARTINEZ REYES RAMON</t>
  </si>
  <si>
    <t>RODRIGUEZ JAUREGUI C</t>
  </si>
  <si>
    <t>PEREZ MONCADA GILDAR</t>
  </si>
  <si>
    <t>MARTINEZ ELICEA RENE</t>
  </si>
  <si>
    <t>MUÑOZ MENDEZ NALLELY</t>
  </si>
  <si>
    <t>CONSULTORIA DE SERVI</t>
  </si>
  <si>
    <t>GARCIA JUVERA EDUARD</t>
  </si>
  <si>
    <t>LARA RODRIGUEZ RAUL</t>
  </si>
  <si>
    <t>PATINO JIMENEZ GERAR</t>
  </si>
  <si>
    <t>GARCIA RODRIGUEZ MAR</t>
  </si>
  <si>
    <t>TANNAHILL BONNIE BLI</t>
  </si>
  <si>
    <t>DENICIA REYES EVA</t>
  </si>
  <si>
    <t>ORTIZ JAMAICA MARIA</t>
  </si>
  <si>
    <t>GONZALEZ ARREGUIN AR</t>
  </si>
  <si>
    <t>GUERRERO PRIETO JAEL</t>
  </si>
  <si>
    <t>PADRON HERNANDEZ MAN</t>
  </si>
  <si>
    <t>ARTEAGA GALLO SIDNEY</t>
  </si>
  <si>
    <t>MONARREZ MADRID NORA</t>
  </si>
  <si>
    <t>SALAZAR PEREZ MARIA</t>
  </si>
  <si>
    <t>ZALDIVAR PERDOMO MIR</t>
  </si>
  <si>
    <t>DE CASO AGUIRRE MARI</t>
  </si>
  <si>
    <t>SAUCEDO CASTELAN NID</t>
  </si>
  <si>
    <t>ACEVEDO ESTRADA SAND</t>
  </si>
  <si>
    <t>PD 3795</t>
  </si>
  <si>
    <t>X</t>
  </si>
  <si>
    <t>REPORTE DE ISAN NOV.2017</t>
  </si>
  <si>
    <t>DICIEMBRE.2017</t>
  </si>
  <si>
    <t>ZA04508</t>
  </si>
  <si>
    <t>AA12561</t>
  </si>
  <si>
    <t>ZA04490</t>
  </si>
  <si>
    <t>ZA04499</t>
  </si>
  <si>
    <t>AA12524</t>
  </si>
  <si>
    <t>AA12526</t>
  </si>
  <si>
    <t>AA12520</t>
  </si>
  <si>
    <t>AA12617</t>
  </si>
  <si>
    <t>AA12659</t>
  </si>
  <si>
    <t>AA12660</t>
  </si>
  <si>
    <t>AA12656</t>
  </si>
  <si>
    <t>AA12657</t>
  </si>
  <si>
    <t>AA12658</t>
  </si>
  <si>
    <t>AA12737</t>
  </si>
  <si>
    <t>AA12506</t>
  </si>
  <si>
    <t>AA12503</t>
  </si>
  <si>
    <t>AA12543</t>
  </si>
  <si>
    <t>AA12540</t>
  </si>
  <si>
    <t>AA12568</t>
  </si>
  <si>
    <t>AA12736</t>
  </si>
  <si>
    <t>AA12565</t>
  </si>
  <si>
    <t>ZA04531</t>
  </si>
  <si>
    <t>AA12664</t>
  </si>
  <si>
    <t>AA12673</t>
  </si>
  <si>
    <t>ZA04543</t>
  </si>
  <si>
    <t>ZA04546</t>
  </si>
  <si>
    <t>AA12700</t>
  </si>
  <si>
    <t>AA12701</t>
  </si>
  <si>
    <t>AA12571</t>
  </si>
  <si>
    <t>AA12552</t>
  </si>
  <si>
    <t>AA12554</t>
  </si>
  <si>
    <t>AA12553</t>
  </si>
  <si>
    <t>AA12555</t>
  </si>
  <si>
    <t>ZA04535</t>
  </si>
  <si>
    <t>AA12681</t>
  </si>
  <si>
    <t>AA12682</t>
  </si>
  <si>
    <t>ZA04537</t>
  </si>
  <si>
    <t>AA12685</t>
  </si>
  <si>
    <t>AA12487</t>
  </si>
  <si>
    <t>AA12574</t>
  </si>
  <si>
    <t>AA12671</t>
  </si>
  <si>
    <t>AA12715</t>
  </si>
  <si>
    <t>ZA04554</t>
  </si>
  <si>
    <t>AA12731</t>
  </si>
  <si>
    <t>AA12549</t>
  </si>
  <si>
    <t>AA12482</t>
  </si>
  <si>
    <t>ZA04486</t>
  </si>
  <si>
    <t>AA12491</t>
  </si>
  <si>
    <t>AA12511</t>
  </si>
  <si>
    <t>ZA04493</t>
  </si>
  <si>
    <t>AA12512</t>
  </si>
  <si>
    <t>AA12516</t>
  </si>
  <si>
    <t>ZA04495</t>
  </si>
  <si>
    <t>AA12517</t>
  </si>
  <si>
    <t>AA12523</t>
  </si>
  <si>
    <t>AA12521</t>
  </si>
  <si>
    <t>AA12529</t>
  </si>
  <si>
    <t>ZA04500</t>
  </si>
  <si>
    <t>AA12530</t>
  </si>
  <si>
    <t>AA12580</t>
  </si>
  <si>
    <t>AA12586</t>
  </si>
  <si>
    <t>AA12590</t>
  </si>
  <si>
    <t>AA12589</t>
  </si>
  <si>
    <t>AA12593</t>
  </si>
  <si>
    <t>AA12592</t>
  </si>
  <si>
    <t>AA12591</t>
  </si>
  <si>
    <t>AA12594</t>
  </si>
  <si>
    <t>AA12588</t>
  </si>
  <si>
    <t>AA12629</t>
  </si>
  <si>
    <t>AA12628</t>
  </si>
  <si>
    <t>AA12637</t>
  </si>
  <si>
    <t>AA12643</t>
  </si>
  <si>
    <t>AA12651</t>
  </si>
  <si>
    <t>ZA04527</t>
  </si>
  <si>
    <t>AA12641</t>
  </si>
  <si>
    <t>AA12691</t>
  </si>
  <si>
    <t>ZA04539</t>
  </si>
  <si>
    <t>AA12690</t>
  </si>
  <si>
    <t>AA12708</t>
  </si>
  <si>
    <t>ZA04547</t>
  </si>
  <si>
    <t>AA12702</t>
  </si>
  <si>
    <t>AA12703</t>
  </si>
  <si>
    <t>AA12723</t>
  </si>
  <si>
    <t>AA12722</t>
  </si>
  <si>
    <t>AA12716</t>
  </si>
  <si>
    <t>AA12721</t>
  </si>
  <si>
    <t>ZA04501</t>
  </si>
  <si>
    <t>AA12546</t>
  </si>
  <si>
    <t>AA12581</t>
  </si>
  <si>
    <t>AA12630</t>
  </si>
  <si>
    <t>AA12692</t>
  </si>
  <si>
    <t>ZA04542</t>
  </si>
  <si>
    <t>AA12698</t>
  </si>
  <si>
    <t>AA12726</t>
  </si>
  <si>
    <t>ZA04480</t>
  </si>
  <si>
    <t>AA12474</t>
  </si>
  <si>
    <t>ZA04489</t>
  </si>
  <si>
    <t>AA12501</t>
  </si>
  <si>
    <t>AA12627</t>
  </si>
  <si>
    <t>AA12615</t>
  </si>
  <si>
    <t>AA12626</t>
  </si>
  <si>
    <t>AA12693</t>
  </si>
  <si>
    <t>AA12725</t>
  </si>
  <si>
    <t>ZA04484</t>
  </si>
  <si>
    <t>AA12493</t>
  </si>
  <si>
    <t>AA12502</t>
  </si>
  <si>
    <t>AA12538</t>
  </si>
  <si>
    <t>AA12665</t>
  </si>
  <si>
    <t>AA12688</t>
  </si>
  <si>
    <t>AA12500</t>
  </si>
  <si>
    <t>AA12518</t>
  </si>
  <si>
    <t>AA12556</t>
  </si>
  <si>
    <t>AA12557</t>
  </si>
  <si>
    <t>ZA04512</t>
  </si>
  <si>
    <t>ZA04548</t>
  </si>
  <si>
    <t>AA12704</t>
  </si>
  <si>
    <t>AA12711</t>
  </si>
  <si>
    <t>AA12728</t>
  </si>
  <si>
    <t>AA12645</t>
  </si>
  <si>
    <t>AA12494</t>
  </si>
  <si>
    <t>AA12562</t>
  </si>
  <si>
    <t>ZA04514</t>
  </si>
  <si>
    <t>AA12572</t>
  </si>
  <si>
    <t>AA12576</t>
  </si>
  <si>
    <t>AA12595</t>
  </si>
  <si>
    <t>ZA04518</t>
  </si>
  <si>
    <t>AA12600</t>
  </si>
  <si>
    <t>AA12601</t>
  </si>
  <si>
    <t>AA12639</t>
  </si>
  <si>
    <t>AA12653</t>
  </si>
  <si>
    <t>ZA04528</t>
  </si>
  <si>
    <t>ZA04529</t>
  </si>
  <si>
    <t>AA12649</t>
  </si>
  <si>
    <t>AA12652</t>
  </si>
  <si>
    <t>ZA04533</t>
  </si>
  <si>
    <t>AA12676</t>
  </si>
  <si>
    <t>AA12677</t>
  </si>
  <si>
    <t>ZA04545</t>
  </si>
  <si>
    <t>AA12705</t>
  </si>
  <si>
    <t>AA12499</t>
  </si>
  <si>
    <t>ZA04504</t>
  </si>
  <si>
    <t>AA12541</t>
  </si>
  <si>
    <t>AA12579</t>
  </si>
  <si>
    <t>AA12655</t>
  </si>
  <si>
    <t>AA12727</t>
  </si>
  <si>
    <t>ZA04483</t>
  </si>
  <si>
    <t>AA12480</t>
  </si>
  <si>
    <t>ZA04487</t>
  </si>
  <si>
    <t>AA12490</t>
  </si>
  <si>
    <t>AA12504</t>
  </si>
  <si>
    <t>ZA04510</t>
  </si>
  <si>
    <t>AA12597</t>
  </si>
  <si>
    <t>AA12614</t>
  </si>
  <si>
    <t>AA12640</t>
  </si>
  <si>
    <t>ZA04532</t>
  </si>
  <si>
    <t>AA12672</t>
  </si>
  <si>
    <t>AA12675</t>
  </si>
  <si>
    <t>AA12505</t>
  </si>
  <si>
    <t>AA12663</t>
  </si>
  <si>
    <t>AA12622</t>
  </si>
  <si>
    <t>AA12724</t>
  </si>
  <si>
    <t>ZA04494</t>
  </si>
  <si>
    <t>AA12514</t>
  </si>
  <si>
    <t>ZA04511</t>
  </si>
  <si>
    <t>AA12566</t>
  </si>
  <si>
    <t>AA12567</t>
  </si>
  <si>
    <t>AA12642</t>
  </si>
  <si>
    <t>AA12680</t>
  </si>
  <si>
    <t>ZA04552</t>
  </si>
  <si>
    <t>AA12714</t>
  </si>
  <si>
    <t>AA12495</t>
  </si>
  <si>
    <t>AA12619</t>
  </si>
  <si>
    <t>ZA04505</t>
  </si>
  <si>
    <t>AA12542</t>
  </si>
  <si>
    <t>AA12544</t>
  </si>
  <si>
    <t>ZA04534</t>
  </si>
  <si>
    <t>AA12678</t>
  </si>
  <si>
    <t>AA12679</t>
  </si>
  <si>
    <t>AA12718</t>
  </si>
  <si>
    <t>AA12734</t>
  </si>
  <si>
    <t>AA12486</t>
  </si>
  <si>
    <t>ZA04488</t>
  </si>
  <si>
    <t>AA12497</t>
  </si>
  <si>
    <t>AA12498</t>
  </si>
  <si>
    <t>AA12532</t>
  </si>
  <si>
    <t>AA12539</t>
  </si>
  <si>
    <t>ZA04482</t>
  </si>
  <si>
    <t>AA12477</t>
  </si>
  <si>
    <t>AA12478</t>
  </si>
  <si>
    <t>AA12515</t>
  </si>
  <si>
    <t>AA12548</t>
  </si>
  <si>
    <t>ZA04520</t>
  </si>
  <si>
    <t>AA12606</t>
  </si>
  <si>
    <t>ZA04522</t>
  </si>
  <si>
    <t>AA12611</t>
  </si>
  <si>
    <t>AA12612</t>
  </si>
  <si>
    <t>AA12613</t>
  </si>
  <si>
    <t>AA12669</t>
  </si>
  <si>
    <t>ZA04544</t>
  </si>
  <si>
    <t>AA12699</t>
  </si>
  <si>
    <t>AA12599</t>
  </si>
  <si>
    <t>AA12650</t>
  </si>
  <si>
    <t>AA12570</t>
  </si>
  <si>
    <t>AA12684</t>
  </si>
  <si>
    <t>ZA04549</t>
  </si>
  <si>
    <t>ZA04550</t>
  </si>
  <si>
    <t>AA12707</t>
  </si>
  <si>
    <t>AA12709</t>
  </si>
  <si>
    <t>AA12712</t>
  </si>
  <si>
    <t>AA12492</t>
  </si>
  <si>
    <t>ZA04506</t>
  </si>
  <si>
    <t>ZA04507</t>
  </si>
  <si>
    <t>AA12547</t>
  </si>
  <si>
    <t>AA12550</t>
  </si>
  <si>
    <t>AA12551</t>
  </si>
  <si>
    <t>AA12720</t>
  </si>
  <si>
    <t>ZA04555</t>
  </si>
  <si>
    <t>AA12735</t>
  </si>
  <si>
    <t>AA12635</t>
  </si>
  <si>
    <t>AA12717</t>
  </si>
  <si>
    <t>ZA04492</t>
  </si>
  <si>
    <t>AA12558</t>
  </si>
  <si>
    <t>AA12608</t>
  </si>
  <si>
    <t>AA12666</t>
  </si>
  <si>
    <t>AA12604</t>
  </si>
  <si>
    <t>ZA04521</t>
  </si>
  <si>
    <t>AA12609</t>
  </si>
  <si>
    <t>ZA04519</t>
  </si>
  <si>
    <t>AA12602</t>
  </si>
  <si>
    <t>AA12603</t>
  </si>
  <si>
    <t>AA12620</t>
  </si>
  <si>
    <t>AA12636</t>
  </si>
  <si>
    <t>AA12662</t>
  </si>
  <si>
    <t>AA12668</t>
  </si>
  <si>
    <t>AA12739</t>
  </si>
  <si>
    <t>ZA04513</t>
  </si>
  <si>
    <t>ZA04515</t>
  </si>
  <si>
    <t>AA12569</t>
  </si>
  <si>
    <t>AA12573</t>
  </si>
  <si>
    <t>AA12575</t>
  </si>
  <si>
    <t>AA12607</t>
  </si>
  <si>
    <t>AA12719</t>
  </si>
  <si>
    <t>AA12545</t>
  </si>
  <si>
    <t>AA12584</t>
  </si>
  <si>
    <t>ZA04517</t>
  </si>
  <si>
    <t>AA12587</t>
  </si>
  <si>
    <t>ZA04524</t>
  </si>
  <si>
    <t>ZA04526</t>
  </si>
  <si>
    <t>AA12623</t>
  </si>
  <si>
    <t>AA12624</t>
  </si>
  <si>
    <t>AA12683</t>
  </si>
  <si>
    <t>ZA04540</t>
  </si>
  <si>
    <t>ZA04541</t>
  </si>
  <si>
    <t>AA12694</t>
  </si>
  <si>
    <t>AA12696</t>
  </si>
  <si>
    <t>AA12710</t>
  </si>
  <si>
    <t>AA12631</t>
  </si>
  <si>
    <t>AA12738</t>
  </si>
  <si>
    <t>AA12598</t>
  </si>
  <si>
    <t>ZA04525</t>
  </si>
  <si>
    <t>AA12621</t>
  </si>
  <si>
    <t>AA12625</t>
  </si>
  <si>
    <t>AA12687</t>
  </si>
  <si>
    <t>AA12695</t>
  </si>
  <si>
    <t>ZA04551</t>
  </si>
  <si>
    <t>AA12713</t>
  </si>
  <si>
    <t>AA12732</t>
  </si>
  <si>
    <t>AA12733</t>
  </si>
  <si>
    <t>AA12479</t>
  </si>
  <si>
    <t>AA12485</t>
  </si>
  <si>
    <t>AA12507</t>
  </si>
  <si>
    <t>AA12528</t>
  </si>
  <si>
    <t>ZA04503</t>
  </si>
  <si>
    <t>AA12534</t>
  </si>
  <si>
    <t>AA12536</t>
  </si>
  <si>
    <t>AA12535</t>
  </si>
  <si>
    <t>AA12537</t>
  </si>
  <si>
    <t>AA12559</t>
  </si>
  <si>
    <t>ZA04516</t>
  </si>
  <si>
    <t>AA12583</t>
  </si>
  <si>
    <t>AA12585</t>
  </si>
  <si>
    <t>AA12578</t>
  </si>
  <si>
    <t>AA12596</t>
  </si>
  <si>
    <t>AA12618</t>
  </si>
  <si>
    <t>AA12616</t>
  </si>
  <si>
    <t>AA12654</t>
  </si>
  <si>
    <t>AA12686</t>
  </si>
  <si>
    <t>AA12697</t>
  </si>
  <si>
    <t>AA12689</t>
  </si>
  <si>
    <t>AA12706</t>
  </si>
  <si>
    <t>AA12729</t>
  </si>
  <si>
    <t>AA12510</t>
  </si>
  <si>
    <t>AA12563</t>
  </si>
  <si>
    <t>AA12633</t>
  </si>
  <si>
    <t>AA12634</t>
  </si>
  <si>
    <t>AA12632</t>
  </si>
  <si>
    <t>AA12644</t>
  </si>
  <si>
    <t>ZA04491</t>
  </si>
  <si>
    <t>AA12476</t>
  </si>
  <si>
    <t>AA12481</t>
  </si>
  <si>
    <t>AA12509</t>
  </si>
  <si>
    <t>AA12496</t>
  </si>
  <si>
    <t>AA12508</t>
  </si>
  <si>
    <t>AA12513</t>
  </si>
  <si>
    <t>ZA04497</t>
  </si>
  <si>
    <t>ZA04498</t>
  </si>
  <si>
    <t>AA12522</t>
  </si>
  <si>
    <t>AA12525</t>
  </si>
  <si>
    <t>ZA04502</t>
  </si>
  <si>
    <t>AA12533</t>
  </si>
  <si>
    <t>ZA04509</t>
  </si>
  <si>
    <t>AA12560</t>
  </si>
  <si>
    <t>AA12638</t>
  </si>
  <si>
    <t>AA12648</t>
  </si>
  <si>
    <t>AA12646</t>
  </si>
  <si>
    <t>AA12483</t>
  </si>
  <si>
    <t>ZA04485</t>
  </si>
  <si>
    <t>AA12488</t>
  </si>
  <si>
    <t>AA12489</t>
  </si>
  <si>
    <t>AA12484</t>
  </si>
  <si>
    <t>ZA04496</t>
  </si>
  <si>
    <t>AA12527</t>
  </si>
  <si>
    <t>AA12519</t>
  </si>
  <si>
    <t>AA12531</t>
  </si>
  <si>
    <t>AA12564</t>
  </si>
  <si>
    <t>AA12577</t>
  </si>
  <si>
    <t>AA12582</t>
  </si>
  <si>
    <t>AA12610</t>
  </si>
  <si>
    <t>AA12605</t>
  </si>
  <si>
    <t>AA12661</t>
  </si>
  <si>
    <t>AA12647</t>
  </si>
  <si>
    <t>ZA04530</t>
  </si>
  <si>
    <t>AA12667</t>
  </si>
  <si>
    <t>AA12674</t>
  </si>
  <si>
    <t>AA12670</t>
  </si>
  <si>
    <t>ZA04553</t>
  </si>
  <si>
    <t>AA12730</t>
  </si>
  <si>
    <t>1940-TCN17</t>
  </si>
  <si>
    <t>1985-TCN17</t>
  </si>
  <si>
    <t>1542-TCN17</t>
  </si>
  <si>
    <t>1657-TCN17</t>
  </si>
  <si>
    <t>1754-TCN17</t>
  </si>
  <si>
    <t>1983-TCN17</t>
  </si>
  <si>
    <t>1986-TCN17</t>
  </si>
  <si>
    <t>1939-TCN17</t>
  </si>
  <si>
    <t>1269-TCN17</t>
  </si>
  <si>
    <t>1771-TCN17</t>
  </si>
  <si>
    <t>1658-TCN17</t>
  </si>
  <si>
    <t>1987-TCN17</t>
  </si>
  <si>
    <t>1603-TCN17</t>
  </si>
  <si>
    <t>0317-TCN18</t>
  </si>
  <si>
    <t>0133-TCN18</t>
  </si>
  <si>
    <t>0073-TCN18</t>
  </si>
  <si>
    <t>0089-TCN18</t>
  </si>
  <si>
    <t>0111-TCN18</t>
  </si>
  <si>
    <t>0128-TCN18</t>
  </si>
  <si>
    <t>0130-TCN18</t>
  </si>
  <si>
    <t>0087-TCN18</t>
  </si>
  <si>
    <t>0064-TCN18</t>
  </si>
  <si>
    <t>0078-TCN18</t>
  </si>
  <si>
    <t>0125-TCN18</t>
  </si>
  <si>
    <t>1981-TCN17</t>
  </si>
  <si>
    <t>1749-TCN17</t>
  </si>
  <si>
    <t>1739-TCN17</t>
  </si>
  <si>
    <t>1334-TCN17</t>
  </si>
  <si>
    <t>1592-TCN17</t>
  </si>
  <si>
    <t>1724-TCN17</t>
  </si>
  <si>
    <t>1741-TCN17</t>
  </si>
  <si>
    <t>1748-TCN17</t>
  </si>
  <si>
    <t>1756-TCN17</t>
  </si>
  <si>
    <t>1662-TCN17</t>
  </si>
  <si>
    <t>1729-TCN17</t>
  </si>
  <si>
    <t>1737-TCN17</t>
  </si>
  <si>
    <t>1738-TCN17</t>
  </si>
  <si>
    <t>1740-TCN17</t>
  </si>
  <si>
    <t>1747-TCN17</t>
  </si>
  <si>
    <t>1755-TCN17</t>
  </si>
  <si>
    <t>1757-TCN17</t>
  </si>
  <si>
    <t>1471-TCN17</t>
  </si>
  <si>
    <t>1758-TCN17</t>
  </si>
  <si>
    <t>2013-TCN17</t>
  </si>
  <si>
    <t>1506-TCN17</t>
  </si>
  <si>
    <t>1517-TCN17</t>
  </si>
  <si>
    <t>1759-TCN17</t>
  </si>
  <si>
    <t>1549-TCN17</t>
  </si>
  <si>
    <t>1504-TCN17</t>
  </si>
  <si>
    <t>1829-TCN17</t>
  </si>
  <si>
    <t>1842-TCN17</t>
  </si>
  <si>
    <t>2008-TCN17</t>
  </si>
  <si>
    <t>1751-TCN17</t>
  </si>
  <si>
    <t>1753-TCN17</t>
  </si>
  <si>
    <t>1742-TCN17</t>
  </si>
  <si>
    <t>1990-TCN17</t>
  </si>
  <si>
    <t>1993-TCN17</t>
  </si>
  <si>
    <t>1998-TCN17</t>
  </si>
  <si>
    <t>2004-TCN17</t>
  </si>
  <si>
    <t>2000-TCN17</t>
  </si>
  <si>
    <t>0187-TCN18</t>
  </si>
  <si>
    <t>0266-TCN18</t>
  </si>
  <si>
    <t>2011-TCN17</t>
  </si>
  <si>
    <t>0268-TCN18</t>
  </si>
  <si>
    <t>0269-TCN18</t>
  </si>
  <si>
    <t>0288-TCN18</t>
  </si>
  <si>
    <t>0318-TCN18</t>
  </si>
  <si>
    <t>0319-TCN18</t>
  </si>
  <si>
    <t>0364-TCN18</t>
  </si>
  <si>
    <t>0363-TCN18</t>
  </si>
  <si>
    <t>0344-TCN18</t>
  </si>
  <si>
    <t>0270-TCN18</t>
  </si>
  <si>
    <t>0162-TCN18</t>
  </si>
  <si>
    <t>0321-TCN18</t>
  </si>
  <si>
    <t>0161-TCN18</t>
  </si>
  <si>
    <t>0335-TCN18</t>
  </si>
  <si>
    <t>0278-TCN18</t>
  </si>
  <si>
    <t>0153-TCN18</t>
  </si>
  <si>
    <t>0357-TCN18</t>
  </si>
  <si>
    <t>0249-TCN18</t>
  </si>
  <si>
    <t>0042-TCN18</t>
  </si>
  <si>
    <t>0251-TCN18</t>
  </si>
  <si>
    <t>0250-TCN18</t>
  </si>
  <si>
    <t>0258-TCN18</t>
  </si>
  <si>
    <t>0259-TCN18</t>
  </si>
  <si>
    <t>0100-TCN18</t>
  </si>
  <si>
    <t>0229-TCN18</t>
  </si>
  <si>
    <t>0199-TCN18</t>
  </si>
  <si>
    <t>0359-TCN18</t>
  </si>
  <si>
    <t>0326-TCN18</t>
  </si>
  <si>
    <t>0325-TCN18</t>
  </si>
  <si>
    <t>0103-TCN18</t>
  </si>
  <si>
    <t>0356-TCN18</t>
  </si>
  <si>
    <t>0381-TCN18</t>
  </si>
  <si>
    <t>1982-TCN17</t>
  </si>
  <si>
    <t>2009-TCN17</t>
  </si>
  <si>
    <t>0313-TCN18</t>
  </si>
  <si>
    <t>0380-TCN18</t>
  </si>
  <si>
    <t>0388-TCN18</t>
  </si>
  <si>
    <t>0346-TCN18</t>
  </si>
  <si>
    <t>0261-TCN18</t>
  </si>
  <si>
    <t>0079-TCN18</t>
  </si>
  <si>
    <t>0293-TCN18</t>
  </si>
  <si>
    <t>0260-TCN18</t>
  </si>
  <si>
    <t>0256-TCN18</t>
  </si>
  <si>
    <t>0263-TCN18</t>
  </si>
  <si>
    <t>0289-TCN18</t>
  </si>
  <si>
    <t>0262-TCN18</t>
  </si>
  <si>
    <t>0292-TCN18</t>
  </si>
  <si>
    <t>0360-TCN18</t>
  </si>
  <si>
    <t>1883-TCN17</t>
  </si>
  <si>
    <t>0355-TCN18</t>
  </si>
  <si>
    <t>2007-TCN17</t>
  </si>
  <si>
    <t>0306-TCN18</t>
  </si>
  <si>
    <t>0354-TCN18</t>
  </si>
  <si>
    <t>0286-TCN18</t>
  </si>
  <si>
    <t>0210-TCN18</t>
  </si>
  <si>
    <t>1901-TCN17</t>
  </si>
  <si>
    <t>0253-TCN18</t>
  </si>
  <si>
    <t>2010-TCN17</t>
  </si>
  <si>
    <t>0348-TCN18</t>
  </si>
  <si>
    <t>2006-TCN17</t>
  </si>
  <si>
    <t>0349-TCN18</t>
  </si>
  <si>
    <t>0275-TCN18</t>
  </si>
  <si>
    <t>0276-TCN18</t>
  </si>
  <si>
    <t>1920-TCN17</t>
  </si>
  <si>
    <t>0350-TCN18</t>
  </si>
  <si>
    <t>0353-TCN18</t>
  </si>
  <si>
    <t>0358-TCN18</t>
  </si>
  <si>
    <t>0361-TCN18</t>
  </si>
  <si>
    <t>0352-TCN18</t>
  </si>
  <si>
    <t>0300-TCN18</t>
  </si>
  <si>
    <t>0299-TCN18</t>
  </si>
  <si>
    <t>0365-TCN18</t>
  </si>
  <si>
    <t>0145-TCN18</t>
  </si>
  <si>
    <t>0328-TCN18</t>
  </si>
  <si>
    <t>0382-TCN18</t>
  </si>
  <si>
    <t>0327-TCN18</t>
  </si>
  <si>
    <t>0345-TCN18</t>
  </si>
  <si>
    <t>0366-TCN18</t>
  </si>
  <si>
    <t>0383-TCN18</t>
  </si>
  <si>
    <t>0391-TCN18</t>
  </si>
  <si>
    <t>0394-TCN18</t>
  </si>
  <si>
    <t>0248-TCN18</t>
  </si>
  <si>
    <t>0264-TCN18</t>
  </si>
  <si>
    <t>0287-TCN18</t>
  </si>
  <si>
    <t>0294-TCN18</t>
  </si>
  <si>
    <t>0295-TCN18</t>
  </si>
  <si>
    <t>0296-TCN18</t>
  </si>
  <si>
    <t>0302-TCN18</t>
  </si>
  <si>
    <t>0283-TCN18</t>
  </si>
  <si>
    <t>1980-TCN17</t>
  </si>
  <si>
    <t>0254-TCN18</t>
  </si>
  <si>
    <t>0257-TCN18</t>
  </si>
  <si>
    <t>0308-TCN18</t>
  </si>
  <si>
    <t>0329-TCN18</t>
  </si>
  <si>
    <t>0338-TCN18</t>
  </si>
  <si>
    <t>0340-TCN18</t>
  </si>
  <si>
    <t>0282-TCN18</t>
  </si>
  <si>
    <t>0332-TCN18</t>
  </si>
  <si>
    <t>0375-TCN18</t>
  </si>
  <si>
    <t>0331-TCN18</t>
  </si>
  <si>
    <t>0342-TCN18</t>
  </si>
  <si>
    <t>0265-TCN18</t>
  </si>
  <si>
    <t>0320-TCN18</t>
  </si>
  <si>
    <t>0186-TCN18</t>
  </si>
  <si>
    <t>0315-TCN18</t>
  </si>
  <si>
    <t>0316-TCN18</t>
  </si>
  <si>
    <t>0301-TCN18</t>
  </si>
  <si>
    <t>0282-TCU17</t>
  </si>
  <si>
    <t>0240-TCU17</t>
  </si>
  <si>
    <t>0226-TCU17</t>
  </si>
  <si>
    <t>0254-TCU17</t>
  </si>
  <si>
    <t>0265-TCU17</t>
  </si>
  <si>
    <t>0220-TCU17</t>
  </si>
  <si>
    <t>0233-TCU17</t>
  </si>
  <si>
    <t>0262-TCU17</t>
  </si>
  <si>
    <t>0277-TCU17</t>
  </si>
  <si>
    <t>0257-TCU17</t>
  </si>
  <si>
    <t>0268-TCU17</t>
  </si>
  <si>
    <t>0270-TCU17</t>
  </si>
  <si>
    <t>0250-TCU17</t>
  </si>
  <si>
    <t>0252-TCU17</t>
  </si>
  <si>
    <t>0284-TCU17</t>
  </si>
  <si>
    <t>0260-TCU17</t>
  </si>
  <si>
    <t>0274-TCU17</t>
  </si>
  <si>
    <t>0272-TCU17</t>
  </si>
  <si>
    <t>0281-TCU17</t>
  </si>
  <si>
    <t>0256-TCU17</t>
  </si>
  <si>
    <t>0286-TCU17</t>
  </si>
  <si>
    <t>0289-TCU17</t>
  </si>
  <si>
    <t>0293-TCU17</t>
  </si>
  <si>
    <t>MONTES ROBLES LAURA</t>
  </si>
  <si>
    <t>GARIBAY ALVAREZ ESPE</t>
  </si>
  <si>
    <t>CONSTRUCTORA FIJSMA</t>
  </si>
  <si>
    <t>RAMIREZ RAMIREZ ARTE</t>
  </si>
  <si>
    <t>ALCAMARE INTERNATION</t>
  </si>
  <si>
    <t>CORONA RODRIGUEZ J.</t>
  </si>
  <si>
    <t>XOCHIHUA GOMEZ MOISE</t>
  </si>
  <si>
    <t>SILVA FLORES JUAN MA</t>
  </si>
  <si>
    <t>RICO GOMEZ ALEJANDRO</t>
  </si>
  <si>
    <t>SAMURAI MOTORS, S DE</t>
  </si>
  <si>
    <t>TECNOLOGIAS AGRICOLA</t>
  </si>
  <si>
    <t>GALICIA ARAOZ MARIA</t>
  </si>
  <si>
    <t>ROJAS MELGOZA MARIA</t>
  </si>
  <si>
    <t>DIAZ RANGEL ALMA AYD</t>
  </si>
  <si>
    <t>MONTAñO LEON RICARDO</t>
  </si>
  <si>
    <t>CONTRERAS TOVAR ALEJ</t>
  </si>
  <si>
    <t>ESTACION DE SERVICIO</t>
  </si>
  <si>
    <t>SANCHEZ PALAFOX LUZ</t>
  </si>
  <si>
    <t>ZAMUDIO RIVERA DAVID</t>
  </si>
  <si>
    <t>MAñON HERNANDEZ ANDR</t>
  </si>
  <si>
    <t>COLORADO CERVANTES M</t>
  </si>
  <si>
    <t>VILLAFUERTE BARRIENT</t>
  </si>
  <si>
    <t>PONCE GARCIA MARLEN</t>
  </si>
  <si>
    <t>AVILES GUERRERO ALEJ</t>
  </si>
  <si>
    <t>MARTINEZ LUNA MANUEL</t>
  </si>
  <si>
    <t>VELAZQUEZ VITAL MARI</t>
  </si>
  <si>
    <t>FLORES CERVANTES MA</t>
  </si>
  <si>
    <t>YAÑEZ CHAVEZ MICAELA</t>
  </si>
  <si>
    <t>LOPEZ CHAVEZ JUANA</t>
  </si>
  <si>
    <t>BORBOA ARAIZA MAGDAL</t>
  </si>
  <si>
    <t>HERNANDEZ LUNA AMPAR</t>
  </si>
  <si>
    <t>DEL RIO YAÑEZ JUAN J</t>
  </si>
  <si>
    <t>AVILA MEJIA JOSE JUA</t>
  </si>
  <si>
    <t>MERCADO ALBA JOSE</t>
  </si>
  <si>
    <t>MORALES RIVERA ESTHE</t>
  </si>
  <si>
    <t>CONTRERAS BENITEZ ER</t>
  </si>
  <si>
    <t>PUGA PUGA MA YESENIA</t>
  </si>
  <si>
    <t>LOPEZ CORNEJO FAUSTI</t>
  </si>
  <si>
    <t>PETROCOMERCIANTES SC</t>
  </si>
  <si>
    <t>MACHUCA PEREZ MARIA</t>
  </si>
  <si>
    <t>BTM CELAYA SC</t>
  </si>
  <si>
    <t>CHIMES ALMANZA JOSE</t>
  </si>
  <si>
    <t>WILLIAMS MULDOON PAT</t>
  </si>
  <si>
    <t>DEL CASTILLO MARTINE</t>
  </si>
  <si>
    <t>JACOBO AREVALO ROSAL</t>
  </si>
  <si>
    <t>SISTEMA MUNICIPAL PA</t>
  </si>
  <si>
    <t>GRUPO CONSTRUCTOR MO</t>
  </si>
  <si>
    <t>ROJO GUZMAN SERGIO</t>
  </si>
  <si>
    <t>GUZMAN GUERRERO AMAD</t>
  </si>
  <si>
    <t>PEREZ MARTINEZ RICAR</t>
  </si>
  <si>
    <t>ROMERO LARA LAURA AN</t>
  </si>
  <si>
    <t>DEL RIO GONZALEZ JES</t>
  </si>
  <si>
    <t>DIAZ MARTINEZ CLAUDI</t>
  </si>
  <si>
    <t>RAYA ALMANZA JOSE TR</t>
  </si>
  <si>
    <t>HEREDIA NARANJO SAMU</t>
  </si>
  <si>
    <t>GUIDO LOPEZ PEDRO RO</t>
  </si>
  <si>
    <t>HERNANDEZ VAZQUEZ DI</t>
  </si>
  <si>
    <t>GRUPO COMERCOM SA DE</t>
  </si>
  <si>
    <t>QOS TELCOM S DE RL D</t>
  </si>
  <si>
    <t>HERNANDEZ VITAL JESU</t>
  </si>
  <si>
    <t>ARRENDADORA DE QUERE</t>
  </si>
  <si>
    <t>PAVON MARCELO PABLO</t>
  </si>
  <si>
    <t>PREMIER SEEDS MEXICA</t>
  </si>
  <si>
    <t>GONZALEZ VALDEZ JOSE</t>
  </si>
  <si>
    <t>MEDINA CORNEJO MARIA</t>
  </si>
  <si>
    <t>MALFAVON MOLINA ALBE</t>
  </si>
  <si>
    <t>SALGADO MA DEL SOCOR</t>
  </si>
  <si>
    <t>GARCIA GARCIA MARTIN</t>
  </si>
  <si>
    <t>JIMENEZ LIMON JOSE L</t>
  </si>
  <si>
    <t>CARAPIA NUÑEZ JUAN V</t>
  </si>
  <si>
    <t>JAUREGUI RAMIREZ ALB</t>
  </si>
  <si>
    <t>LARA MARTINEZ DOMING</t>
  </si>
  <si>
    <t>HERNANDEZ MORALES JO</t>
  </si>
  <si>
    <t>GAMEZ BUENAVISTA RAM</t>
  </si>
  <si>
    <t>HERNANDEZ SOTO GONZA</t>
  </si>
  <si>
    <t>ELECTRO CONSTRUCCION</t>
  </si>
  <si>
    <t>PATIÑO VILLEGAS RODO</t>
  </si>
  <si>
    <t>PRADO SANCHEZ JOSE M</t>
  </si>
  <si>
    <t>DELAUNAY SC</t>
  </si>
  <si>
    <t>MENDOZA VIGUERIAS MA</t>
  </si>
  <si>
    <t>SALAZAR ORTEGA MARIA</t>
  </si>
  <si>
    <t>CASTILLO HERNANDEZ M</t>
  </si>
  <si>
    <t>LAGUNA MERCADO BERTH</t>
  </si>
  <si>
    <t>RUIZ MENDOZA MARIA D</t>
  </si>
  <si>
    <t>STRONG-ROBERTS NANCY</t>
  </si>
  <si>
    <t>MORALES CARDONA OLGA</t>
  </si>
  <si>
    <t>LOPEZ RAMIREZ JOSE G</t>
  </si>
  <si>
    <t>CASTRO SANTANA NORMA</t>
  </si>
  <si>
    <t>ALVARADO MARTINEZ J</t>
  </si>
  <si>
    <t>NIETO ERIBIA JUAN JO</t>
  </si>
  <si>
    <t>KAMFRI AIR S.A. DE C</t>
  </si>
  <si>
    <t>LOPEZ BRAVO FRANCISC</t>
  </si>
  <si>
    <t>GARCIA JIMENEZ OMAR</t>
  </si>
  <si>
    <t>GOMEZ GOMEZ EDUARDO</t>
  </si>
  <si>
    <t>RODRIGUEZ MARTINEZ S</t>
  </si>
  <si>
    <t>RODRIGUEZ MONTANEZ R</t>
  </si>
  <si>
    <t>RODRIGUEZ ROSALES MA</t>
  </si>
  <si>
    <t>ROSALES MARTINEZ MAR</t>
  </si>
  <si>
    <t>SNYDER PATRICK HAGAN</t>
  </si>
  <si>
    <t>ACOSTA SANCHEZ BLANC</t>
  </si>
  <si>
    <t>AGUILERA GALICIA SAL</t>
  </si>
  <si>
    <t>RAMIREZ FABIAN MARIO</t>
  </si>
  <si>
    <t>MERINO SANCHEZ RAMON</t>
  </si>
  <si>
    <t>ROJAS NIETO JUAN JOS</t>
  </si>
  <si>
    <t>MERINO SANCHEZ ROMAN</t>
  </si>
  <si>
    <t>JOSE GUADALIPE ARRIOLA GALLE</t>
  </si>
  <si>
    <t>VICTOR MANUEL MARTIN RAMIREZ</t>
  </si>
  <si>
    <t>MIGUEL ANGEL ANDRADE RODRIGU</t>
  </si>
  <si>
    <t>REYNA BEATRIZ FIGEROA AGUIRR</t>
  </si>
  <si>
    <t>RICARDO HERIBERTO RAMIREZ MO</t>
  </si>
  <si>
    <t>FRANCISCO JAVIER MEZA MANRIQ</t>
  </si>
  <si>
    <t>JTDKBRFUXH3574018</t>
  </si>
  <si>
    <t>JTDKBRFU4H3055952</t>
  </si>
  <si>
    <t>JTDKBRFU7H3044458</t>
  </si>
  <si>
    <t>JTDKBRFU8H3048213</t>
  </si>
  <si>
    <t>JTDKBRFU6H3048534</t>
  </si>
  <si>
    <t>JTDKBRFU6H3580267</t>
  </si>
  <si>
    <t>JTDKBRFU7H3575322</t>
  </si>
  <si>
    <t>JTDKBRFU0H3054040</t>
  </si>
  <si>
    <t>JTDKBRFU3H3558212</t>
  </si>
  <si>
    <t>JTDKBRFU4H3570658</t>
  </si>
  <si>
    <t>JTDKBRFU2H3047171</t>
  </si>
  <si>
    <t>JTDKBRFU5H3053952</t>
  </si>
  <si>
    <t>JTDKBRFU2H3565104</t>
  </si>
  <si>
    <t>5YFBPRHE6JP758084</t>
  </si>
  <si>
    <t>5YFBPRHE1JP755707</t>
  </si>
  <si>
    <t>5YFBPRHEXJP738355</t>
  </si>
  <si>
    <t>5YFBPRHE6JP749742</t>
  </si>
  <si>
    <t>5YFBPRHE2JP747261</t>
  </si>
  <si>
    <t>5YFBPRHE9JP751520</t>
  </si>
  <si>
    <t>5YFBPRHE6JP756836</t>
  </si>
  <si>
    <t>5YFBPRHE7JP744842</t>
  </si>
  <si>
    <t>5YFBPRHE0JP739739</t>
  </si>
  <si>
    <t>5YFBPRHE1JP746702</t>
  </si>
  <si>
    <t>5YFBPRHE9JP754398</t>
  </si>
  <si>
    <t>MR2B29F38H1094197</t>
  </si>
  <si>
    <t>MR2B29F32H1080537</t>
  </si>
  <si>
    <t>MR2B29F38H1082888</t>
  </si>
  <si>
    <t>MR2B29F35H1060850</t>
  </si>
  <si>
    <t>MR2B29F3XH1073769</t>
  </si>
  <si>
    <t>MR2B29F31H1078651</t>
  </si>
  <si>
    <t>MR2B29F36H1083618</t>
  </si>
  <si>
    <t>MR2B29F36H1079939</t>
  </si>
  <si>
    <t>MR2B29F36H1081920</t>
  </si>
  <si>
    <t>MR2B29F3XH1076431</t>
  </si>
  <si>
    <t>MR2B29F34H1080572</t>
  </si>
  <si>
    <t>MR2B29F36H1082209</t>
  </si>
  <si>
    <t>MR2B29F32H1082482</t>
  </si>
  <si>
    <t>MR2B29F35H1083139</t>
  </si>
  <si>
    <t>MR2B29F3XH1079135</t>
  </si>
  <si>
    <t>MR2B29F3XH1081838</t>
  </si>
  <si>
    <t>MR2B29F3XH1082004</t>
  </si>
  <si>
    <t>MR2B29F33H1068834</t>
  </si>
  <si>
    <t>MR2B29F38H1082809</t>
  </si>
  <si>
    <t>MR2B29F33H1090767</t>
  </si>
  <si>
    <t>MR2B29F33H1070888</t>
  </si>
  <si>
    <t>MR2B29F36H1071887</t>
  </si>
  <si>
    <t>MR2B29F32H1083888</t>
  </si>
  <si>
    <t>MR2B29F30H107117</t>
  </si>
  <si>
    <t>MR2B29F35H1069936</t>
  </si>
  <si>
    <t>MR2B29F32H1086208</t>
  </si>
  <si>
    <t>MR2B29F31H1086152</t>
  </si>
  <si>
    <t>MR2K29F36H1091962</t>
  </si>
  <si>
    <t>MR2K29F31H1078567</t>
  </si>
  <si>
    <t>MR2K29F37H1081361</t>
  </si>
  <si>
    <t>MR2K29F36H1079794</t>
  </si>
  <si>
    <t>MR2K29F37H1089881</t>
  </si>
  <si>
    <t>MR2K29F34H1090504</t>
  </si>
  <si>
    <t>MR2K29F30H1091858</t>
  </si>
  <si>
    <t>MR2K29F34H1093077</t>
  </si>
  <si>
    <t>MR2K29F32H1091957</t>
  </si>
  <si>
    <t>MHKMF53E2JK013977</t>
  </si>
  <si>
    <t>MHKMF53E5JK014850</t>
  </si>
  <si>
    <t>MHKMF53EXHK012845</t>
  </si>
  <si>
    <t>MHKMF53E2JK014904</t>
  </si>
  <si>
    <t>MHKMF53F1JK023442</t>
  </si>
  <si>
    <t>MHKMF53FXJK023312</t>
  </si>
  <si>
    <t>MHKMF53F8JK023809</t>
  </si>
  <si>
    <t>MHKMF53F8JK024863</t>
  </si>
  <si>
    <t>MHKMF53F7JK024689</t>
  </si>
  <si>
    <t>MHKMF53F0JK024405</t>
  </si>
  <si>
    <t>MHKMF53E2JK014630</t>
  </si>
  <si>
    <t>MHKMF53F3JK022356</t>
  </si>
  <si>
    <t>MHKMF53FXJK021415</t>
  </si>
  <si>
    <t>MHKMF53F5JK02127</t>
  </si>
  <si>
    <t>MHKMF53F5JK021323</t>
  </si>
  <si>
    <t>MHKMF53F7JK022411</t>
  </si>
  <si>
    <t>MHKMF53FXJK022239</t>
  </si>
  <si>
    <t>MHKMF53F9JK021664</t>
  </si>
  <si>
    <t>MHKMF53F4JK024522</t>
  </si>
  <si>
    <t>4T1B11HK0JU514521</t>
  </si>
  <si>
    <t>4T1B11HKXJU001471</t>
  </si>
  <si>
    <t>4T1B11HK2JU522541</t>
  </si>
  <si>
    <t>4T1B11HKXJU521993</t>
  </si>
  <si>
    <t>2T3RFREV0JW704890</t>
  </si>
  <si>
    <t>2T3RFREV9JW710719</t>
  </si>
  <si>
    <t>2T3RFREV5JW696320</t>
  </si>
  <si>
    <t>2T3RFREV5JW699699</t>
  </si>
  <si>
    <t>2T3ZFREV9JW41028</t>
  </si>
  <si>
    <t>2T3ZFREV6JW420518</t>
  </si>
  <si>
    <t>2T3JFREV6JW723926</t>
  </si>
  <si>
    <t>2T3JFREV3JW722586</t>
  </si>
  <si>
    <t>2T3RFREV1JW699893</t>
  </si>
  <si>
    <t>5TDKZ3DC2JS902314</t>
  </si>
  <si>
    <t>5TDKZ3DC0JS901498</t>
  </si>
  <si>
    <t>5TDYZ3DC8HS897916</t>
  </si>
  <si>
    <t>5TDYZ3DC0HS896453</t>
  </si>
  <si>
    <t>5TDYZ3DC3JS902610</t>
  </si>
  <si>
    <t>5TDYZ3DC9JS902627</t>
  </si>
  <si>
    <t>5TDYZ3DC1JS903786</t>
  </si>
  <si>
    <t>5TDYZ3DC7JS901301</t>
  </si>
  <si>
    <t>JTFPX22P2J0080202</t>
  </si>
  <si>
    <t>JTFPX22P6J0078999</t>
  </si>
  <si>
    <t>JTFPX22P0J0080182</t>
  </si>
  <si>
    <t>JTFPX22P5J0080064</t>
  </si>
  <si>
    <t>JTFSX23P5J6186570</t>
  </si>
  <si>
    <t>JTFSX23P8J6186465</t>
  </si>
  <si>
    <t>JTFSX23P6J6186724</t>
  </si>
  <si>
    <t>JTFSX23P7J6186456</t>
  </si>
  <si>
    <t>JTFSX23PXJ6186757</t>
  </si>
  <si>
    <t>JTFSX23P6J6187730</t>
  </si>
  <si>
    <t>5TDKZRFH6HS230473</t>
  </si>
  <si>
    <t>5TDKZRFH8JS235650</t>
  </si>
  <si>
    <t>5TDZZRFH3HS208350</t>
  </si>
  <si>
    <t>5TDYZRFH1JS238321</t>
  </si>
  <si>
    <t>5TDYZRFH3JS239048</t>
  </si>
  <si>
    <t>5TDYZRFH5JS235504</t>
  </si>
  <si>
    <t>5TDYZRFH2JS235699</t>
  </si>
  <si>
    <t>5TDYZRFH8HS226418</t>
  </si>
  <si>
    <t>5TDYZRFH1JS238898</t>
  </si>
  <si>
    <t>3TMAZ5CNXHM052615</t>
  </si>
  <si>
    <t>3TMAZ5CN8JM053591</t>
  </si>
  <si>
    <t>3TMCZ5AN6HM11597</t>
  </si>
  <si>
    <t>3TMCZ5AN1JM124805</t>
  </si>
  <si>
    <t>3TMCZ5AN2HM121230</t>
  </si>
  <si>
    <t>3TMCZ5AN7HM121255</t>
  </si>
  <si>
    <t>3TMCZ5AN9HM109169</t>
  </si>
  <si>
    <t>3TMCZ5AN1JM122682</t>
  </si>
  <si>
    <t>3TMCZ5AN5JM125004</t>
  </si>
  <si>
    <t>3TMCZ5AN8JM127555</t>
  </si>
  <si>
    <t>3TMCZ5AN9JM122817</t>
  </si>
  <si>
    <t>3TMCZ5AN4JM124006</t>
  </si>
  <si>
    <t>MR0FA8CD7J3950359</t>
  </si>
  <si>
    <t>MR0FA8CD4J3900339</t>
  </si>
  <si>
    <t>MR0FA8CD5J3900351</t>
  </si>
  <si>
    <t>MR0HA8CD5J1087940</t>
  </si>
  <si>
    <t>MR0HA8CD2J1088642</t>
  </si>
  <si>
    <t>MR0HA8CD9J1088184</t>
  </si>
  <si>
    <t>MR0HA8CD0J1088557</t>
  </si>
  <si>
    <t>MR0EX8CB5J1399823</t>
  </si>
  <si>
    <t>MR0EX8CB7J1400440</t>
  </si>
  <si>
    <t>MR0EX8CB4J1400296</t>
  </si>
  <si>
    <t>MR0EX8CB5J1400713</t>
  </si>
  <si>
    <t>MR0EX8CB1J1400448</t>
  </si>
  <si>
    <t>MR0EX8DD2J0254986</t>
  </si>
  <si>
    <t>MR0EX8DD4J0255878</t>
  </si>
  <si>
    <t>MR0EX8DD8J0178111</t>
  </si>
  <si>
    <t>MR0EX8DD5J0255730</t>
  </si>
  <si>
    <t>MR0EX8DD7J0255681</t>
  </si>
  <si>
    <t>MR0EX8DD8J0177492</t>
  </si>
  <si>
    <t>MR0EX8DD7J0255373</t>
  </si>
  <si>
    <t>MR0EX8DD0J0255313</t>
  </si>
  <si>
    <t>MR0EX8DD1H0254312</t>
  </si>
  <si>
    <t>MR0EX8DD4J0255704</t>
  </si>
  <si>
    <t>MR0EX8DDXJ0256243</t>
  </si>
  <si>
    <t>MR0EX8DD1J0177544</t>
  </si>
  <si>
    <t>MR0EX8DD9J0178151</t>
  </si>
  <si>
    <t>MR0EX8DD1J0178337</t>
  </si>
  <si>
    <t>MR0EX8DDXJ0256680</t>
  </si>
  <si>
    <t>MR0EX8DDXJ0177543</t>
  </si>
  <si>
    <t>MR0EX8DD5J0256098</t>
  </si>
  <si>
    <t>ME0EX8DD2J0256267</t>
  </si>
  <si>
    <t>MR0EX8DD9J0178277</t>
  </si>
  <si>
    <t>MR0EX8DD7J0256779</t>
  </si>
  <si>
    <t>MR0EX8DDXJ0256128</t>
  </si>
  <si>
    <t>MR0EX8DD6J0255896</t>
  </si>
  <si>
    <t>MR0EX8DD0J0177437</t>
  </si>
  <si>
    <t>MR0EX8DD7J0255860</t>
  </si>
  <si>
    <t>MR0EX8DD1J0255823</t>
  </si>
  <si>
    <t>MR0EX8DD7J0255521</t>
  </si>
  <si>
    <t>1FMCU0G78DUC29234</t>
  </si>
  <si>
    <t>3GNAL7E57ES584977</t>
  </si>
  <si>
    <t>VSSBG65P5ER008481</t>
  </si>
  <si>
    <t>1FADP3F2XDL179682</t>
  </si>
  <si>
    <t>5N1AR2MNXDC631625</t>
  </si>
  <si>
    <t>WBA2D5103H5E30497</t>
  </si>
  <si>
    <t>JN8BT27T4GW508317</t>
  </si>
  <si>
    <t>3N1CK3CD0GL252967</t>
  </si>
  <si>
    <t>3VW1W1AJ8FM249469</t>
  </si>
  <si>
    <t>4T1BF1FK1DU204287</t>
  </si>
  <si>
    <t>MHKMC13E7CK000890</t>
  </si>
  <si>
    <t>4T1BF1FK2GU566939</t>
  </si>
  <si>
    <t>JTDBT9K3XG1442929</t>
  </si>
  <si>
    <t>MR0EX8DD7G0165844</t>
  </si>
  <si>
    <t>MHKMF53FXHK012563</t>
  </si>
  <si>
    <t>MR0EX8DDXH0172000</t>
  </si>
  <si>
    <t>3TMJU4GN5DM142753</t>
  </si>
  <si>
    <t>JTDKN3DU2F1865595</t>
  </si>
  <si>
    <t>MHKMC13F4FK015330</t>
  </si>
  <si>
    <t>JTDKT9D36ED582033</t>
  </si>
  <si>
    <t>5YFBURHE5GP541742</t>
  </si>
  <si>
    <t>MR0EX8DD3G0166151</t>
  </si>
  <si>
    <t>MHKMC13F2DK006056</t>
  </si>
  <si>
    <t>REPORTE DE ISAN DIC.2017</t>
  </si>
  <si>
    <t>DIC</t>
  </si>
  <si>
    <t>AA12757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</si>
</sst>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#,##0.00_ ;[Red]\-#,##0.00\ "/>
    <numFmt numFmtId="167" formatCode="#,##0.000000000000000_ ;[Red]\-#,##0.000000000000000\ "/>
    <numFmt numFmtId="168" formatCode="_-* #,##0.00_-;\-* #,##0.00_-;_-* \-??_-;_-@_-"/>
    <numFmt numFmtId="169" formatCode="_-* #,##0_-;\-* #,##0_-;_-* \-??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sz val="8"/>
      <color indexed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8"/>
      <color indexed="57"/>
      <name val="Arial"/>
      <family val="2"/>
    </font>
    <font>
      <sz val="10"/>
      <name val="Tahoma"/>
      <family val="2"/>
    </font>
    <font>
      <sz val="8"/>
      <color indexed="12"/>
      <name val="Arial"/>
      <family val="2"/>
    </font>
    <font>
      <sz val="8"/>
      <color indexed="14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14"/>
      <name val="Arial"/>
      <family val="2"/>
    </font>
    <font>
      <sz val="10"/>
      <color indexed="10"/>
      <name val="Tahoma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8"/>
      <name val="Calibri"/>
      <family val="2"/>
    </font>
    <font>
      <sz val="10"/>
      <color indexed="40"/>
      <name val="Arial"/>
      <family val="2"/>
    </font>
    <font>
      <sz val="10"/>
      <color rgb="FFFF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color rgb="FF0033CC"/>
      <name val="Arial"/>
      <family val="2"/>
    </font>
    <font>
      <sz val="11"/>
      <name val="Arial"/>
      <family val="2"/>
    </font>
    <font>
      <sz val="11"/>
      <color rgb="FF0033CC"/>
      <name val="Arial"/>
      <family val="2"/>
    </font>
    <font>
      <b/>
      <sz val="8"/>
      <color rgb="FF0033CC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rgb="FF6600CC"/>
      <name val="Arial"/>
      <family val="2"/>
    </font>
    <font>
      <b/>
      <sz val="8"/>
      <color rgb="FFFF99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11"/>
        <bgColor indexed="49"/>
      </patternFill>
    </fill>
    <fill>
      <patternFill patternType="solid">
        <fgColor rgb="FFFFC00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hair">
        <color rgb="FF0033CC"/>
      </left>
      <right style="medium">
        <color rgb="FF0033CC"/>
      </right>
      <top style="medium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medium">
        <color rgb="FF0033CC"/>
      </right>
      <top style="hair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hair">
        <color rgb="FF0033CC"/>
      </left>
      <right style="medium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indexed="64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 style="medium">
        <color rgb="FF0033CC"/>
      </left>
      <right/>
      <top/>
      <bottom/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/>
      <bottom style="medium">
        <color rgb="FF0033CC"/>
      </bottom>
      <diagonal/>
    </border>
    <border>
      <left/>
      <right style="medium">
        <color rgb="FF0033CC"/>
      </right>
      <top/>
      <bottom/>
      <diagonal/>
    </border>
    <border>
      <left style="medium">
        <color rgb="FF0033CC"/>
      </left>
      <right/>
      <top style="medium">
        <color rgb="FF0033CC"/>
      </top>
      <bottom/>
      <diagonal/>
    </border>
    <border>
      <left/>
      <right/>
      <top style="medium">
        <color rgb="FF0033CC"/>
      </top>
      <bottom/>
      <diagonal/>
    </border>
    <border>
      <left/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medium">
        <color indexed="64"/>
      </right>
      <top style="medium">
        <color rgb="FF0033CC"/>
      </top>
      <bottom style="medium">
        <color rgb="FF0033CC"/>
      </bottom>
      <diagonal/>
    </border>
    <border>
      <left style="medium">
        <color indexed="64"/>
      </left>
      <right style="medium">
        <color indexed="64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indexed="64"/>
      </right>
      <top style="medium">
        <color rgb="FF0033CC"/>
      </top>
      <bottom/>
      <diagonal/>
    </border>
    <border>
      <left/>
      <right style="thin">
        <color indexed="64"/>
      </right>
      <top style="medium">
        <color rgb="FF0033CC"/>
      </top>
      <bottom/>
      <diagonal/>
    </border>
    <border>
      <left style="thin">
        <color indexed="64"/>
      </left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0033CC"/>
      </right>
      <top/>
      <bottom/>
      <diagonal/>
    </border>
    <border>
      <left style="medium">
        <color rgb="FF0033CC"/>
      </left>
      <right style="thin">
        <color indexed="64"/>
      </right>
      <top/>
      <bottom style="medium">
        <color rgb="FF0033CC"/>
      </bottom>
      <diagonal/>
    </border>
    <border>
      <left/>
      <right style="thin">
        <color indexed="64"/>
      </right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/>
      <bottom style="medium">
        <color rgb="FF0033CC"/>
      </bottom>
      <diagonal/>
    </border>
    <border>
      <left style="thin">
        <color indexed="64"/>
      </left>
      <right style="medium">
        <color rgb="FF0033CC"/>
      </right>
      <top/>
      <bottom style="medium">
        <color rgb="FF0033CC"/>
      </bottom>
      <diagonal/>
    </border>
    <border>
      <left/>
      <right/>
      <top style="medium">
        <color rgb="FF0033CC"/>
      </top>
      <bottom style="double">
        <color rgb="FF0033CC"/>
      </bottom>
      <diagonal/>
    </border>
    <border>
      <left style="hair">
        <color rgb="FF0033CC"/>
      </left>
      <right style="hair">
        <color rgb="FF0033CC"/>
      </right>
      <top/>
      <bottom style="hair">
        <color rgb="FF0033CC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/>
      <diagonal/>
    </border>
    <border>
      <left style="hair">
        <color rgb="FF0033CC"/>
      </left>
      <right/>
      <top style="hair">
        <color rgb="FF0033CC"/>
      </top>
      <bottom style="hair">
        <color rgb="FF0033CC"/>
      </bottom>
      <diagonal/>
    </border>
    <border>
      <left style="hair">
        <color rgb="FF0033CC"/>
      </left>
      <right/>
      <top style="hair">
        <color rgb="FF0033CC"/>
      </top>
      <bottom/>
      <diagonal/>
    </border>
    <border>
      <left/>
      <right style="hair">
        <color rgb="FF0033CC"/>
      </right>
      <top style="hair">
        <color rgb="FF0033CC"/>
      </top>
      <bottom/>
      <diagonal/>
    </border>
    <border>
      <left/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/>
      <bottom/>
      <diagonal/>
    </border>
  </borders>
  <cellStyleXfs count="194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29">
    <xf numFmtId="0" fontId="0" fillId="0" borderId="0" xfId="0"/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43" fontId="8" fillId="0" borderId="0" xfId="1" applyFont="1"/>
    <xf numFmtId="0" fontId="8" fillId="0" borderId="0" xfId="0" applyFont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49" fontId="9" fillId="0" borderId="4" xfId="0" applyNumberFormat="1" applyFont="1" applyBorder="1" applyAlignment="1">
      <alignment horizontal="left"/>
    </xf>
    <xf numFmtId="49" fontId="9" fillId="0" borderId="0" xfId="0" applyNumberFormat="1" applyFont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15" fontId="10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43" fontId="10" fillId="0" borderId="0" xfId="1" applyFont="1" applyBorder="1"/>
    <xf numFmtId="0" fontId="8" fillId="0" borderId="5" xfId="0" applyFont="1" applyBorder="1"/>
    <xf numFmtId="0" fontId="10" fillId="0" borderId="0" xfId="0" applyFont="1"/>
    <xf numFmtId="0" fontId="8" fillId="0" borderId="0" xfId="0" applyFont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49" fontId="8" fillId="0" borderId="9" xfId="0" applyNumberFormat="1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15" fontId="8" fillId="0" borderId="10" xfId="0" applyNumberFormat="1" applyFont="1" applyBorder="1" applyAlignment="1">
      <alignment horizontal="center" wrapText="1"/>
    </xf>
    <xf numFmtId="43" fontId="8" fillId="0" borderId="10" xfId="1" applyFont="1" applyBorder="1" applyAlignment="1">
      <alignment horizontal="center" wrapText="1"/>
    </xf>
    <xf numFmtId="43" fontId="8" fillId="0" borderId="11" xfId="1" applyFont="1" applyBorder="1" applyAlignment="1">
      <alignment horizontal="center" wrapText="1"/>
    </xf>
    <xf numFmtId="43" fontId="8" fillId="0" borderId="12" xfId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13" xfId="0" applyNumberFormat="1" applyFont="1" applyFill="1" applyBorder="1"/>
    <xf numFmtId="43" fontId="8" fillId="0" borderId="0" xfId="0" applyNumberFormat="1" applyFont="1"/>
    <xf numFmtId="0" fontId="12" fillId="0" borderId="0" xfId="0" applyFont="1"/>
    <xf numFmtId="0" fontId="12" fillId="0" borderId="14" xfId="0" applyFont="1" applyFill="1" applyBorder="1" applyAlignment="1">
      <alignment horizontal="center"/>
    </xf>
    <xf numFmtId="0" fontId="12" fillId="0" borderId="14" xfId="0" applyFont="1" applyFill="1" applyBorder="1" applyAlignment="1">
      <alignment horizontal="left"/>
    </xf>
    <xf numFmtId="43" fontId="12" fillId="0" borderId="14" xfId="1" applyFont="1" applyFill="1" applyBorder="1" applyAlignment="1">
      <alignment horizontal="center"/>
    </xf>
    <xf numFmtId="164" fontId="10" fillId="0" borderId="15" xfId="1" applyNumberFormat="1" applyFont="1" applyBorder="1" applyAlignment="1">
      <alignment horizontal="center"/>
    </xf>
    <xf numFmtId="43" fontId="10" fillId="0" borderId="15" xfId="1" applyFont="1" applyBorder="1"/>
    <xf numFmtId="0" fontId="8" fillId="0" borderId="3" xfId="0" applyFont="1" applyBorder="1"/>
    <xf numFmtId="164" fontId="8" fillId="0" borderId="14" xfId="1" applyNumberFormat="1" applyFont="1" applyBorder="1" applyAlignment="1">
      <alignment horizontal="center"/>
    </xf>
    <xf numFmtId="43" fontId="8" fillId="0" borderId="14" xfId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43" fontId="10" fillId="0" borderId="16" xfId="1" applyFont="1" applyBorder="1"/>
    <xf numFmtId="0" fontId="8" fillId="0" borderId="17" xfId="0" applyFont="1" applyBorder="1"/>
    <xf numFmtId="0" fontId="12" fillId="0" borderId="0" xfId="0" applyFont="1" applyAlignment="1">
      <alignment horizontal="left"/>
    </xf>
    <xf numFmtId="0" fontId="10" fillId="0" borderId="2" xfId="0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43" fontId="10" fillId="0" borderId="0" xfId="1" applyFont="1"/>
    <xf numFmtId="164" fontId="8" fillId="0" borderId="0" xfId="0" applyNumberFormat="1" applyFont="1" applyBorder="1" applyAlignment="1">
      <alignment horizontal="center"/>
    </xf>
    <xf numFmtId="43" fontId="8" fillId="0" borderId="0" xfId="1" applyFont="1" applyBorder="1"/>
    <xf numFmtId="0" fontId="10" fillId="0" borderId="0" xfId="0" applyFont="1" applyAlignment="1">
      <alignment horizontal="left"/>
    </xf>
    <xf numFmtId="164" fontId="10" fillId="0" borderId="18" xfId="1" applyNumberFormat="1" applyFont="1" applyFill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164" fontId="10" fillId="0" borderId="0" xfId="1" applyNumberFormat="1" applyFont="1" applyFill="1" applyBorder="1" applyAlignment="1">
      <alignment horizontal="center"/>
    </xf>
    <xf numFmtId="164" fontId="8" fillId="0" borderId="0" xfId="1" applyNumberFormat="1" applyFont="1" applyBorder="1" applyAlignment="1">
      <alignment horizontal="center"/>
    </xf>
    <xf numFmtId="0" fontId="10" fillId="0" borderId="0" xfId="0" applyFont="1" applyBorder="1"/>
    <xf numFmtId="49" fontId="10" fillId="0" borderId="0" xfId="0" applyNumberFormat="1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43" fontId="8" fillId="0" borderId="0" xfId="1" applyFont="1" applyAlignment="1">
      <alignment horizontal="center"/>
    </xf>
    <xf numFmtId="49" fontId="10" fillId="0" borderId="0" xfId="0" applyNumberFormat="1" applyFont="1" applyAlignment="1">
      <alignment horizontal="center"/>
    </xf>
    <xf numFmtId="9" fontId="8" fillId="0" borderId="0" xfId="2" applyFont="1"/>
    <xf numFmtId="9" fontId="10" fillId="0" borderId="0" xfId="2" applyFont="1"/>
    <xf numFmtId="9" fontId="8" fillId="0" borderId="0" xfId="2" applyFont="1" applyAlignment="1">
      <alignment horizontal="center"/>
    </xf>
    <xf numFmtId="43" fontId="8" fillId="0" borderId="18" xfId="1" applyFont="1" applyBorder="1" applyAlignment="1">
      <alignment horizontal="center" wrapText="1"/>
    </xf>
    <xf numFmtId="0" fontId="8" fillId="0" borderId="0" xfId="0" applyFont="1" applyAlignment="1">
      <alignment horizontal="left"/>
    </xf>
    <xf numFmtId="43" fontId="8" fillId="0" borderId="2" xfId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43" fontId="9" fillId="0" borderId="0" xfId="1" applyFont="1" applyBorder="1" applyAlignment="1">
      <alignment horizontal="center"/>
    </xf>
    <xf numFmtId="43" fontId="10" fillId="0" borderId="0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7" fillId="0" borderId="0" xfId="1"/>
    <xf numFmtId="9" fontId="7" fillId="0" borderId="0" xfId="2"/>
    <xf numFmtId="164" fontId="0" fillId="0" borderId="0" xfId="0" applyNumberFormat="1"/>
    <xf numFmtId="164" fontId="0" fillId="0" borderId="0" xfId="0" applyNumberFormat="1" applyFill="1"/>
    <xf numFmtId="43" fontId="7" fillId="0" borderId="0" xfId="1" applyFont="1"/>
    <xf numFmtId="15" fontId="12" fillId="0" borderId="14" xfId="0" applyNumberFormat="1" applyFont="1" applyFill="1" applyBorder="1" applyAlignment="1">
      <alignment horizontal="center"/>
    </xf>
    <xf numFmtId="15" fontId="10" fillId="0" borderId="15" xfId="1" applyNumberFormat="1" applyFont="1" applyBorder="1" applyAlignment="1">
      <alignment horizontal="center"/>
    </xf>
    <xf numFmtId="15" fontId="8" fillId="0" borderId="14" xfId="1" applyNumberFormat="1" applyFont="1" applyBorder="1" applyAlignment="1">
      <alignment horizontal="center"/>
    </xf>
    <xf numFmtId="15" fontId="10" fillId="0" borderId="16" xfId="0" applyNumberFormat="1" applyFont="1" applyBorder="1" applyAlignment="1">
      <alignment horizontal="center"/>
    </xf>
    <xf numFmtId="43" fontId="12" fillId="0" borderId="19" xfId="1" applyFont="1" applyFill="1" applyBorder="1" applyAlignment="1">
      <alignment horizontal="center"/>
    </xf>
    <xf numFmtId="0" fontId="10" fillId="0" borderId="14" xfId="0" applyFont="1" applyFill="1" applyBorder="1" applyAlignment="1">
      <alignment horizontal="left"/>
    </xf>
    <xf numFmtId="43" fontId="12" fillId="0" borderId="14" xfId="1" applyFont="1" applyFill="1" applyBorder="1"/>
    <xf numFmtId="43" fontId="0" fillId="0" borderId="0" xfId="1" applyFont="1"/>
    <xf numFmtId="43" fontId="8" fillId="0" borderId="20" xfId="1" applyFont="1" applyBorder="1" applyAlignment="1">
      <alignment horizontal="center" wrapText="1"/>
    </xf>
    <xf numFmtId="43" fontId="8" fillId="0" borderId="14" xfId="1" applyFont="1" applyBorder="1" applyAlignment="1">
      <alignment horizontal="center" wrapText="1"/>
    </xf>
    <xf numFmtId="164" fontId="10" fillId="0" borderId="15" xfId="1" applyNumberFormat="1" applyFont="1" applyFill="1" applyBorder="1" applyAlignment="1">
      <alignment horizontal="center"/>
    </xf>
    <xf numFmtId="164" fontId="8" fillId="0" borderId="14" xfId="1" applyNumberFormat="1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6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/>
    <xf numFmtId="0" fontId="10" fillId="0" borderId="7" xfId="0" applyFont="1" applyFill="1" applyBorder="1" applyAlignment="1">
      <alignment horizontal="left"/>
    </xf>
    <xf numFmtId="43" fontId="8" fillId="0" borderId="10" xfId="1" applyFont="1" applyFill="1" applyBorder="1" applyAlignment="1">
      <alignment horizontal="center" wrapText="1"/>
    </xf>
    <xf numFmtId="43" fontId="10" fillId="0" borderId="0" xfId="1" applyFont="1" applyFill="1"/>
    <xf numFmtId="49" fontId="18" fillId="0" borderId="0" xfId="0" applyNumberFormat="1" applyFont="1" applyBorder="1" applyAlignment="1">
      <alignment horizontal="center"/>
    </xf>
    <xf numFmtId="164" fontId="10" fillId="0" borderId="14" xfId="1" applyNumberFormat="1" applyFont="1" applyBorder="1" applyAlignment="1">
      <alignment horizontal="center"/>
    </xf>
    <xf numFmtId="43" fontId="10" fillId="2" borderId="7" xfId="1" applyFont="1" applyFill="1" applyBorder="1" applyAlignment="1">
      <alignment horizontal="center"/>
    </xf>
    <xf numFmtId="43" fontId="17" fillId="0" borderId="14" xfId="1" applyFont="1" applyFill="1" applyBorder="1"/>
    <xf numFmtId="43" fontId="12" fillId="0" borderId="0" xfId="1" applyFont="1" applyFill="1" applyBorder="1"/>
    <xf numFmtId="9" fontId="12" fillId="0" borderId="0" xfId="2" applyFont="1" applyFill="1" applyBorder="1"/>
    <xf numFmtId="43" fontId="8" fillId="0" borderId="21" xfId="1" applyFont="1" applyBorder="1" applyAlignment="1">
      <alignment horizontal="center" wrapText="1"/>
    </xf>
    <xf numFmtId="9" fontId="8" fillId="0" borderId="22" xfId="2" applyFont="1" applyBorder="1" applyAlignment="1">
      <alignment horizontal="center" wrapText="1"/>
    </xf>
    <xf numFmtId="9" fontId="8" fillId="0" borderId="20" xfId="2" applyFont="1" applyBorder="1" applyAlignment="1">
      <alignment horizontal="center" wrapText="1"/>
    </xf>
    <xf numFmtId="43" fontId="18" fillId="0" borderId="7" xfId="1" applyFont="1" applyFill="1" applyBorder="1" applyAlignment="1">
      <alignment horizontal="center"/>
    </xf>
    <xf numFmtId="43" fontId="8" fillId="3" borderId="0" xfId="1" applyFont="1" applyFill="1" applyBorder="1" applyAlignment="1">
      <alignment horizontal="center"/>
    </xf>
    <xf numFmtId="0" fontId="12" fillId="0" borderId="0" xfId="0" applyFont="1" applyFill="1"/>
    <xf numFmtId="43" fontId="8" fillId="0" borderId="23" xfId="1" applyFont="1" applyBorder="1" applyAlignment="1">
      <alignment horizontal="center" wrapText="1"/>
    </xf>
    <xf numFmtId="9" fontId="8" fillId="0" borderId="2" xfId="2" applyFont="1" applyBorder="1" applyAlignment="1">
      <alignment horizontal="center" wrapText="1"/>
    </xf>
    <xf numFmtId="43" fontId="8" fillId="4" borderId="0" xfId="1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3" fillId="0" borderId="0" xfId="0" applyFont="1"/>
    <xf numFmtId="43" fontId="13" fillId="0" borderId="0" xfId="1" applyFont="1"/>
    <xf numFmtId="0" fontId="8" fillId="0" borderId="0" xfId="0" applyFont="1" applyFill="1" applyBorder="1" applyAlignment="1">
      <alignment horizontal="center"/>
    </xf>
    <xf numFmtId="0" fontId="8" fillId="0" borderId="0" xfId="0" applyFont="1" applyFill="1"/>
    <xf numFmtId="43" fontId="8" fillId="0" borderId="0" xfId="1" applyFont="1" applyFill="1"/>
    <xf numFmtId="3" fontId="8" fillId="0" borderId="0" xfId="0" applyNumberFormat="1" applyFont="1" applyBorder="1"/>
    <xf numFmtId="3" fontId="10" fillId="0" borderId="0" xfId="0" applyNumberFormat="1" applyFont="1" applyBorder="1"/>
    <xf numFmtId="3" fontId="8" fillId="0" borderId="0" xfId="2" applyNumberFormat="1" applyFont="1" applyBorder="1" applyAlignment="1">
      <alignment horizontal="center" wrapText="1"/>
    </xf>
    <xf numFmtId="3" fontId="12" fillId="0" borderId="0" xfId="0" applyNumberFormat="1" applyFont="1" applyFill="1" applyBorder="1"/>
    <xf numFmtId="3" fontId="8" fillId="0" borderId="0" xfId="0" applyNumberFormat="1" applyFont="1" applyBorder="1" applyAlignment="1">
      <alignment horizontal="center"/>
    </xf>
    <xf numFmtId="3" fontId="12" fillId="0" borderId="0" xfId="0" applyNumberFormat="1" applyFont="1"/>
    <xf numFmtId="0" fontId="8" fillId="0" borderId="2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164" fontId="10" fillId="0" borderId="15" xfId="1" applyNumberFormat="1" applyFont="1" applyBorder="1" applyAlignment="1">
      <alignment horizontal="left"/>
    </xf>
    <xf numFmtId="164" fontId="8" fillId="0" borderId="14" xfId="1" applyNumberFormat="1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14" fontId="10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left" wrapText="1"/>
    </xf>
    <xf numFmtId="0" fontId="8" fillId="0" borderId="0" xfId="0" applyFont="1" applyFill="1" applyBorder="1" applyAlignment="1">
      <alignment horizontal="right"/>
    </xf>
    <xf numFmtId="43" fontId="19" fillId="0" borderId="7" xfId="1" applyFont="1" applyBorder="1" applyAlignment="1">
      <alignment horizontal="center"/>
    </xf>
    <xf numFmtId="0" fontId="13" fillId="0" borderId="14" xfId="0" applyFont="1" applyFill="1" applyBorder="1" applyAlignment="1">
      <alignment horizontal="left"/>
    </xf>
    <xf numFmtId="9" fontId="12" fillId="4" borderId="0" xfId="2" applyFont="1" applyFill="1" applyBorder="1"/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43" fontId="12" fillId="0" borderId="0" xfId="0" applyNumberFormat="1" applyFont="1"/>
    <xf numFmtId="49" fontId="10" fillId="6" borderId="7" xfId="0" applyNumberFormat="1" applyFont="1" applyFill="1" applyBorder="1" applyAlignment="1">
      <alignment horizontal="center"/>
    </xf>
    <xf numFmtId="43" fontId="21" fillId="0" borderId="0" xfId="1" applyFont="1"/>
    <xf numFmtId="43" fontId="9" fillId="0" borderId="0" xfId="1" applyFont="1"/>
    <xf numFmtId="0" fontId="12" fillId="0" borderId="0" xfId="0" applyFont="1" applyFill="1" applyBorder="1"/>
    <xf numFmtId="43" fontId="17" fillId="0" borderId="14" xfId="1" applyFont="1" applyFill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43" fontId="0" fillId="0" borderId="0" xfId="0" applyNumberFormat="1"/>
    <xf numFmtId="3" fontId="8" fillId="0" borderId="0" xfId="0" applyNumberFormat="1" applyFont="1"/>
    <xf numFmtId="3" fontId="10" fillId="0" borderId="0" xfId="0" applyNumberFormat="1" applyFont="1"/>
    <xf numFmtId="3" fontId="8" fillId="0" borderId="1" xfId="2" applyNumberFormat="1" applyFont="1" applyBorder="1" applyAlignment="1">
      <alignment horizontal="center" wrapText="1"/>
    </xf>
    <xf numFmtId="3" fontId="8" fillId="0" borderId="0" xfId="0" applyNumberFormat="1" applyFont="1" applyAlignment="1">
      <alignment horizontal="center"/>
    </xf>
    <xf numFmtId="43" fontId="8" fillId="0" borderId="24" xfId="1" applyFont="1" applyBorder="1"/>
    <xf numFmtId="0" fontId="12" fillId="0" borderId="25" xfId="0" applyFont="1" applyFill="1" applyBorder="1" applyAlignment="1">
      <alignment horizontal="center"/>
    </xf>
    <xf numFmtId="164" fontId="10" fillId="0" borderId="21" xfId="1" applyNumberFormat="1" applyFont="1" applyBorder="1" applyAlignment="1">
      <alignment horizontal="center"/>
    </xf>
    <xf numFmtId="164" fontId="8" fillId="0" borderId="26" xfId="1" applyNumberFormat="1" applyFont="1" applyBorder="1" applyAlignment="1">
      <alignment horizontal="center"/>
    </xf>
    <xf numFmtId="164" fontId="8" fillId="0" borderId="25" xfId="1" applyNumberFormat="1" applyFont="1" applyBorder="1" applyAlignment="1">
      <alignment horizontal="center"/>
    </xf>
    <xf numFmtId="43" fontId="8" fillId="5" borderId="2" xfId="1" applyFont="1" applyFill="1" applyBorder="1" applyAlignment="1">
      <alignment horizontal="center"/>
    </xf>
    <xf numFmtId="4" fontId="8" fillId="0" borderId="0" xfId="0" applyNumberFormat="1" applyFont="1" applyBorder="1"/>
    <xf numFmtId="4" fontId="10" fillId="0" borderId="0" xfId="0" applyNumberFormat="1" applyFont="1" applyBorder="1"/>
    <xf numFmtId="4" fontId="8" fillId="0" borderId="0" xfId="2" applyNumberFormat="1" applyFont="1" applyBorder="1" applyAlignment="1">
      <alignment horizontal="center" wrapText="1"/>
    </xf>
    <xf numFmtId="4" fontId="12" fillId="0" borderId="0" xfId="0" applyNumberFormat="1" applyFont="1" applyFill="1" applyBorder="1"/>
    <xf numFmtId="4" fontId="8" fillId="0" borderId="0" xfId="0" applyNumberFormat="1" applyFont="1" applyBorder="1" applyAlignment="1">
      <alignment horizontal="center"/>
    </xf>
    <xf numFmtId="9" fontId="22" fillId="0" borderId="0" xfId="1" applyNumberFormat="1" applyFont="1" applyFill="1" applyBorder="1" applyAlignment="1">
      <alignment horizontal="center"/>
    </xf>
    <xf numFmtId="43" fontId="23" fillId="0" borderId="14" xfId="1" applyFont="1" applyFill="1" applyBorder="1"/>
    <xf numFmtId="165" fontId="12" fillId="0" borderId="0" xfId="1" applyNumberFormat="1" applyFont="1" applyFill="1" applyBorder="1"/>
    <xf numFmtId="49" fontId="13" fillId="0" borderId="14" xfId="0" applyNumberFormat="1" applyFont="1" applyFill="1" applyBorder="1" applyAlignment="1">
      <alignment horizontal="left"/>
    </xf>
    <xf numFmtId="43" fontId="7" fillId="0" borderId="0" xfId="1" applyFill="1" applyBorder="1"/>
    <xf numFmtId="0" fontId="0" fillId="0" borderId="0" xfId="0" applyBorder="1"/>
    <xf numFmtId="43" fontId="7" fillId="0" borderId="0" xfId="1" applyFont="1" applyBorder="1"/>
    <xf numFmtId="43" fontId="7" fillId="0" borderId="0" xfId="1" applyBorder="1"/>
    <xf numFmtId="164" fontId="0" fillId="0" borderId="0" xfId="0" applyNumberFormat="1" applyBorder="1"/>
    <xf numFmtId="43" fontId="0" fillId="0" borderId="0" xfId="1" applyFont="1" applyBorder="1"/>
    <xf numFmtId="164" fontId="15" fillId="0" borderId="0" xfId="1" applyNumberFormat="1" applyFont="1" applyFill="1" applyBorder="1" applyAlignment="1">
      <alignment horizontal="left"/>
    </xf>
    <xf numFmtId="0" fontId="11" fillId="7" borderId="7" xfId="0" applyFont="1" applyFill="1" applyBorder="1" applyAlignment="1">
      <alignment horizontal="left"/>
    </xf>
    <xf numFmtId="0" fontId="24" fillId="0" borderId="2" xfId="0" applyFont="1" applyBorder="1" applyAlignment="1">
      <alignment horizontal="center"/>
    </xf>
    <xf numFmtId="165" fontId="10" fillId="0" borderId="0" xfId="1" applyNumberFormat="1" applyFont="1" applyBorder="1"/>
    <xf numFmtId="165" fontId="10" fillId="0" borderId="0" xfId="1" applyNumberFormat="1" applyFont="1" applyBorder="1" applyAlignment="1">
      <alignment horizontal="center" wrapText="1"/>
    </xf>
    <xf numFmtId="165" fontId="10" fillId="0" borderId="0" xfId="1" applyNumberFormat="1" applyFont="1" applyBorder="1" applyAlignment="1">
      <alignment horizontal="center"/>
    </xf>
    <xf numFmtId="0" fontId="12" fillId="0" borderId="0" xfId="0" applyFont="1" applyFill="1" applyAlignment="1">
      <alignment horizontal="center"/>
    </xf>
    <xf numFmtId="43" fontId="12" fillId="0" borderId="0" xfId="0" applyNumberFormat="1" applyFont="1" applyFill="1" applyBorder="1"/>
    <xf numFmtId="0" fontId="0" fillId="0" borderId="0" xfId="0" applyFill="1"/>
    <xf numFmtId="0" fontId="12" fillId="0" borderId="0" xfId="0" applyFont="1" applyFill="1" applyAlignment="1">
      <alignment horizontal="left"/>
    </xf>
    <xf numFmtId="3" fontId="12" fillId="0" borderId="0" xfId="0" applyNumberFormat="1" applyFont="1" applyFill="1"/>
    <xf numFmtId="43" fontId="12" fillId="5" borderId="0" xfId="1" applyFont="1" applyFill="1" applyBorder="1"/>
    <xf numFmtId="0" fontId="12" fillId="0" borderId="0" xfId="0" applyFont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43" fontId="12" fillId="0" borderId="0" xfId="0" applyNumberFormat="1" applyFont="1" applyFill="1"/>
    <xf numFmtId="0" fontId="7" fillId="0" borderId="14" xfId="0" applyFont="1" applyFill="1" applyBorder="1"/>
    <xf numFmtId="0" fontId="7" fillId="0" borderId="14" xfId="0" applyFont="1" applyFill="1" applyBorder="1" applyAlignment="1">
      <alignment horizontal="center"/>
    </xf>
    <xf numFmtId="14" fontId="7" fillId="0" borderId="14" xfId="0" applyNumberFormat="1" applyFont="1" applyFill="1" applyBorder="1" applyAlignment="1">
      <alignment horizontal="center"/>
    </xf>
    <xf numFmtId="43" fontId="7" fillId="0" borderId="20" xfId="1" applyFont="1" applyFill="1" applyBorder="1"/>
    <xf numFmtId="43" fontId="7" fillId="0" borderId="14" xfId="1" applyFont="1" applyFill="1" applyBorder="1"/>
    <xf numFmtId="43" fontId="10" fillId="0" borderId="15" xfId="1" applyNumberFormat="1" applyFont="1" applyFill="1" applyBorder="1" applyAlignment="1">
      <alignment horizontal="center"/>
    </xf>
    <xf numFmtId="43" fontId="10" fillId="0" borderId="15" xfId="1" applyNumberFormat="1" applyFont="1" applyBorder="1" applyAlignment="1">
      <alignment horizontal="center"/>
    </xf>
    <xf numFmtId="43" fontId="10" fillId="0" borderId="16" xfId="1" applyNumberFormat="1" applyFont="1" applyBorder="1"/>
    <xf numFmtId="43" fontId="8" fillId="0" borderId="14" xfId="1" applyNumberFormat="1" applyFont="1" applyBorder="1" applyAlignment="1">
      <alignment horizontal="center"/>
    </xf>
    <xf numFmtId="43" fontId="10" fillId="0" borderId="16" xfId="1" applyNumberFormat="1" applyFont="1" applyFill="1" applyBorder="1"/>
    <xf numFmtId="43" fontId="8" fillId="0" borderId="0" xfId="1" applyNumberFormat="1" applyFont="1" applyBorder="1"/>
    <xf numFmtId="43" fontId="8" fillId="0" borderId="0" xfId="1" applyNumberFormat="1" applyFont="1" applyFill="1"/>
    <xf numFmtId="43" fontId="10" fillId="0" borderId="0" xfId="1" applyNumberFormat="1" applyFont="1"/>
    <xf numFmtId="43" fontId="16" fillId="0" borderId="0" xfId="1" applyNumberFormat="1" applyFont="1"/>
    <xf numFmtId="43" fontId="8" fillId="0" borderId="27" xfId="1" applyNumberFormat="1" applyFont="1" applyBorder="1"/>
    <xf numFmtId="43" fontId="8" fillId="0" borderId="19" xfId="0" applyNumberFormat="1" applyFont="1" applyFill="1" applyBorder="1" applyAlignment="1">
      <alignment horizontal="center"/>
    </xf>
    <xf numFmtId="43" fontId="8" fillId="0" borderId="15" xfId="1" quotePrefix="1" applyNumberFormat="1" applyFont="1" applyFill="1" applyBorder="1" applyAlignment="1">
      <alignment horizontal="center"/>
    </xf>
    <xf numFmtId="0" fontId="13" fillId="0" borderId="14" xfId="0" applyFont="1" applyFill="1" applyBorder="1"/>
    <xf numFmtId="164" fontId="25" fillId="0" borderId="13" xfId="0" applyNumberFormat="1" applyFont="1" applyFill="1" applyBorder="1"/>
    <xf numFmtId="43" fontId="8" fillId="0" borderId="20" xfId="1" quotePrefix="1" applyNumberFormat="1" applyFont="1" applyFill="1" applyBorder="1" applyAlignment="1">
      <alignment horizontal="center"/>
    </xf>
    <xf numFmtId="43" fontId="25" fillId="0" borderId="0" xfId="1" applyFont="1" applyFill="1" applyBorder="1"/>
    <xf numFmtId="43" fontId="17" fillId="0" borderId="0" xfId="1" applyFont="1" applyFill="1" applyBorder="1"/>
    <xf numFmtId="41" fontId="12" fillId="0" borderId="0" xfId="2" applyNumberFormat="1" applyFont="1" applyFill="1" applyBorder="1"/>
    <xf numFmtId="14" fontId="0" fillId="0" borderId="0" xfId="0" applyNumberFormat="1"/>
    <xf numFmtId="49" fontId="13" fillId="0" borderId="26" xfId="0" applyNumberFormat="1" applyFont="1" applyFill="1" applyBorder="1" applyAlignment="1">
      <alignment horizontal="right"/>
    </xf>
    <xf numFmtId="49" fontId="13" fillId="0" borderId="20" xfId="0" applyNumberFormat="1" applyFont="1" applyFill="1" applyBorder="1" applyAlignment="1">
      <alignment horizontal="center"/>
    </xf>
    <xf numFmtId="49" fontId="13" fillId="0" borderId="26" xfId="0" applyNumberFormat="1" applyFont="1" applyFill="1" applyBorder="1" applyAlignment="1">
      <alignment horizontal="center"/>
    </xf>
    <xf numFmtId="0" fontId="13" fillId="0" borderId="20" xfId="0" applyFont="1" applyFill="1" applyBorder="1" applyAlignment="1">
      <alignment horizontal="right"/>
    </xf>
    <xf numFmtId="49" fontId="13" fillId="0" borderId="0" xfId="0" applyNumberFormat="1" applyFont="1" applyFill="1" applyAlignment="1">
      <alignment horizontal="center"/>
    </xf>
    <xf numFmtId="0" fontId="13" fillId="0" borderId="14" xfId="0" applyFont="1" applyBorder="1"/>
    <xf numFmtId="0" fontId="13" fillId="0" borderId="0" xfId="0" applyFont="1" applyFill="1" applyAlignment="1">
      <alignment horizontal="left"/>
    </xf>
    <xf numFmtId="0" fontId="26" fillId="0" borderId="0" xfId="0" applyFont="1"/>
    <xf numFmtId="14" fontId="26" fillId="0" borderId="0" xfId="0" applyNumberFormat="1" applyFont="1"/>
    <xf numFmtId="43" fontId="26" fillId="0" borderId="0" xfId="0" applyNumberFormat="1" applyFont="1"/>
    <xf numFmtId="0" fontId="25" fillId="0" borderId="0" xfId="0" applyFont="1" applyFill="1" applyBorder="1"/>
    <xf numFmtId="43" fontId="0" fillId="2" borderId="0" xfId="0" applyNumberFormat="1" applyFill="1"/>
    <xf numFmtId="43" fontId="26" fillId="2" borderId="0" xfId="0" applyNumberFormat="1" applyFont="1" applyFill="1"/>
    <xf numFmtId="43" fontId="0" fillId="5" borderId="0" xfId="0" applyNumberFormat="1" applyFill="1"/>
    <xf numFmtId="43" fontId="0" fillId="8" borderId="0" xfId="0" applyNumberFormat="1" applyFill="1"/>
    <xf numFmtId="43" fontId="26" fillId="8" borderId="0" xfId="0" applyNumberFormat="1" applyFont="1" applyFill="1"/>
    <xf numFmtId="0" fontId="12" fillId="4" borderId="27" xfId="0" quotePrefix="1" applyFont="1" applyFill="1" applyBorder="1" applyAlignment="1">
      <alignment horizontal="left"/>
    </xf>
    <xf numFmtId="0" fontId="12" fillId="5" borderId="27" xfId="0" quotePrefix="1" applyFont="1" applyFill="1" applyBorder="1" applyAlignment="1">
      <alignment horizontal="left"/>
    </xf>
    <xf numFmtId="0" fontId="12" fillId="0" borderId="27" xfId="0" quotePrefix="1" applyNumberFormat="1" applyFont="1" applyFill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43" fontId="12" fillId="0" borderId="0" xfId="1" applyNumberFormat="1" applyFont="1" applyFill="1" applyBorder="1"/>
    <xf numFmtId="43" fontId="12" fillId="0" borderId="0" xfId="2" applyNumberFormat="1" applyFont="1" applyFill="1" applyBorder="1"/>
    <xf numFmtId="43" fontId="12" fillId="0" borderId="27" xfId="0" quotePrefix="1" applyNumberFormat="1" applyFont="1" applyFill="1" applyBorder="1" applyAlignment="1">
      <alignment horizontal="left"/>
    </xf>
    <xf numFmtId="43" fontId="12" fillId="4" borderId="27" xfId="0" quotePrefix="1" applyNumberFormat="1" applyFont="1" applyFill="1" applyBorder="1" applyAlignment="1">
      <alignment horizontal="left"/>
    </xf>
    <xf numFmtId="43" fontId="12" fillId="5" borderId="27" xfId="0" quotePrefix="1" applyNumberFormat="1" applyFont="1" applyFill="1" applyBorder="1" applyAlignment="1">
      <alignment horizontal="left"/>
    </xf>
    <xf numFmtId="43" fontId="0" fillId="0" borderId="0" xfId="0" applyNumberFormat="1" applyFill="1"/>
    <xf numFmtId="43" fontId="26" fillId="0" borderId="0" xfId="0" applyNumberFormat="1" applyFont="1" applyFill="1"/>
    <xf numFmtId="0" fontId="13" fillId="0" borderId="20" xfId="0" applyFont="1" applyFill="1" applyBorder="1"/>
    <xf numFmtId="0" fontId="13" fillId="0" borderId="0" xfId="0" applyFont="1" applyFill="1"/>
    <xf numFmtId="3" fontId="12" fillId="0" borderId="0" xfId="0" applyNumberFormat="1" applyFont="1" applyBorder="1"/>
    <xf numFmtId="43" fontId="12" fillId="0" borderId="0" xfId="0" applyNumberFormat="1" applyFont="1" applyAlignment="1">
      <alignment horizontal="center"/>
    </xf>
    <xf numFmtId="43" fontId="0" fillId="9" borderId="0" xfId="0" applyNumberFormat="1" applyFill="1"/>
    <xf numFmtId="3" fontId="25" fillId="0" borderId="0" xfId="0" applyNumberFormat="1" applyFont="1" applyFill="1" applyBorder="1"/>
    <xf numFmtId="9" fontId="25" fillId="0" borderId="0" xfId="2" applyFont="1" applyFill="1" applyBorder="1"/>
    <xf numFmtId="4" fontId="25" fillId="0" borderId="0" xfId="0" applyNumberFormat="1" applyFont="1" applyFill="1" applyBorder="1"/>
    <xf numFmtId="0" fontId="25" fillId="0" borderId="0" xfId="0" applyFont="1"/>
    <xf numFmtId="43" fontId="25" fillId="2" borderId="0" xfId="0" applyNumberFormat="1" applyFont="1" applyFill="1"/>
    <xf numFmtId="43" fontId="15" fillId="8" borderId="0" xfId="0" applyNumberFormat="1" applyFont="1" applyFill="1"/>
    <xf numFmtId="15" fontId="10" fillId="0" borderId="7" xfId="0" applyNumberFormat="1" applyFont="1" applyBorder="1" applyAlignment="1">
      <alignment horizontal="left"/>
    </xf>
    <xf numFmtId="15" fontId="10" fillId="0" borderId="15" xfId="1" applyNumberFormat="1" applyFont="1" applyBorder="1" applyAlignment="1">
      <alignment horizontal="left"/>
    </xf>
    <xf numFmtId="15" fontId="8" fillId="0" borderId="14" xfId="1" applyNumberFormat="1" applyFont="1" applyBorder="1" applyAlignment="1">
      <alignment horizontal="left"/>
    </xf>
    <xf numFmtId="15" fontId="10" fillId="0" borderId="16" xfId="0" applyNumberFormat="1" applyFont="1" applyBorder="1" applyAlignment="1">
      <alignment horizontal="left"/>
    </xf>
    <xf numFmtId="164" fontId="10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>
      <alignment horizontal="left"/>
    </xf>
    <xf numFmtId="43" fontId="8" fillId="0" borderId="28" xfId="1" applyNumberFormat="1" applyFont="1" applyFill="1" applyBorder="1"/>
    <xf numFmtId="3" fontId="8" fillId="0" borderId="0" xfId="0" applyNumberFormat="1" applyFont="1" applyFill="1"/>
    <xf numFmtId="3" fontId="10" fillId="0" borderId="0" xfId="0" applyNumberFormat="1" applyFont="1" applyFill="1"/>
    <xf numFmtId="49" fontId="18" fillId="0" borderId="0" xfId="0" applyNumberFormat="1" applyFont="1" applyBorder="1" applyAlignment="1">
      <alignment horizontal="left"/>
    </xf>
    <xf numFmtId="164" fontId="10" fillId="0" borderId="14" xfId="1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164" fontId="8" fillId="0" borderId="15" xfId="1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left"/>
    </xf>
    <xf numFmtId="43" fontId="7" fillId="0" borderId="0" xfId="1" applyFont="1" applyFill="1" applyBorder="1"/>
    <xf numFmtId="0" fontId="10" fillId="0" borderId="0" xfId="0" applyFont="1" applyFill="1" applyBorder="1"/>
    <xf numFmtId="3" fontId="13" fillId="0" borderId="0" xfId="0" applyNumberFormat="1" applyFont="1" applyFill="1" applyBorder="1"/>
    <xf numFmtId="49" fontId="10" fillId="0" borderId="7" xfId="0" applyNumberFormat="1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43" fontId="13" fillId="0" borderId="0" xfId="1" applyFont="1" applyBorder="1" applyAlignment="1">
      <alignment horizontal="center"/>
    </xf>
    <xf numFmtId="43" fontId="27" fillId="0" borderId="0" xfId="1" applyFont="1" applyBorder="1" applyAlignment="1">
      <alignment horizontal="center"/>
    </xf>
    <xf numFmtId="43" fontId="13" fillId="0" borderId="12" xfId="1" applyFont="1" applyFill="1" applyBorder="1" applyAlignment="1">
      <alignment horizontal="center" wrapText="1"/>
    </xf>
    <xf numFmtId="15" fontId="10" fillId="7" borderId="7" xfId="0" applyNumberFormat="1" applyFont="1" applyFill="1" applyBorder="1" applyAlignment="1">
      <alignment horizontal="left"/>
    </xf>
    <xf numFmtId="43" fontId="16" fillId="0" borderId="0" xfId="1" applyNumberFormat="1" applyFont="1" applyFill="1"/>
    <xf numFmtId="43" fontId="10" fillId="0" borderId="28" xfId="1" applyNumberFormat="1" applyFont="1" applyFill="1" applyBorder="1"/>
    <xf numFmtId="166" fontId="8" fillId="0" borderId="3" xfId="0" applyNumberFormat="1" applyFont="1" applyBorder="1" applyAlignment="1">
      <alignment horizontal="center"/>
    </xf>
    <xf numFmtId="166" fontId="8" fillId="0" borderId="5" xfId="0" applyNumberFormat="1" applyFont="1" applyBorder="1" applyAlignment="1">
      <alignment horizontal="center"/>
    </xf>
    <xf numFmtId="166" fontId="8" fillId="0" borderId="5" xfId="0" applyNumberFormat="1" applyFont="1" applyBorder="1"/>
    <xf numFmtId="166" fontId="8" fillId="0" borderId="23" xfId="1" applyNumberFormat="1" applyFont="1" applyBorder="1" applyAlignment="1">
      <alignment horizontal="center" wrapText="1"/>
    </xf>
    <xf numFmtId="166" fontId="8" fillId="0" borderId="0" xfId="0" applyNumberFormat="1" applyFont="1"/>
    <xf numFmtId="43" fontId="0" fillId="0" borderId="0" xfId="1" applyFont="1" applyFill="1" applyBorder="1"/>
    <xf numFmtId="164" fontId="0" fillId="0" borderId="0" xfId="0" applyNumberFormat="1" applyFill="1" applyBorder="1"/>
    <xf numFmtId="166" fontId="8" fillId="0" borderId="22" xfId="0" applyNumberFormat="1" applyFont="1" applyBorder="1"/>
    <xf numFmtId="166" fontId="8" fillId="0" borderId="29" xfId="0" applyNumberFormat="1" applyFont="1" applyBorder="1"/>
    <xf numFmtId="4" fontId="28" fillId="0" borderId="0" xfId="0" applyNumberFormat="1" applyFont="1" applyProtection="1">
      <protection locked="0" hidden="1"/>
    </xf>
    <xf numFmtId="0" fontId="7" fillId="0" borderId="0" xfId="0" applyFont="1"/>
    <xf numFmtId="0" fontId="8" fillId="0" borderId="7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wrapText="1"/>
    </xf>
    <xf numFmtId="43" fontId="0" fillId="2" borderId="20" xfId="1" applyFont="1" applyFill="1" applyBorder="1"/>
    <xf numFmtId="43" fontId="0" fillId="0" borderId="20" xfId="1" applyFont="1" applyBorder="1"/>
    <xf numFmtId="0" fontId="7" fillId="0" borderId="0" xfId="0" applyFont="1" applyFill="1"/>
    <xf numFmtId="43" fontId="13" fillId="0" borderId="0" xfId="1" applyNumberFormat="1" applyFont="1" applyFill="1" applyBorder="1"/>
    <xf numFmtId="0" fontId="8" fillId="0" borderId="0" xfId="0" applyFont="1" applyFill="1" applyAlignment="1">
      <alignment horizontal="center"/>
    </xf>
    <xf numFmtId="0" fontId="8" fillId="0" borderId="4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8" fillId="0" borderId="31" xfId="0" applyFont="1" applyBorder="1" applyAlignment="1">
      <alignment horizontal="right" wrapText="1"/>
    </xf>
    <xf numFmtId="164" fontId="10" fillId="0" borderId="21" xfId="1" applyNumberFormat="1" applyFont="1" applyBorder="1" applyAlignment="1">
      <alignment horizontal="right"/>
    </xf>
    <xf numFmtId="164" fontId="10" fillId="0" borderId="26" xfId="1" applyNumberFormat="1" applyFont="1" applyBorder="1" applyAlignment="1">
      <alignment horizontal="right"/>
    </xf>
    <xf numFmtId="0" fontId="10" fillId="0" borderId="25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Alignment="1">
      <alignment horizontal="right"/>
    </xf>
    <xf numFmtId="165" fontId="8" fillId="0" borderId="0" xfId="1" applyNumberFormat="1" applyFont="1" applyBorder="1"/>
    <xf numFmtId="165" fontId="8" fillId="0" borderId="0" xfId="1" applyNumberFormat="1" applyFont="1" applyBorder="1" applyAlignment="1">
      <alignment horizontal="center" wrapText="1"/>
    </xf>
    <xf numFmtId="9" fontId="0" fillId="0" borderId="0" xfId="0" applyNumberFormat="1"/>
    <xf numFmtId="0" fontId="10" fillId="0" borderId="7" xfId="0" applyFont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43" fontId="25" fillId="0" borderId="20" xfId="1" applyFont="1" applyBorder="1"/>
    <xf numFmtId="0" fontId="13" fillId="0" borderId="0" xfId="0" applyFont="1" applyFill="1" applyBorder="1"/>
    <xf numFmtId="43" fontId="7" fillId="0" borderId="0" xfId="1" applyFont="1" applyFill="1"/>
    <xf numFmtId="43" fontId="25" fillId="0" borderId="0" xfId="1" applyFont="1" applyBorder="1"/>
    <xf numFmtId="14" fontId="29" fillId="0" borderId="0" xfId="0" applyNumberFormat="1" applyFont="1" applyFill="1" applyBorder="1"/>
    <xf numFmtId="43" fontId="7" fillId="0" borderId="0" xfId="0" applyNumberFormat="1" applyFont="1" applyFill="1"/>
    <xf numFmtId="0" fontId="30" fillId="0" borderId="0" xfId="0" applyFont="1" applyFill="1" applyBorder="1" applyAlignment="1">
      <alignment horizontal="right"/>
    </xf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3" fontId="30" fillId="0" borderId="0" xfId="0" applyNumberFormat="1" applyFont="1" applyFill="1"/>
    <xf numFmtId="43" fontId="8" fillId="10" borderId="0" xfId="1" applyFont="1" applyFill="1" applyBorder="1" applyAlignment="1">
      <alignment horizontal="center"/>
    </xf>
    <xf numFmtId="43" fontId="10" fillId="11" borderId="7" xfId="1" applyFont="1" applyFill="1" applyBorder="1" applyAlignment="1">
      <alignment horizontal="center"/>
    </xf>
    <xf numFmtId="43" fontId="8" fillId="0" borderId="0" xfId="1" applyNumberFormat="1" applyFont="1" applyFill="1" applyBorder="1"/>
    <xf numFmtId="43" fontId="10" fillId="0" borderId="0" xfId="1" applyNumberFormat="1" applyFont="1" applyFill="1" applyBorder="1"/>
    <xf numFmtId="165" fontId="30" fillId="0" borderId="0" xfId="1" applyNumberFormat="1" applyFont="1" applyFill="1" applyBorder="1"/>
    <xf numFmtId="43" fontId="12" fillId="0" borderId="20" xfId="1" applyFont="1" applyFill="1" applyBorder="1"/>
    <xf numFmtId="0" fontId="30" fillId="0" borderId="0" xfId="0" applyFont="1" applyFill="1" applyBorder="1"/>
    <xf numFmtId="0" fontId="31" fillId="0" borderId="0" xfId="0" applyFont="1" applyFill="1" applyBorder="1"/>
    <xf numFmtId="43" fontId="10" fillId="0" borderId="0" xfId="1" applyNumberFormat="1" applyFont="1" applyFill="1"/>
    <xf numFmtId="9" fontId="30" fillId="0" borderId="0" xfId="2" applyFont="1" applyFill="1" applyBorder="1"/>
    <xf numFmtId="165" fontId="31" fillId="0" borderId="0" xfId="1" applyNumberFormat="1" applyFont="1" applyFill="1" applyBorder="1"/>
    <xf numFmtId="9" fontId="31" fillId="0" borderId="0" xfId="2" applyFont="1" applyFill="1" applyBorder="1"/>
    <xf numFmtId="0" fontId="34" fillId="0" borderId="4" xfId="0" applyFont="1" applyBorder="1" applyAlignment="1">
      <alignment horizontal="right"/>
    </xf>
    <xf numFmtId="0" fontId="34" fillId="0" borderId="2" xfId="0" applyFont="1" applyBorder="1" applyAlignment="1">
      <alignment horizontal="left"/>
    </xf>
    <xf numFmtId="0" fontId="35" fillId="0" borderId="2" xfId="0" applyFont="1" applyBorder="1" applyAlignment="1">
      <alignment horizontal="left"/>
    </xf>
    <xf numFmtId="0" fontId="34" fillId="0" borderId="2" xfId="0" applyFont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43" fontId="34" fillId="4" borderId="2" xfId="1" applyFont="1" applyFill="1" applyBorder="1" applyAlignment="1">
      <alignment horizontal="center"/>
    </xf>
    <xf numFmtId="43" fontId="34" fillId="5" borderId="2" xfId="1" applyFont="1" applyFill="1" applyBorder="1" applyAlignment="1">
      <alignment horizontal="center"/>
    </xf>
    <xf numFmtId="43" fontId="34" fillId="0" borderId="2" xfId="1" applyFont="1" applyBorder="1" applyAlignment="1">
      <alignment horizontal="center"/>
    </xf>
    <xf numFmtId="43" fontId="35" fillId="0" borderId="2" xfId="1" applyFont="1" applyBorder="1" applyAlignment="1">
      <alignment horizontal="center"/>
    </xf>
    <xf numFmtId="43" fontId="33" fillId="0" borderId="2" xfId="1" applyFont="1" applyBorder="1" applyAlignment="1">
      <alignment horizontal="center"/>
    </xf>
    <xf numFmtId="43" fontId="30" fillId="0" borderId="0" xfId="1" applyFont="1" applyFill="1" applyBorder="1"/>
    <xf numFmtId="3" fontId="36" fillId="0" borderId="0" xfId="0" applyNumberFormat="1" applyFont="1" applyFill="1" applyBorder="1"/>
    <xf numFmtId="0" fontId="30" fillId="0" borderId="0" xfId="0" applyFont="1"/>
    <xf numFmtId="43" fontId="31" fillId="0" borderId="0" xfId="1" applyFont="1" applyFill="1" applyBorder="1"/>
    <xf numFmtId="3" fontId="32" fillId="0" borderId="0" xfId="0" applyNumberFormat="1" applyFont="1" applyFill="1" applyBorder="1"/>
    <xf numFmtId="0" fontId="31" fillId="0" borderId="0" xfId="0" applyFont="1"/>
    <xf numFmtId="0" fontId="31" fillId="0" borderId="0" xfId="0" applyFont="1" applyFill="1"/>
    <xf numFmtId="0" fontId="30" fillId="0" borderId="0" xfId="0" applyFont="1" applyFill="1"/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3" fontId="30" fillId="0" borderId="0" xfId="0" applyNumberFormat="1" applyFont="1" applyFill="1" applyBorder="1"/>
    <xf numFmtId="43" fontId="30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/>
    </xf>
    <xf numFmtId="43" fontId="30" fillId="0" borderId="0" xfId="0" applyNumberFormat="1" applyFont="1" applyFill="1" applyBorder="1" applyAlignment="1">
      <alignment horizontal="left"/>
    </xf>
    <xf numFmtId="0" fontId="31" fillId="0" borderId="0" xfId="0" applyFont="1" applyFill="1" applyBorder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3" fontId="30" fillId="0" borderId="0" xfId="0" applyNumberFormat="1" applyFont="1" applyFill="1" applyBorder="1" applyAlignment="1">
      <alignment horizontal="right"/>
    </xf>
    <xf numFmtId="4" fontId="13" fillId="0" borderId="0" xfId="0" applyNumberFormat="1" applyFont="1" applyFill="1"/>
    <xf numFmtId="14" fontId="7" fillId="0" borderId="0" xfId="0" applyNumberFormat="1" applyFont="1"/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165" fontId="7" fillId="0" borderId="0" xfId="1" applyNumberFormat="1" applyFont="1" applyFill="1" applyBorder="1"/>
    <xf numFmtId="9" fontId="7" fillId="0" borderId="0" xfId="2" applyFont="1" applyFill="1" applyBorder="1"/>
    <xf numFmtId="0" fontId="7" fillId="0" borderId="2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/>
    <xf numFmtId="4" fontId="7" fillId="0" borderId="0" xfId="0" applyNumberFormat="1" applyFont="1" applyFill="1"/>
    <xf numFmtId="14" fontId="7" fillId="0" borderId="0" xfId="0" applyNumberFormat="1" applyFont="1" applyFill="1"/>
    <xf numFmtId="0" fontId="37" fillId="0" borderId="0" xfId="0" applyFont="1"/>
    <xf numFmtId="43" fontId="10" fillId="0" borderId="0" xfId="0" applyNumberFormat="1" applyFont="1" applyAlignment="1">
      <alignment horizontal="center"/>
    </xf>
    <xf numFmtId="43" fontId="7" fillId="0" borderId="0" xfId="0" applyNumberFormat="1" applyFont="1" applyFill="1" applyBorder="1" applyAlignment="1">
      <alignment horizontal="center"/>
    </xf>
    <xf numFmtId="0" fontId="37" fillId="0" borderId="0" xfId="0" applyFont="1" applyFill="1" applyBorder="1"/>
    <xf numFmtId="166" fontId="8" fillId="0" borderId="0" xfId="0" applyNumberFormat="1" applyFont="1" applyFill="1"/>
    <xf numFmtId="43" fontId="7" fillId="0" borderId="0" xfId="0" applyNumberFormat="1" applyFont="1" applyFill="1" applyBorder="1"/>
    <xf numFmtId="0" fontId="37" fillId="0" borderId="0" xfId="0" applyFont="1" applyFill="1"/>
    <xf numFmtId="4" fontId="31" fillId="0" borderId="0" xfId="0" applyNumberFormat="1" applyFont="1" applyFill="1" applyAlignment="1">
      <alignment horizontal="center"/>
    </xf>
    <xf numFmtId="43" fontId="7" fillId="0" borderId="0" xfId="1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38" fillId="0" borderId="34" xfId="3" applyFont="1" applyBorder="1" applyAlignment="1">
      <alignment horizontal="center"/>
    </xf>
    <xf numFmtId="0" fontId="38" fillId="0" borderId="33" xfId="3" applyFont="1" applyBorder="1" applyAlignment="1">
      <alignment horizontal="center"/>
    </xf>
    <xf numFmtId="43" fontId="38" fillId="0" borderId="33" xfId="1" applyFont="1" applyBorder="1"/>
    <xf numFmtId="43" fontId="10" fillId="0" borderId="22" xfId="1" applyFont="1" applyFill="1" applyBorder="1"/>
    <xf numFmtId="43" fontId="10" fillId="0" borderId="13" xfId="1" applyFont="1" applyFill="1" applyBorder="1"/>
    <xf numFmtId="43" fontId="37" fillId="0" borderId="0" xfId="1" applyFont="1" applyFill="1" applyBorder="1"/>
    <xf numFmtId="43" fontId="10" fillId="0" borderId="0" xfId="1" applyFont="1" applyFill="1" applyBorder="1"/>
    <xf numFmtId="43" fontId="10" fillId="0" borderId="20" xfId="1" applyFont="1" applyFill="1" applyBorder="1"/>
    <xf numFmtId="43" fontId="10" fillId="0" borderId="0" xfId="0" applyNumberFormat="1" applyFont="1" applyFill="1" applyBorder="1" applyAlignment="1">
      <alignment horizontal="center"/>
    </xf>
    <xf numFmtId="43" fontId="10" fillId="0" borderId="15" xfId="1" applyFont="1" applyFill="1" applyBorder="1"/>
    <xf numFmtId="43" fontId="8" fillId="15" borderId="28" xfId="1" applyFont="1" applyFill="1" applyBorder="1"/>
    <xf numFmtId="43" fontId="8" fillId="0" borderId="0" xfId="1" applyFont="1" applyFill="1" applyBorder="1"/>
    <xf numFmtId="43" fontId="8" fillId="0" borderId="27" xfId="1" applyFont="1" applyBorder="1"/>
    <xf numFmtId="43" fontId="10" fillId="0" borderId="0" xfId="0" applyNumberFormat="1" applyFont="1"/>
    <xf numFmtId="43" fontId="8" fillId="12" borderId="0" xfId="1" applyNumberFormat="1" applyFont="1" applyFill="1" applyBorder="1"/>
    <xf numFmtId="167" fontId="10" fillId="0" borderId="0" xfId="0" applyNumberFormat="1" applyFont="1" applyFill="1" applyBorder="1"/>
    <xf numFmtId="43" fontId="10" fillId="0" borderId="0" xfId="0" applyNumberFormat="1" applyFont="1" applyFill="1"/>
    <xf numFmtId="166" fontId="8" fillId="0" borderId="0" xfId="0" applyNumberFormat="1" applyFont="1" applyFill="1" applyBorder="1"/>
    <xf numFmtId="166" fontId="10" fillId="0" borderId="0" xfId="0" applyNumberFormat="1" applyFont="1" applyFill="1" applyBorder="1"/>
    <xf numFmtId="4" fontId="10" fillId="0" borderId="0" xfId="0" applyNumberFormat="1" applyFont="1" applyFill="1"/>
    <xf numFmtId="43" fontId="8" fillId="0" borderId="0" xfId="1" applyNumberFormat="1" applyFont="1" applyFill="1" applyBorder="1" applyAlignment="1"/>
    <xf numFmtId="43" fontId="7" fillId="14" borderId="0" xfId="1" applyFont="1" applyFill="1" applyBorder="1"/>
    <xf numFmtId="0" fontId="7" fillId="13" borderId="0" xfId="0" applyFont="1" applyFill="1"/>
    <xf numFmtId="1" fontId="7" fillId="0" borderId="0" xfId="0" applyNumberFormat="1" applyFont="1" applyFill="1"/>
    <xf numFmtId="14" fontId="7" fillId="0" borderId="0" xfId="0" applyNumberFormat="1" applyFont="1" applyFill="1" applyBorder="1" applyAlignment="1">
      <alignment horizontal="center"/>
    </xf>
    <xf numFmtId="14" fontId="7" fillId="0" borderId="0" xfId="0" applyNumberFormat="1" applyFont="1" applyFill="1" applyBorder="1"/>
    <xf numFmtId="43" fontId="7" fillId="0" borderId="0" xfId="0" applyNumberFormat="1" applyFont="1"/>
    <xf numFmtId="43" fontId="40" fillId="0" borderId="0" xfId="1" applyFont="1"/>
    <xf numFmtId="43" fontId="40" fillId="0" borderId="0" xfId="1" applyFont="1" applyAlignment="1">
      <alignment horizontal="center"/>
    </xf>
    <xf numFmtId="4" fontId="7" fillId="0" borderId="0" xfId="0" applyNumberFormat="1" applyFont="1"/>
    <xf numFmtId="43" fontId="41" fillId="0" borderId="0" xfId="1" applyFont="1"/>
    <xf numFmtId="43" fontId="7" fillId="17" borderId="0" xfId="1" applyFont="1" applyFill="1"/>
    <xf numFmtId="0" fontId="7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5" fontId="10" fillId="0" borderId="0" xfId="1" applyNumberFormat="1" applyFont="1" applyFill="1" applyBorder="1"/>
    <xf numFmtId="9" fontId="10" fillId="0" borderId="0" xfId="2" applyFont="1" applyFill="1" applyBorder="1"/>
    <xf numFmtId="0" fontId="37" fillId="0" borderId="0" xfId="0" applyFont="1" applyFill="1" applyBorder="1" applyAlignment="1">
      <alignment horizontal="left"/>
    </xf>
    <xf numFmtId="0" fontId="37" fillId="0" borderId="0" xfId="0" applyFont="1" applyFill="1" applyAlignment="1">
      <alignment horizontal="center"/>
    </xf>
    <xf numFmtId="0" fontId="37" fillId="0" borderId="0" xfId="0" applyFont="1" applyFill="1" applyAlignment="1">
      <alignment horizontal="left"/>
    </xf>
    <xf numFmtId="0" fontId="37" fillId="0" borderId="0" xfId="0" applyFont="1" applyFill="1" applyBorder="1" applyAlignment="1">
      <alignment horizontal="center"/>
    </xf>
    <xf numFmtId="3" fontId="37" fillId="0" borderId="0" xfId="0" applyNumberFormat="1" applyFont="1" applyFill="1"/>
    <xf numFmtId="165" fontId="37" fillId="0" borderId="0" xfId="1" applyNumberFormat="1" applyFont="1" applyFill="1" applyBorder="1"/>
    <xf numFmtId="0" fontId="8" fillId="0" borderId="30" xfId="0" applyFont="1" applyBorder="1" applyAlignment="1">
      <alignment horizontal="left"/>
    </xf>
    <xf numFmtId="3" fontId="8" fillId="0" borderId="30" xfId="0" applyNumberFormat="1" applyFont="1" applyFill="1" applyBorder="1"/>
    <xf numFmtId="0" fontId="37" fillId="0" borderId="0" xfId="0" applyFont="1" applyFill="1" applyBorder="1" applyAlignment="1">
      <alignment horizontal="right"/>
    </xf>
    <xf numFmtId="165" fontId="37" fillId="0" borderId="28" xfId="1" applyNumberFormat="1" applyFont="1" applyFill="1" applyBorder="1"/>
    <xf numFmtId="9" fontId="37" fillId="0" borderId="0" xfId="2" applyFont="1" applyFill="1" applyBorder="1"/>
    <xf numFmtId="0" fontId="8" fillId="0" borderId="0" xfId="0" applyFont="1" applyFill="1" applyAlignment="1">
      <alignment horizontal="left"/>
    </xf>
    <xf numFmtId="165" fontId="10" fillId="0" borderId="0" xfId="1" applyNumberFormat="1" applyFont="1" applyFill="1" applyBorder="1" applyAlignment="1">
      <alignment horizontal="center"/>
    </xf>
    <xf numFmtId="165" fontId="39" fillId="0" borderId="0" xfId="1" applyNumberFormat="1" applyFont="1" applyFill="1" applyBorder="1"/>
    <xf numFmtId="43" fontId="39" fillId="0" borderId="0" xfId="1" applyFont="1" applyFill="1" applyBorder="1"/>
    <xf numFmtId="3" fontId="8" fillId="0" borderId="0" xfId="0" applyNumberFormat="1" applyFont="1" applyFill="1" applyBorder="1" applyAlignment="1">
      <alignment horizontal="left"/>
    </xf>
    <xf numFmtId="0" fontId="42" fillId="0" borderId="0" xfId="0" applyFont="1" applyFill="1" applyBorder="1" applyAlignment="1">
      <alignment horizontal="center"/>
    </xf>
    <xf numFmtId="9" fontId="39" fillId="0" borderId="0" xfId="2" applyFont="1" applyFill="1" applyBorder="1"/>
    <xf numFmtId="0" fontId="10" fillId="0" borderId="0" xfId="0" applyFont="1" applyBorder="1" applyAlignment="1"/>
    <xf numFmtId="0" fontId="10" fillId="0" borderId="0" xfId="0" applyFont="1" applyFill="1" applyBorder="1" applyAlignment="1"/>
    <xf numFmtId="9" fontId="8" fillId="0" borderId="23" xfId="2" applyFont="1" applyBorder="1" applyAlignment="1">
      <alignment horizontal="center" wrapText="1"/>
    </xf>
    <xf numFmtId="3" fontId="8" fillId="0" borderId="23" xfId="2" applyNumberFormat="1" applyFont="1" applyFill="1" applyBorder="1" applyAlignment="1">
      <alignment horizontal="center" wrapText="1"/>
    </xf>
    <xf numFmtId="43" fontId="10" fillId="16" borderId="0" xfId="1" applyFont="1" applyFill="1" applyBorder="1"/>
    <xf numFmtId="0" fontId="7" fillId="0" borderId="14" xfId="0" applyFont="1" applyFill="1" applyBorder="1" applyAlignment="1">
      <alignment horizontal="left"/>
    </xf>
    <xf numFmtId="0" fontId="7" fillId="0" borderId="35" xfId="0" applyFont="1" applyFill="1" applyBorder="1" applyAlignment="1">
      <alignment horizontal="left"/>
    </xf>
    <xf numFmtId="0" fontId="7" fillId="0" borderId="36" xfId="0" applyFont="1" applyFill="1" applyBorder="1" applyAlignment="1">
      <alignment horizontal="left"/>
    </xf>
    <xf numFmtId="0" fontId="8" fillId="0" borderId="11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38" fillId="0" borderId="33" xfId="13" applyFont="1" applyBorder="1"/>
    <xf numFmtId="14" fontId="38" fillId="0" borderId="33" xfId="25" applyNumberFormat="1" applyFont="1" applyBorder="1"/>
    <xf numFmtId="0" fontId="38" fillId="0" borderId="33" xfId="37" applyFont="1" applyBorder="1"/>
    <xf numFmtId="0" fontId="38" fillId="0" borderId="33" xfId="49" applyFont="1" applyBorder="1"/>
    <xf numFmtId="0" fontId="38" fillId="0" borderId="32" xfId="61" applyNumberFormat="1" applyFont="1" applyBorder="1"/>
    <xf numFmtId="0" fontId="38" fillId="0" borderId="37" xfId="73" applyFont="1" applyBorder="1"/>
    <xf numFmtId="0" fontId="38" fillId="0" borderId="33" xfId="85" applyFont="1" applyBorder="1"/>
    <xf numFmtId="0" fontId="38" fillId="0" borderId="33" xfId="97" applyFont="1" applyBorder="1"/>
    <xf numFmtId="0" fontId="38" fillId="0" borderId="33" xfId="109" applyFont="1" applyBorder="1"/>
    <xf numFmtId="0" fontId="38" fillId="0" borderId="33" xfId="121" applyFont="1" applyBorder="1"/>
    <xf numFmtId="43" fontId="38" fillId="0" borderId="33" xfId="133" applyFont="1" applyBorder="1"/>
    <xf numFmtId="43" fontId="38" fillId="0" borderId="33" xfId="145" applyFont="1" applyBorder="1"/>
    <xf numFmtId="43" fontId="38" fillId="0" borderId="33" xfId="157" applyFont="1" applyBorder="1"/>
    <xf numFmtId="165" fontId="10" fillId="0" borderId="28" xfId="1" applyNumberFormat="1" applyFont="1" applyFill="1" applyBorder="1"/>
    <xf numFmtId="165" fontId="10" fillId="0" borderId="24" xfId="1" applyNumberFormat="1" applyFont="1" applyFill="1" applyBorder="1"/>
    <xf numFmtId="3" fontId="8" fillId="0" borderId="0" xfId="0" applyNumberFormat="1" applyFont="1" applyFill="1" applyAlignment="1">
      <alignment horizontal="left"/>
    </xf>
    <xf numFmtId="165" fontId="10" fillId="0" borderId="0" xfId="1" applyNumberFormat="1" applyFont="1" applyFill="1"/>
    <xf numFmtId="165" fontId="8" fillId="18" borderId="0" xfId="0" applyNumberFormat="1" applyFont="1" applyFill="1" applyAlignment="1">
      <alignment horizontal="left"/>
    </xf>
    <xf numFmtId="165" fontId="10" fillId="0" borderId="0" xfId="1" applyNumberFormat="1" applyFont="1" applyFill="1" applyBorder="1" applyAlignment="1"/>
    <xf numFmtId="0" fontId="8" fillId="0" borderId="0" xfId="1" applyNumberFormat="1" applyFont="1" applyFill="1" applyBorder="1" applyAlignment="1">
      <alignment horizontal="center"/>
    </xf>
    <xf numFmtId="43" fontId="10" fillId="0" borderId="0" xfId="1" applyFont="1" applyFill="1" applyBorder="1" applyAlignment="1"/>
    <xf numFmtId="165" fontId="8" fillId="5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left"/>
    </xf>
    <xf numFmtId="165" fontId="8" fillId="19" borderId="38" xfId="0" applyNumberFormat="1" applyFont="1" applyFill="1" applyBorder="1" applyAlignment="1"/>
    <xf numFmtId="165" fontId="10" fillId="0" borderId="38" xfId="1" applyNumberFormat="1" applyFont="1" applyFill="1" applyBorder="1" applyAlignment="1"/>
    <xf numFmtId="3" fontId="8" fillId="0" borderId="0" xfId="0" applyNumberFormat="1" applyFont="1" applyFill="1" applyAlignment="1"/>
    <xf numFmtId="165" fontId="8" fillId="0" borderId="0" xfId="1" applyNumberFormat="1" applyFont="1" applyFill="1" applyBorder="1" applyAlignment="1"/>
    <xf numFmtId="165" fontId="10" fillId="10" borderId="24" xfId="1" applyNumberFormat="1" applyFont="1" applyFill="1" applyBorder="1"/>
    <xf numFmtId="165" fontId="10" fillId="10" borderId="28" xfId="1" applyNumberFormat="1" applyFont="1" applyFill="1" applyBorder="1"/>
    <xf numFmtId="165" fontId="10" fillId="10" borderId="0" xfId="1" applyNumberFormat="1" applyFont="1" applyFill="1" applyBorder="1"/>
    <xf numFmtId="165" fontId="10" fillId="20" borderId="24" xfId="1" applyNumberFormat="1" applyFont="1" applyFill="1" applyBorder="1"/>
    <xf numFmtId="165" fontId="10" fillId="20" borderId="28" xfId="1" applyNumberFormat="1" applyFont="1" applyFill="1" applyBorder="1"/>
    <xf numFmtId="165" fontId="10" fillId="16" borderId="28" xfId="1" applyNumberFormat="1" applyFont="1" applyFill="1" applyBorder="1"/>
    <xf numFmtId="14" fontId="43" fillId="0" borderId="33" xfId="25" applyNumberFormat="1" applyFont="1" applyBorder="1"/>
    <xf numFmtId="0" fontId="7" fillId="0" borderId="0" xfId="0" applyFont="1" applyBorder="1"/>
    <xf numFmtId="0" fontId="13" fillId="0" borderId="0" xfId="0" applyFont="1" applyBorder="1"/>
    <xf numFmtId="0" fontId="7" fillId="0" borderId="0" xfId="0" applyFont="1" applyBorder="1" applyAlignment="1">
      <alignment horizontal="center"/>
    </xf>
    <xf numFmtId="43" fontId="7" fillId="0" borderId="0" xfId="1" applyFont="1" applyFill="1" applyBorder="1" applyAlignment="1" applyProtection="1"/>
    <xf numFmtId="43" fontId="7" fillId="0" borderId="0" xfId="0" applyNumberFormat="1" applyFont="1" applyBorder="1" applyAlignment="1">
      <alignment horizontal="center"/>
    </xf>
    <xf numFmtId="0" fontId="20" fillId="21" borderId="0" xfId="0" applyFont="1" applyFill="1" applyBorder="1"/>
    <xf numFmtId="0" fontId="13" fillId="0" borderId="0" xfId="0" applyFont="1" applyBorder="1" applyAlignment="1">
      <alignment horizontal="center"/>
    </xf>
    <xf numFmtId="43" fontId="13" fillId="0" borderId="0" xfId="1" applyFont="1" applyFill="1" applyBorder="1" applyAlignment="1" applyProtection="1">
      <alignment horizontal="center"/>
    </xf>
    <xf numFmtId="43" fontId="44" fillId="0" borderId="0" xfId="1" applyFont="1" applyBorder="1"/>
    <xf numFmtId="43" fontId="44" fillId="0" borderId="0" xfId="169" applyFont="1"/>
    <xf numFmtId="4" fontId="15" fillId="0" borderId="0" xfId="170" applyNumberFormat="1" applyFont="1" applyBorder="1"/>
    <xf numFmtId="4" fontId="15" fillId="0" borderId="0" xfId="171" applyNumberFormat="1" applyFont="1" applyBorder="1"/>
    <xf numFmtId="168" fontId="7" fillId="0" borderId="0" xfId="0" applyNumberFormat="1" applyFont="1" applyBorder="1"/>
    <xf numFmtId="4" fontId="15" fillId="0" borderId="0" xfId="172" applyNumberFormat="1" applyFont="1" applyBorder="1"/>
    <xf numFmtId="43" fontId="15" fillId="0" borderId="0" xfId="1" applyFont="1" applyBorder="1"/>
    <xf numFmtId="169" fontId="7" fillId="0" borderId="0" xfId="1" applyNumberFormat="1" applyFont="1" applyFill="1" applyBorder="1" applyAlignment="1" applyProtection="1"/>
    <xf numFmtId="43" fontId="44" fillId="0" borderId="0" xfId="173" applyFont="1"/>
    <xf numFmtId="4" fontId="7" fillId="0" borderId="0" xfId="0" applyNumberFormat="1" applyFont="1" applyBorder="1"/>
    <xf numFmtId="4" fontId="15" fillId="0" borderId="0" xfId="174" applyNumberFormat="1" applyFont="1" applyBorder="1"/>
    <xf numFmtId="43" fontId="44" fillId="0" borderId="0" xfId="1" applyFont="1"/>
    <xf numFmtId="4" fontId="15" fillId="0" borderId="0" xfId="175" applyNumberFormat="1" applyFont="1" applyBorder="1"/>
    <xf numFmtId="4" fontId="15" fillId="0" borderId="0" xfId="176" applyNumberFormat="1" applyFont="1" applyBorder="1"/>
    <xf numFmtId="43" fontId="44" fillId="0" borderId="0" xfId="177" applyFont="1"/>
    <xf numFmtId="4" fontId="15" fillId="0" borderId="0" xfId="5" applyNumberFormat="1" applyFont="1" applyFill="1" applyBorder="1"/>
    <xf numFmtId="4" fontId="15" fillId="0" borderId="0" xfId="178" applyNumberFormat="1" applyFont="1" applyBorder="1"/>
    <xf numFmtId="43" fontId="44" fillId="0" borderId="0" xfId="179" applyFont="1"/>
    <xf numFmtId="4" fontId="15" fillId="0" borderId="0" xfId="6" applyNumberFormat="1" applyFont="1" applyBorder="1"/>
    <xf numFmtId="4" fontId="15" fillId="0" borderId="0" xfId="180" applyNumberFormat="1" applyFont="1" applyBorder="1"/>
    <xf numFmtId="43" fontId="44" fillId="0" borderId="0" xfId="181" applyFont="1"/>
    <xf numFmtId="4" fontId="15" fillId="0" borderId="0" xfId="7" applyNumberFormat="1" applyFont="1" applyBorder="1"/>
    <xf numFmtId="4" fontId="15" fillId="0" borderId="0" xfId="182" applyNumberFormat="1" applyFont="1" applyBorder="1"/>
    <xf numFmtId="43" fontId="44" fillId="0" borderId="0" xfId="183" applyFont="1"/>
    <xf numFmtId="4" fontId="15" fillId="0" borderId="0" xfId="8" applyNumberFormat="1" applyFont="1" applyBorder="1"/>
    <xf numFmtId="4" fontId="15" fillId="0" borderId="0" xfId="184" applyNumberFormat="1" applyFont="1" applyBorder="1"/>
    <xf numFmtId="43" fontId="44" fillId="0" borderId="0" xfId="185" applyFont="1"/>
    <xf numFmtId="4" fontId="15" fillId="0" borderId="0" xfId="4" applyNumberFormat="1" applyFont="1" applyBorder="1"/>
    <xf numFmtId="4" fontId="15" fillId="0" borderId="0" xfId="186" applyNumberFormat="1" applyFont="1" applyBorder="1"/>
    <xf numFmtId="4" fontId="15" fillId="0" borderId="0" xfId="187" applyNumberFormat="1" applyFont="1" applyBorder="1"/>
    <xf numFmtId="43" fontId="13" fillId="22" borderId="0" xfId="1" applyFont="1" applyFill="1" applyBorder="1" applyAlignment="1" applyProtection="1"/>
    <xf numFmtId="43" fontId="13" fillId="0" borderId="0" xfId="1" applyFont="1" applyFill="1" applyBorder="1" applyAlignment="1" applyProtection="1"/>
    <xf numFmtId="168" fontId="7" fillId="0" borderId="0" xfId="0" applyNumberFormat="1" applyFont="1" applyBorder="1" applyAlignment="1">
      <alignment horizontal="center"/>
    </xf>
    <xf numFmtId="168" fontId="25" fillId="0" borderId="0" xfId="1" applyNumberFormat="1" applyFont="1" applyFill="1" applyBorder="1" applyAlignment="1" applyProtection="1"/>
    <xf numFmtId="168" fontId="13" fillId="0" borderId="0" xfId="0" applyNumberFormat="1" applyFont="1" applyBorder="1"/>
    <xf numFmtId="9" fontId="13" fillId="0" borderId="0" xfId="2" applyFont="1" applyFill="1" applyBorder="1" applyAlignment="1" applyProtection="1">
      <alignment horizontal="center"/>
    </xf>
    <xf numFmtId="4" fontId="15" fillId="0" borderId="0" xfId="188" applyNumberFormat="1" applyFont="1" applyBorder="1"/>
    <xf numFmtId="4" fontId="15" fillId="0" borderId="0" xfId="189" applyNumberFormat="1" applyFont="1" applyBorder="1"/>
    <xf numFmtId="9" fontId="7" fillId="0" borderId="0" xfId="2" applyFont="1" applyFill="1" applyBorder="1" applyAlignment="1" applyProtection="1">
      <alignment horizontal="center"/>
    </xf>
    <xf numFmtId="0" fontId="44" fillId="0" borderId="0" xfId="0" applyFont="1"/>
    <xf numFmtId="0" fontId="38" fillId="0" borderId="40" xfId="0" applyFont="1" applyBorder="1"/>
    <xf numFmtId="0" fontId="38" fillId="0" borderId="41" xfId="0" applyFont="1" applyBorder="1"/>
    <xf numFmtId="0" fontId="38" fillId="0" borderId="41" xfId="0" applyNumberFormat="1" applyFont="1" applyBorder="1"/>
    <xf numFmtId="0" fontId="38" fillId="0" borderId="41" xfId="3" applyFont="1" applyBorder="1" applyAlignment="1">
      <alignment horizontal="center"/>
    </xf>
    <xf numFmtId="14" fontId="38" fillId="0" borderId="41" xfId="0" applyNumberFormat="1" applyFont="1" applyBorder="1"/>
    <xf numFmtId="43" fontId="38" fillId="0" borderId="41" xfId="1" applyFont="1" applyBorder="1"/>
    <xf numFmtId="43" fontId="10" fillId="0" borderId="42" xfId="1" applyFont="1" applyFill="1" applyBorder="1"/>
    <xf numFmtId="0" fontId="38" fillId="0" borderId="43" xfId="0" applyFont="1" applyBorder="1"/>
    <xf numFmtId="0" fontId="38" fillId="0" borderId="44" xfId="0" applyFont="1" applyBorder="1"/>
    <xf numFmtId="0" fontId="38" fillId="0" borderId="44" xfId="0" applyNumberFormat="1" applyFont="1" applyBorder="1"/>
    <xf numFmtId="0" fontId="38" fillId="0" borderId="44" xfId="3" applyFont="1" applyBorder="1" applyAlignment="1">
      <alignment horizontal="center"/>
    </xf>
    <xf numFmtId="14" fontId="38" fillId="0" borderId="44" xfId="0" applyNumberFormat="1" applyFont="1" applyBorder="1"/>
    <xf numFmtId="43" fontId="38" fillId="0" borderId="44" xfId="1" applyFont="1" applyBorder="1"/>
    <xf numFmtId="43" fontId="10" fillId="0" borderId="45" xfId="1" applyFont="1" applyFill="1" applyBorder="1"/>
    <xf numFmtId="0" fontId="7" fillId="0" borderId="43" xfId="0" applyFont="1" applyFill="1" applyBorder="1" applyAlignment="1">
      <alignment horizontal="left"/>
    </xf>
    <xf numFmtId="0" fontId="7" fillId="0" borderId="44" xfId="0" applyFont="1" applyFill="1" applyBorder="1" applyAlignment="1">
      <alignment horizontal="left"/>
    </xf>
    <xf numFmtId="0" fontId="7" fillId="0" borderId="44" xfId="0" applyFont="1" applyFill="1" applyBorder="1"/>
    <xf numFmtId="1" fontId="7" fillId="0" borderId="44" xfId="0" applyNumberFormat="1" applyFont="1" applyFill="1" applyBorder="1"/>
    <xf numFmtId="14" fontId="7" fillId="0" borderId="44" xfId="0" applyNumberFormat="1" applyFont="1" applyFill="1" applyBorder="1"/>
    <xf numFmtId="43" fontId="10" fillId="0" borderId="44" xfId="1" applyFont="1" applyFill="1" applyBorder="1"/>
    <xf numFmtId="14" fontId="7" fillId="0" borderId="44" xfId="0" applyNumberFormat="1" applyFont="1" applyBorder="1"/>
    <xf numFmtId="0" fontId="7" fillId="0" borderId="46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left"/>
    </xf>
    <xf numFmtId="0" fontId="7" fillId="0" borderId="47" xfId="0" applyFont="1" applyFill="1" applyBorder="1"/>
    <xf numFmtId="14" fontId="7" fillId="0" borderId="47" xfId="0" applyNumberFormat="1" applyFont="1" applyBorder="1"/>
    <xf numFmtId="43" fontId="10" fillId="0" borderId="47" xfId="1" applyFont="1" applyFill="1" applyBorder="1"/>
    <xf numFmtId="43" fontId="10" fillId="0" borderId="48" xfId="1" applyFont="1" applyFill="1" applyBorder="1"/>
    <xf numFmtId="0" fontId="11" fillId="0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center"/>
    </xf>
    <xf numFmtId="15" fontId="10" fillId="0" borderId="0" xfId="0" applyNumberFormat="1" applyFont="1" applyBorder="1" applyAlignment="1">
      <alignment horizontal="center"/>
    </xf>
    <xf numFmtId="15" fontId="10" fillId="0" borderId="0" xfId="0" applyNumberFormat="1" applyFont="1" applyBorder="1" applyAlignment="1">
      <alignment horizontal="left"/>
    </xf>
    <xf numFmtId="15" fontId="10" fillId="7" borderId="0" xfId="0" applyNumberFormat="1" applyFont="1" applyFill="1" applyBorder="1" applyAlignment="1">
      <alignment horizontal="left"/>
    </xf>
    <xf numFmtId="43" fontId="10" fillId="11" borderId="0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Border="1" applyAlignment="1">
      <alignment horizontal="center"/>
    </xf>
    <xf numFmtId="0" fontId="34" fillId="0" borderId="52" xfId="0" applyFont="1" applyBorder="1" applyAlignment="1">
      <alignment horizontal="right"/>
    </xf>
    <xf numFmtId="0" fontId="8" fillId="0" borderId="52" xfId="0" applyFont="1" applyBorder="1" applyAlignment="1">
      <alignment horizontal="right"/>
    </xf>
    <xf numFmtId="0" fontId="10" fillId="0" borderId="51" xfId="0" applyFont="1" applyBorder="1" applyAlignment="1">
      <alignment horizontal="right"/>
    </xf>
    <xf numFmtId="0" fontId="8" fillId="0" borderId="39" xfId="0" applyFont="1" applyBorder="1" applyAlignment="1">
      <alignment horizontal="right" wrapText="1"/>
    </xf>
    <xf numFmtId="49" fontId="8" fillId="0" borderId="39" xfId="0" applyNumberFormat="1" applyFont="1" applyBorder="1" applyAlignment="1">
      <alignment horizontal="center" wrapText="1"/>
    </xf>
    <xf numFmtId="0" fontId="8" fillId="0" borderId="39" xfId="0" applyFont="1" applyBorder="1" applyAlignment="1">
      <alignment horizontal="center" wrapText="1"/>
    </xf>
    <xf numFmtId="15" fontId="8" fillId="0" borderId="39" xfId="0" applyNumberFormat="1" applyFont="1" applyBorder="1" applyAlignment="1">
      <alignment horizontal="center" wrapText="1"/>
    </xf>
    <xf numFmtId="0" fontId="8" fillId="0" borderId="39" xfId="0" applyFont="1" applyFill="1" applyBorder="1" applyAlignment="1">
      <alignment horizontal="center" wrapText="1"/>
    </xf>
    <xf numFmtId="43" fontId="8" fillId="0" borderId="39" xfId="1" applyFont="1" applyBorder="1" applyAlignment="1">
      <alignment horizontal="center" wrapText="1"/>
    </xf>
    <xf numFmtId="43" fontId="8" fillId="0" borderId="39" xfId="1" applyFont="1" applyFill="1" applyBorder="1" applyAlignment="1">
      <alignment horizontal="center" wrapText="1"/>
    </xf>
    <xf numFmtId="43" fontId="13" fillId="0" borderId="39" xfId="1" applyFont="1" applyFill="1" applyBorder="1" applyAlignment="1">
      <alignment horizontal="center" wrapText="1"/>
    </xf>
    <xf numFmtId="166" fontId="8" fillId="0" borderId="39" xfId="1" applyNumberFormat="1" applyFont="1" applyBorder="1" applyAlignment="1">
      <alignment horizontal="center" wrapText="1"/>
    </xf>
    <xf numFmtId="166" fontId="8" fillId="0" borderId="55" xfId="0" applyNumberFormat="1" applyFont="1" applyBorder="1" applyAlignment="1">
      <alignment horizontal="center"/>
    </xf>
    <xf numFmtId="166" fontId="8" fillId="0" borderId="54" xfId="0" applyNumberFormat="1" applyFont="1" applyBorder="1"/>
    <xf numFmtId="9" fontId="8" fillId="0" borderId="39" xfId="2" applyFont="1" applyBorder="1" applyAlignment="1">
      <alignment horizontal="center" wrapText="1"/>
    </xf>
    <xf numFmtId="3" fontId="8" fillId="0" borderId="39" xfId="2" applyNumberFormat="1" applyFont="1" applyFill="1" applyBorder="1" applyAlignment="1">
      <alignment horizontal="center" wrapText="1"/>
    </xf>
    <xf numFmtId="43" fontId="8" fillId="0" borderId="59" xfId="1" applyFont="1" applyBorder="1" applyAlignment="1">
      <alignment horizontal="center" wrapText="1"/>
    </xf>
    <xf numFmtId="9" fontId="8" fillId="0" borderId="60" xfId="2" applyFont="1" applyBorder="1" applyAlignment="1">
      <alignment horizontal="center" wrapText="1"/>
    </xf>
    <xf numFmtId="43" fontId="8" fillId="0" borderId="60" xfId="1" applyFont="1" applyBorder="1" applyAlignment="1">
      <alignment horizontal="center" wrapText="1"/>
    </xf>
    <xf numFmtId="43" fontId="8" fillId="0" borderId="50" xfId="1" applyFont="1" applyBorder="1" applyAlignment="1">
      <alignment horizontal="center" wrapText="1"/>
    </xf>
    <xf numFmtId="43" fontId="8" fillId="0" borderId="53" xfId="1" applyFont="1" applyBorder="1" applyAlignment="1">
      <alignment horizontal="center" wrapText="1"/>
    </xf>
    <xf numFmtId="164" fontId="10" fillId="0" borderId="61" xfId="1" applyNumberFormat="1" applyFont="1" applyBorder="1" applyAlignment="1">
      <alignment horizontal="right"/>
    </xf>
    <xf numFmtId="164" fontId="10" fillId="0" borderId="62" xfId="1" applyNumberFormat="1" applyFont="1" applyBorder="1" applyAlignment="1">
      <alignment horizontal="left"/>
    </xf>
    <xf numFmtId="164" fontId="10" fillId="0" borderId="62" xfId="1" applyNumberFormat="1" applyFont="1" applyBorder="1" applyAlignment="1">
      <alignment horizontal="center"/>
    </xf>
    <xf numFmtId="15" fontId="10" fillId="0" borderId="62" xfId="1" applyNumberFormat="1" applyFont="1" applyBorder="1" applyAlignment="1">
      <alignment horizontal="center"/>
    </xf>
    <xf numFmtId="15" fontId="10" fillId="0" borderId="62" xfId="1" applyNumberFormat="1" applyFont="1" applyBorder="1" applyAlignment="1">
      <alignment horizontal="left"/>
    </xf>
    <xf numFmtId="164" fontId="8" fillId="0" borderId="62" xfId="1" applyNumberFormat="1" applyFont="1" applyFill="1" applyBorder="1" applyAlignment="1">
      <alignment horizontal="center"/>
    </xf>
    <xf numFmtId="164" fontId="10" fillId="0" borderId="62" xfId="1" applyNumberFormat="1" applyFont="1" applyFill="1" applyBorder="1" applyAlignment="1">
      <alignment horizontal="center"/>
    </xf>
    <xf numFmtId="43" fontId="8" fillId="0" borderId="62" xfId="1" quotePrefix="1" applyNumberFormat="1" applyFont="1" applyFill="1" applyBorder="1" applyAlignment="1">
      <alignment horizontal="center"/>
    </xf>
    <xf numFmtId="43" fontId="10" fillId="0" borderId="62" xfId="1" applyNumberFormat="1" applyFont="1" applyFill="1" applyBorder="1" applyAlignment="1">
      <alignment horizontal="center"/>
    </xf>
    <xf numFmtId="43" fontId="10" fillId="0" borderId="62" xfId="1" applyNumberFormat="1" applyFont="1" applyBorder="1" applyAlignment="1">
      <alignment horizontal="center"/>
    </xf>
    <xf numFmtId="43" fontId="10" fillId="0" borderId="62" xfId="1" applyFont="1" applyFill="1" applyBorder="1"/>
    <xf numFmtId="166" fontId="8" fillId="0" borderId="63" xfId="0" applyNumberFormat="1" applyFont="1" applyBorder="1"/>
    <xf numFmtId="164" fontId="10" fillId="0" borderId="64" xfId="1" applyNumberFormat="1" applyFont="1" applyBorder="1" applyAlignment="1">
      <alignment horizontal="right"/>
    </xf>
    <xf numFmtId="43" fontId="8" fillId="0" borderId="65" xfId="1" quotePrefix="1" applyNumberFormat="1" applyFont="1" applyFill="1" applyBorder="1" applyAlignment="1">
      <alignment horizontal="center"/>
    </xf>
    <xf numFmtId="0" fontId="10" fillId="0" borderId="66" xfId="0" applyFont="1" applyBorder="1" applyAlignment="1">
      <alignment horizontal="right"/>
    </xf>
    <xf numFmtId="0" fontId="10" fillId="0" borderId="67" xfId="0" applyFont="1" applyBorder="1" applyAlignment="1">
      <alignment horizontal="left"/>
    </xf>
    <xf numFmtId="0" fontId="10" fillId="0" borderId="67" xfId="0" applyFont="1" applyBorder="1" applyAlignment="1">
      <alignment horizontal="center"/>
    </xf>
    <xf numFmtId="15" fontId="10" fillId="0" borderId="67" xfId="0" applyNumberFormat="1" applyFont="1" applyBorder="1" applyAlignment="1">
      <alignment horizontal="center"/>
    </xf>
    <xf numFmtId="15" fontId="10" fillId="0" borderId="67" xfId="0" applyNumberFormat="1" applyFont="1" applyBorder="1" applyAlignment="1">
      <alignment horizontal="left"/>
    </xf>
    <xf numFmtId="0" fontId="8" fillId="0" borderId="67" xfId="0" applyFont="1" applyFill="1" applyBorder="1" applyAlignment="1">
      <alignment horizontal="center"/>
    </xf>
    <xf numFmtId="0" fontId="10" fillId="0" borderId="67" xfId="0" applyFont="1" applyFill="1" applyBorder="1"/>
    <xf numFmtId="43" fontId="8" fillId="0" borderId="68" xfId="0" applyNumberFormat="1" applyFont="1" applyFill="1" applyBorder="1" applyAlignment="1">
      <alignment horizontal="center"/>
    </xf>
    <xf numFmtId="43" fontId="10" fillId="0" borderId="67" xfId="1" applyNumberFormat="1" applyFont="1" applyFill="1" applyBorder="1"/>
    <xf numFmtId="43" fontId="10" fillId="0" borderId="67" xfId="1" applyNumberFormat="1" applyFont="1" applyBorder="1"/>
    <xf numFmtId="43" fontId="10" fillId="0" borderId="67" xfId="1" applyFont="1" applyBorder="1"/>
    <xf numFmtId="166" fontId="8" fillId="0" borderId="69" xfId="0" applyNumberFormat="1" applyFont="1" applyBorder="1"/>
    <xf numFmtId="3" fontId="10" fillId="0" borderId="0" xfId="0" applyNumberFormat="1" applyFont="1" applyFill="1" applyBorder="1"/>
    <xf numFmtId="0" fontId="8" fillId="0" borderId="70" xfId="0" applyFont="1" applyBorder="1" applyAlignment="1">
      <alignment horizontal="left"/>
    </xf>
    <xf numFmtId="3" fontId="8" fillId="0" borderId="70" xfId="0" applyNumberFormat="1" applyFont="1" applyFill="1" applyBorder="1"/>
    <xf numFmtId="0" fontId="10" fillId="0" borderId="71" xfId="0" applyFont="1" applyFill="1" applyBorder="1" applyAlignment="1">
      <alignment horizontal="left"/>
    </xf>
    <xf numFmtId="0" fontId="10" fillId="0" borderId="71" xfId="0" applyFont="1" applyFill="1" applyBorder="1" applyAlignment="1">
      <alignment horizontal="center"/>
    </xf>
    <xf numFmtId="3" fontId="10" fillId="0" borderId="71" xfId="0" applyNumberFormat="1" applyFont="1" applyFill="1" applyBorder="1"/>
    <xf numFmtId="165" fontId="10" fillId="0" borderId="71" xfId="1" applyNumberFormat="1" applyFont="1" applyFill="1" applyBorder="1"/>
    <xf numFmtId="9" fontId="10" fillId="0" borderId="71" xfId="2" applyFont="1" applyFill="1" applyBorder="1"/>
    <xf numFmtId="0" fontId="10" fillId="0" borderId="44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3" fontId="10" fillId="0" borderId="44" xfId="0" applyNumberFormat="1" applyFont="1" applyFill="1" applyBorder="1"/>
    <xf numFmtId="165" fontId="10" fillId="0" borderId="44" xfId="1" applyNumberFormat="1" applyFont="1" applyFill="1" applyBorder="1"/>
    <xf numFmtId="9" fontId="10" fillId="0" borderId="44" xfId="2" applyFont="1" applyFill="1" applyBorder="1"/>
    <xf numFmtId="165" fontId="37" fillId="0" borderId="44" xfId="1" applyNumberFormat="1" applyFont="1" applyFill="1" applyBorder="1"/>
    <xf numFmtId="43" fontId="10" fillId="0" borderId="71" xfId="1" applyFont="1" applyFill="1" applyBorder="1"/>
    <xf numFmtId="165" fontId="8" fillId="0" borderId="0" xfId="1" applyNumberFormat="1" applyFont="1" applyBorder="1" applyAlignment="1"/>
    <xf numFmtId="165" fontId="10" fillId="0" borderId="0" xfId="1" applyNumberFormat="1" applyFont="1" applyBorder="1" applyAlignment="1"/>
    <xf numFmtId="165" fontId="8" fillId="0" borderId="0" xfId="1" applyNumberFormat="1" applyFont="1" applyBorder="1" applyAlignment="1">
      <alignment wrapText="1"/>
    </xf>
    <xf numFmtId="165" fontId="10" fillId="0" borderId="71" xfId="1" applyNumberFormat="1" applyFont="1" applyFill="1" applyBorder="1" applyAlignment="1"/>
    <xf numFmtId="165" fontId="10" fillId="0" borderId="44" xfId="1" applyNumberFormat="1" applyFont="1" applyFill="1" applyBorder="1" applyAlignment="1"/>
    <xf numFmtId="165" fontId="37" fillId="0" borderId="44" xfId="1" applyNumberFormat="1" applyFont="1" applyFill="1" applyBorder="1" applyAlignment="1"/>
    <xf numFmtId="165" fontId="10" fillId="20" borderId="44" xfId="1" applyNumberFormat="1" applyFont="1" applyFill="1" applyBorder="1" applyAlignment="1"/>
    <xf numFmtId="165" fontId="10" fillId="16" borderId="44" xfId="1" applyNumberFormat="1" applyFont="1" applyFill="1" applyBorder="1" applyAlignment="1"/>
    <xf numFmtId="0" fontId="31" fillId="0" borderId="0" xfId="0" applyFont="1" applyAlignment="1"/>
    <xf numFmtId="0" fontId="7" fillId="0" borderId="0" xfId="0" applyFont="1" applyAlignment="1"/>
    <xf numFmtId="3" fontId="8" fillId="0" borderId="70" xfId="0" applyNumberFormat="1" applyFont="1" applyFill="1" applyBorder="1" applyAlignment="1"/>
    <xf numFmtId="165" fontId="37" fillId="0" borderId="0" xfId="1" applyNumberFormat="1" applyFont="1" applyFill="1" applyBorder="1" applyAlignment="1"/>
    <xf numFmtId="165" fontId="39" fillId="0" borderId="0" xfId="1" applyNumberFormat="1" applyFont="1" applyFill="1" applyBorder="1" applyAlignment="1"/>
    <xf numFmtId="0" fontId="8" fillId="0" borderId="0" xfId="1" applyNumberFormat="1" applyFont="1" applyFill="1" applyBorder="1" applyAlignment="1"/>
    <xf numFmtId="0" fontId="30" fillId="0" borderId="0" xfId="0" applyFont="1" applyAlignment="1"/>
    <xf numFmtId="165" fontId="31" fillId="0" borderId="0" xfId="1" applyNumberFormat="1" applyFont="1" applyFill="1" applyBorder="1" applyAlignment="1"/>
    <xf numFmtId="165" fontId="7" fillId="0" borderId="0" xfId="1" applyNumberFormat="1" applyFont="1" applyFill="1" applyBorder="1" applyAlignment="1"/>
    <xf numFmtId="165" fontId="30" fillId="0" borderId="0" xfId="1" applyNumberFormat="1" applyFont="1" applyFill="1" applyBorder="1" applyAlignment="1"/>
    <xf numFmtId="43" fontId="7" fillId="0" borderId="0" xfId="1" applyFont="1" applyFill="1" applyBorder="1" applyAlignment="1"/>
    <xf numFmtId="43" fontId="10" fillId="0" borderId="0" xfId="1" applyFont="1" applyAlignment="1"/>
    <xf numFmtId="165" fontId="10" fillId="10" borderId="44" xfId="1" applyNumberFormat="1" applyFont="1" applyFill="1" applyBorder="1" applyAlignment="1"/>
    <xf numFmtId="43" fontId="8" fillId="0" borderId="0" xfId="1" applyFont="1" applyFill="1" applyBorder="1" applyAlignment="1">
      <alignment horizontal="center"/>
    </xf>
    <xf numFmtId="0" fontId="38" fillId="0" borderId="72" xfId="0" applyFont="1" applyBorder="1"/>
    <xf numFmtId="0" fontId="38" fillId="0" borderId="73" xfId="0" applyFont="1" applyBorder="1"/>
    <xf numFmtId="0" fontId="38" fillId="0" borderId="74" xfId="0" applyFont="1" applyBorder="1"/>
    <xf numFmtId="0" fontId="38" fillId="0" borderId="72" xfId="0" applyNumberFormat="1" applyFont="1" applyBorder="1"/>
    <xf numFmtId="14" fontId="38" fillId="0" borderId="72" xfId="0" applyNumberFormat="1" applyFont="1" applyBorder="1"/>
    <xf numFmtId="43" fontId="38" fillId="0" borderId="72" xfId="1" applyFont="1" applyBorder="1"/>
    <xf numFmtId="0" fontId="39" fillId="0" borderId="44" xfId="0" applyFont="1" applyFill="1" applyBorder="1"/>
    <xf numFmtId="0" fontId="10" fillId="0" borderId="44" xfId="0" applyFont="1" applyFill="1" applyBorder="1"/>
    <xf numFmtId="165" fontId="8" fillId="0" borderId="71" xfId="1" applyNumberFormat="1" applyFont="1" applyFill="1" applyBorder="1" applyAlignment="1">
      <alignment horizontal="center"/>
    </xf>
    <xf numFmtId="165" fontId="8" fillId="0" borderId="44" xfId="1" applyNumberFormat="1" applyFont="1" applyFill="1" applyBorder="1" applyAlignment="1">
      <alignment horizontal="center"/>
    </xf>
    <xf numFmtId="165" fontId="45" fillId="0" borderId="44" xfId="1" applyNumberFormat="1" applyFont="1" applyFill="1" applyBorder="1" applyAlignment="1">
      <alignment horizontal="center"/>
    </xf>
    <xf numFmtId="0" fontId="32" fillId="0" borderId="0" xfId="0" applyFont="1"/>
    <xf numFmtId="0" fontId="13" fillId="0" borderId="0" xfId="0" applyFont="1" applyAlignment="1"/>
    <xf numFmtId="165" fontId="45" fillId="0" borderId="0" xfId="1" applyNumberFormat="1" applyFont="1" applyFill="1" applyBorder="1" applyAlignment="1"/>
    <xf numFmtId="165" fontId="42" fillId="0" borderId="0" xfId="1" applyNumberFormat="1" applyFont="1" applyFill="1" applyBorder="1" applyAlignment="1"/>
    <xf numFmtId="0" fontId="32" fillId="0" borderId="0" xfId="0" applyFont="1" applyAlignment="1"/>
    <xf numFmtId="0" fontId="36" fillId="0" borderId="0" xfId="0" applyFont="1" applyAlignment="1"/>
    <xf numFmtId="165" fontId="32" fillId="0" borderId="0" xfId="1" applyNumberFormat="1" applyFont="1" applyFill="1" applyBorder="1" applyAlignment="1"/>
    <xf numFmtId="165" fontId="13" fillId="0" borderId="0" xfId="1" applyNumberFormat="1" applyFont="1" applyFill="1" applyBorder="1" applyAlignment="1"/>
    <xf numFmtId="165" fontId="36" fillId="0" borderId="0" xfId="1" applyNumberFormat="1" applyFont="1" applyFill="1" applyBorder="1" applyAlignment="1"/>
    <xf numFmtId="43" fontId="13" fillId="0" borderId="0" xfId="1" applyFont="1" applyFill="1" applyBorder="1" applyAlignment="1"/>
    <xf numFmtId="43" fontId="8" fillId="0" borderId="0" xfId="1" applyFont="1" applyAlignment="1"/>
    <xf numFmtId="165" fontId="46" fillId="0" borderId="44" xfId="1" applyNumberFormat="1" applyFont="1" applyFill="1" applyBorder="1" applyAlignment="1">
      <alignment horizontal="center"/>
    </xf>
    <xf numFmtId="0" fontId="46" fillId="0" borderId="44" xfId="0" applyFont="1" applyFill="1" applyBorder="1" applyAlignment="1">
      <alignment horizontal="center"/>
    </xf>
    <xf numFmtId="165" fontId="47" fillId="0" borderId="44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8" fillId="0" borderId="73" xfId="190" applyFont="1" applyBorder="1"/>
    <xf numFmtId="0" fontId="38" fillId="0" borderId="74" xfId="190" applyFont="1" applyBorder="1"/>
    <xf numFmtId="0" fontId="38" fillId="0" borderId="72" xfId="190" applyFont="1" applyBorder="1"/>
    <xf numFmtId="0" fontId="38" fillId="0" borderId="72" xfId="190" applyNumberFormat="1" applyFont="1" applyBorder="1"/>
    <xf numFmtId="0" fontId="38" fillId="0" borderId="72" xfId="190" applyFont="1" applyBorder="1"/>
    <xf numFmtId="22" fontId="38" fillId="0" borderId="72" xfId="190" applyNumberFormat="1" applyFont="1" applyBorder="1"/>
    <xf numFmtId="0" fontId="38" fillId="0" borderId="72" xfId="190" applyFont="1" applyBorder="1"/>
    <xf numFmtId="14" fontId="38" fillId="0" borderId="72" xfId="190" applyNumberFormat="1" applyFont="1" applyBorder="1"/>
    <xf numFmtId="0" fontId="38" fillId="0" borderId="72" xfId="190" applyFont="1" applyBorder="1"/>
    <xf numFmtId="0" fontId="38" fillId="0" borderId="72" xfId="190" applyFont="1" applyBorder="1"/>
    <xf numFmtId="0" fontId="38" fillId="0" borderId="72" xfId="190" applyFont="1" applyBorder="1"/>
    <xf numFmtId="0" fontId="38" fillId="0" borderId="72" xfId="190" applyFont="1" applyBorder="1"/>
    <xf numFmtId="0" fontId="38" fillId="0" borderId="72" xfId="190" applyFont="1" applyBorder="1"/>
    <xf numFmtId="43" fontId="38" fillId="0" borderId="72" xfId="191" applyFont="1" applyBorder="1"/>
    <xf numFmtId="43" fontId="38" fillId="0" borderId="72" xfId="191" applyFont="1" applyBorder="1"/>
    <xf numFmtId="43" fontId="38" fillId="0" borderId="72" xfId="191" applyFont="1" applyBorder="1"/>
    <xf numFmtId="43" fontId="38" fillId="0" borderId="72" xfId="191" applyFont="1" applyBorder="1"/>
    <xf numFmtId="0" fontId="38" fillId="0" borderId="72" xfId="190" applyFont="1" applyBorder="1"/>
    <xf numFmtId="0" fontId="38" fillId="0" borderId="72" xfId="190" applyNumberFormat="1" applyFont="1" applyBorder="1"/>
    <xf numFmtId="0" fontId="38" fillId="0" borderId="72" xfId="190" applyFont="1" applyBorder="1"/>
    <xf numFmtId="14" fontId="38" fillId="0" borderId="72" xfId="190" applyNumberFormat="1" applyFont="1" applyBorder="1"/>
    <xf numFmtId="0" fontId="38" fillId="0" borderId="72" xfId="190" applyFont="1" applyBorder="1"/>
    <xf numFmtId="0" fontId="38" fillId="0" borderId="72" xfId="190" applyFont="1" applyBorder="1"/>
    <xf numFmtId="0" fontId="38" fillId="0" borderId="72" xfId="190" applyFont="1" applyBorder="1"/>
    <xf numFmtId="0" fontId="38" fillId="0" borderId="72" xfId="190" applyFont="1" applyBorder="1"/>
    <xf numFmtId="0" fontId="38" fillId="0" borderId="72" xfId="190" applyFont="1" applyBorder="1"/>
    <xf numFmtId="43" fontId="38" fillId="0" borderId="72" xfId="191" applyFont="1" applyBorder="1"/>
    <xf numFmtId="43" fontId="38" fillId="0" borderId="72" xfId="191" applyFont="1" applyBorder="1"/>
    <xf numFmtId="43" fontId="38" fillId="0" borderId="72" xfId="191" applyFont="1" applyBorder="1"/>
    <xf numFmtId="43" fontId="38" fillId="0" borderId="72" xfId="191" applyFont="1" applyBorder="1"/>
    <xf numFmtId="0" fontId="38" fillId="0" borderId="72" xfId="190" applyFont="1" applyBorder="1"/>
    <xf numFmtId="43" fontId="38" fillId="0" borderId="72" xfId="191" applyFont="1" applyBorder="1"/>
    <xf numFmtId="0" fontId="13" fillId="0" borderId="0" xfId="0" applyFont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46" fillId="0" borderId="0" xfId="1" applyNumberFormat="1" applyFont="1" applyFill="1" applyBorder="1" applyAlignment="1">
      <alignment horizontal="center"/>
    </xf>
    <xf numFmtId="0" fontId="39" fillId="0" borderId="0" xfId="0" applyFont="1" applyFill="1" applyBorder="1"/>
    <xf numFmtId="0" fontId="46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8" fillId="0" borderId="75" xfId="0" applyFont="1" applyBorder="1"/>
    <xf numFmtId="0" fontId="38" fillId="0" borderId="76" xfId="0" applyFont="1" applyBorder="1"/>
    <xf numFmtId="0" fontId="10" fillId="0" borderId="77" xfId="0" applyFont="1" applyFill="1" applyBorder="1" applyAlignment="1">
      <alignment horizontal="left"/>
    </xf>
    <xf numFmtId="0" fontId="10" fillId="0" borderId="77" xfId="0" applyFont="1" applyFill="1" applyBorder="1" applyAlignment="1">
      <alignment horizontal="center"/>
    </xf>
    <xf numFmtId="3" fontId="10" fillId="0" borderId="77" xfId="0" applyNumberFormat="1" applyFont="1" applyFill="1" applyBorder="1"/>
    <xf numFmtId="165" fontId="10" fillId="0" borderId="77" xfId="1" applyNumberFormat="1" applyFont="1" applyFill="1" applyBorder="1"/>
    <xf numFmtId="9" fontId="10" fillId="0" borderId="77" xfId="2" applyFont="1" applyFill="1" applyBorder="1"/>
    <xf numFmtId="43" fontId="10" fillId="0" borderId="77" xfId="1" applyFont="1" applyFill="1" applyBorder="1"/>
    <xf numFmtId="165" fontId="8" fillId="0" borderId="71" xfId="1" applyNumberFormat="1" applyFont="1" applyFill="1" applyBorder="1" applyAlignment="1"/>
    <xf numFmtId="165" fontId="8" fillId="0" borderId="44" xfId="1" applyNumberFormat="1" applyFont="1" applyFill="1" applyBorder="1" applyAlignment="1"/>
    <xf numFmtId="165" fontId="45" fillId="0" borderId="44" xfId="1" applyNumberFormat="1" applyFont="1" applyFill="1" applyBorder="1" applyAlignment="1"/>
    <xf numFmtId="165" fontId="47" fillId="0" borderId="44" xfId="1" applyNumberFormat="1" applyFont="1" applyFill="1" applyBorder="1" applyAlignment="1"/>
    <xf numFmtId="165" fontId="46" fillId="0" borderId="44" xfId="1" applyNumberFormat="1" applyFont="1" applyFill="1" applyBorder="1" applyAlignment="1"/>
    <xf numFmtId="165" fontId="8" fillId="0" borderId="77" xfId="1" applyNumberFormat="1" applyFont="1" applyFill="1" applyBorder="1" applyAlignment="1"/>
    <xf numFmtId="0" fontId="8" fillId="0" borderId="0" xfId="0" applyFont="1" applyFill="1" applyBorder="1" applyAlignment="1"/>
    <xf numFmtId="165" fontId="46" fillId="0" borderId="0" xfId="1" applyNumberFormat="1" applyFont="1" applyFill="1" applyBorder="1" applyAlignment="1"/>
    <xf numFmtId="165" fontId="46" fillId="0" borderId="77" xfId="1" applyNumberFormat="1" applyFont="1" applyFill="1" applyBorder="1" applyAlignment="1">
      <alignment horizontal="center"/>
    </xf>
    <xf numFmtId="165" fontId="8" fillId="0" borderId="70" xfId="1" applyNumberFormat="1" applyFont="1" applyFill="1" applyBorder="1"/>
    <xf numFmtId="165" fontId="37" fillId="0" borderId="0" xfId="1" applyNumberFormat="1" applyFont="1"/>
    <xf numFmtId="3" fontId="8" fillId="0" borderId="7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43" fontId="8" fillId="0" borderId="0" xfId="1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165" fontId="8" fillId="0" borderId="0" xfId="1" applyNumberFormat="1" applyFont="1" applyBorder="1" applyAlignment="1">
      <alignment horizontal="center"/>
    </xf>
    <xf numFmtId="165" fontId="13" fillId="0" borderId="0" xfId="1" applyNumberFormat="1" applyFont="1" applyFill="1" applyBorder="1" applyAlignment="1">
      <alignment horizontal="center"/>
    </xf>
    <xf numFmtId="43" fontId="13" fillId="0" borderId="0" xfId="1" applyFont="1" applyFill="1" applyBorder="1" applyAlignment="1">
      <alignment horizontal="center"/>
    </xf>
    <xf numFmtId="165" fontId="8" fillId="0" borderId="77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8" fillId="16" borderId="76" xfId="0" applyFont="1" applyFill="1" applyBorder="1"/>
    <xf numFmtId="0" fontId="38" fillId="16" borderId="72" xfId="0" applyFont="1" applyFill="1" applyBorder="1"/>
    <xf numFmtId="0" fontId="38" fillId="16" borderId="72" xfId="0" applyNumberFormat="1" applyFont="1" applyFill="1" applyBorder="1"/>
    <xf numFmtId="0" fontId="38" fillId="16" borderId="44" xfId="3" applyFont="1" applyFill="1" applyBorder="1" applyAlignment="1">
      <alignment horizontal="center"/>
    </xf>
    <xf numFmtId="14" fontId="38" fillId="16" borderId="72" xfId="0" applyNumberFormat="1" applyFont="1" applyFill="1" applyBorder="1"/>
    <xf numFmtId="43" fontId="38" fillId="16" borderId="72" xfId="1" applyFont="1" applyFill="1" applyBorder="1"/>
    <xf numFmtId="43" fontId="10" fillId="16" borderId="45" xfId="1" applyFont="1" applyFill="1" applyBorder="1"/>
    <xf numFmtId="165" fontId="43" fillId="0" borderId="44" xfId="1" applyNumberFormat="1" applyFont="1" applyFill="1" applyBorder="1" applyAlignment="1">
      <alignment horizontal="center"/>
    </xf>
    <xf numFmtId="165" fontId="43" fillId="0" borderId="77" xfId="1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3" fontId="8" fillId="0" borderId="0" xfId="0" applyNumberFormat="1" applyFont="1" applyFill="1" applyBorder="1" applyAlignment="1"/>
    <xf numFmtId="165" fontId="8" fillId="0" borderId="0" xfId="0" applyNumberFormat="1" applyFont="1" applyFill="1" applyBorder="1" applyAlignment="1"/>
    <xf numFmtId="165" fontId="8" fillId="10" borderId="44" xfId="1" applyNumberFormat="1" applyFont="1" applyFill="1" applyBorder="1" applyAlignment="1">
      <alignment horizontal="center"/>
    </xf>
    <xf numFmtId="165" fontId="43" fillId="10" borderId="77" xfId="1" applyNumberFormat="1" applyFont="1" applyFill="1" applyBorder="1" applyAlignment="1">
      <alignment horizontal="center"/>
    </xf>
    <xf numFmtId="165" fontId="43" fillId="10" borderId="44" xfId="1" applyNumberFormat="1" applyFont="1" applyFill="1" applyBorder="1" applyAlignment="1">
      <alignment horizontal="center"/>
    </xf>
    <xf numFmtId="165" fontId="43" fillId="20" borderId="44" xfId="1" applyNumberFormat="1" applyFont="1" applyFill="1" applyBorder="1" applyAlignment="1">
      <alignment horizontal="center"/>
    </xf>
    <xf numFmtId="165" fontId="43" fillId="16" borderId="44" xfId="1" applyNumberFormat="1" applyFont="1" applyFill="1" applyBorder="1" applyAlignment="1">
      <alignment horizontal="center"/>
    </xf>
    <xf numFmtId="165" fontId="8" fillId="20" borderId="44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43" fontId="48" fillId="0" borderId="0" xfId="1" applyFont="1" applyFill="1" applyBorder="1"/>
    <xf numFmtId="43" fontId="49" fillId="0" borderId="0" xfId="1" applyFont="1" applyFill="1"/>
    <xf numFmtId="4" fontId="48" fillId="0" borderId="0" xfId="6" applyNumberFormat="1" applyFont="1" applyFill="1" applyBorder="1"/>
    <xf numFmtId="43" fontId="38" fillId="0" borderId="0" xfId="193" applyFont="1" applyFill="1"/>
    <xf numFmtId="0" fontId="10" fillId="0" borderId="44" xfId="0" applyFont="1" applyBorder="1"/>
    <xf numFmtId="14" fontId="10" fillId="0" borderId="44" xfId="0" applyNumberFormat="1" applyFont="1" applyBorder="1"/>
    <xf numFmtId="43" fontId="10" fillId="0" borderId="44" xfId="1" applyFont="1" applyBorder="1"/>
    <xf numFmtId="43" fontId="8" fillId="0" borderId="45" xfId="1" applyFont="1" applyFill="1" applyBorder="1"/>
    <xf numFmtId="165" fontId="43" fillId="0" borderId="0" xfId="1" applyNumberFormat="1" applyFont="1" applyFill="1" applyBorder="1" applyAlignment="1">
      <alignment horizontal="center"/>
    </xf>
    <xf numFmtId="43" fontId="10" fillId="0" borderId="0" xfId="1" applyNumberFormat="1" applyFont="1" applyFill="1" applyBorder="1" applyAlignment="1"/>
    <xf numFmtId="3" fontId="10" fillId="0" borderId="78" xfId="0" applyNumberFormat="1" applyFont="1" applyFill="1" applyBorder="1"/>
    <xf numFmtId="3" fontId="10" fillId="0" borderId="79" xfId="0" applyNumberFormat="1" applyFont="1" applyFill="1" applyBorder="1"/>
    <xf numFmtId="165" fontId="10" fillId="0" borderId="80" xfId="1" applyNumberFormat="1" applyFont="1" applyFill="1" applyBorder="1"/>
    <xf numFmtId="165" fontId="10" fillId="0" borderId="81" xfId="1" applyNumberFormat="1" applyFont="1" applyFill="1" applyBorder="1"/>
    <xf numFmtId="0" fontId="13" fillId="0" borderId="0" xfId="0" applyFont="1" applyBorder="1" applyAlignment="1">
      <alignment horizontal="center"/>
    </xf>
    <xf numFmtId="43" fontId="15" fillId="0" borderId="0" xfId="1" applyFont="1" applyFill="1" applyBorder="1"/>
    <xf numFmtId="43" fontId="44" fillId="0" borderId="0" xfId="1" applyFont="1" applyFill="1"/>
    <xf numFmtId="4" fontId="15" fillId="0" borderId="0" xfId="6" applyNumberFormat="1" applyFont="1" applyFill="1" applyBorder="1"/>
    <xf numFmtId="4" fontId="15" fillId="0" borderId="0" xfId="175" applyNumberFormat="1" applyFont="1" applyFill="1" applyBorder="1"/>
    <xf numFmtId="0" fontId="38" fillId="0" borderId="76" xfId="0" applyFont="1" applyFill="1" applyBorder="1"/>
    <xf numFmtId="43" fontId="43" fillId="0" borderId="72" xfId="1" applyFont="1" applyBorder="1"/>
    <xf numFmtId="165" fontId="43" fillId="20" borderId="71" xfId="1" applyNumberFormat="1" applyFont="1" applyFill="1" applyBorder="1" applyAlignment="1">
      <alignment horizontal="center"/>
    </xf>
    <xf numFmtId="165" fontId="10" fillId="0" borderId="82" xfId="1" applyNumberFormat="1" applyFont="1" applyFill="1" applyBorder="1"/>
    <xf numFmtId="165" fontId="43" fillId="0" borderId="82" xfId="1" applyNumberFormat="1" applyFont="1" applyFill="1" applyBorder="1" applyAlignment="1">
      <alignment horizontal="center"/>
    </xf>
    <xf numFmtId="165" fontId="43" fillId="0" borderId="71" xfId="1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8" fillId="0" borderId="44" xfId="1" applyNumberFormat="1" applyFont="1" applyFill="1" applyBorder="1" applyAlignment="1">
      <alignment horizontal="center"/>
    </xf>
    <xf numFmtId="0" fontId="43" fillId="0" borderId="44" xfId="1" applyNumberFormat="1" applyFont="1" applyFill="1" applyBorder="1" applyAlignment="1">
      <alignment horizontal="center"/>
    </xf>
    <xf numFmtId="0" fontId="8" fillId="0" borderId="44" xfId="0" applyNumberFormat="1" applyFont="1" applyFill="1" applyBorder="1" applyAlignment="1">
      <alignment horizontal="center"/>
    </xf>
    <xf numFmtId="0" fontId="8" fillId="16" borderId="44" xfId="1" applyNumberFormat="1" applyFont="1" applyFill="1" applyBorder="1" applyAlignment="1">
      <alignment horizontal="center"/>
    </xf>
    <xf numFmtId="0" fontId="8" fillId="10" borderId="44" xfId="1" applyNumberFormat="1" applyFont="1" applyFill="1" applyBorder="1" applyAlignment="1">
      <alignment horizontal="center"/>
    </xf>
    <xf numFmtId="0" fontId="8" fillId="10" borderId="44" xfId="0" applyNumberFormat="1" applyFont="1" applyFill="1" applyBorder="1" applyAlignment="1">
      <alignment horizontal="center"/>
    </xf>
    <xf numFmtId="0" fontId="8" fillId="20" borderId="44" xfId="0" applyNumberFormat="1" applyFont="1" applyFill="1" applyBorder="1" applyAlignment="1">
      <alignment horizontal="center"/>
    </xf>
    <xf numFmtId="0" fontId="8" fillId="20" borderId="44" xfId="1" applyNumberFormat="1" applyFont="1" applyFill="1" applyBorder="1" applyAlignment="1">
      <alignment horizontal="center"/>
    </xf>
    <xf numFmtId="43" fontId="38" fillId="0" borderId="72" xfId="1" applyFont="1" applyFill="1" applyBorder="1"/>
    <xf numFmtId="0" fontId="43" fillId="0" borderId="77" xfId="1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/>
    <xf numFmtId="0" fontId="13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8" fillId="0" borderId="71" xfId="1" applyNumberFormat="1" applyFont="1" applyFill="1" applyBorder="1" applyAlignment="1">
      <alignment horizontal="center"/>
    </xf>
    <xf numFmtId="0" fontId="8" fillId="0" borderId="77" xfId="1" applyNumberFormat="1" applyFont="1" applyFill="1" applyBorder="1" applyAlignment="1">
      <alignment horizontal="center"/>
    </xf>
    <xf numFmtId="0" fontId="43" fillId="0" borderId="71" xfId="1" applyNumberFormat="1" applyFont="1" applyFill="1" applyBorder="1" applyAlignment="1">
      <alignment horizontal="center"/>
    </xf>
    <xf numFmtId="0" fontId="43" fillId="0" borderId="82" xfId="1" applyNumberFormat="1" applyFont="1" applyFill="1" applyBorder="1" applyAlignment="1">
      <alignment horizontal="center"/>
    </xf>
    <xf numFmtId="0" fontId="43" fillId="10" borderId="44" xfId="1" applyNumberFormat="1" applyFont="1" applyFill="1" applyBorder="1" applyAlignment="1">
      <alignment horizontal="center"/>
    </xf>
    <xf numFmtId="0" fontId="43" fillId="10" borderId="77" xfId="1" applyNumberFormat="1" applyFont="1" applyFill="1" applyBorder="1" applyAlignment="1">
      <alignment horizontal="center"/>
    </xf>
    <xf numFmtId="0" fontId="43" fillId="20" borderId="71" xfId="1" applyNumberFormat="1" applyFont="1" applyFill="1" applyBorder="1" applyAlignment="1">
      <alignment horizontal="center"/>
    </xf>
    <xf numFmtId="0" fontId="43" fillId="20" borderId="44" xfId="1" applyNumberFormat="1" applyFont="1" applyFill="1" applyBorder="1" applyAlignment="1">
      <alignment horizontal="center"/>
    </xf>
    <xf numFmtId="0" fontId="43" fillId="23" borderId="44" xfId="1" applyNumberFormat="1" applyFont="1" applyFill="1" applyBorder="1" applyAlignment="1">
      <alignment horizontal="center"/>
    </xf>
    <xf numFmtId="0" fontId="43" fillId="20" borderId="77" xfId="1" applyNumberFormat="1" applyFont="1" applyFill="1" applyBorder="1" applyAlignment="1">
      <alignment horizontal="center"/>
    </xf>
    <xf numFmtId="43" fontId="8" fillId="0" borderId="8" xfId="1" applyFont="1" applyBorder="1" applyAlignment="1">
      <alignment horizontal="center"/>
    </xf>
    <xf numFmtId="43" fontId="8" fillId="0" borderId="10" xfId="1" applyFont="1" applyBorder="1" applyAlignment="1">
      <alignment horizontal="center"/>
    </xf>
    <xf numFmtId="43" fontId="8" fillId="0" borderId="12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8" fillId="0" borderId="2" xfId="1" applyFont="1" applyBorder="1" applyAlignment="1">
      <alignment horizontal="center"/>
    </xf>
    <xf numFmtId="43" fontId="8" fillId="0" borderId="3" xfId="1" applyFont="1" applyBorder="1" applyAlignment="1">
      <alignment horizontal="center"/>
    </xf>
    <xf numFmtId="43" fontId="8" fillId="0" borderId="56" xfId="1" applyFont="1" applyBorder="1" applyAlignment="1">
      <alignment horizontal="center"/>
    </xf>
    <xf numFmtId="43" fontId="8" fillId="0" borderId="57" xfId="1" applyFont="1" applyBorder="1" applyAlignment="1">
      <alignment horizontal="center"/>
    </xf>
    <xf numFmtId="43" fontId="8" fillId="0" borderId="58" xfId="1" applyFont="1" applyBorder="1" applyAlignment="1">
      <alignment horizontal="center"/>
    </xf>
    <xf numFmtId="0" fontId="8" fillId="0" borderId="49" xfId="0" applyFont="1" applyBorder="1" applyAlignment="1">
      <alignment horizontal="center" wrapText="1"/>
    </xf>
    <xf numFmtId="0" fontId="8" fillId="0" borderId="53" xfId="0" applyFont="1" applyBorder="1" applyAlignment="1">
      <alignment horizontal="center" wrapText="1"/>
    </xf>
    <xf numFmtId="0" fontId="13" fillId="0" borderId="0" xfId="0" applyFont="1" applyBorder="1" applyAlignment="1">
      <alignment horizontal="center"/>
    </xf>
  </cellXfs>
  <cellStyles count="194">
    <cellStyle name="Millares" xfId="1" builtinId="3"/>
    <cellStyle name="Millares 12" xfId="133"/>
    <cellStyle name="Millares 13" xfId="145"/>
    <cellStyle name="Millares 14" xfId="157"/>
    <cellStyle name="Millares 2" xfId="191"/>
    <cellStyle name="Millares 2 10" xfId="110"/>
    <cellStyle name="Millares 2 11" xfId="122"/>
    <cellStyle name="Millares 2 12" xfId="134"/>
    <cellStyle name="Millares 2 13" xfId="146"/>
    <cellStyle name="Millares 2 14" xfId="158"/>
    <cellStyle name="Millares 2 2" xfId="14"/>
    <cellStyle name="Millares 2 3" xfId="26"/>
    <cellStyle name="Millares 2 4" xfId="38"/>
    <cellStyle name="Millares 2 5" xfId="50"/>
    <cellStyle name="Millares 2 6" xfId="62"/>
    <cellStyle name="Millares 2 7" xfId="74"/>
    <cellStyle name="Millares 2 8" xfId="86"/>
    <cellStyle name="Millares 2 9" xfId="98"/>
    <cellStyle name="Millares 3" xfId="193"/>
    <cellStyle name="Millares 66" xfId="169"/>
    <cellStyle name="Millares 67" xfId="173"/>
    <cellStyle name="Millares 70" xfId="185"/>
    <cellStyle name="Millares 72" xfId="177"/>
    <cellStyle name="Millares 73" xfId="179"/>
    <cellStyle name="Millares 74" xfId="181"/>
    <cellStyle name="Millares 75" xfId="183"/>
    <cellStyle name="Normal" xfId="0" builtinId="0"/>
    <cellStyle name="Normal 10" xfId="109"/>
    <cellStyle name="Normal 11" xfId="121"/>
    <cellStyle name="Normal 12" xfId="190"/>
    <cellStyle name="Normal 13" xfId="192"/>
    <cellStyle name="Normal 16" xfId="170"/>
    <cellStyle name="Normal 166" xfId="3"/>
    <cellStyle name="Normal 166 10" xfId="111"/>
    <cellStyle name="Normal 166 11" xfId="123"/>
    <cellStyle name="Normal 166 12" xfId="135"/>
    <cellStyle name="Normal 166 13" xfId="147"/>
    <cellStyle name="Normal 166 14" xfId="159"/>
    <cellStyle name="Normal 166 2" xfId="15"/>
    <cellStyle name="Normal 166 3" xfId="27"/>
    <cellStyle name="Normal 166 4" xfId="39"/>
    <cellStyle name="Normal 166 5" xfId="51"/>
    <cellStyle name="Normal 166 6" xfId="63"/>
    <cellStyle name="Normal 166 7" xfId="75"/>
    <cellStyle name="Normal 166 8" xfId="87"/>
    <cellStyle name="Normal 166 9" xfId="99"/>
    <cellStyle name="Normal 17" xfId="175"/>
    <cellStyle name="Normal 18" xfId="4"/>
    <cellStyle name="Normal 18 10" xfId="112"/>
    <cellStyle name="Normal 18 11" xfId="124"/>
    <cellStyle name="Normal 18 12" xfId="136"/>
    <cellStyle name="Normal 18 13" xfId="148"/>
    <cellStyle name="Normal 18 14" xfId="160"/>
    <cellStyle name="Normal 18 2" xfId="16"/>
    <cellStyle name="Normal 18 3" xfId="28"/>
    <cellStyle name="Normal 18 4" xfId="40"/>
    <cellStyle name="Normal 18 5" xfId="52"/>
    <cellStyle name="Normal 18 6" xfId="64"/>
    <cellStyle name="Normal 18 7" xfId="76"/>
    <cellStyle name="Normal 18 8" xfId="88"/>
    <cellStyle name="Normal 18 9" xfId="100"/>
    <cellStyle name="Normal 19" xfId="5"/>
    <cellStyle name="Normal 19 10" xfId="113"/>
    <cellStyle name="Normal 19 11" xfId="125"/>
    <cellStyle name="Normal 19 12" xfId="137"/>
    <cellStyle name="Normal 19 13" xfId="149"/>
    <cellStyle name="Normal 19 14" xfId="161"/>
    <cellStyle name="Normal 19 2" xfId="17"/>
    <cellStyle name="Normal 19 3" xfId="29"/>
    <cellStyle name="Normal 19 4" xfId="41"/>
    <cellStyle name="Normal 19 5" xfId="53"/>
    <cellStyle name="Normal 19 6" xfId="65"/>
    <cellStyle name="Normal 19 7" xfId="77"/>
    <cellStyle name="Normal 19 8" xfId="89"/>
    <cellStyle name="Normal 19 9" xfId="101"/>
    <cellStyle name="Normal 2" xfId="13"/>
    <cellStyle name="Normal 20" xfId="6"/>
    <cellStyle name="Normal 20 10" xfId="114"/>
    <cellStyle name="Normal 20 11" xfId="126"/>
    <cellStyle name="Normal 20 12" xfId="138"/>
    <cellStyle name="Normal 20 13" xfId="150"/>
    <cellStyle name="Normal 20 14" xfId="162"/>
    <cellStyle name="Normal 20 2" xfId="18"/>
    <cellStyle name="Normal 20 3" xfId="30"/>
    <cellStyle name="Normal 20 4" xfId="42"/>
    <cellStyle name="Normal 20 5" xfId="54"/>
    <cellStyle name="Normal 20 6" xfId="66"/>
    <cellStyle name="Normal 20 7" xfId="78"/>
    <cellStyle name="Normal 20 8" xfId="90"/>
    <cellStyle name="Normal 20 9" xfId="102"/>
    <cellStyle name="Normal 21" xfId="7"/>
    <cellStyle name="Normal 21 10" xfId="115"/>
    <cellStyle name="Normal 21 11" xfId="127"/>
    <cellStyle name="Normal 21 12" xfId="139"/>
    <cellStyle name="Normal 21 13" xfId="151"/>
    <cellStyle name="Normal 21 14" xfId="163"/>
    <cellStyle name="Normal 21 2" xfId="19"/>
    <cellStyle name="Normal 21 3" xfId="31"/>
    <cellStyle name="Normal 21 4" xfId="43"/>
    <cellStyle name="Normal 21 5" xfId="55"/>
    <cellStyle name="Normal 21 6" xfId="67"/>
    <cellStyle name="Normal 21 7" xfId="79"/>
    <cellStyle name="Normal 21 8" xfId="91"/>
    <cellStyle name="Normal 21 9" xfId="103"/>
    <cellStyle name="Normal 22" xfId="8"/>
    <cellStyle name="Normal 22 10" xfId="116"/>
    <cellStyle name="Normal 22 11" xfId="128"/>
    <cellStyle name="Normal 22 12" xfId="140"/>
    <cellStyle name="Normal 22 13" xfId="152"/>
    <cellStyle name="Normal 22 14" xfId="164"/>
    <cellStyle name="Normal 22 2" xfId="20"/>
    <cellStyle name="Normal 22 3" xfId="32"/>
    <cellStyle name="Normal 22 4" xfId="44"/>
    <cellStyle name="Normal 22 5" xfId="56"/>
    <cellStyle name="Normal 22 6" xfId="68"/>
    <cellStyle name="Normal 22 7" xfId="80"/>
    <cellStyle name="Normal 22 8" xfId="92"/>
    <cellStyle name="Normal 22 9" xfId="104"/>
    <cellStyle name="Normal 23" xfId="9"/>
    <cellStyle name="Normal 23 10" xfId="117"/>
    <cellStyle name="Normal 23 11" xfId="129"/>
    <cellStyle name="Normal 23 12" xfId="141"/>
    <cellStyle name="Normal 23 13" xfId="153"/>
    <cellStyle name="Normal 23 14" xfId="165"/>
    <cellStyle name="Normal 23 2" xfId="21"/>
    <cellStyle name="Normal 23 3" xfId="33"/>
    <cellStyle name="Normal 23 4" xfId="45"/>
    <cellStyle name="Normal 23 5" xfId="57"/>
    <cellStyle name="Normal 23 6" xfId="69"/>
    <cellStyle name="Normal 23 7" xfId="81"/>
    <cellStyle name="Normal 23 8" xfId="93"/>
    <cellStyle name="Normal 23 9" xfId="105"/>
    <cellStyle name="Normal 24" xfId="10"/>
    <cellStyle name="Normal 24 10" xfId="118"/>
    <cellStyle name="Normal 24 11" xfId="130"/>
    <cellStyle name="Normal 24 12" xfId="142"/>
    <cellStyle name="Normal 24 13" xfId="154"/>
    <cellStyle name="Normal 24 14" xfId="166"/>
    <cellStyle name="Normal 24 2" xfId="22"/>
    <cellStyle name="Normal 24 3" xfId="34"/>
    <cellStyle name="Normal 24 4" xfId="46"/>
    <cellStyle name="Normal 24 5" xfId="58"/>
    <cellStyle name="Normal 24 6" xfId="70"/>
    <cellStyle name="Normal 24 7" xfId="82"/>
    <cellStyle name="Normal 24 8" xfId="94"/>
    <cellStyle name="Normal 24 9" xfId="106"/>
    <cellStyle name="Normal 25" xfId="11"/>
    <cellStyle name="Normal 25 10" xfId="119"/>
    <cellStyle name="Normal 25 11" xfId="131"/>
    <cellStyle name="Normal 25 12" xfId="143"/>
    <cellStyle name="Normal 25 13" xfId="155"/>
    <cellStyle name="Normal 25 14" xfId="167"/>
    <cellStyle name="Normal 25 2" xfId="23"/>
    <cellStyle name="Normal 25 3" xfId="35"/>
    <cellStyle name="Normal 25 4" xfId="47"/>
    <cellStyle name="Normal 25 5" xfId="59"/>
    <cellStyle name="Normal 25 6" xfId="71"/>
    <cellStyle name="Normal 25 7" xfId="83"/>
    <cellStyle name="Normal 25 8" xfId="95"/>
    <cellStyle name="Normal 25 9" xfId="107"/>
    <cellStyle name="Normal 26" xfId="12"/>
    <cellStyle name="Normal 26 10" xfId="120"/>
    <cellStyle name="Normal 26 11" xfId="132"/>
    <cellStyle name="Normal 26 12" xfId="144"/>
    <cellStyle name="Normal 26 13" xfId="156"/>
    <cellStyle name="Normal 26 14" xfId="168"/>
    <cellStyle name="Normal 26 2" xfId="24"/>
    <cellStyle name="Normal 26 3" xfId="36"/>
    <cellStyle name="Normal 26 4" xfId="48"/>
    <cellStyle name="Normal 26 5" xfId="60"/>
    <cellStyle name="Normal 26 6" xfId="72"/>
    <cellStyle name="Normal 26 7" xfId="84"/>
    <cellStyle name="Normal 26 8" xfId="96"/>
    <cellStyle name="Normal 26 9" xfId="108"/>
    <cellStyle name="Normal 3" xfId="25"/>
    <cellStyle name="Normal 31" xfId="187"/>
    <cellStyle name="Normal 37" xfId="172"/>
    <cellStyle name="Normal 38" xfId="171"/>
    <cellStyle name="Normal 39" xfId="174"/>
    <cellStyle name="Normal 4" xfId="37"/>
    <cellStyle name="Normal 40" xfId="176"/>
    <cellStyle name="Normal 41" xfId="186"/>
    <cellStyle name="Normal 43" xfId="180"/>
    <cellStyle name="Normal 44" xfId="178"/>
    <cellStyle name="Normal 45" xfId="182"/>
    <cellStyle name="Normal 46" xfId="184"/>
    <cellStyle name="Normal 47" xfId="188"/>
    <cellStyle name="Normal 48" xfId="189"/>
    <cellStyle name="Normal 5" xfId="49"/>
    <cellStyle name="Normal 6" xfId="61"/>
    <cellStyle name="Normal 7" xfId="73"/>
    <cellStyle name="Normal 8" xfId="85"/>
    <cellStyle name="Normal 9" xfId="97"/>
    <cellStyle name="Porcentaje" xfId="2" builtinId="5"/>
  </cellStyles>
  <dxfs count="0"/>
  <tableStyles count="0" defaultTableStyle="TableStyleMedium9" defaultPivotStyle="PivotStyleLight16"/>
  <colors>
    <mruColors>
      <color rgb="FF9999FF"/>
      <color rgb="FF0033CC"/>
      <color rgb="FF6600CC"/>
      <color rgb="FFFF9900"/>
      <color rgb="FF3A2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AD1081"/>
  <sheetViews>
    <sheetView defaultGridColor="0" topLeftCell="S1" colorId="62" zoomScale="85" workbookViewId="0">
      <pane ySplit="5" topLeftCell="A50" activePane="bottomLeft" state="frozen"/>
      <selection activeCell="H64" sqref="H64"/>
      <selection pane="bottomLeft" activeCell="V61" sqref="V61"/>
    </sheetView>
  </sheetViews>
  <sheetFormatPr baseColWidth="10" defaultColWidth="9.140625" defaultRowHeight="11.25" outlineLevelRow="1" outlineLevelCol="1" x14ac:dyDescent="0.2"/>
  <cols>
    <col min="1" max="1" width="4.42578125" style="13" customWidth="1"/>
    <col min="2" max="2" width="4.140625" style="21" customWidth="1"/>
    <col min="3" max="3" width="8.5703125" style="62" customWidth="1"/>
    <col min="4" max="4" width="14.28515625" style="53" customWidth="1"/>
    <col min="5" max="5" width="6.140625" style="13" customWidth="1"/>
    <col min="6" max="6" width="10.42578125" style="13" customWidth="1" outlineLevel="1"/>
    <col min="7" max="7" width="10.85546875" style="13" customWidth="1"/>
    <col min="8" max="8" width="22.7109375" style="21" customWidth="1" outlineLevel="1"/>
    <col min="9" max="9" width="19.42578125" style="13" customWidth="1"/>
    <col min="10" max="10" width="13.7109375" style="50" customWidth="1" outlineLevel="1"/>
    <col min="11" max="11" width="12.85546875" style="97" customWidth="1"/>
    <col min="12" max="12" width="12.5703125" style="50" hidden="1" customWidth="1" outlineLevel="1"/>
    <col min="13" max="13" width="13.42578125" style="50" hidden="1" customWidth="1" outlineLevel="1"/>
    <col min="14" max="14" width="14.7109375" style="50" hidden="1" customWidth="1" outlineLevel="1" collapsed="1"/>
    <col min="15" max="15" width="14.140625" style="6" hidden="1" customWidth="1" outlineLevel="1"/>
    <col min="16" max="16" width="13.5703125" style="21" hidden="1" customWidth="1" collapsed="1"/>
    <col min="17" max="17" width="13.42578125" style="13" customWidth="1" outlineLevel="1"/>
    <col min="18" max="18" width="9.140625" style="21" customWidth="1" outlineLevel="1"/>
    <col min="19" max="19" width="17.7109375" style="21" customWidth="1" outlineLevel="1"/>
    <col min="20" max="20" width="6.140625" style="21" customWidth="1" outlineLevel="1"/>
    <col min="21" max="21" width="14.140625" style="150" customWidth="1" outlineLevel="1"/>
    <col min="22" max="22" width="13.140625" style="177" customWidth="1" outlineLevel="1"/>
    <col min="23" max="23" width="13.140625" style="120" customWidth="1" outlineLevel="1"/>
    <col min="24" max="24" width="12.28515625" style="50" customWidth="1"/>
    <col min="25" max="25" width="9.140625" style="64" customWidth="1" outlineLevel="1"/>
    <col min="26" max="26" width="11.140625" style="50" customWidth="1" outlineLevel="1"/>
    <col min="27" max="27" width="11.5703125" style="50" customWidth="1"/>
    <col min="28" max="28" width="10" style="160" customWidth="1"/>
    <col min="29" max="29" width="10.28515625" style="120" customWidth="1"/>
    <col min="30" max="30" width="10.42578125" style="120" customWidth="1"/>
    <col min="31" max="16384" width="9.140625" style="21"/>
  </cols>
  <sheetData>
    <row r="1" spans="1:30" s="6" customFormat="1" ht="12.75" customHeight="1" x14ac:dyDescent="0.2">
      <c r="A1" s="1" t="s">
        <v>49</v>
      </c>
      <c r="B1" s="2" t="s">
        <v>133</v>
      </c>
      <c r="C1" s="46"/>
      <c r="D1" s="125"/>
      <c r="E1" s="3"/>
      <c r="F1" s="3"/>
      <c r="G1" s="3"/>
      <c r="H1" s="3"/>
      <c r="I1" s="176" t="s">
        <v>232</v>
      </c>
      <c r="J1" s="68"/>
      <c r="K1" s="158" t="s">
        <v>222</v>
      </c>
      <c r="L1" s="68"/>
      <c r="M1" s="68"/>
      <c r="N1" s="68"/>
      <c r="O1" s="4"/>
      <c r="Q1" s="1"/>
      <c r="U1" s="149"/>
      <c r="V1" s="177"/>
      <c r="W1" s="119"/>
      <c r="X1" s="5"/>
      <c r="Y1" s="63"/>
      <c r="Z1" s="5"/>
      <c r="AA1" s="5"/>
      <c r="AB1" s="159"/>
      <c r="AC1" s="119"/>
      <c r="AD1" s="119"/>
    </row>
    <row r="2" spans="1:30" s="6" customFormat="1" x14ac:dyDescent="0.2">
      <c r="A2" s="1"/>
      <c r="B2" s="7" t="s">
        <v>50</v>
      </c>
      <c r="C2" s="48"/>
      <c r="D2" s="126"/>
      <c r="E2" s="8"/>
      <c r="F2" s="8"/>
      <c r="G2" s="8"/>
      <c r="H2" s="8"/>
      <c r="I2" s="8"/>
      <c r="J2" s="69"/>
      <c r="K2" s="164">
        <v>0.5</v>
      </c>
      <c r="L2" s="69"/>
      <c r="M2" s="69"/>
      <c r="N2" s="69"/>
      <c r="O2" s="9"/>
      <c r="P2" s="32"/>
      <c r="Q2" s="1"/>
      <c r="U2" s="149"/>
      <c r="V2" s="177"/>
      <c r="W2" s="119"/>
      <c r="X2" s="5"/>
      <c r="Y2" s="63"/>
      <c r="Z2" s="5"/>
      <c r="AA2" s="5"/>
      <c r="AB2" s="159"/>
      <c r="AC2" s="119"/>
      <c r="AD2" s="119"/>
    </row>
    <row r="3" spans="1:30" s="6" customFormat="1" ht="13.5" customHeight="1" thickBot="1" x14ac:dyDescent="0.25">
      <c r="A3" s="1"/>
      <c r="B3" s="10" t="s">
        <v>8</v>
      </c>
      <c r="C3" s="98"/>
      <c r="D3" s="127"/>
      <c r="E3" s="11"/>
      <c r="F3" s="11"/>
      <c r="G3" s="11"/>
      <c r="H3" s="11"/>
      <c r="I3" s="11"/>
      <c r="J3" s="5"/>
      <c r="K3" s="108" t="s">
        <v>201</v>
      </c>
      <c r="L3" s="70"/>
      <c r="M3" s="70"/>
      <c r="N3" s="70"/>
      <c r="O3" s="12"/>
      <c r="P3" s="32"/>
      <c r="Q3" s="67" t="s">
        <v>133</v>
      </c>
      <c r="U3" s="149"/>
      <c r="V3" s="177"/>
      <c r="W3" s="119"/>
      <c r="X3" s="5"/>
      <c r="Y3" s="112" t="s">
        <v>31</v>
      </c>
      <c r="Z3" s="5"/>
      <c r="AA3" s="5"/>
      <c r="AB3" s="159"/>
      <c r="AC3" s="119"/>
      <c r="AD3" s="119"/>
    </row>
    <row r="4" spans="1:30" ht="12" thickBot="1" x14ac:dyDescent="0.25">
      <c r="B4" s="14"/>
      <c r="C4" s="140" t="s">
        <v>233</v>
      </c>
      <c r="D4" s="175" t="s">
        <v>33</v>
      </c>
      <c r="E4" s="15"/>
      <c r="F4" s="16"/>
      <c r="G4" s="17"/>
      <c r="H4" s="95"/>
      <c r="I4" s="17"/>
      <c r="J4" s="100" t="s">
        <v>201</v>
      </c>
      <c r="K4" s="107" t="s">
        <v>34</v>
      </c>
      <c r="L4" s="134" t="s">
        <v>32</v>
      </c>
      <c r="M4" s="71"/>
      <c r="N4" s="19"/>
      <c r="O4" s="20"/>
      <c r="Q4" s="67" t="s">
        <v>6</v>
      </c>
      <c r="R4" s="67"/>
      <c r="X4" s="817" t="s">
        <v>153</v>
      </c>
      <c r="Y4" s="818"/>
      <c r="Z4" s="818"/>
      <c r="AA4" s="819"/>
    </row>
    <row r="5" spans="1:30" s="22" customFormat="1" ht="39" customHeight="1" thickBot="1" x14ac:dyDescent="0.25">
      <c r="A5" s="22">
        <v>0</v>
      </c>
      <c r="B5" s="23" t="s">
        <v>51</v>
      </c>
      <c r="C5" s="24" t="s">
        <v>52</v>
      </c>
      <c r="D5" s="25" t="s">
        <v>53</v>
      </c>
      <c r="E5" s="25" t="s">
        <v>47</v>
      </c>
      <c r="F5" s="26" t="s">
        <v>155</v>
      </c>
      <c r="G5" s="25" t="s">
        <v>54</v>
      </c>
      <c r="H5" s="25" t="s">
        <v>55</v>
      </c>
      <c r="I5" s="25" t="s">
        <v>56</v>
      </c>
      <c r="J5" s="27" t="s">
        <v>302</v>
      </c>
      <c r="K5" s="96" t="s">
        <v>303</v>
      </c>
      <c r="L5" s="27" t="s">
        <v>304</v>
      </c>
      <c r="M5" s="28" t="s">
        <v>305</v>
      </c>
      <c r="N5" s="29" t="s">
        <v>376</v>
      </c>
      <c r="O5" s="110" t="s">
        <v>377</v>
      </c>
      <c r="P5" s="22" t="s">
        <v>359</v>
      </c>
      <c r="Q5" s="104" t="s">
        <v>156</v>
      </c>
      <c r="R5" s="104" t="s">
        <v>332</v>
      </c>
      <c r="S5" s="105" t="s">
        <v>154</v>
      </c>
      <c r="T5" s="111" t="s">
        <v>36</v>
      </c>
      <c r="U5" s="151" t="s">
        <v>236</v>
      </c>
      <c r="V5" s="178"/>
      <c r="W5" s="121"/>
      <c r="X5" s="88" t="s">
        <v>237</v>
      </c>
      <c r="Y5" s="106" t="s">
        <v>330</v>
      </c>
      <c r="Z5" s="87" t="s">
        <v>331</v>
      </c>
      <c r="AA5" s="66" t="s">
        <v>303</v>
      </c>
      <c r="AB5" s="161"/>
      <c r="AC5" s="121"/>
      <c r="AD5" s="121"/>
    </row>
    <row r="6" spans="1:30" s="249" customFormat="1" ht="12.75" x14ac:dyDescent="0.2">
      <c r="A6" s="180">
        <f t="shared" ref="A6:A86" si="0">+A5+1</f>
        <v>1</v>
      </c>
      <c r="B6">
        <v>824</v>
      </c>
      <c r="C6">
        <v>520108</v>
      </c>
      <c r="D6" t="s">
        <v>395</v>
      </c>
      <c r="E6"/>
      <c r="F6" s="213">
        <v>38971</v>
      </c>
      <c r="G6" t="s">
        <v>270</v>
      </c>
      <c r="H6" t="s">
        <v>258</v>
      </c>
      <c r="I6" t="s">
        <v>108</v>
      </c>
      <c r="J6" s="225">
        <v>205922.63</v>
      </c>
      <c r="K6" s="239">
        <v>6077.37</v>
      </c>
      <c r="L6" s="148">
        <v>31800</v>
      </c>
      <c r="M6" s="148">
        <v>243800</v>
      </c>
      <c r="N6" s="101"/>
      <c r="O6" s="31"/>
      <c r="P6" s="143" t="s">
        <v>131</v>
      </c>
      <c r="Q6" s="180">
        <f t="shared" ref="Q6:T7" si="1">+B6</f>
        <v>824</v>
      </c>
      <c r="R6" s="183">
        <f t="shared" si="1"/>
        <v>520108</v>
      </c>
      <c r="S6" s="183" t="str">
        <f t="shared" si="1"/>
        <v>4RUNNER SR5</v>
      </c>
      <c r="T6" s="183">
        <f t="shared" si="1"/>
        <v>0</v>
      </c>
      <c r="U6" s="184">
        <f>+J6</f>
        <v>205922.63</v>
      </c>
      <c r="V6" s="122">
        <f>U6</f>
        <v>205922.63</v>
      </c>
      <c r="W6" s="143"/>
      <c r="X6" s="210">
        <f>VLOOKUP(U6,TARIFA,1)</f>
        <v>0.01</v>
      </c>
      <c r="Y6" s="247">
        <f>VLOOKUP(U6,TARIFA,4)</f>
        <v>0.02</v>
      </c>
      <c r="Z6" s="210">
        <f>VLOOKUP(U6,TARIFA,3)</f>
        <v>0</v>
      </c>
      <c r="AA6" s="210">
        <f>IF(U6&lt;190000,(((U6-X6)*Y6+Z6)/2),(U6-X6)*Y6+Z6)</f>
        <v>4118.4524000000001</v>
      </c>
      <c r="AB6" s="248">
        <f>+K6-AA6</f>
        <v>1958.9175999999998</v>
      </c>
      <c r="AC6" s="246"/>
      <c r="AD6" s="246"/>
    </row>
    <row r="7" spans="1:30" s="33" customFormat="1" ht="12.75" x14ac:dyDescent="0.2">
      <c r="A7" s="180">
        <f t="shared" si="0"/>
        <v>2</v>
      </c>
      <c r="B7">
        <v>872</v>
      </c>
      <c r="C7">
        <v>520109</v>
      </c>
      <c r="D7" t="s">
        <v>254</v>
      </c>
      <c r="E7"/>
      <c r="F7" s="213">
        <v>38985</v>
      </c>
      <c r="G7" t="s">
        <v>374</v>
      </c>
      <c r="H7" t="s">
        <v>375</v>
      </c>
      <c r="I7" t="s">
        <v>390</v>
      </c>
      <c r="J7" s="225">
        <v>234688.03</v>
      </c>
      <c r="K7" s="239">
        <v>9398.93</v>
      </c>
      <c r="L7" s="148">
        <v>36613.040000000001</v>
      </c>
      <c r="M7" s="148">
        <v>280700</v>
      </c>
      <c r="N7" s="101"/>
      <c r="O7" s="31"/>
      <c r="P7" s="143" t="s">
        <v>131</v>
      </c>
      <c r="Q7" s="180">
        <f t="shared" si="1"/>
        <v>872</v>
      </c>
      <c r="R7" s="183">
        <f t="shared" si="1"/>
        <v>520109</v>
      </c>
      <c r="S7" s="183" t="str">
        <f t="shared" si="1"/>
        <v>CAMRY XLE L4 AT5 S Q/C</v>
      </c>
      <c r="T7" s="183">
        <f t="shared" si="1"/>
        <v>0</v>
      </c>
      <c r="U7" s="184">
        <f>+J7</f>
        <v>234688.03</v>
      </c>
      <c r="V7" s="143"/>
      <c r="W7" s="143"/>
      <c r="X7" s="210">
        <f>VLOOKUP(U7,TARIFA,1)</f>
        <v>0.01</v>
      </c>
      <c r="Y7" s="247">
        <f>VLOOKUP(U7,TARIFA,4)</f>
        <v>0.02</v>
      </c>
      <c r="Z7" s="210">
        <f>VLOOKUP(U7,TARIFA,3)</f>
        <v>0</v>
      </c>
      <c r="AA7" s="210">
        <f>IF(U7&lt;190000,(((U7-X7)*Y7+Z7)/2),(U7-X7)*Y7+Z7)</f>
        <v>4693.7604000000001</v>
      </c>
      <c r="AB7" s="248">
        <f>+K7-AA7</f>
        <v>4705.1696000000002</v>
      </c>
      <c r="AC7" s="122"/>
      <c r="AD7" s="122"/>
    </row>
    <row r="8" spans="1:30" s="33" customFormat="1" ht="12.75" x14ac:dyDescent="0.2">
      <c r="A8" s="180">
        <f t="shared" si="0"/>
        <v>3</v>
      </c>
      <c r="B8">
        <v>858</v>
      </c>
      <c r="C8">
        <v>520109</v>
      </c>
      <c r="D8" t="s">
        <v>260</v>
      </c>
      <c r="E8"/>
      <c r="F8" s="213">
        <v>38981</v>
      </c>
      <c r="G8" t="s">
        <v>397</v>
      </c>
      <c r="H8" t="s">
        <v>70</v>
      </c>
      <c r="I8" t="s">
        <v>184</v>
      </c>
      <c r="J8" s="225">
        <v>264933.78000000003</v>
      </c>
      <c r="K8" s="239">
        <v>13935.79</v>
      </c>
      <c r="L8" s="148">
        <v>41830.43</v>
      </c>
      <c r="M8" s="148">
        <v>320700</v>
      </c>
      <c r="N8" s="101"/>
      <c r="O8" s="31"/>
      <c r="P8" s="143" t="s">
        <v>131</v>
      </c>
      <c r="Q8" s="180">
        <f t="shared" ref="Q8:Q52" si="2">+B8</f>
        <v>858</v>
      </c>
      <c r="R8" s="183">
        <f t="shared" ref="R8:R52" si="3">+C8</f>
        <v>520109</v>
      </c>
      <c r="S8" s="183" t="str">
        <f t="shared" ref="S8:S52" si="4">+D8</f>
        <v>CAMRY XLE V6/AT5  Q/C</v>
      </c>
      <c r="T8" s="183">
        <f t="shared" ref="T8:T52" si="5">+E8</f>
        <v>0</v>
      </c>
      <c r="U8" s="184">
        <f t="shared" ref="U8:U52" si="6">+J8</f>
        <v>264933.78000000003</v>
      </c>
      <c r="V8" s="122">
        <f>SUM(U7:U8)</f>
        <v>499621.81000000006</v>
      </c>
      <c r="W8" s="143"/>
      <c r="X8" s="102">
        <f t="shared" ref="X8:X52" si="7">VLOOKUP(U8,TARIFA,1)</f>
        <v>246423.66</v>
      </c>
      <c r="Y8" s="103">
        <f t="shared" ref="Y8:Y52" si="8">VLOOKUP(U8,TARIFA,4)</f>
        <v>0.05</v>
      </c>
      <c r="Z8" s="102">
        <f t="shared" ref="Z8:Z52" si="9">VLOOKUP(U8,TARIFA,3)</f>
        <v>4928.3900000000003</v>
      </c>
      <c r="AA8" s="102">
        <f t="shared" ref="AA8:AA52" si="10">IF(U8&lt;190000,(((U8-X8)*Y8+Z8)/2),(U8-X8)*Y8+Z8)</f>
        <v>5853.8960000000015</v>
      </c>
      <c r="AB8" s="162">
        <f t="shared" ref="AB8:AB52" si="11">+K8-AA8</f>
        <v>8081.8939999999993</v>
      </c>
      <c r="AC8" s="122"/>
      <c r="AD8" s="122"/>
    </row>
    <row r="9" spans="1:30" s="33" customFormat="1" ht="12.75" x14ac:dyDescent="0.2">
      <c r="A9" s="180">
        <f t="shared" si="0"/>
        <v>4</v>
      </c>
      <c r="B9">
        <v>847</v>
      </c>
      <c r="C9">
        <v>520110</v>
      </c>
      <c r="D9" t="s">
        <v>260</v>
      </c>
      <c r="E9"/>
      <c r="F9" s="213">
        <v>38979</v>
      </c>
      <c r="G9" t="s">
        <v>398</v>
      </c>
      <c r="H9" t="s">
        <v>399</v>
      </c>
      <c r="I9" t="s">
        <v>183</v>
      </c>
      <c r="J9" s="225">
        <v>264933.78000000003</v>
      </c>
      <c r="K9" s="239">
        <v>13935.79</v>
      </c>
      <c r="L9" s="148">
        <v>41830.43</v>
      </c>
      <c r="M9" s="148">
        <v>320700</v>
      </c>
      <c r="N9" s="101"/>
      <c r="O9" s="31"/>
      <c r="P9" s="143" t="s">
        <v>131</v>
      </c>
      <c r="Q9" s="180">
        <f t="shared" si="2"/>
        <v>847</v>
      </c>
      <c r="R9" s="183">
        <f t="shared" si="3"/>
        <v>520110</v>
      </c>
      <c r="S9" s="183" t="str">
        <f t="shared" si="4"/>
        <v>CAMRY XLE V6/AT5  Q/C</v>
      </c>
      <c r="T9" s="183">
        <f t="shared" si="5"/>
        <v>0</v>
      </c>
      <c r="U9" s="184">
        <f t="shared" si="6"/>
        <v>264933.78000000003</v>
      </c>
      <c r="V9" s="122">
        <f>U9</f>
        <v>264933.78000000003</v>
      </c>
      <c r="W9" s="143"/>
      <c r="X9" s="102">
        <f t="shared" si="7"/>
        <v>246423.66</v>
      </c>
      <c r="Y9" s="103">
        <f t="shared" si="8"/>
        <v>0.05</v>
      </c>
      <c r="Z9" s="102">
        <f t="shared" si="9"/>
        <v>4928.3900000000003</v>
      </c>
      <c r="AA9" s="102">
        <f t="shared" si="10"/>
        <v>5853.8960000000015</v>
      </c>
      <c r="AB9" s="162">
        <f t="shared" si="11"/>
        <v>8081.8939999999993</v>
      </c>
      <c r="AC9" s="122"/>
      <c r="AD9" s="122"/>
    </row>
    <row r="10" spans="1:30" s="33" customFormat="1" ht="12.75" x14ac:dyDescent="0.2">
      <c r="A10" s="180">
        <f t="shared" si="0"/>
        <v>5</v>
      </c>
      <c r="B10">
        <v>828</v>
      </c>
      <c r="C10">
        <v>520201</v>
      </c>
      <c r="D10" t="s">
        <v>261</v>
      </c>
      <c r="E10"/>
      <c r="F10" s="213">
        <v>38973</v>
      </c>
      <c r="G10" t="s">
        <v>100</v>
      </c>
      <c r="H10" t="s">
        <v>101</v>
      </c>
      <c r="I10" t="s">
        <v>26</v>
      </c>
      <c r="J10" s="225">
        <v>148260.87</v>
      </c>
      <c r="K10" s="227">
        <v>0</v>
      </c>
      <c r="L10" s="148">
        <v>22239.13</v>
      </c>
      <c r="M10" s="148">
        <v>170500</v>
      </c>
      <c r="N10" s="101"/>
      <c r="O10" s="31"/>
      <c r="P10" s="143" t="s">
        <v>131</v>
      </c>
      <c r="Q10" s="180">
        <f t="shared" si="2"/>
        <v>828</v>
      </c>
      <c r="R10" s="183">
        <f t="shared" si="3"/>
        <v>520201</v>
      </c>
      <c r="S10" s="183" t="str">
        <f t="shared" si="4"/>
        <v>COROLLA CE MT</v>
      </c>
      <c r="T10" s="183">
        <f t="shared" si="5"/>
        <v>0</v>
      </c>
      <c r="U10" s="184">
        <f t="shared" si="6"/>
        <v>148260.87</v>
      </c>
      <c r="V10" s="122"/>
      <c r="W10" s="143"/>
      <c r="X10" s="102">
        <f t="shared" si="7"/>
        <v>0.01</v>
      </c>
      <c r="Y10" s="103"/>
      <c r="Z10" s="102">
        <f t="shared" si="9"/>
        <v>0</v>
      </c>
      <c r="AA10" s="185">
        <f t="shared" si="10"/>
        <v>0</v>
      </c>
      <c r="AB10" s="162">
        <f t="shared" si="11"/>
        <v>0</v>
      </c>
      <c r="AC10" s="122"/>
      <c r="AD10" s="122"/>
    </row>
    <row r="11" spans="1:30" s="33" customFormat="1" ht="12.75" x14ac:dyDescent="0.2">
      <c r="A11" s="180">
        <f t="shared" si="0"/>
        <v>6</v>
      </c>
      <c r="B11">
        <v>851</v>
      </c>
      <c r="C11">
        <v>520201</v>
      </c>
      <c r="D11" t="s">
        <v>261</v>
      </c>
      <c r="E11"/>
      <c r="F11" s="213">
        <v>38985</v>
      </c>
      <c r="G11" t="s">
        <v>383</v>
      </c>
      <c r="H11" t="s">
        <v>235</v>
      </c>
      <c r="I11" t="s">
        <v>27</v>
      </c>
      <c r="J11" s="225">
        <v>143904.35</v>
      </c>
      <c r="K11" s="227">
        <v>0</v>
      </c>
      <c r="L11" s="148">
        <v>21585.65</v>
      </c>
      <c r="M11" s="148">
        <v>165490</v>
      </c>
      <c r="N11" s="101"/>
      <c r="O11" s="31"/>
      <c r="P11" s="143" t="s">
        <v>131</v>
      </c>
      <c r="Q11" s="180">
        <f t="shared" si="2"/>
        <v>851</v>
      </c>
      <c r="R11" s="183">
        <f t="shared" si="3"/>
        <v>520201</v>
      </c>
      <c r="S11" s="183" t="str">
        <f t="shared" si="4"/>
        <v>COROLLA CE MT</v>
      </c>
      <c r="T11" s="183">
        <f t="shared" si="5"/>
        <v>0</v>
      </c>
      <c r="U11" s="184">
        <f t="shared" si="6"/>
        <v>143904.35</v>
      </c>
      <c r="V11" s="122">
        <f>SUM(U10:U11)</f>
        <v>292165.21999999997</v>
      </c>
      <c r="W11" s="143"/>
      <c r="X11" s="102">
        <f t="shared" si="7"/>
        <v>0.01</v>
      </c>
      <c r="Y11" s="103"/>
      <c r="Z11" s="102">
        <f t="shared" si="9"/>
        <v>0</v>
      </c>
      <c r="AA11" s="185">
        <f t="shared" si="10"/>
        <v>0</v>
      </c>
      <c r="AB11" s="162">
        <f t="shared" si="11"/>
        <v>0</v>
      </c>
      <c r="AC11" s="122"/>
      <c r="AD11" s="122"/>
    </row>
    <row r="12" spans="1:30" s="33" customFormat="1" ht="12.75" x14ac:dyDescent="0.2">
      <c r="A12" s="180">
        <f t="shared" si="0"/>
        <v>7</v>
      </c>
      <c r="B12">
        <v>809</v>
      </c>
      <c r="C12">
        <v>520203</v>
      </c>
      <c r="D12" t="s">
        <v>19</v>
      </c>
      <c r="E12"/>
      <c r="F12" s="213">
        <v>38965</v>
      </c>
      <c r="G12" t="s">
        <v>299</v>
      </c>
      <c r="H12" t="s">
        <v>300</v>
      </c>
      <c r="I12" t="s">
        <v>28</v>
      </c>
      <c r="J12" s="225">
        <v>167704.82</v>
      </c>
      <c r="K12" s="239">
        <v>1773.44</v>
      </c>
      <c r="L12" s="148">
        <v>25421.74</v>
      </c>
      <c r="M12" s="148">
        <v>194900</v>
      </c>
      <c r="N12" s="101"/>
      <c r="O12" s="31"/>
      <c r="P12" s="143" t="s">
        <v>131</v>
      </c>
      <c r="Q12" s="180">
        <f t="shared" si="2"/>
        <v>809</v>
      </c>
      <c r="R12" s="183">
        <f t="shared" si="3"/>
        <v>520203</v>
      </c>
      <c r="S12" s="183" t="str">
        <f t="shared" si="4"/>
        <v>COROLLA LE SIN Q/C</v>
      </c>
      <c r="T12" s="183">
        <f t="shared" si="5"/>
        <v>0</v>
      </c>
      <c r="U12" s="184">
        <f t="shared" si="6"/>
        <v>167704.82</v>
      </c>
      <c r="V12" s="122"/>
      <c r="W12" s="143"/>
      <c r="X12" s="102">
        <f t="shared" si="7"/>
        <v>0.01</v>
      </c>
      <c r="Y12" s="136">
        <f t="shared" si="8"/>
        <v>0.02</v>
      </c>
      <c r="Z12" s="102">
        <f t="shared" si="9"/>
        <v>0</v>
      </c>
      <c r="AA12" s="102">
        <f t="shared" si="10"/>
        <v>1677.0481</v>
      </c>
      <c r="AB12" s="162">
        <f t="shared" si="11"/>
        <v>96.391900000000078</v>
      </c>
      <c r="AC12" s="122"/>
      <c r="AD12" s="122"/>
    </row>
    <row r="13" spans="1:30" s="33" customFormat="1" ht="12.75" x14ac:dyDescent="0.2">
      <c r="A13" s="180">
        <f t="shared" si="0"/>
        <v>8</v>
      </c>
      <c r="B13">
        <v>888</v>
      </c>
      <c r="C13">
        <v>520203</v>
      </c>
      <c r="D13" t="s">
        <v>19</v>
      </c>
      <c r="E13"/>
      <c r="F13" s="213">
        <v>38987</v>
      </c>
      <c r="G13" t="s">
        <v>181</v>
      </c>
      <c r="H13" t="s">
        <v>69</v>
      </c>
      <c r="I13" t="s">
        <v>363</v>
      </c>
      <c r="J13" s="225">
        <v>162389.85999999999</v>
      </c>
      <c r="K13" s="239">
        <v>1640.57</v>
      </c>
      <c r="L13" s="148">
        <v>24604.57</v>
      </c>
      <c r="M13" s="148">
        <v>188635</v>
      </c>
      <c r="N13" s="101"/>
      <c r="O13" s="31"/>
      <c r="P13" s="143" t="s">
        <v>131</v>
      </c>
      <c r="Q13" s="180">
        <f t="shared" si="2"/>
        <v>888</v>
      </c>
      <c r="R13" s="183">
        <f t="shared" si="3"/>
        <v>520203</v>
      </c>
      <c r="S13" s="183" t="str">
        <f t="shared" si="4"/>
        <v>COROLLA LE SIN Q/C</v>
      </c>
      <c r="T13" s="183">
        <f t="shared" si="5"/>
        <v>0</v>
      </c>
      <c r="U13" s="184">
        <f t="shared" si="6"/>
        <v>162389.85999999999</v>
      </c>
      <c r="V13" s="122">
        <f>SUM(U12:U13)</f>
        <v>330094.68</v>
      </c>
      <c r="W13" s="143"/>
      <c r="X13" s="102">
        <f t="shared" si="7"/>
        <v>0.01</v>
      </c>
      <c r="Y13" s="136">
        <f t="shared" si="8"/>
        <v>0.02</v>
      </c>
      <c r="Z13" s="102">
        <f t="shared" si="9"/>
        <v>0</v>
      </c>
      <c r="AA13" s="102">
        <f t="shared" si="10"/>
        <v>1623.8984999999998</v>
      </c>
      <c r="AB13" s="162">
        <f t="shared" si="11"/>
        <v>16.671500000000151</v>
      </c>
      <c r="AC13" s="122"/>
      <c r="AD13" s="122"/>
    </row>
    <row r="14" spans="1:30" s="33" customFormat="1" ht="12.75" x14ac:dyDescent="0.2">
      <c r="A14" s="180">
        <f t="shared" si="0"/>
        <v>9</v>
      </c>
      <c r="B14">
        <v>908</v>
      </c>
      <c r="C14">
        <v>520303</v>
      </c>
      <c r="D14" t="s">
        <v>344</v>
      </c>
      <c r="E14"/>
      <c r="F14" s="213">
        <v>38989</v>
      </c>
      <c r="G14" t="s">
        <v>197</v>
      </c>
      <c r="H14" t="s">
        <v>198</v>
      </c>
      <c r="I14" t="s">
        <v>284</v>
      </c>
      <c r="J14" s="225">
        <v>166763.14000000001</v>
      </c>
      <c r="K14" s="239">
        <v>1749.9</v>
      </c>
      <c r="L14" s="148">
        <v>25276.959999999999</v>
      </c>
      <c r="M14" s="148">
        <v>193790</v>
      </c>
      <c r="N14" s="101"/>
      <c r="O14" s="31"/>
      <c r="P14" s="143" t="s">
        <v>131</v>
      </c>
      <c r="Q14" s="180">
        <f t="shared" si="2"/>
        <v>908</v>
      </c>
      <c r="R14" s="183">
        <f t="shared" si="3"/>
        <v>520303</v>
      </c>
      <c r="S14" s="183" t="str">
        <f t="shared" si="4"/>
        <v>MATRIX XR MT</v>
      </c>
      <c r="T14" s="183">
        <f t="shared" si="5"/>
        <v>0</v>
      </c>
      <c r="U14" s="184">
        <f t="shared" si="6"/>
        <v>166763.14000000001</v>
      </c>
      <c r="V14" s="122">
        <f>U14</f>
        <v>166763.14000000001</v>
      </c>
      <c r="W14" s="143"/>
      <c r="X14" s="102">
        <f t="shared" si="7"/>
        <v>0.01</v>
      </c>
      <c r="Y14" s="136">
        <f t="shared" si="8"/>
        <v>0.02</v>
      </c>
      <c r="Z14" s="102">
        <f t="shared" si="9"/>
        <v>0</v>
      </c>
      <c r="AA14" s="102">
        <f t="shared" si="10"/>
        <v>1667.6313</v>
      </c>
      <c r="AB14" s="162">
        <f t="shared" si="11"/>
        <v>82.268700000000081</v>
      </c>
      <c r="AC14" s="122"/>
      <c r="AD14" s="122"/>
    </row>
    <row r="15" spans="1:30" s="33" customFormat="1" ht="12.75" x14ac:dyDescent="0.2">
      <c r="A15" s="180">
        <f t="shared" si="0"/>
        <v>10</v>
      </c>
      <c r="B15">
        <v>898</v>
      </c>
      <c r="C15">
        <v>520402</v>
      </c>
      <c r="D15" t="s">
        <v>395</v>
      </c>
      <c r="E15"/>
      <c r="F15" s="213">
        <v>38988</v>
      </c>
      <c r="G15" t="s">
        <v>368</v>
      </c>
      <c r="H15" t="s">
        <v>369</v>
      </c>
      <c r="I15" t="s">
        <v>106</v>
      </c>
      <c r="J15" s="225">
        <v>295319.03999999998</v>
      </c>
      <c r="K15" s="239">
        <v>18594</v>
      </c>
      <c r="L15" s="148">
        <v>47086.96</v>
      </c>
      <c r="M15" s="148">
        <v>361000</v>
      </c>
      <c r="N15" s="101"/>
      <c r="O15" s="31"/>
      <c r="P15" s="143" t="s">
        <v>131</v>
      </c>
      <c r="Q15" s="180">
        <f t="shared" si="2"/>
        <v>898</v>
      </c>
      <c r="R15" s="183">
        <f t="shared" si="3"/>
        <v>520402</v>
      </c>
      <c r="S15" s="183" t="str">
        <f t="shared" si="4"/>
        <v>4RUNNER SR5</v>
      </c>
      <c r="T15" s="183">
        <f t="shared" si="5"/>
        <v>0</v>
      </c>
      <c r="U15" s="184">
        <f t="shared" si="6"/>
        <v>295319.03999999998</v>
      </c>
      <c r="V15" s="122">
        <f>U15</f>
        <v>295319.03999999998</v>
      </c>
      <c r="W15" s="143"/>
      <c r="X15" s="102">
        <f t="shared" si="7"/>
        <v>246423.66</v>
      </c>
      <c r="Y15" s="103">
        <f t="shared" si="8"/>
        <v>0.05</v>
      </c>
      <c r="Z15" s="102">
        <f t="shared" si="9"/>
        <v>4928.3900000000003</v>
      </c>
      <c r="AA15" s="102">
        <f t="shared" si="10"/>
        <v>7373.1589999999997</v>
      </c>
      <c r="AB15" s="162">
        <f t="shared" si="11"/>
        <v>11220.841</v>
      </c>
      <c r="AC15" s="122"/>
      <c r="AD15" s="122"/>
    </row>
    <row r="16" spans="1:30" s="33" customFormat="1" ht="12.75" x14ac:dyDescent="0.2">
      <c r="A16" s="180">
        <f t="shared" si="0"/>
        <v>11</v>
      </c>
      <c r="B16">
        <v>813</v>
      </c>
      <c r="C16">
        <v>520404</v>
      </c>
      <c r="D16" t="s">
        <v>3</v>
      </c>
      <c r="E16"/>
      <c r="F16" s="213">
        <v>38965</v>
      </c>
      <c r="G16" t="s">
        <v>366</v>
      </c>
      <c r="H16" t="s">
        <v>367</v>
      </c>
      <c r="I16" t="s">
        <v>105</v>
      </c>
      <c r="J16" s="225">
        <v>324304.55</v>
      </c>
      <c r="K16" s="239">
        <v>23521.54</v>
      </c>
      <c r="L16" s="148">
        <v>52173.91</v>
      </c>
      <c r="M16" s="148">
        <v>400000</v>
      </c>
      <c r="N16" s="101"/>
      <c r="O16" s="31"/>
      <c r="P16" s="143" t="s">
        <v>131</v>
      </c>
      <c r="Q16" s="180">
        <f t="shared" si="2"/>
        <v>813</v>
      </c>
      <c r="R16" s="183">
        <f t="shared" si="3"/>
        <v>520404</v>
      </c>
      <c r="S16" s="183" t="str">
        <f t="shared" si="4"/>
        <v>4RUNNER LIMITED</v>
      </c>
      <c r="T16" s="183">
        <f t="shared" si="5"/>
        <v>0</v>
      </c>
      <c r="U16" s="184">
        <f t="shared" si="6"/>
        <v>324304.55</v>
      </c>
      <c r="V16" s="122"/>
      <c r="W16" s="143"/>
      <c r="X16" s="102">
        <f t="shared" si="7"/>
        <v>295708.34000000003</v>
      </c>
      <c r="Y16" s="103">
        <f t="shared" si="8"/>
        <v>0.1</v>
      </c>
      <c r="Z16" s="102">
        <f t="shared" si="9"/>
        <v>7392.74</v>
      </c>
      <c r="AA16" s="102">
        <f t="shared" si="10"/>
        <v>10252.360999999997</v>
      </c>
      <c r="AB16" s="162">
        <f t="shared" si="11"/>
        <v>13269.179000000004</v>
      </c>
      <c r="AC16" s="122"/>
      <c r="AD16" s="122"/>
    </row>
    <row r="17" spans="1:30" s="33" customFormat="1" ht="12.75" x14ac:dyDescent="0.2">
      <c r="A17" s="180">
        <f t="shared" si="0"/>
        <v>12</v>
      </c>
      <c r="B17">
        <v>930</v>
      </c>
      <c r="C17">
        <v>520504</v>
      </c>
      <c r="D17" t="s">
        <v>132</v>
      </c>
      <c r="E17"/>
      <c r="F17" s="213">
        <v>38990</v>
      </c>
      <c r="G17" t="s">
        <v>247</v>
      </c>
      <c r="H17" t="s">
        <v>116</v>
      </c>
      <c r="I17" t="s">
        <v>125</v>
      </c>
      <c r="J17" s="225">
        <v>308771.28999999998</v>
      </c>
      <c r="K17" s="239">
        <v>20880.88</v>
      </c>
      <c r="L17" s="148">
        <v>49447.83</v>
      </c>
      <c r="M17" s="148">
        <v>379100</v>
      </c>
      <c r="N17" s="101"/>
      <c r="O17" s="31"/>
      <c r="P17" s="143" t="s">
        <v>131</v>
      </c>
      <c r="Q17" s="180">
        <f t="shared" si="2"/>
        <v>930</v>
      </c>
      <c r="R17" s="183">
        <f t="shared" si="3"/>
        <v>520504</v>
      </c>
      <c r="S17" s="183" t="str">
        <f t="shared" si="4"/>
        <v>SIENNA XLE</v>
      </c>
      <c r="T17" s="183">
        <f t="shared" si="5"/>
        <v>0</v>
      </c>
      <c r="U17" s="184">
        <f t="shared" si="6"/>
        <v>308771.28999999998</v>
      </c>
      <c r="V17" s="122">
        <f>SUM(U16:U17)</f>
        <v>633075.84</v>
      </c>
      <c r="W17" s="122">
        <f>SUM(U6:U17)</f>
        <v>2687896.14</v>
      </c>
      <c r="X17" s="102">
        <f t="shared" si="7"/>
        <v>295708.34000000003</v>
      </c>
      <c r="Y17" s="103">
        <f t="shared" si="8"/>
        <v>0.1</v>
      </c>
      <c r="Z17" s="102">
        <f t="shared" si="9"/>
        <v>7392.74</v>
      </c>
      <c r="AA17" s="102">
        <f t="shared" si="10"/>
        <v>8699.0349999999962</v>
      </c>
      <c r="AB17" s="162">
        <f t="shared" si="11"/>
        <v>12181.845000000005</v>
      </c>
      <c r="AC17" s="122"/>
      <c r="AD17" s="122"/>
    </row>
    <row r="18" spans="1:30" s="249" customFormat="1" ht="12.75" x14ac:dyDescent="0.2">
      <c r="A18" s="180">
        <f t="shared" si="0"/>
        <v>13</v>
      </c>
      <c r="B18">
        <v>920</v>
      </c>
      <c r="C18">
        <v>520506</v>
      </c>
      <c r="D18" t="s">
        <v>223</v>
      </c>
      <c r="E18"/>
      <c r="F18" s="213">
        <v>38990</v>
      </c>
      <c r="G18" t="s">
        <v>145</v>
      </c>
      <c r="H18" t="s">
        <v>146</v>
      </c>
      <c r="I18" t="s">
        <v>220</v>
      </c>
      <c r="J18" s="225">
        <v>254952.67</v>
      </c>
      <c r="K18" s="239">
        <v>12438.63</v>
      </c>
      <c r="L18" s="148">
        <v>40108.699999999997</v>
      </c>
      <c r="M18" s="148">
        <v>307500</v>
      </c>
      <c r="N18" s="101"/>
      <c r="O18" s="31"/>
      <c r="P18" s="143" t="s">
        <v>131</v>
      </c>
      <c r="Q18" s="180">
        <f t="shared" si="2"/>
        <v>920</v>
      </c>
      <c r="R18" s="183">
        <f t="shared" si="3"/>
        <v>520506</v>
      </c>
      <c r="S18" s="183" t="str">
        <f t="shared" si="4"/>
        <v>SIENNA LE</v>
      </c>
      <c r="T18" s="183">
        <f t="shared" si="5"/>
        <v>0</v>
      </c>
      <c r="U18" s="184">
        <f t="shared" si="6"/>
        <v>254952.67</v>
      </c>
      <c r="V18" s="122"/>
      <c r="W18" s="143"/>
      <c r="X18" s="102">
        <f t="shared" si="7"/>
        <v>246423.66</v>
      </c>
      <c r="Y18" s="103">
        <f t="shared" si="8"/>
        <v>0.05</v>
      </c>
      <c r="Z18" s="102">
        <f t="shared" si="9"/>
        <v>4928.3900000000003</v>
      </c>
      <c r="AA18" s="102">
        <f t="shared" si="10"/>
        <v>5354.8405000000012</v>
      </c>
      <c r="AB18" s="162">
        <f t="shared" si="11"/>
        <v>7083.789499999998</v>
      </c>
      <c r="AC18" s="246"/>
      <c r="AD18" s="246"/>
    </row>
    <row r="19" spans="1:30" s="33" customFormat="1" ht="12.75" x14ac:dyDescent="0.2">
      <c r="A19" s="180">
        <f t="shared" si="0"/>
        <v>14</v>
      </c>
      <c r="B19">
        <v>928</v>
      </c>
      <c r="C19">
        <v>520506</v>
      </c>
      <c r="D19" t="s">
        <v>223</v>
      </c>
      <c r="E19"/>
      <c r="F19" s="213">
        <v>38990</v>
      </c>
      <c r="G19" t="s">
        <v>147</v>
      </c>
      <c r="H19" t="s">
        <v>10</v>
      </c>
      <c r="I19" t="s">
        <v>400</v>
      </c>
      <c r="J19" s="225">
        <v>247013.17</v>
      </c>
      <c r="K19" s="239">
        <v>11247.7</v>
      </c>
      <c r="L19" s="148">
        <v>38739.129999999997</v>
      </c>
      <c r="M19" s="148">
        <v>297000</v>
      </c>
      <c r="N19" s="101"/>
      <c r="O19" s="31"/>
      <c r="P19" s="143" t="s">
        <v>131</v>
      </c>
      <c r="Q19" s="180">
        <f t="shared" si="2"/>
        <v>928</v>
      </c>
      <c r="R19" s="183">
        <f t="shared" si="3"/>
        <v>520506</v>
      </c>
      <c r="S19" s="183" t="str">
        <f t="shared" si="4"/>
        <v>SIENNA LE</v>
      </c>
      <c r="T19" s="183">
        <f t="shared" si="5"/>
        <v>0</v>
      </c>
      <c r="U19" s="184">
        <f t="shared" si="6"/>
        <v>247013.17</v>
      </c>
      <c r="V19" s="122">
        <f>SUM(U18:U19)</f>
        <v>501965.84</v>
      </c>
      <c r="W19" s="143"/>
      <c r="X19" s="102">
        <f t="shared" si="7"/>
        <v>246423.66</v>
      </c>
      <c r="Y19" s="103">
        <f t="shared" si="8"/>
        <v>0.05</v>
      </c>
      <c r="Z19" s="102">
        <f t="shared" si="9"/>
        <v>4928.3900000000003</v>
      </c>
      <c r="AA19" s="102">
        <f t="shared" si="10"/>
        <v>4957.8655000000008</v>
      </c>
      <c r="AB19" s="162">
        <f t="shared" si="11"/>
        <v>6289.8344999999999</v>
      </c>
      <c r="AC19" s="122"/>
      <c r="AD19" s="122"/>
    </row>
    <row r="20" spans="1:30" s="33" customFormat="1" ht="12.75" x14ac:dyDescent="0.2">
      <c r="A20" s="180">
        <f t="shared" si="0"/>
        <v>15</v>
      </c>
      <c r="B20">
        <v>914</v>
      </c>
      <c r="C20">
        <v>520507</v>
      </c>
      <c r="D20" t="s">
        <v>117</v>
      </c>
      <c r="E20"/>
      <c r="F20" s="213">
        <v>38990</v>
      </c>
      <c r="G20" t="s">
        <v>118</v>
      </c>
      <c r="H20" t="s">
        <v>119</v>
      </c>
      <c r="I20" t="s">
        <v>126</v>
      </c>
      <c r="J20" s="225">
        <v>343256.61</v>
      </c>
      <c r="K20" s="239">
        <v>26743.39</v>
      </c>
      <c r="L20" s="148">
        <v>55500</v>
      </c>
      <c r="M20" s="148">
        <v>425500</v>
      </c>
      <c r="N20" s="101"/>
      <c r="O20" s="31"/>
      <c r="P20" s="143" t="s">
        <v>131</v>
      </c>
      <c r="Q20" s="180">
        <f t="shared" si="2"/>
        <v>914</v>
      </c>
      <c r="R20" s="183">
        <f t="shared" si="3"/>
        <v>520507</v>
      </c>
      <c r="S20" s="183" t="str">
        <f t="shared" si="4"/>
        <v>SIENNA XLE PIEL</v>
      </c>
      <c r="T20" s="183">
        <f t="shared" si="5"/>
        <v>0</v>
      </c>
      <c r="U20" s="184">
        <f t="shared" si="6"/>
        <v>343256.61</v>
      </c>
      <c r="V20" s="122">
        <f>U20</f>
        <v>343256.61</v>
      </c>
      <c r="W20" s="143"/>
      <c r="X20" s="102">
        <f t="shared" si="7"/>
        <v>295708.34000000003</v>
      </c>
      <c r="Y20" s="103">
        <f t="shared" si="8"/>
        <v>0.1</v>
      </c>
      <c r="Z20" s="102">
        <f t="shared" si="9"/>
        <v>7392.74</v>
      </c>
      <c r="AA20" s="102">
        <f t="shared" si="10"/>
        <v>12147.566999999995</v>
      </c>
      <c r="AB20" s="162">
        <f t="shared" si="11"/>
        <v>14595.823000000004</v>
      </c>
      <c r="AC20" s="122"/>
      <c r="AD20" s="122"/>
    </row>
    <row r="21" spans="1:30" s="33" customFormat="1" ht="12.75" x14ac:dyDescent="0.2">
      <c r="A21" s="180">
        <f t="shared" si="0"/>
        <v>16</v>
      </c>
      <c r="B21">
        <v>906</v>
      </c>
      <c r="C21">
        <v>520508</v>
      </c>
      <c r="D21" t="s">
        <v>267</v>
      </c>
      <c r="E21"/>
      <c r="F21" s="213">
        <v>38989</v>
      </c>
      <c r="G21" t="s">
        <v>11</v>
      </c>
      <c r="H21" t="s">
        <v>12</v>
      </c>
      <c r="I21" t="s">
        <v>401</v>
      </c>
      <c r="J21" s="225">
        <v>375660.92</v>
      </c>
      <c r="K21" s="239">
        <v>32252.12</v>
      </c>
      <c r="L21" s="148">
        <v>61186.96</v>
      </c>
      <c r="M21" s="148">
        <v>469100</v>
      </c>
      <c r="N21" s="101"/>
      <c r="O21" s="31"/>
      <c r="P21" s="143" t="s">
        <v>131</v>
      </c>
      <c r="Q21" s="180">
        <f t="shared" si="2"/>
        <v>906</v>
      </c>
      <c r="R21" s="183">
        <f t="shared" si="3"/>
        <v>520508</v>
      </c>
      <c r="S21" s="183" t="str">
        <f t="shared" si="4"/>
        <v>SIENNA LIMITED</v>
      </c>
      <c r="T21" s="183">
        <f t="shared" si="5"/>
        <v>0</v>
      </c>
      <c r="U21" s="184">
        <f t="shared" si="6"/>
        <v>375660.92</v>
      </c>
      <c r="V21" s="122">
        <f>U21</f>
        <v>375660.92</v>
      </c>
      <c r="W21" s="143"/>
      <c r="X21" s="102">
        <f t="shared" si="7"/>
        <v>344993.21</v>
      </c>
      <c r="Y21" s="103">
        <f t="shared" si="8"/>
        <v>0.15</v>
      </c>
      <c r="Z21" s="102">
        <f t="shared" si="9"/>
        <v>12321.2</v>
      </c>
      <c r="AA21" s="102">
        <f t="shared" si="10"/>
        <v>16921.356499999994</v>
      </c>
      <c r="AB21" s="162">
        <f t="shared" si="11"/>
        <v>15330.763500000005</v>
      </c>
      <c r="AC21" s="122"/>
      <c r="AD21" s="122"/>
    </row>
    <row r="22" spans="1:30" s="33" customFormat="1" ht="12.75" x14ac:dyDescent="0.2">
      <c r="A22" s="180">
        <f t="shared" si="0"/>
        <v>17</v>
      </c>
      <c r="B22">
        <v>876</v>
      </c>
      <c r="C22">
        <v>520801</v>
      </c>
      <c r="D22" t="s">
        <v>346</v>
      </c>
      <c r="E22"/>
      <c r="F22" s="213">
        <v>38985</v>
      </c>
      <c r="G22" t="s">
        <v>89</v>
      </c>
      <c r="H22" t="s">
        <v>90</v>
      </c>
      <c r="I22" t="s">
        <v>341</v>
      </c>
      <c r="J22" s="225">
        <v>216910.77</v>
      </c>
      <c r="K22" s="239">
        <v>7176.19</v>
      </c>
      <c r="L22" s="148">
        <v>33613.040000000001</v>
      </c>
      <c r="M22" s="148">
        <v>257700</v>
      </c>
      <c r="N22" s="101"/>
      <c r="O22" s="31"/>
      <c r="P22" s="143" t="s">
        <v>131</v>
      </c>
      <c r="Q22" s="180">
        <f t="shared" si="2"/>
        <v>876</v>
      </c>
      <c r="R22" s="183">
        <f t="shared" si="3"/>
        <v>520801</v>
      </c>
      <c r="S22" s="183" t="str">
        <f t="shared" si="4"/>
        <v>RAV4 BASE 2A FILA</v>
      </c>
      <c r="T22" s="183">
        <f t="shared" si="5"/>
        <v>0</v>
      </c>
      <c r="U22" s="184">
        <f t="shared" si="6"/>
        <v>216910.77</v>
      </c>
      <c r="V22" s="122">
        <f>U22</f>
        <v>216910.77</v>
      </c>
      <c r="W22" s="143"/>
      <c r="X22" s="102">
        <f t="shared" si="7"/>
        <v>0.01</v>
      </c>
      <c r="Y22" s="103">
        <f t="shared" si="8"/>
        <v>0.02</v>
      </c>
      <c r="Z22" s="102">
        <f t="shared" si="9"/>
        <v>0</v>
      </c>
      <c r="AA22" s="102">
        <f t="shared" si="10"/>
        <v>4338.2151999999996</v>
      </c>
      <c r="AB22" s="162">
        <f t="shared" si="11"/>
        <v>2837.9748</v>
      </c>
      <c r="AC22" s="122"/>
      <c r="AD22" s="122"/>
    </row>
    <row r="23" spans="1:30" s="33" customFormat="1" ht="12.75" x14ac:dyDescent="0.2">
      <c r="A23" s="180">
        <f t="shared" si="0"/>
        <v>18</v>
      </c>
      <c r="B23">
        <v>838</v>
      </c>
      <c r="C23">
        <v>520803</v>
      </c>
      <c r="D23" t="s">
        <v>346</v>
      </c>
      <c r="E23"/>
      <c r="F23" s="213">
        <v>38975</v>
      </c>
      <c r="G23" t="s">
        <v>87</v>
      </c>
      <c r="H23" t="s">
        <v>88</v>
      </c>
      <c r="I23" t="s">
        <v>340</v>
      </c>
      <c r="J23" s="225">
        <v>203902.86</v>
      </c>
      <c r="K23" s="239">
        <v>5875.4</v>
      </c>
      <c r="L23" s="148">
        <v>31466.74</v>
      </c>
      <c r="M23" s="148">
        <v>241245</v>
      </c>
      <c r="N23" s="101"/>
      <c r="O23" s="31"/>
      <c r="P23" s="143" t="s">
        <v>131</v>
      </c>
      <c r="Q23" s="180">
        <f t="shared" si="2"/>
        <v>838</v>
      </c>
      <c r="R23" s="183">
        <f t="shared" si="3"/>
        <v>520803</v>
      </c>
      <c r="S23" s="183" t="str">
        <f t="shared" si="4"/>
        <v>RAV4 BASE 2A FILA</v>
      </c>
      <c r="T23" s="183">
        <f t="shared" si="5"/>
        <v>0</v>
      </c>
      <c r="U23" s="184">
        <f t="shared" si="6"/>
        <v>203902.86</v>
      </c>
      <c r="V23" s="122">
        <f>U23</f>
        <v>203902.86</v>
      </c>
      <c r="W23" s="143"/>
      <c r="X23" s="102">
        <f t="shared" si="7"/>
        <v>0.01</v>
      </c>
      <c r="Y23" s="103">
        <f t="shared" si="8"/>
        <v>0.02</v>
      </c>
      <c r="Z23" s="102">
        <f t="shared" si="9"/>
        <v>0</v>
      </c>
      <c r="AA23" s="102">
        <f t="shared" si="10"/>
        <v>4078.0569999999998</v>
      </c>
      <c r="AB23" s="162">
        <f t="shared" si="11"/>
        <v>1797.3429999999998</v>
      </c>
      <c r="AC23" s="122"/>
      <c r="AD23" s="122"/>
    </row>
    <row r="24" spans="1:30" s="33" customFormat="1" ht="12.75" x14ac:dyDescent="0.2">
      <c r="A24" s="180">
        <f t="shared" si="0"/>
        <v>19</v>
      </c>
      <c r="B24">
        <v>873</v>
      </c>
      <c r="C24">
        <v>520804</v>
      </c>
      <c r="D24" t="s">
        <v>262</v>
      </c>
      <c r="E24"/>
      <c r="F24" s="213">
        <v>38985</v>
      </c>
      <c r="G24" t="s">
        <v>82</v>
      </c>
      <c r="H24" t="s">
        <v>109</v>
      </c>
      <c r="I24" t="s">
        <v>288</v>
      </c>
      <c r="J24" s="225">
        <v>219361.36</v>
      </c>
      <c r="K24" s="239">
        <v>7421.25</v>
      </c>
      <c r="L24" s="148">
        <v>34017.39</v>
      </c>
      <c r="M24" s="148">
        <v>260800</v>
      </c>
      <c r="N24" s="101"/>
      <c r="O24" s="31"/>
      <c r="P24" s="143" t="s">
        <v>131</v>
      </c>
      <c r="Q24" s="180">
        <f t="shared" si="2"/>
        <v>873</v>
      </c>
      <c r="R24" s="183">
        <f t="shared" si="3"/>
        <v>520804</v>
      </c>
      <c r="S24" s="183" t="str">
        <f t="shared" si="4"/>
        <v>RAV4 3A FILA</v>
      </c>
      <c r="T24" s="183">
        <f t="shared" si="5"/>
        <v>0</v>
      </c>
      <c r="U24" s="184">
        <f t="shared" si="6"/>
        <v>219361.36</v>
      </c>
      <c r="V24" s="122"/>
      <c r="W24" s="143"/>
      <c r="X24" s="102">
        <f t="shared" si="7"/>
        <v>0.01</v>
      </c>
      <c r="Y24" s="103">
        <f t="shared" si="8"/>
        <v>0.02</v>
      </c>
      <c r="Z24" s="102">
        <f t="shared" si="9"/>
        <v>0</v>
      </c>
      <c r="AA24" s="102">
        <f t="shared" si="10"/>
        <v>4387.2269999999999</v>
      </c>
      <c r="AB24" s="162">
        <f t="shared" si="11"/>
        <v>3034.0230000000001</v>
      </c>
      <c r="AC24" s="122"/>
      <c r="AD24" s="122"/>
    </row>
    <row r="25" spans="1:30" s="33" customFormat="1" ht="12.75" x14ac:dyDescent="0.2">
      <c r="A25" s="180">
        <f t="shared" si="0"/>
        <v>20</v>
      </c>
      <c r="B25">
        <v>911</v>
      </c>
      <c r="C25">
        <v>520804</v>
      </c>
      <c r="D25" t="s">
        <v>262</v>
      </c>
      <c r="E25"/>
      <c r="F25" s="213">
        <v>38990</v>
      </c>
      <c r="G25" t="s">
        <v>114</v>
      </c>
      <c r="H25" t="s">
        <v>83</v>
      </c>
      <c r="I25" t="s">
        <v>337</v>
      </c>
      <c r="J25" s="225">
        <v>224974.01</v>
      </c>
      <c r="K25" s="239">
        <v>7982.51</v>
      </c>
      <c r="L25" s="148">
        <v>34943.480000000003</v>
      </c>
      <c r="M25" s="148">
        <v>267900</v>
      </c>
      <c r="N25" s="101"/>
      <c r="O25" s="31"/>
      <c r="P25" s="143" t="s">
        <v>131</v>
      </c>
      <c r="Q25" s="180">
        <f t="shared" si="2"/>
        <v>911</v>
      </c>
      <c r="R25" s="183">
        <f t="shared" si="3"/>
        <v>520804</v>
      </c>
      <c r="S25" s="183" t="str">
        <f t="shared" si="4"/>
        <v>RAV4 3A FILA</v>
      </c>
      <c r="T25" s="183">
        <f t="shared" si="5"/>
        <v>0</v>
      </c>
      <c r="U25" s="184">
        <f t="shared" si="6"/>
        <v>224974.01</v>
      </c>
      <c r="V25" s="122">
        <f>SUM(U24:U25)</f>
        <v>444335.37</v>
      </c>
      <c r="W25" s="143"/>
      <c r="X25" s="102">
        <f t="shared" si="7"/>
        <v>0.01</v>
      </c>
      <c r="Y25" s="103">
        <f t="shared" si="8"/>
        <v>0.02</v>
      </c>
      <c r="Z25" s="102">
        <f t="shared" si="9"/>
        <v>0</v>
      </c>
      <c r="AA25" s="102">
        <f t="shared" si="10"/>
        <v>4499.4800000000005</v>
      </c>
      <c r="AB25" s="162">
        <f t="shared" si="11"/>
        <v>3483.0299999999997</v>
      </c>
      <c r="AC25" s="122"/>
      <c r="AD25" s="122"/>
    </row>
    <row r="26" spans="1:30" s="33" customFormat="1" ht="12.75" x14ac:dyDescent="0.2">
      <c r="A26" s="180">
        <f t="shared" si="0"/>
        <v>21</v>
      </c>
      <c r="B26">
        <v>852</v>
      </c>
      <c r="C26">
        <v>520805</v>
      </c>
      <c r="D26" t="s">
        <v>262</v>
      </c>
      <c r="E26"/>
      <c r="F26" s="213">
        <v>38980</v>
      </c>
      <c r="G26" t="s">
        <v>80</v>
      </c>
      <c r="H26" t="s">
        <v>81</v>
      </c>
      <c r="I26" t="s">
        <v>287</v>
      </c>
      <c r="J26" s="225">
        <v>224974.01</v>
      </c>
      <c r="K26" s="239">
        <v>7982.51</v>
      </c>
      <c r="L26" s="148">
        <v>34943.480000000003</v>
      </c>
      <c r="M26" s="148">
        <v>267900</v>
      </c>
      <c r="N26" s="101"/>
      <c r="O26" s="31"/>
      <c r="P26" s="143" t="s">
        <v>131</v>
      </c>
      <c r="Q26" s="180">
        <f t="shared" si="2"/>
        <v>852</v>
      </c>
      <c r="R26" s="183">
        <f t="shared" si="3"/>
        <v>520805</v>
      </c>
      <c r="S26" s="183" t="str">
        <f t="shared" si="4"/>
        <v>RAV4 3A FILA</v>
      </c>
      <c r="T26" s="183">
        <f t="shared" si="5"/>
        <v>0</v>
      </c>
      <c r="U26" s="184">
        <f t="shared" si="6"/>
        <v>224974.01</v>
      </c>
      <c r="V26" s="122"/>
      <c r="W26" s="143"/>
      <c r="X26" s="102">
        <f t="shared" si="7"/>
        <v>0.01</v>
      </c>
      <c r="Y26" s="103">
        <f t="shared" si="8"/>
        <v>0.02</v>
      </c>
      <c r="Z26" s="102">
        <f t="shared" si="9"/>
        <v>0</v>
      </c>
      <c r="AA26" s="102">
        <f t="shared" si="10"/>
        <v>4499.4800000000005</v>
      </c>
      <c r="AB26" s="162">
        <f t="shared" si="11"/>
        <v>3483.0299999999997</v>
      </c>
      <c r="AC26" s="122"/>
      <c r="AD26" s="122"/>
    </row>
    <row r="27" spans="1:30" s="33" customFormat="1" ht="12.75" x14ac:dyDescent="0.2">
      <c r="A27" s="180">
        <f t="shared" si="0"/>
        <v>22</v>
      </c>
      <c r="B27">
        <v>849</v>
      </c>
      <c r="C27">
        <v>520805</v>
      </c>
      <c r="D27" t="s">
        <v>271</v>
      </c>
      <c r="E27"/>
      <c r="F27" s="213">
        <v>38979</v>
      </c>
      <c r="G27" t="s">
        <v>93</v>
      </c>
      <c r="H27" t="s">
        <v>248</v>
      </c>
      <c r="I27" t="s">
        <v>277</v>
      </c>
      <c r="J27" s="225">
        <v>243005.6</v>
      </c>
      <c r="K27" s="239">
        <v>10646.57</v>
      </c>
      <c r="L27" s="148">
        <v>38047.83</v>
      </c>
      <c r="M27" s="148">
        <v>291700</v>
      </c>
      <c r="N27" s="101"/>
      <c r="O27" s="31"/>
      <c r="P27" s="143" t="s">
        <v>131</v>
      </c>
      <c r="Q27" s="180">
        <f t="shared" si="2"/>
        <v>849</v>
      </c>
      <c r="R27" s="183">
        <f t="shared" si="3"/>
        <v>520805</v>
      </c>
      <c r="S27" s="183" t="str">
        <f t="shared" si="4"/>
        <v>RAV4 LIMITED 4X2 PIEL</v>
      </c>
      <c r="T27" s="183">
        <f t="shared" si="5"/>
        <v>0</v>
      </c>
      <c r="U27" s="184">
        <f t="shared" si="6"/>
        <v>243005.6</v>
      </c>
      <c r="V27" s="122"/>
      <c r="W27" s="143"/>
      <c r="X27" s="102">
        <f t="shared" si="7"/>
        <v>0.01</v>
      </c>
      <c r="Y27" s="103">
        <f t="shared" si="8"/>
        <v>0.02</v>
      </c>
      <c r="Z27" s="102">
        <f t="shared" si="9"/>
        <v>0</v>
      </c>
      <c r="AA27" s="102">
        <f t="shared" si="10"/>
        <v>4860.1117999999997</v>
      </c>
      <c r="AB27" s="162">
        <f t="shared" si="11"/>
        <v>5786.4582</v>
      </c>
      <c r="AC27" s="122"/>
      <c r="AD27" s="122"/>
    </row>
    <row r="28" spans="1:30" s="33" customFormat="1" ht="12.75" x14ac:dyDescent="0.2">
      <c r="A28" s="180">
        <f t="shared" si="0"/>
        <v>23</v>
      </c>
      <c r="B28">
        <v>879</v>
      </c>
      <c r="C28">
        <v>520805</v>
      </c>
      <c r="D28" t="s">
        <v>271</v>
      </c>
      <c r="E28"/>
      <c r="F28" s="213">
        <v>38986</v>
      </c>
      <c r="G28" t="s">
        <v>249</v>
      </c>
      <c r="H28" t="s">
        <v>204</v>
      </c>
      <c r="I28" t="s">
        <v>278</v>
      </c>
      <c r="J28" s="225">
        <v>243005.6</v>
      </c>
      <c r="K28" s="239">
        <v>10646.57</v>
      </c>
      <c r="L28" s="148">
        <v>38047.83</v>
      </c>
      <c r="M28" s="148">
        <v>291700</v>
      </c>
      <c r="N28" s="101"/>
      <c r="O28" s="31"/>
      <c r="P28" s="143" t="s">
        <v>131</v>
      </c>
      <c r="Q28" s="180">
        <f t="shared" si="2"/>
        <v>879</v>
      </c>
      <c r="R28" s="183">
        <f t="shared" si="3"/>
        <v>520805</v>
      </c>
      <c r="S28" s="183" t="str">
        <f t="shared" si="4"/>
        <v>RAV4 LIMITED 4X2 PIEL</v>
      </c>
      <c r="T28" s="183">
        <f t="shared" si="5"/>
        <v>0</v>
      </c>
      <c r="U28" s="184">
        <f t="shared" si="6"/>
        <v>243005.6</v>
      </c>
      <c r="V28" s="122"/>
      <c r="W28" s="143"/>
      <c r="X28" s="102">
        <f t="shared" si="7"/>
        <v>0.01</v>
      </c>
      <c r="Y28" s="103">
        <f t="shared" si="8"/>
        <v>0.02</v>
      </c>
      <c r="Z28" s="102">
        <f t="shared" si="9"/>
        <v>0</v>
      </c>
      <c r="AA28" s="102">
        <f t="shared" si="10"/>
        <v>4860.1117999999997</v>
      </c>
      <c r="AB28" s="162">
        <f t="shared" si="11"/>
        <v>5786.4582</v>
      </c>
      <c r="AC28" s="122"/>
      <c r="AD28" s="122"/>
    </row>
    <row r="29" spans="1:30" s="33" customFormat="1" ht="12.75" x14ac:dyDescent="0.2">
      <c r="A29" s="180">
        <f t="shared" si="0"/>
        <v>24</v>
      </c>
      <c r="B29">
        <v>896</v>
      </c>
      <c r="C29">
        <v>520805</v>
      </c>
      <c r="D29" t="s">
        <v>271</v>
      </c>
      <c r="E29"/>
      <c r="F29" s="213">
        <v>38987</v>
      </c>
      <c r="G29" t="s">
        <v>190</v>
      </c>
      <c r="H29" t="s">
        <v>191</v>
      </c>
      <c r="I29" t="s">
        <v>279</v>
      </c>
      <c r="J29" s="225">
        <v>243005.6</v>
      </c>
      <c r="K29" s="239">
        <v>10646.57</v>
      </c>
      <c r="L29" s="148">
        <v>38047.83</v>
      </c>
      <c r="M29" s="148">
        <v>291700</v>
      </c>
      <c r="N29" s="101"/>
      <c r="O29" s="31"/>
      <c r="P29" s="143" t="s">
        <v>131</v>
      </c>
      <c r="Q29" s="180">
        <f t="shared" si="2"/>
        <v>896</v>
      </c>
      <c r="R29" s="183">
        <f t="shared" si="3"/>
        <v>520805</v>
      </c>
      <c r="S29" s="183" t="str">
        <f t="shared" si="4"/>
        <v>RAV4 LIMITED 4X2 PIEL</v>
      </c>
      <c r="T29" s="183">
        <f t="shared" si="5"/>
        <v>0</v>
      </c>
      <c r="U29" s="184">
        <f t="shared" si="6"/>
        <v>243005.6</v>
      </c>
      <c r="V29" s="122"/>
      <c r="W29" s="143"/>
      <c r="X29" s="102">
        <f t="shared" si="7"/>
        <v>0.01</v>
      </c>
      <c r="Y29" s="103">
        <f t="shared" si="8"/>
        <v>0.02</v>
      </c>
      <c r="Z29" s="102">
        <f t="shared" si="9"/>
        <v>0</v>
      </c>
      <c r="AA29" s="102">
        <f t="shared" si="10"/>
        <v>4860.1117999999997</v>
      </c>
      <c r="AB29" s="162">
        <f t="shared" si="11"/>
        <v>5786.4582</v>
      </c>
      <c r="AC29" s="122"/>
      <c r="AD29" s="122"/>
    </row>
    <row r="30" spans="1:30" s="33" customFormat="1" ht="12.75" x14ac:dyDescent="0.2">
      <c r="A30" s="180">
        <f t="shared" si="0"/>
        <v>25</v>
      </c>
      <c r="B30">
        <v>993</v>
      </c>
      <c r="C30">
        <v>520805</v>
      </c>
      <c r="D30" t="s">
        <v>271</v>
      </c>
      <c r="E30"/>
      <c r="F30" s="213">
        <v>38987</v>
      </c>
      <c r="G30" t="s">
        <v>192</v>
      </c>
      <c r="H30" t="s">
        <v>193</v>
      </c>
      <c r="I30" t="s">
        <v>280</v>
      </c>
      <c r="J30" s="225">
        <v>243005.6</v>
      </c>
      <c r="K30" s="239">
        <v>10646.57</v>
      </c>
      <c r="L30" s="148">
        <v>38047.83</v>
      </c>
      <c r="M30" s="148">
        <v>291700</v>
      </c>
      <c r="N30" s="101"/>
      <c r="O30" s="31"/>
      <c r="P30" s="143" t="s">
        <v>131</v>
      </c>
      <c r="Q30" s="180">
        <f t="shared" si="2"/>
        <v>993</v>
      </c>
      <c r="R30" s="183">
        <f t="shared" si="3"/>
        <v>520805</v>
      </c>
      <c r="S30" s="183" t="str">
        <f t="shared" si="4"/>
        <v>RAV4 LIMITED 4X2 PIEL</v>
      </c>
      <c r="T30" s="183">
        <f t="shared" si="5"/>
        <v>0</v>
      </c>
      <c r="U30" s="184">
        <f t="shared" si="6"/>
        <v>243005.6</v>
      </c>
      <c r="V30" s="122">
        <f>SUM(U26:U30)</f>
        <v>1196996.4099999999</v>
      </c>
      <c r="W30" s="143"/>
      <c r="X30" s="102">
        <f t="shared" si="7"/>
        <v>0.01</v>
      </c>
      <c r="Y30" s="103">
        <f t="shared" si="8"/>
        <v>0.02</v>
      </c>
      <c r="Z30" s="102">
        <f t="shared" si="9"/>
        <v>0</v>
      </c>
      <c r="AA30" s="102">
        <f t="shared" si="10"/>
        <v>4860.1117999999997</v>
      </c>
      <c r="AB30" s="162">
        <f t="shared" si="11"/>
        <v>5786.4582</v>
      </c>
      <c r="AC30" s="122"/>
      <c r="AD30" s="122"/>
    </row>
    <row r="31" spans="1:30" s="33" customFormat="1" ht="12.75" x14ac:dyDescent="0.2">
      <c r="A31" s="180">
        <f t="shared" si="0"/>
        <v>26</v>
      </c>
      <c r="B31">
        <v>912</v>
      </c>
      <c r="C31">
        <v>520806</v>
      </c>
      <c r="D31" t="s">
        <v>262</v>
      </c>
      <c r="E31"/>
      <c r="F31" s="213">
        <v>38990</v>
      </c>
      <c r="G31" t="s">
        <v>112</v>
      </c>
      <c r="H31" t="s">
        <v>113</v>
      </c>
      <c r="I31" t="s">
        <v>360</v>
      </c>
      <c r="J31" s="225">
        <v>224974.01</v>
      </c>
      <c r="K31" s="239">
        <v>7982.51</v>
      </c>
      <c r="L31" s="148">
        <v>34943.480000000003</v>
      </c>
      <c r="M31" s="148">
        <v>267900</v>
      </c>
      <c r="N31" s="101"/>
      <c r="O31" s="31"/>
      <c r="P31" s="143" t="s">
        <v>131</v>
      </c>
      <c r="Q31" s="180">
        <f t="shared" si="2"/>
        <v>912</v>
      </c>
      <c r="R31" s="183">
        <f t="shared" si="3"/>
        <v>520806</v>
      </c>
      <c r="S31" s="183" t="str">
        <f t="shared" si="4"/>
        <v>RAV4 3A FILA</v>
      </c>
      <c r="T31" s="183">
        <f t="shared" si="5"/>
        <v>0</v>
      </c>
      <c r="U31" s="184">
        <f t="shared" si="6"/>
        <v>224974.01</v>
      </c>
      <c r="V31" s="122">
        <f t="shared" ref="V31:V36" si="12">U31</f>
        <v>224974.01</v>
      </c>
      <c r="W31" s="143"/>
      <c r="X31" s="102">
        <f t="shared" si="7"/>
        <v>0.01</v>
      </c>
      <c r="Y31" s="103">
        <f t="shared" si="8"/>
        <v>0.02</v>
      </c>
      <c r="Z31" s="102">
        <f t="shared" si="9"/>
        <v>0</v>
      </c>
      <c r="AA31" s="102">
        <f t="shared" si="10"/>
        <v>4499.4800000000005</v>
      </c>
      <c r="AB31" s="162">
        <f t="shared" si="11"/>
        <v>3483.0299999999997</v>
      </c>
      <c r="AC31" s="122"/>
      <c r="AD31" s="122"/>
    </row>
    <row r="32" spans="1:30" s="33" customFormat="1" ht="12.75" x14ac:dyDescent="0.2">
      <c r="A32" s="180">
        <f t="shared" si="0"/>
        <v>27</v>
      </c>
      <c r="B32">
        <v>882</v>
      </c>
      <c r="C32">
        <v>520904</v>
      </c>
      <c r="D32" t="s">
        <v>253</v>
      </c>
      <c r="E32"/>
      <c r="F32" s="213">
        <v>38986</v>
      </c>
      <c r="G32" t="s">
        <v>348</v>
      </c>
      <c r="H32" t="s">
        <v>349</v>
      </c>
      <c r="I32" t="s">
        <v>310</v>
      </c>
      <c r="J32" s="225">
        <v>126869.57</v>
      </c>
      <c r="K32" s="227">
        <v>0</v>
      </c>
      <c r="L32" s="148">
        <v>19030.43</v>
      </c>
      <c r="M32" s="148">
        <v>145900</v>
      </c>
      <c r="N32" s="101"/>
      <c r="O32" s="31"/>
      <c r="P32" s="143" t="s">
        <v>131</v>
      </c>
      <c r="Q32" s="180">
        <f t="shared" si="2"/>
        <v>882</v>
      </c>
      <c r="R32" s="183">
        <f t="shared" si="3"/>
        <v>520904</v>
      </c>
      <c r="S32" s="183" t="str">
        <f t="shared" si="4"/>
        <v>YARIS CORE AT</v>
      </c>
      <c r="T32" s="183">
        <f t="shared" si="5"/>
        <v>0</v>
      </c>
      <c r="U32" s="184">
        <f t="shared" si="6"/>
        <v>126869.57</v>
      </c>
      <c r="V32" s="122">
        <f t="shared" si="12"/>
        <v>126869.57</v>
      </c>
      <c r="W32" s="143"/>
      <c r="X32" s="102">
        <f t="shared" si="7"/>
        <v>0.01</v>
      </c>
      <c r="Y32" s="103"/>
      <c r="Z32" s="102">
        <f t="shared" si="9"/>
        <v>0</v>
      </c>
      <c r="AA32" s="185">
        <f t="shared" si="10"/>
        <v>0</v>
      </c>
      <c r="AB32" s="162">
        <f t="shared" si="11"/>
        <v>0</v>
      </c>
      <c r="AC32" s="122"/>
      <c r="AD32" s="122"/>
    </row>
    <row r="33" spans="1:30" s="33" customFormat="1" ht="12.75" x14ac:dyDescent="0.2">
      <c r="A33" s="180">
        <f t="shared" si="0"/>
        <v>28</v>
      </c>
      <c r="B33">
        <v>842</v>
      </c>
      <c r="C33">
        <v>520905</v>
      </c>
      <c r="D33" t="s">
        <v>353</v>
      </c>
      <c r="E33"/>
      <c r="F33" s="213">
        <v>38978</v>
      </c>
      <c r="G33" t="s">
        <v>354</v>
      </c>
      <c r="H33" t="s">
        <v>291</v>
      </c>
      <c r="I33" t="s">
        <v>313</v>
      </c>
      <c r="J33" s="225">
        <v>138260.87</v>
      </c>
      <c r="K33" s="227">
        <v>0</v>
      </c>
      <c r="L33" s="148">
        <v>20739.13</v>
      </c>
      <c r="M33" s="148">
        <v>159000</v>
      </c>
      <c r="N33" s="101"/>
      <c r="O33" s="31"/>
      <c r="P33" s="143" t="s">
        <v>131</v>
      </c>
      <c r="Q33" s="180">
        <f t="shared" si="2"/>
        <v>842</v>
      </c>
      <c r="R33" s="183">
        <f t="shared" si="3"/>
        <v>520905</v>
      </c>
      <c r="S33" s="183" t="str">
        <f t="shared" si="4"/>
        <v>YARIS PREMIUM AUT</v>
      </c>
      <c r="T33" s="183">
        <f t="shared" si="5"/>
        <v>0</v>
      </c>
      <c r="U33" s="184">
        <f t="shared" si="6"/>
        <v>138260.87</v>
      </c>
      <c r="V33" s="122">
        <f t="shared" si="12"/>
        <v>138260.87</v>
      </c>
      <c r="W33" s="143"/>
      <c r="X33" s="102">
        <f t="shared" si="7"/>
        <v>0.01</v>
      </c>
      <c r="Y33" s="103"/>
      <c r="Z33" s="102">
        <f t="shared" si="9"/>
        <v>0</v>
      </c>
      <c r="AA33" s="185">
        <f t="shared" si="10"/>
        <v>0</v>
      </c>
      <c r="AB33" s="162">
        <f t="shared" si="11"/>
        <v>0</v>
      </c>
      <c r="AC33" s="122"/>
      <c r="AD33" s="122"/>
    </row>
    <row r="34" spans="1:30" s="33" customFormat="1" ht="12.75" x14ac:dyDescent="0.2">
      <c r="A34" s="180">
        <f t="shared" si="0"/>
        <v>29</v>
      </c>
      <c r="B34">
        <v>831</v>
      </c>
      <c r="C34">
        <v>520906</v>
      </c>
      <c r="D34" t="s">
        <v>264</v>
      </c>
      <c r="E34"/>
      <c r="F34" s="213">
        <v>38975</v>
      </c>
      <c r="G34" t="s">
        <v>351</v>
      </c>
      <c r="H34" t="s">
        <v>352</v>
      </c>
      <c r="I34" t="s">
        <v>312</v>
      </c>
      <c r="J34" s="225">
        <v>118173.91</v>
      </c>
      <c r="K34" s="227">
        <v>0</v>
      </c>
      <c r="L34" s="148">
        <v>17726.09</v>
      </c>
      <c r="M34" s="148">
        <v>135900</v>
      </c>
      <c r="N34" s="101"/>
      <c r="O34" s="31"/>
      <c r="P34" s="143" t="s">
        <v>131</v>
      </c>
      <c r="Q34" s="180">
        <f t="shared" si="2"/>
        <v>831</v>
      </c>
      <c r="R34" s="183">
        <f t="shared" si="3"/>
        <v>520906</v>
      </c>
      <c r="S34" s="183" t="str">
        <f t="shared" si="4"/>
        <v>YARIS CORE MT</v>
      </c>
      <c r="T34" s="183">
        <f t="shared" si="5"/>
        <v>0</v>
      </c>
      <c r="U34" s="184">
        <f t="shared" si="6"/>
        <v>118173.91</v>
      </c>
      <c r="V34" s="122">
        <f t="shared" si="12"/>
        <v>118173.91</v>
      </c>
      <c r="W34" s="143"/>
      <c r="X34" s="102">
        <f t="shared" si="7"/>
        <v>0.01</v>
      </c>
      <c r="Y34" s="103"/>
      <c r="Z34" s="102">
        <f t="shared" si="9"/>
        <v>0</v>
      </c>
      <c r="AA34" s="185">
        <f t="shared" si="10"/>
        <v>0</v>
      </c>
      <c r="AB34" s="162">
        <f t="shared" si="11"/>
        <v>0</v>
      </c>
      <c r="AC34" s="122"/>
      <c r="AD34" s="122"/>
    </row>
    <row r="35" spans="1:30" s="33" customFormat="1" ht="12.75" x14ac:dyDescent="0.2">
      <c r="A35" s="180">
        <f t="shared" si="0"/>
        <v>30</v>
      </c>
      <c r="B35">
        <v>816</v>
      </c>
      <c r="C35">
        <v>520907</v>
      </c>
      <c r="D35" t="s">
        <v>266</v>
      </c>
      <c r="E35"/>
      <c r="F35" s="213">
        <v>38967</v>
      </c>
      <c r="G35" t="s">
        <v>292</v>
      </c>
      <c r="H35" t="s">
        <v>293</v>
      </c>
      <c r="I35" t="s">
        <v>314</v>
      </c>
      <c r="J35" s="225">
        <v>129565.22</v>
      </c>
      <c r="K35" s="227">
        <v>0</v>
      </c>
      <c r="L35" s="148">
        <v>19434.78</v>
      </c>
      <c r="M35" s="148">
        <v>149000</v>
      </c>
      <c r="N35" s="101"/>
      <c r="O35" s="31"/>
      <c r="P35" s="143" t="s">
        <v>131</v>
      </c>
      <c r="Q35" s="180">
        <f t="shared" si="2"/>
        <v>816</v>
      </c>
      <c r="R35" s="183">
        <f t="shared" si="3"/>
        <v>520907</v>
      </c>
      <c r="S35" s="183" t="str">
        <f t="shared" si="4"/>
        <v>YARIS PREMIUM MT</v>
      </c>
      <c r="T35" s="183">
        <f t="shared" si="5"/>
        <v>0</v>
      </c>
      <c r="U35" s="184">
        <f t="shared" si="6"/>
        <v>129565.22</v>
      </c>
      <c r="V35" s="122">
        <f t="shared" si="12"/>
        <v>129565.22</v>
      </c>
      <c r="W35" s="143"/>
      <c r="X35" s="102">
        <f t="shared" si="7"/>
        <v>0.01</v>
      </c>
      <c r="Y35" s="103"/>
      <c r="Z35" s="102">
        <f t="shared" si="9"/>
        <v>0</v>
      </c>
      <c r="AA35" s="185">
        <f t="shared" si="10"/>
        <v>0</v>
      </c>
      <c r="AB35" s="162">
        <f t="shared" si="11"/>
        <v>0</v>
      </c>
      <c r="AC35" s="122"/>
      <c r="AD35" s="122"/>
    </row>
    <row r="36" spans="1:30" s="33" customFormat="1" ht="12.75" x14ac:dyDescent="0.2">
      <c r="A36" s="180">
        <f t="shared" si="0"/>
        <v>31</v>
      </c>
      <c r="B36">
        <v>829</v>
      </c>
      <c r="C36">
        <v>521502</v>
      </c>
      <c r="D36" t="s">
        <v>225</v>
      </c>
      <c r="E36"/>
      <c r="F36" s="213">
        <v>38974</v>
      </c>
      <c r="G36" t="s">
        <v>20</v>
      </c>
      <c r="H36" t="s">
        <v>21</v>
      </c>
      <c r="I36" t="s">
        <v>385</v>
      </c>
      <c r="J36" s="225">
        <v>257722.57</v>
      </c>
      <c r="K36" s="239">
        <v>12886.13</v>
      </c>
      <c r="L36" s="148">
        <v>40591.300000000003</v>
      </c>
      <c r="M36" s="148">
        <v>311200</v>
      </c>
      <c r="N36" s="101"/>
      <c r="O36" s="31"/>
      <c r="P36" s="143" t="s">
        <v>131</v>
      </c>
      <c r="Q36" s="180">
        <f t="shared" si="2"/>
        <v>829</v>
      </c>
      <c r="R36" s="183">
        <f t="shared" si="3"/>
        <v>521502</v>
      </c>
      <c r="S36" s="183" t="str">
        <f t="shared" si="4"/>
        <v>HIACE PANEL 15 PASAJ AC</v>
      </c>
      <c r="T36" s="183">
        <f t="shared" si="5"/>
        <v>0</v>
      </c>
      <c r="U36" s="184">
        <f t="shared" si="6"/>
        <v>257722.57</v>
      </c>
      <c r="V36" s="122">
        <f t="shared" si="12"/>
        <v>257722.57</v>
      </c>
      <c r="W36" s="143"/>
      <c r="X36" s="102">
        <f t="shared" si="7"/>
        <v>246423.66</v>
      </c>
      <c r="Y36" s="103">
        <f t="shared" si="8"/>
        <v>0.05</v>
      </c>
      <c r="Z36" s="102">
        <f t="shared" si="9"/>
        <v>4928.3900000000003</v>
      </c>
      <c r="AA36" s="102">
        <f t="shared" si="10"/>
        <v>5493.3355000000001</v>
      </c>
      <c r="AB36" s="162">
        <f t="shared" si="11"/>
        <v>7392.7944999999991</v>
      </c>
      <c r="AC36" s="122"/>
      <c r="AD36" s="122"/>
    </row>
    <row r="37" spans="1:30" s="33" customFormat="1" ht="12.75" x14ac:dyDescent="0.2">
      <c r="A37" s="180">
        <f t="shared" si="0"/>
        <v>32</v>
      </c>
      <c r="B37">
        <v>808</v>
      </c>
      <c r="C37">
        <v>521702</v>
      </c>
      <c r="D37" t="s">
        <v>139</v>
      </c>
      <c r="E37"/>
      <c r="F37" s="213">
        <v>38965</v>
      </c>
      <c r="G37" t="s">
        <v>297</v>
      </c>
      <c r="H37" t="s">
        <v>298</v>
      </c>
      <c r="I37" t="s">
        <v>273</v>
      </c>
      <c r="J37" s="225">
        <v>132086.96</v>
      </c>
      <c r="K37" s="227">
        <v>0</v>
      </c>
      <c r="L37" s="148">
        <v>19813.04</v>
      </c>
      <c r="M37" s="148">
        <v>151900</v>
      </c>
      <c r="N37" s="101"/>
      <c r="O37" s="31"/>
      <c r="P37" s="143" t="s">
        <v>131</v>
      </c>
      <c r="Q37" s="180">
        <f t="shared" si="2"/>
        <v>808</v>
      </c>
      <c r="R37" s="183">
        <f t="shared" si="3"/>
        <v>521702</v>
      </c>
      <c r="S37" s="183" t="str">
        <f t="shared" si="4"/>
        <v>YARIS SEDAN CORE MT A/C</v>
      </c>
      <c r="T37" s="183">
        <f t="shared" si="5"/>
        <v>0</v>
      </c>
      <c r="U37" s="184">
        <f t="shared" si="6"/>
        <v>132086.96</v>
      </c>
      <c r="V37" s="122"/>
      <c r="W37" s="143"/>
      <c r="X37" s="102">
        <f t="shared" si="7"/>
        <v>0.01</v>
      </c>
      <c r="Y37" s="103"/>
      <c r="Z37" s="102">
        <f t="shared" si="9"/>
        <v>0</v>
      </c>
      <c r="AA37" s="185">
        <f t="shared" si="10"/>
        <v>0</v>
      </c>
      <c r="AB37" s="162">
        <f t="shared" si="11"/>
        <v>0</v>
      </c>
      <c r="AC37" s="122"/>
      <c r="AD37" s="122"/>
    </row>
    <row r="38" spans="1:30" s="33" customFormat="1" ht="12.75" x14ac:dyDescent="0.2">
      <c r="A38" s="180">
        <f t="shared" si="0"/>
        <v>33</v>
      </c>
      <c r="B38">
        <v>867</v>
      </c>
      <c r="C38">
        <v>521702</v>
      </c>
      <c r="D38" t="s">
        <v>139</v>
      </c>
      <c r="E38"/>
      <c r="F38" s="213">
        <v>38981</v>
      </c>
      <c r="G38" t="s">
        <v>209</v>
      </c>
      <c r="H38" t="s">
        <v>210</v>
      </c>
      <c r="I38" t="s">
        <v>274</v>
      </c>
      <c r="J38" s="225">
        <v>132086.96</v>
      </c>
      <c r="K38" s="227">
        <v>0</v>
      </c>
      <c r="L38" s="148">
        <v>19813.04</v>
      </c>
      <c r="M38" s="148">
        <v>151900</v>
      </c>
      <c r="N38" s="101"/>
      <c r="O38" s="31"/>
      <c r="P38" s="143" t="s">
        <v>131</v>
      </c>
      <c r="Q38" s="180">
        <f t="shared" si="2"/>
        <v>867</v>
      </c>
      <c r="R38" s="183">
        <f t="shared" si="3"/>
        <v>521702</v>
      </c>
      <c r="S38" s="183" t="str">
        <f t="shared" si="4"/>
        <v>YARIS SEDAN CORE MT A/C</v>
      </c>
      <c r="T38" s="183">
        <f t="shared" si="5"/>
        <v>0</v>
      </c>
      <c r="U38" s="184">
        <f t="shared" si="6"/>
        <v>132086.96</v>
      </c>
      <c r="V38" s="122"/>
      <c r="W38" s="143"/>
      <c r="X38" s="102">
        <f t="shared" si="7"/>
        <v>0.01</v>
      </c>
      <c r="Y38" s="103"/>
      <c r="Z38" s="102">
        <f t="shared" si="9"/>
        <v>0</v>
      </c>
      <c r="AA38" s="185">
        <f t="shared" si="10"/>
        <v>0</v>
      </c>
      <c r="AB38" s="162">
        <f t="shared" si="11"/>
        <v>0</v>
      </c>
      <c r="AC38" s="122"/>
      <c r="AD38" s="122"/>
    </row>
    <row r="39" spans="1:30" s="33" customFormat="1" ht="12.75" x14ac:dyDescent="0.2">
      <c r="A39" s="180">
        <f t="shared" si="0"/>
        <v>34</v>
      </c>
      <c r="B39">
        <v>895</v>
      </c>
      <c r="C39">
        <v>521702</v>
      </c>
      <c r="D39" t="s">
        <v>139</v>
      </c>
      <c r="E39"/>
      <c r="F39" s="213">
        <v>38987</v>
      </c>
      <c r="G39" t="s">
        <v>211</v>
      </c>
      <c r="H39" t="s">
        <v>94</v>
      </c>
      <c r="I39" t="s">
        <v>275</v>
      </c>
      <c r="J39" s="225">
        <v>132086.96</v>
      </c>
      <c r="K39" s="227">
        <v>0</v>
      </c>
      <c r="L39" s="148">
        <v>19813.04</v>
      </c>
      <c r="M39" s="148">
        <v>151900</v>
      </c>
      <c r="N39" s="101"/>
      <c r="O39" s="31"/>
      <c r="P39" s="143" t="s">
        <v>131</v>
      </c>
      <c r="Q39" s="180">
        <f t="shared" si="2"/>
        <v>895</v>
      </c>
      <c r="R39" s="183">
        <f t="shared" si="3"/>
        <v>521702</v>
      </c>
      <c r="S39" s="183" t="str">
        <f t="shared" si="4"/>
        <v>YARIS SEDAN CORE MT A/C</v>
      </c>
      <c r="T39" s="183">
        <f t="shared" si="5"/>
        <v>0</v>
      </c>
      <c r="U39" s="184">
        <f t="shared" si="6"/>
        <v>132086.96</v>
      </c>
      <c r="V39" s="122">
        <f>SUM(U37:U39)</f>
        <v>396260.88</v>
      </c>
      <c r="W39" s="143"/>
      <c r="X39" s="102">
        <f t="shared" si="7"/>
        <v>0.01</v>
      </c>
      <c r="Y39" s="103"/>
      <c r="Z39" s="102">
        <f t="shared" si="9"/>
        <v>0</v>
      </c>
      <c r="AA39" s="185">
        <f t="shared" si="10"/>
        <v>0</v>
      </c>
      <c r="AB39" s="162">
        <f t="shared" si="11"/>
        <v>0</v>
      </c>
      <c r="AC39" s="122"/>
      <c r="AD39" s="122"/>
    </row>
    <row r="40" spans="1:30" s="33" customFormat="1" ht="12.75" x14ac:dyDescent="0.2">
      <c r="A40" s="180">
        <f t="shared" si="0"/>
        <v>35</v>
      </c>
      <c r="B40">
        <v>812</v>
      </c>
      <c r="C40">
        <v>521704</v>
      </c>
      <c r="D40" t="s">
        <v>252</v>
      </c>
      <c r="E40"/>
      <c r="F40" s="213">
        <v>38966</v>
      </c>
      <c r="G40" t="s">
        <v>242</v>
      </c>
      <c r="H40" t="s">
        <v>243</v>
      </c>
      <c r="I40" t="s">
        <v>213</v>
      </c>
      <c r="J40" s="225">
        <v>140782.60999999999</v>
      </c>
      <c r="K40" s="227">
        <v>0</v>
      </c>
      <c r="L40" s="148">
        <v>21117.39</v>
      </c>
      <c r="M40" s="148">
        <v>161900</v>
      </c>
      <c r="N40" s="101"/>
      <c r="O40" s="31"/>
      <c r="P40" s="143" t="s">
        <v>131</v>
      </c>
      <c r="Q40" s="180">
        <f t="shared" si="2"/>
        <v>812</v>
      </c>
      <c r="R40" s="183">
        <f t="shared" si="3"/>
        <v>521704</v>
      </c>
      <c r="S40" s="183" t="str">
        <f t="shared" si="4"/>
        <v>YARIS SEDAN PREMIUM MT</v>
      </c>
      <c r="T40" s="183">
        <f t="shared" si="5"/>
        <v>0</v>
      </c>
      <c r="U40" s="184">
        <f t="shared" si="6"/>
        <v>140782.60999999999</v>
      </c>
      <c r="V40" s="122"/>
      <c r="W40" s="143"/>
      <c r="X40" s="102">
        <f t="shared" si="7"/>
        <v>0.01</v>
      </c>
      <c r="Y40" s="103"/>
      <c r="Z40" s="102">
        <f t="shared" si="9"/>
        <v>0</v>
      </c>
      <c r="AA40" s="185">
        <f t="shared" si="10"/>
        <v>0</v>
      </c>
      <c r="AB40" s="162">
        <f t="shared" si="11"/>
        <v>0</v>
      </c>
      <c r="AC40" s="122"/>
      <c r="AD40" s="122"/>
    </row>
    <row r="41" spans="1:30" s="33" customFormat="1" ht="12.75" x14ac:dyDescent="0.2">
      <c r="A41" s="180">
        <f t="shared" si="0"/>
        <v>36</v>
      </c>
      <c r="B41">
        <v>910</v>
      </c>
      <c r="C41">
        <v>521704</v>
      </c>
      <c r="D41" t="s">
        <v>252</v>
      </c>
      <c r="E41"/>
      <c r="F41" s="213">
        <v>38990</v>
      </c>
      <c r="G41" t="s">
        <v>245</v>
      </c>
      <c r="H41" t="s">
        <v>102</v>
      </c>
      <c r="I41" t="s">
        <v>57</v>
      </c>
      <c r="J41" s="225">
        <v>140782.60999999999</v>
      </c>
      <c r="K41" s="227">
        <v>0</v>
      </c>
      <c r="L41" s="148">
        <v>21117.39</v>
      </c>
      <c r="M41" s="148">
        <v>161900</v>
      </c>
      <c r="N41" s="101"/>
      <c r="O41" s="31"/>
      <c r="P41" s="143" t="s">
        <v>131</v>
      </c>
      <c r="Q41" s="180">
        <f t="shared" si="2"/>
        <v>910</v>
      </c>
      <c r="R41" s="183">
        <f t="shared" si="3"/>
        <v>521704</v>
      </c>
      <c r="S41" s="183" t="str">
        <f t="shared" si="4"/>
        <v>YARIS SEDAN PREMIUM MT</v>
      </c>
      <c r="T41" s="183">
        <f t="shared" si="5"/>
        <v>0</v>
      </c>
      <c r="U41" s="184">
        <f t="shared" si="6"/>
        <v>140782.60999999999</v>
      </c>
      <c r="V41" s="122"/>
      <c r="W41" s="143"/>
      <c r="X41" s="102">
        <f t="shared" si="7"/>
        <v>0.01</v>
      </c>
      <c r="Y41" s="103"/>
      <c r="Z41" s="102">
        <f t="shared" si="9"/>
        <v>0</v>
      </c>
      <c r="AA41" s="185">
        <f t="shared" si="10"/>
        <v>0</v>
      </c>
      <c r="AB41" s="162">
        <f t="shared" si="11"/>
        <v>0</v>
      </c>
      <c r="AC41" s="122"/>
      <c r="AD41" s="122"/>
    </row>
    <row r="42" spans="1:30" s="33" customFormat="1" ht="12.75" x14ac:dyDescent="0.2">
      <c r="A42" s="180">
        <f t="shared" si="0"/>
        <v>37</v>
      </c>
      <c r="B42">
        <v>919</v>
      </c>
      <c r="C42">
        <v>521704</v>
      </c>
      <c r="D42" t="s">
        <v>252</v>
      </c>
      <c r="E42"/>
      <c r="F42" s="213">
        <v>38990</v>
      </c>
      <c r="G42" t="s">
        <v>103</v>
      </c>
      <c r="H42" t="s">
        <v>104</v>
      </c>
      <c r="I42" t="s">
        <v>58</v>
      </c>
      <c r="J42" s="225">
        <v>140782.60999999999</v>
      </c>
      <c r="K42" s="227">
        <v>0</v>
      </c>
      <c r="L42" s="148">
        <v>21117.39</v>
      </c>
      <c r="M42" s="148">
        <v>161900</v>
      </c>
      <c r="N42" s="101"/>
      <c r="O42" s="31"/>
      <c r="P42" s="143" t="s">
        <v>131</v>
      </c>
      <c r="Q42" s="180">
        <f t="shared" si="2"/>
        <v>919</v>
      </c>
      <c r="R42" s="183">
        <f t="shared" si="3"/>
        <v>521704</v>
      </c>
      <c r="S42" s="183" t="str">
        <f t="shared" si="4"/>
        <v>YARIS SEDAN PREMIUM MT</v>
      </c>
      <c r="T42" s="183">
        <f t="shared" si="5"/>
        <v>0</v>
      </c>
      <c r="U42" s="184">
        <f t="shared" si="6"/>
        <v>140782.60999999999</v>
      </c>
      <c r="V42" s="122">
        <f>SUM(U40:U42)</f>
        <v>422347.82999999996</v>
      </c>
      <c r="W42" s="143"/>
      <c r="X42" s="102">
        <f t="shared" si="7"/>
        <v>0.01</v>
      </c>
      <c r="Y42" s="103"/>
      <c r="Z42" s="102">
        <f t="shared" si="9"/>
        <v>0</v>
      </c>
      <c r="AA42" s="185">
        <f t="shared" si="10"/>
        <v>0</v>
      </c>
      <c r="AB42" s="162">
        <f t="shared" si="11"/>
        <v>0</v>
      </c>
      <c r="AC42" s="122"/>
      <c r="AD42" s="122"/>
    </row>
    <row r="43" spans="1:30" s="33" customFormat="1" ht="12.75" x14ac:dyDescent="0.2">
      <c r="A43" s="180">
        <f t="shared" si="0"/>
        <v>38</v>
      </c>
      <c r="B43">
        <v>856</v>
      </c>
      <c r="C43">
        <v>521705</v>
      </c>
      <c r="D43" t="s">
        <v>268</v>
      </c>
      <c r="E43"/>
      <c r="F43" s="213">
        <v>38981</v>
      </c>
      <c r="G43" t="s">
        <v>239</v>
      </c>
      <c r="H43" t="s">
        <v>240</v>
      </c>
      <c r="I43" t="s">
        <v>356</v>
      </c>
      <c r="J43" s="225">
        <v>149478.26</v>
      </c>
      <c r="K43" s="227">
        <v>0</v>
      </c>
      <c r="L43" s="148">
        <v>22421.74</v>
      </c>
      <c r="M43" s="148">
        <v>171900</v>
      </c>
      <c r="N43" s="101"/>
      <c r="O43" s="31"/>
      <c r="P43" s="143" t="s">
        <v>131</v>
      </c>
      <c r="Q43" s="180">
        <f t="shared" si="2"/>
        <v>856</v>
      </c>
      <c r="R43" s="183">
        <f t="shared" si="3"/>
        <v>521705</v>
      </c>
      <c r="S43" s="183" t="str">
        <f t="shared" si="4"/>
        <v>YARIS SEDAN PREMIUM AT</v>
      </c>
      <c r="T43" s="183">
        <f t="shared" si="5"/>
        <v>0</v>
      </c>
      <c r="U43" s="184">
        <f t="shared" si="6"/>
        <v>149478.26</v>
      </c>
      <c r="V43" s="122">
        <f>U43</f>
        <v>149478.26</v>
      </c>
      <c r="W43" s="143"/>
      <c r="X43" s="102">
        <f t="shared" si="7"/>
        <v>0.01</v>
      </c>
      <c r="Y43" s="103"/>
      <c r="Z43" s="102">
        <f t="shared" si="9"/>
        <v>0</v>
      </c>
      <c r="AA43" s="185">
        <f t="shared" si="10"/>
        <v>0</v>
      </c>
      <c r="AB43" s="162">
        <f t="shared" si="11"/>
        <v>0</v>
      </c>
      <c r="AC43" s="122"/>
      <c r="AD43" s="122"/>
    </row>
    <row r="44" spans="1:30" s="33" customFormat="1" ht="12.75" x14ac:dyDescent="0.2">
      <c r="A44" s="180">
        <f t="shared" si="0"/>
        <v>39</v>
      </c>
      <c r="B44">
        <v>810</v>
      </c>
      <c r="C44">
        <v>1520107</v>
      </c>
      <c r="D44" t="s">
        <v>221</v>
      </c>
      <c r="E44"/>
      <c r="F44" s="213">
        <v>38965</v>
      </c>
      <c r="G44" t="s">
        <v>23</v>
      </c>
      <c r="H44" t="s">
        <v>24</v>
      </c>
      <c r="I44" t="s">
        <v>387</v>
      </c>
      <c r="J44" s="225">
        <v>175355.25</v>
      </c>
      <c r="K44" s="239">
        <v>4383.88</v>
      </c>
      <c r="L44" s="148">
        <v>26960.87</v>
      </c>
      <c r="M44" s="148">
        <v>206700</v>
      </c>
      <c r="N44" s="101"/>
      <c r="O44" s="31"/>
      <c r="P44" s="143" t="s">
        <v>131</v>
      </c>
      <c r="Q44" s="180">
        <f t="shared" si="2"/>
        <v>810</v>
      </c>
      <c r="R44" s="183">
        <f t="shared" si="3"/>
        <v>1520107</v>
      </c>
      <c r="S44" s="183" t="str">
        <f t="shared" si="4"/>
        <v>HIACE PANEL SUPER LARGA</v>
      </c>
      <c r="T44" s="183">
        <f t="shared" si="5"/>
        <v>0</v>
      </c>
      <c r="U44" s="184">
        <f t="shared" si="6"/>
        <v>175355.25</v>
      </c>
      <c r="V44" s="122"/>
      <c r="W44" s="143"/>
      <c r="X44" s="102">
        <f t="shared" si="7"/>
        <v>0.01</v>
      </c>
      <c r="Y44" s="136">
        <f t="shared" si="8"/>
        <v>0.02</v>
      </c>
      <c r="Z44" s="102">
        <f t="shared" si="9"/>
        <v>0</v>
      </c>
      <c r="AA44" s="102">
        <f t="shared" si="10"/>
        <v>1753.5524</v>
      </c>
      <c r="AB44" s="162">
        <f t="shared" si="11"/>
        <v>2630.3276000000001</v>
      </c>
      <c r="AC44" s="122"/>
      <c r="AD44" s="122"/>
    </row>
    <row r="45" spans="1:30" s="249" customFormat="1" ht="12.75" x14ac:dyDescent="0.2">
      <c r="A45" s="180">
        <f t="shared" si="0"/>
        <v>40</v>
      </c>
      <c r="B45">
        <v>835</v>
      </c>
      <c r="C45">
        <v>1520107</v>
      </c>
      <c r="D45" t="s">
        <v>221</v>
      </c>
      <c r="E45"/>
      <c r="F45" s="213">
        <v>38975</v>
      </c>
      <c r="G45" t="s">
        <v>333</v>
      </c>
      <c r="H45" t="s">
        <v>334</v>
      </c>
      <c r="I45" t="s">
        <v>207</v>
      </c>
      <c r="J45" s="225">
        <v>175355.25</v>
      </c>
      <c r="K45" s="239">
        <v>4383.88</v>
      </c>
      <c r="L45" s="148">
        <v>26960.87</v>
      </c>
      <c r="M45" s="148">
        <v>206700</v>
      </c>
      <c r="N45" s="101"/>
      <c r="O45" s="31"/>
      <c r="P45" s="143" t="s">
        <v>131</v>
      </c>
      <c r="Q45" s="180">
        <f t="shared" si="2"/>
        <v>835</v>
      </c>
      <c r="R45" s="183">
        <f t="shared" si="3"/>
        <v>1520107</v>
      </c>
      <c r="S45" s="183" t="str">
        <f t="shared" si="4"/>
        <v>HIACE PANEL SUPER LARGA</v>
      </c>
      <c r="T45" s="183">
        <f t="shared" si="5"/>
        <v>0</v>
      </c>
      <c r="U45" s="184">
        <f t="shared" si="6"/>
        <v>175355.25</v>
      </c>
      <c r="V45" s="122"/>
      <c r="W45" s="143"/>
      <c r="X45" s="102">
        <f t="shared" si="7"/>
        <v>0.01</v>
      </c>
      <c r="Y45" s="136">
        <f t="shared" si="8"/>
        <v>0.02</v>
      </c>
      <c r="Z45" s="102">
        <f t="shared" si="9"/>
        <v>0</v>
      </c>
      <c r="AA45" s="102">
        <f t="shared" si="10"/>
        <v>1753.5524</v>
      </c>
      <c r="AB45" s="162">
        <f t="shared" si="11"/>
        <v>2630.3276000000001</v>
      </c>
      <c r="AC45" s="246"/>
      <c r="AD45" s="246"/>
    </row>
    <row r="46" spans="1:30" s="33" customFormat="1" ht="12.75" x14ac:dyDescent="0.2">
      <c r="A46" s="180">
        <f t="shared" si="0"/>
        <v>41</v>
      </c>
      <c r="B46">
        <v>837</v>
      </c>
      <c r="C46">
        <v>1520107</v>
      </c>
      <c r="D46" t="s">
        <v>221</v>
      </c>
      <c r="E46"/>
      <c r="F46" s="213">
        <v>38975</v>
      </c>
      <c r="G46" t="s">
        <v>335</v>
      </c>
      <c r="H46" t="s">
        <v>336</v>
      </c>
      <c r="I46" t="s">
        <v>208</v>
      </c>
      <c r="J46" s="225">
        <v>175355.25</v>
      </c>
      <c r="K46" s="239">
        <v>4383.88</v>
      </c>
      <c r="L46" s="148">
        <v>26960.87</v>
      </c>
      <c r="M46" s="148">
        <v>206700</v>
      </c>
      <c r="N46" s="101"/>
      <c r="O46" s="31"/>
      <c r="P46" s="143" t="s">
        <v>131</v>
      </c>
      <c r="Q46" s="180">
        <f t="shared" si="2"/>
        <v>837</v>
      </c>
      <c r="R46" s="183">
        <f t="shared" si="3"/>
        <v>1520107</v>
      </c>
      <c r="S46" s="183" t="str">
        <f t="shared" si="4"/>
        <v>HIACE PANEL SUPER LARGA</v>
      </c>
      <c r="T46" s="183">
        <f t="shared" si="5"/>
        <v>0</v>
      </c>
      <c r="U46" s="184">
        <f t="shared" si="6"/>
        <v>175355.25</v>
      </c>
      <c r="V46" s="122"/>
      <c r="W46" s="143"/>
      <c r="X46" s="102">
        <f t="shared" si="7"/>
        <v>0.01</v>
      </c>
      <c r="Y46" s="136">
        <f t="shared" si="8"/>
        <v>0.02</v>
      </c>
      <c r="Z46" s="102">
        <f t="shared" si="9"/>
        <v>0</v>
      </c>
      <c r="AA46" s="102">
        <f t="shared" si="10"/>
        <v>1753.5524</v>
      </c>
      <c r="AB46" s="162">
        <f t="shared" si="11"/>
        <v>2630.3276000000001</v>
      </c>
      <c r="AC46" s="122"/>
      <c r="AD46" s="122"/>
    </row>
    <row r="47" spans="1:30" s="33" customFormat="1" ht="12.75" x14ac:dyDescent="0.2">
      <c r="A47" s="180">
        <f t="shared" si="0"/>
        <v>42</v>
      </c>
      <c r="B47">
        <v>843</v>
      </c>
      <c r="C47">
        <v>1520107</v>
      </c>
      <c r="D47" t="s">
        <v>221</v>
      </c>
      <c r="E47"/>
      <c r="F47" s="213">
        <v>38978</v>
      </c>
      <c r="G47" t="s">
        <v>317</v>
      </c>
      <c r="H47" t="s">
        <v>318</v>
      </c>
      <c r="I47" t="s">
        <v>65</v>
      </c>
      <c r="J47" s="225">
        <v>175355.25</v>
      </c>
      <c r="K47" s="239">
        <v>4383.88</v>
      </c>
      <c r="L47" s="148">
        <v>26960.87</v>
      </c>
      <c r="M47" s="148">
        <v>206700</v>
      </c>
      <c r="N47" s="101"/>
      <c r="O47" s="31"/>
      <c r="P47" s="143" t="s">
        <v>131</v>
      </c>
      <c r="Q47" s="180">
        <f t="shared" si="2"/>
        <v>843</v>
      </c>
      <c r="R47" s="183">
        <f t="shared" si="3"/>
        <v>1520107</v>
      </c>
      <c r="S47" s="183" t="str">
        <f t="shared" si="4"/>
        <v>HIACE PANEL SUPER LARGA</v>
      </c>
      <c r="T47" s="183">
        <f t="shared" si="5"/>
        <v>0</v>
      </c>
      <c r="U47" s="184">
        <f t="shared" si="6"/>
        <v>175355.25</v>
      </c>
      <c r="V47" s="122"/>
      <c r="W47" s="143"/>
      <c r="X47" s="102">
        <f t="shared" si="7"/>
        <v>0.01</v>
      </c>
      <c r="Y47" s="136">
        <f t="shared" si="8"/>
        <v>0.02</v>
      </c>
      <c r="Z47" s="102">
        <f t="shared" si="9"/>
        <v>0</v>
      </c>
      <c r="AA47" s="102">
        <f t="shared" si="10"/>
        <v>1753.5524</v>
      </c>
      <c r="AB47" s="162">
        <f t="shared" si="11"/>
        <v>2630.3276000000001</v>
      </c>
      <c r="AC47" s="122"/>
      <c r="AD47" s="122"/>
    </row>
    <row r="48" spans="1:30" s="33" customFormat="1" ht="12.75" x14ac:dyDescent="0.2">
      <c r="A48" s="180">
        <f t="shared" si="0"/>
        <v>43</v>
      </c>
      <c r="B48">
        <v>862</v>
      </c>
      <c r="C48">
        <v>1520107</v>
      </c>
      <c r="D48" t="s">
        <v>221</v>
      </c>
      <c r="E48"/>
      <c r="F48" s="213">
        <v>38981</v>
      </c>
      <c r="G48" t="s">
        <v>319</v>
      </c>
      <c r="H48" t="s">
        <v>320</v>
      </c>
      <c r="I48" t="s">
        <v>66</v>
      </c>
      <c r="J48" s="225">
        <v>175355.25</v>
      </c>
      <c r="K48" s="239">
        <v>4383.88</v>
      </c>
      <c r="L48" s="148">
        <v>26960.87</v>
      </c>
      <c r="M48" s="148">
        <v>206700</v>
      </c>
      <c r="N48" s="101"/>
      <c r="O48" s="31"/>
      <c r="P48" s="143" t="s">
        <v>131</v>
      </c>
      <c r="Q48" s="180">
        <f t="shared" si="2"/>
        <v>862</v>
      </c>
      <c r="R48" s="183">
        <f t="shared" si="3"/>
        <v>1520107</v>
      </c>
      <c r="S48" s="183" t="str">
        <f t="shared" si="4"/>
        <v>HIACE PANEL SUPER LARGA</v>
      </c>
      <c r="T48" s="183">
        <f t="shared" si="5"/>
        <v>0</v>
      </c>
      <c r="U48" s="184">
        <f t="shared" si="6"/>
        <v>175355.25</v>
      </c>
      <c r="V48" s="122"/>
      <c r="W48" s="143"/>
      <c r="X48" s="102">
        <f t="shared" si="7"/>
        <v>0.01</v>
      </c>
      <c r="Y48" s="136">
        <f t="shared" si="8"/>
        <v>0.02</v>
      </c>
      <c r="Z48" s="102">
        <f t="shared" si="9"/>
        <v>0</v>
      </c>
      <c r="AA48" s="102">
        <f t="shared" si="10"/>
        <v>1753.5524</v>
      </c>
      <c r="AB48" s="162">
        <f t="shared" si="11"/>
        <v>2630.3276000000001</v>
      </c>
      <c r="AC48" s="122"/>
      <c r="AD48" s="122"/>
    </row>
    <row r="49" spans="1:30" s="33" customFormat="1" ht="12.75" x14ac:dyDescent="0.2">
      <c r="A49" s="180">
        <f t="shared" si="0"/>
        <v>44</v>
      </c>
      <c r="B49">
        <v>869</v>
      </c>
      <c r="C49">
        <v>1520107</v>
      </c>
      <c r="D49" t="s">
        <v>221</v>
      </c>
      <c r="E49"/>
      <c r="F49" s="213">
        <v>38982</v>
      </c>
      <c r="G49" t="s">
        <v>321</v>
      </c>
      <c r="H49" t="s">
        <v>322</v>
      </c>
      <c r="I49" t="s">
        <v>67</v>
      </c>
      <c r="J49" s="225">
        <v>175355.25</v>
      </c>
      <c r="K49" s="239">
        <v>4383.88</v>
      </c>
      <c r="L49" s="148">
        <v>26960.87</v>
      </c>
      <c r="M49" s="148">
        <v>206700</v>
      </c>
      <c r="N49" s="101"/>
      <c r="O49" s="31"/>
      <c r="P49" s="143" t="s">
        <v>131</v>
      </c>
      <c r="Q49" s="180">
        <f t="shared" si="2"/>
        <v>869</v>
      </c>
      <c r="R49" s="183">
        <f t="shared" si="3"/>
        <v>1520107</v>
      </c>
      <c r="S49" s="183" t="str">
        <f t="shared" si="4"/>
        <v>HIACE PANEL SUPER LARGA</v>
      </c>
      <c r="T49" s="183">
        <f t="shared" si="5"/>
        <v>0</v>
      </c>
      <c r="U49" s="184">
        <f t="shared" si="6"/>
        <v>175355.25</v>
      </c>
      <c r="V49" s="122"/>
      <c r="W49" s="143"/>
      <c r="X49" s="102">
        <f t="shared" si="7"/>
        <v>0.01</v>
      </c>
      <c r="Y49" s="136">
        <f t="shared" si="8"/>
        <v>0.02</v>
      </c>
      <c r="Z49" s="102">
        <f t="shared" si="9"/>
        <v>0</v>
      </c>
      <c r="AA49" s="102">
        <f t="shared" si="10"/>
        <v>1753.5524</v>
      </c>
      <c r="AB49" s="162">
        <f t="shared" si="11"/>
        <v>2630.3276000000001</v>
      </c>
      <c r="AC49" s="122"/>
      <c r="AD49" s="122"/>
    </row>
    <row r="50" spans="1:30" s="33" customFormat="1" ht="12.75" x14ac:dyDescent="0.2">
      <c r="A50" s="180">
        <f t="shared" si="0"/>
        <v>45</v>
      </c>
      <c r="B50">
        <v>889</v>
      </c>
      <c r="C50">
        <v>1520107</v>
      </c>
      <c r="D50" t="s">
        <v>221</v>
      </c>
      <c r="E50"/>
      <c r="F50" s="213">
        <v>38987</v>
      </c>
      <c r="G50" t="s">
        <v>323</v>
      </c>
      <c r="H50" t="s">
        <v>205</v>
      </c>
      <c r="I50" t="s">
        <v>68</v>
      </c>
      <c r="J50" s="225">
        <v>175355.25</v>
      </c>
      <c r="K50" s="239">
        <v>4383.88</v>
      </c>
      <c r="L50" s="148">
        <v>26960.87</v>
      </c>
      <c r="M50" s="148">
        <v>206700</v>
      </c>
      <c r="N50" s="101"/>
      <c r="O50" s="31"/>
      <c r="P50" s="143" t="s">
        <v>131</v>
      </c>
      <c r="Q50" s="180">
        <f t="shared" si="2"/>
        <v>889</v>
      </c>
      <c r="R50" s="183">
        <f t="shared" si="3"/>
        <v>1520107</v>
      </c>
      <c r="S50" s="183" t="str">
        <f t="shared" si="4"/>
        <v>HIACE PANEL SUPER LARGA</v>
      </c>
      <c r="T50" s="183">
        <f t="shared" si="5"/>
        <v>0</v>
      </c>
      <c r="U50" s="184">
        <f t="shared" si="6"/>
        <v>175355.25</v>
      </c>
      <c r="V50" s="122"/>
      <c r="W50" s="143"/>
      <c r="X50" s="102">
        <f t="shared" si="7"/>
        <v>0.01</v>
      </c>
      <c r="Y50" s="136">
        <f t="shared" si="8"/>
        <v>0.02</v>
      </c>
      <c r="Z50" s="102">
        <f t="shared" si="9"/>
        <v>0</v>
      </c>
      <c r="AA50" s="102">
        <f t="shared" si="10"/>
        <v>1753.5524</v>
      </c>
      <c r="AB50" s="162">
        <f t="shared" si="11"/>
        <v>2630.3276000000001</v>
      </c>
      <c r="AC50" s="122"/>
      <c r="AD50" s="122"/>
    </row>
    <row r="51" spans="1:30" s="33" customFormat="1" ht="12.75" x14ac:dyDescent="0.2">
      <c r="A51" s="180">
        <f t="shared" si="0"/>
        <v>46</v>
      </c>
      <c r="B51">
        <v>900</v>
      </c>
      <c r="C51">
        <v>1520107</v>
      </c>
      <c r="D51" t="s">
        <v>221</v>
      </c>
      <c r="E51"/>
      <c r="F51" s="213">
        <v>38988</v>
      </c>
      <c r="G51" t="s">
        <v>206</v>
      </c>
      <c r="H51" t="s">
        <v>290</v>
      </c>
      <c r="I51" t="s">
        <v>17</v>
      </c>
      <c r="J51" s="225">
        <v>175355.25</v>
      </c>
      <c r="K51" s="239">
        <v>4383.88</v>
      </c>
      <c r="L51" s="148">
        <v>26960.87</v>
      </c>
      <c r="M51" s="148">
        <v>206700</v>
      </c>
      <c r="N51" s="101"/>
      <c r="O51" s="31"/>
      <c r="P51" s="143" t="s">
        <v>131</v>
      </c>
      <c r="Q51" s="180">
        <f t="shared" si="2"/>
        <v>900</v>
      </c>
      <c r="R51" s="183">
        <f t="shared" si="3"/>
        <v>1520107</v>
      </c>
      <c r="S51" s="183" t="str">
        <f t="shared" si="4"/>
        <v>HIACE PANEL SUPER LARGA</v>
      </c>
      <c r="T51" s="183">
        <f t="shared" si="5"/>
        <v>0</v>
      </c>
      <c r="U51" s="184">
        <f t="shared" si="6"/>
        <v>175355.25</v>
      </c>
      <c r="V51" s="122">
        <f>SUM(U44:U51)</f>
        <v>1402842</v>
      </c>
      <c r="W51" s="143"/>
      <c r="X51" s="102">
        <f t="shared" si="7"/>
        <v>0.01</v>
      </c>
      <c r="Y51" s="136">
        <f t="shared" si="8"/>
        <v>0.02</v>
      </c>
      <c r="Z51" s="102">
        <f t="shared" si="9"/>
        <v>0</v>
      </c>
      <c r="AA51" s="102">
        <f t="shared" si="10"/>
        <v>1753.5524</v>
      </c>
      <c r="AB51" s="162">
        <f t="shared" si="11"/>
        <v>2630.3276000000001</v>
      </c>
      <c r="AC51" s="122"/>
      <c r="AD51" s="122"/>
    </row>
    <row r="52" spans="1:30" s="33" customFormat="1" ht="12.75" x14ac:dyDescent="0.2">
      <c r="A52" s="180">
        <f t="shared" si="0"/>
        <v>47</v>
      </c>
      <c r="B52">
        <v>929</v>
      </c>
      <c r="C52">
        <v>1520302</v>
      </c>
      <c r="D52" t="s">
        <v>138</v>
      </c>
      <c r="E52"/>
      <c r="F52" s="213">
        <v>38990</v>
      </c>
      <c r="G52" t="s">
        <v>120</v>
      </c>
      <c r="H52" t="s">
        <v>121</v>
      </c>
      <c r="I52" t="s">
        <v>127</v>
      </c>
      <c r="J52" s="225">
        <v>252608.63</v>
      </c>
      <c r="K52" s="239">
        <v>12087.02</v>
      </c>
      <c r="L52" s="148">
        <v>39704.35</v>
      </c>
      <c r="M52" s="148">
        <v>304400</v>
      </c>
      <c r="N52" s="101"/>
      <c r="O52" s="31"/>
      <c r="P52" s="143" t="s">
        <v>131</v>
      </c>
      <c r="Q52" s="180">
        <f t="shared" si="2"/>
        <v>929</v>
      </c>
      <c r="R52" s="183">
        <f t="shared" si="3"/>
        <v>1520302</v>
      </c>
      <c r="S52" s="183" t="str">
        <f t="shared" si="4"/>
        <v>TACOMA DOB CAB TRD SPORT DOB.CABINA</v>
      </c>
      <c r="T52" s="183">
        <f t="shared" si="5"/>
        <v>0</v>
      </c>
      <c r="U52" s="184">
        <f t="shared" si="6"/>
        <v>252608.63</v>
      </c>
      <c r="V52" s="122">
        <f>U52</f>
        <v>252608.63</v>
      </c>
      <c r="W52" s="122">
        <f>SUM(U18:U52)</f>
        <v>6902132.5300000012</v>
      </c>
      <c r="X52" s="102">
        <f t="shared" si="7"/>
        <v>246423.66</v>
      </c>
      <c r="Y52" s="103">
        <f t="shared" si="8"/>
        <v>0.05</v>
      </c>
      <c r="Z52" s="102">
        <f t="shared" si="9"/>
        <v>4928.3900000000003</v>
      </c>
      <c r="AA52" s="102">
        <f t="shared" si="10"/>
        <v>5237.6385</v>
      </c>
      <c r="AB52" s="162">
        <f t="shared" si="11"/>
        <v>6849.3815000000004</v>
      </c>
      <c r="AC52" s="122"/>
      <c r="AD52" s="122"/>
    </row>
    <row r="53" spans="1:30" s="33" customFormat="1" ht="12.75" x14ac:dyDescent="0.2">
      <c r="A53" s="180">
        <f t="shared" si="0"/>
        <v>48</v>
      </c>
      <c r="B53" s="221">
        <v>932</v>
      </c>
      <c r="C53" s="221">
        <v>520102</v>
      </c>
      <c r="D53" s="221" t="s">
        <v>260</v>
      </c>
      <c r="E53" s="221"/>
      <c r="F53" s="222">
        <v>38990</v>
      </c>
      <c r="G53" s="221" t="s">
        <v>2</v>
      </c>
      <c r="H53" s="221" t="s">
        <v>71</v>
      </c>
      <c r="I53" s="221" t="s">
        <v>185</v>
      </c>
      <c r="J53" s="226">
        <v>206871.24</v>
      </c>
      <c r="K53" s="229">
        <v>6172.24</v>
      </c>
      <c r="L53" s="223">
        <v>31956.52</v>
      </c>
      <c r="M53" s="223">
        <v>245000</v>
      </c>
      <c r="N53" s="165"/>
      <c r="O53" s="208"/>
      <c r="P53" s="224" t="s">
        <v>265</v>
      </c>
      <c r="Q53" s="180"/>
      <c r="R53" s="183"/>
      <c r="S53" s="183"/>
      <c r="T53" s="183"/>
      <c r="U53" s="184"/>
      <c r="V53" s="122"/>
      <c r="W53" s="143"/>
      <c r="X53" s="102"/>
      <c r="Y53" s="103"/>
      <c r="Z53" s="102"/>
      <c r="AA53" s="102"/>
      <c r="AB53" s="162"/>
      <c r="AC53" s="122"/>
      <c r="AD53" s="122"/>
    </row>
    <row r="54" spans="1:30" s="33" customFormat="1" ht="12.75" x14ac:dyDescent="0.2">
      <c r="A54" s="180">
        <f t="shared" si="0"/>
        <v>49</v>
      </c>
      <c r="B54" s="221">
        <v>815</v>
      </c>
      <c r="C54" s="221">
        <v>520504</v>
      </c>
      <c r="D54" s="221" t="s">
        <v>132</v>
      </c>
      <c r="E54" s="221"/>
      <c r="F54" s="222">
        <v>38967</v>
      </c>
      <c r="G54" s="221" t="s">
        <v>396</v>
      </c>
      <c r="H54" s="221" t="s">
        <v>246</v>
      </c>
      <c r="I54" s="221" t="s">
        <v>402</v>
      </c>
      <c r="J54" s="250">
        <v>316203.48</v>
      </c>
      <c r="K54" s="229">
        <v>22144.35</v>
      </c>
      <c r="L54" s="223">
        <v>50752.17</v>
      </c>
      <c r="M54" s="223">
        <v>389100</v>
      </c>
      <c r="N54" s="165"/>
      <c r="O54" s="208"/>
      <c r="P54" s="224" t="s">
        <v>265</v>
      </c>
      <c r="Q54" s="180"/>
      <c r="R54" s="183"/>
      <c r="S54" s="183"/>
      <c r="T54" s="183">
        <f>COUNT(T6:T52)</f>
        <v>47</v>
      </c>
      <c r="U54" s="181">
        <f>SUM(U6:U52)</f>
        <v>9590028.6699999999</v>
      </c>
      <c r="V54" s="122">
        <f>SUM(V6:V52)</f>
        <v>9590028.6699999999</v>
      </c>
      <c r="W54" s="122">
        <f>SUM(W6:W52)</f>
        <v>9590028.6700000018</v>
      </c>
      <c r="X54" s="102"/>
      <c r="Y54" s="103"/>
      <c r="Z54" s="102"/>
      <c r="AA54" s="181">
        <f>SUM(AA5:AA52)</f>
        <v>161696.54679999987</v>
      </c>
      <c r="AB54" s="162"/>
      <c r="AC54" s="122"/>
      <c r="AD54" s="122"/>
    </row>
    <row r="55" spans="1:30" s="33" customFormat="1" ht="12.75" x14ac:dyDescent="0.2">
      <c r="A55" s="180">
        <f t="shared" si="0"/>
        <v>50</v>
      </c>
      <c r="B55" s="221">
        <v>821</v>
      </c>
      <c r="C55" s="221">
        <v>521705</v>
      </c>
      <c r="D55" s="221" t="s">
        <v>268</v>
      </c>
      <c r="E55" s="221"/>
      <c r="F55" s="222">
        <v>38971</v>
      </c>
      <c r="G55" s="221" t="s">
        <v>269</v>
      </c>
      <c r="H55" s="221" t="s">
        <v>238</v>
      </c>
      <c r="I55" s="221" t="s">
        <v>355</v>
      </c>
      <c r="J55" s="226">
        <v>149478.26</v>
      </c>
      <c r="K55" s="229">
        <v>0</v>
      </c>
      <c r="L55" s="223">
        <v>22421.74</v>
      </c>
      <c r="M55" s="223">
        <v>171900</v>
      </c>
      <c r="N55" s="165"/>
      <c r="O55" s="208"/>
      <c r="P55" s="224" t="s">
        <v>265</v>
      </c>
      <c r="Q55" s="180"/>
      <c r="R55" s="183"/>
      <c r="S55" s="183"/>
      <c r="T55" s="183"/>
      <c r="U55" s="184"/>
      <c r="V55" s="122"/>
      <c r="W55" s="143"/>
      <c r="X55" s="102"/>
      <c r="Y55" s="103"/>
      <c r="Z55" s="102"/>
      <c r="AA55" s="234">
        <v>322237.77</v>
      </c>
      <c r="AB55" s="162" t="s">
        <v>257</v>
      </c>
      <c r="AC55" s="122"/>
      <c r="AD55" s="122"/>
    </row>
    <row r="56" spans="1:30" s="33" customFormat="1" ht="12.75" x14ac:dyDescent="0.2">
      <c r="A56" s="180">
        <f t="shared" si="0"/>
        <v>51</v>
      </c>
      <c r="B56">
        <v>826</v>
      </c>
      <c r="C56">
        <v>520108</v>
      </c>
      <c r="D56" t="s">
        <v>395</v>
      </c>
      <c r="E56"/>
      <c r="F56" s="213">
        <v>38968</v>
      </c>
      <c r="G56" t="s">
        <v>370</v>
      </c>
      <c r="H56" t="s">
        <v>371</v>
      </c>
      <c r="I56" t="s">
        <v>107</v>
      </c>
      <c r="J56" s="225">
        <v>179213.42</v>
      </c>
      <c r="K56" s="228">
        <v>0</v>
      </c>
      <c r="L56" s="148">
        <v>26882.01</v>
      </c>
      <c r="M56" s="148">
        <v>206095.43</v>
      </c>
      <c r="N56" s="101"/>
      <c r="O56" s="31"/>
      <c r="P56" s="143" t="s">
        <v>283</v>
      </c>
      <c r="Q56" s="180"/>
      <c r="R56" s="183"/>
      <c r="S56" s="183"/>
      <c r="T56" s="183"/>
      <c r="U56" s="184"/>
      <c r="V56" s="122"/>
      <c r="W56" s="143"/>
      <c r="X56" s="102"/>
      <c r="Y56" s="103"/>
      <c r="Z56" s="102"/>
      <c r="AA56" s="102"/>
      <c r="AB56" s="162"/>
      <c r="AC56" s="122"/>
      <c r="AD56" s="122"/>
    </row>
    <row r="57" spans="1:30" s="33" customFormat="1" ht="12.75" x14ac:dyDescent="0.2">
      <c r="A57" s="180">
        <f t="shared" si="0"/>
        <v>52</v>
      </c>
      <c r="B57">
        <v>840</v>
      </c>
      <c r="C57">
        <v>520108</v>
      </c>
      <c r="D57" t="s">
        <v>395</v>
      </c>
      <c r="E57"/>
      <c r="F57" s="213">
        <v>38975</v>
      </c>
      <c r="G57" t="s">
        <v>372</v>
      </c>
      <c r="H57" t="s">
        <v>135</v>
      </c>
      <c r="I57" t="s">
        <v>388</v>
      </c>
      <c r="J57" s="225">
        <v>179213.42</v>
      </c>
      <c r="K57" s="251">
        <v>0</v>
      </c>
      <c r="L57" s="148">
        <v>26882.01</v>
      </c>
      <c r="M57" s="148">
        <v>206095.43</v>
      </c>
      <c r="N57" s="101"/>
      <c r="O57" s="31"/>
      <c r="P57" s="143" t="s">
        <v>283</v>
      </c>
      <c r="Q57" s="180"/>
      <c r="R57" s="183"/>
      <c r="S57" s="183"/>
      <c r="T57" s="183"/>
      <c r="U57" s="181"/>
      <c r="V57" s="122"/>
      <c r="W57" s="143"/>
      <c r="X57" s="102"/>
      <c r="Y57" s="103"/>
      <c r="Z57" s="102"/>
      <c r="AA57" s="102">
        <f>AA54-AA55</f>
        <v>-160541.22320000015</v>
      </c>
      <c r="AB57" s="162"/>
      <c r="AC57" s="122"/>
      <c r="AD57" s="122"/>
    </row>
    <row r="58" spans="1:30" s="33" customFormat="1" ht="12.75" x14ac:dyDescent="0.2">
      <c r="A58" s="180">
        <f t="shared" si="0"/>
        <v>53</v>
      </c>
      <c r="B58">
        <v>885</v>
      </c>
      <c r="C58">
        <v>520108</v>
      </c>
      <c r="D58" t="s">
        <v>395</v>
      </c>
      <c r="E58"/>
      <c r="F58" s="213">
        <v>38986</v>
      </c>
      <c r="G58" t="s">
        <v>373</v>
      </c>
      <c r="H58" t="s">
        <v>371</v>
      </c>
      <c r="I58" t="s">
        <v>389</v>
      </c>
      <c r="J58" s="225">
        <v>179213.42</v>
      </c>
      <c r="K58" s="228">
        <v>0</v>
      </c>
      <c r="L58" s="148">
        <v>26882.01</v>
      </c>
      <c r="M58" s="148">
        <v>206095.43</v>
      </c>
      <c r="N58" s="101"/>
      <c r="O58" s="31"/>
      <c r="P58" s="143" t="s">
        <v>283</v>
      </c>
      <c r="Q58" s="180"/>
      <c r="R58" s="183"/>
      <c r="S58" s="183"/>
      <c r="T58" s="232">
        <f>COUNT(X6:X52)-T59-T60</f>
        <v>23</v>
      </c>
      <c r="U58" s="236">
        <f>SUM(U6:U52)-U59-U60</f>
        <v>5917207.0899999999</v>
      </c>
      <c r="V58" s="122"/>
      <c r="W58" s="143"/>
      <c r="X58" s="102"/>
      <c r="Y58" s="103"/>
      <c r="Z58" s="102"/>
      <c r="AA58" s="102"/>
      <c r="AB58" s="162"/>
      <c r="AC58" s="122"/>
      <c r="AD58" s="122"/>
    </row>
    <row r="59" spans="1:30" s="33" customFormat="1" ht="12.75" x14ac:dyDescent="0.2">
      <c r="A59" s="180">
        <f t="shared" si="0"/>
        <v>54</v>
      </c>
      <c r="B59">
        <v>909</v>
      </c>
      <c r="C59">
        <v>520109</v>
      </c>
      <c r="D59" t="s">
        <v>254</v>
      </c>
      <c r="E59"/>
      <c r="F59" s="213">
        <v>38989</v>
      </c>
      <c r="G59" t="s">
        <v>29</v>
      </c>
      <c r="H59" t="s">
        <v>62</v>
      </c>
      <c r="I59" t="s">
        <v>361</v>
      </c>
      <c r="J59" s="225">
        <v>204206.66</v>
      </c>
      <c r="K59" s="228">
        <v>0</v>
      </c>
      <c r="L59" s="148">
        <v>30631</v>
      </c>
      <c r="M59" s="148">
        <v>234837.66</v>
      </c>
      <c r="N59" s="101"/>
      <c r="O59" s="31"/>
      <c r="P59" s="143" t="s">
        <v>283</v>
      </c>
      <c r="Q59" s="180"/>
      <c r="R59" s="183"/>
      <c r="S59" s="183"/>
      <c r="T59" s="230">
        <f>COUNT(T12,T13,T14,T44:T51)</f>
        <v>11</v>
      </c>
      <c r="U59" s="237">
        <f>U12+U13+U14+U44+U45+U46+U47+U48+U49+U50+U51</f>
        <v>1899699.82</v>
      </c>
      <c r="V59" s="122"/>
      <c r="W59" s="143"/>
      <c r="X59" s="102"/>
      <c r="Y59" s="103"/>
      <c r="Z59" s="102"/>
      <c r="AA59" s="102"/>
      <c r="AB59" s="162"/>
      <c r="AC59" s="122"/>
      <c r="AD59" s="122"/>
    </row>
    <row r="60" spans="1:30" s="33" customFormat="1" ht="12.75" x14ac:dyDescent="0.2">
      <c r="A60" s="180">
        <f t="shared" si="0"/>
        <v>55</v>
      </c>
      <c r="B60">
        <v>834</v>
      </c>
      <c r="C60">
        <v>520110</v>
      </c>
      <c r="D60" t="s">
        <v>260</v>
      </c>
      <c r="E60"/>
      <c r="F60" s="213">
        <v>38974</v>
      </c>
      <c r="G60" t="s">
        <v>203</v>
      </c>
      <c r="H60" t="s">
        <v>371</v>
      </c>
      <c r="I60" t="s">
        <v>362</v>
      </c>
      <c r="J60" s="225">
        <v>230486</v>
      </c>
      <c r="K60" s="228">
        <v>0</v>
      </c>
      <c r="L60" s="148">
        <v>34572.9</v>
      </c>
      <c r="M60" s="148">
        <v>265058.90000000002</v>
      </c>
      <c r="N60" s="101"/>
      <c r="O60" s="31"/>
      <c r="P60" s="143" t="s">
        <v>283</v>
      </c>
      <c r="Q60" s="180"/>
      <c r="R60" s="183"/>
      <c r="S60" s="183"/>
      <c r="T60" s="231">
        <f>COUNT(U10:U11,U32:U35,U37:U43)</f>
        <v>13</v>
      </c>
      <c r="U60" s="238">
        <f>U10+U11+U32+U33+U34+U35+U37+U38+U39+U40+U41+U42+U43</f>
        <v>1773121.7599999995</v>
      </c>
      <c r="V60" s="122"/>
      <c r="W60" s="143"/>
      <c r="X60" s="102"/>
      <c r="Y60" s="103"/>
      <c r="Z60" s="102"/>
      <c r="AA60" s="102"/>
      <c r="AB60" s="162"/>
      <c r="AC60" s="122"/>
      <c r="AD60" s="122"/>
    </row>
    <row r="61" spans="1:30" s="33" customFormat="1" ht="12.75" x14ac:dyDescent="0.2">
      <c r="A61" s="180">
        <f t="shared" si="0"/>
        <v>56</v>
      </c>
      <c r="B61">
        <v>848</v>
      </c>
      <c r="C61">
        <v>520204</v>
      </c>
      <c r="D61" t="s">
        <v>259</v>
      </c>
      <c r="E61"/>
      <c r="F61" s="213">
        <v>38979</v>
      </c>
      <c r="G61" t="s">
        <v>72</v>
      </c>
      <c r="H61" t="s">
        <v>62</v>
      </c>
      <c r="I61" t="s">
        <v>186</v>
      </c>
      <c r="J61" s="225">
        <v>139533.35999999999</v>
      </c>
      <c r="K61" s="228">
        <v>0</v>
      </c>
      <c r="L61" s="148">
        <v>20930</v>
      </c>
      <c r="M61" s="148">
        <v>160463.35999999999</v>
      </c>
      <c r="N61" s="101"/>
      <c r="O61" s="31"/>
      <c r="P61" s="143" t="s">
        <v>283</v>
      </c>
      <c r="Q61" s="180"/>
      <c r="R61" s="183"/>
      <c r="S61" s="183"/>
      <c r="T61" s="183"/>
      <c r="U61" s="181"/>
      <c r="V61" s="122"/>
      <c r="W61" s="143"/>
      <c r="X61" s="102"/>
      <c r="Y61" s="103"/>
      <c r="Z61" s="102"/>
      <c r="AA61" s="102"/>
      <c r="AB61" s="162"/>
      <c r="AC61" s="122"/>
      <c r="AD61" s="122"/>
    </row>
    <row r="62" spans="1:30" s="33" customFormat="1" ht="12.75" x14ac:dyDescent="0.2">
      <c r="A62" s="180">
        <f t="shared" si="0"/>
        <v>57</v>
      </c>
      <c r="B62">
        <v>854</v>
      </c>
      <c r="C62">
        <v>520204</v>
      </c>
      <c r="D62" t="s">
        <v>259</v>
      </c>
      <c r="E62"/>
      <c r="F62" s="213">
        <v>38979</v>
      </c>
      <c r="G62" t="s">
        <v>73</v>
      </c>
      <c r="H62" t="s">
        <v>371</v>
      </c>
      <c r="I62" t="s">
        <v>187</v>
      </c>
      <c r="J62" s="225">
        <v>139384.39000000001</v>
      </c>
      <c r="K62" s="228">
        <v>0</v>
      </c>
      <c r="L62" s="148">
        <v>20907.66</v>
      </c>
      <c r="M62" s="148">
        <v>160292.04999999999</v>
      </c>
      <c r="N62" s="101"/>
      <c r="O62" s="31"/>
      <c r="P62" s="143" t="s">
        <v>283</v>
      </c>
      <c r="Q62" s="180"/>
      <c r="R62" s="183"/>
      <c r="S62" s="183"/>
      <c r="T62" s="183">
        <f>SUM(T58:T61)</f>
        <v>47</v>
      </c>
      <c r="U62" s="181">
        <f>SUM(U58:U61)</f>
        <v>9590028.6699999999</v>
      </c>
      <c r="V62" s="122"/>
      <c r="W62" s="143"/>
      <c r="X62" s="102"/>
      <c r="Y62" s="103"/>
      <c r="Z62" s="102"/>
      <c r="AA62" s="102"/>
      <c r="AB62" s="162"/>
      <c r="AC62" s="122"/>
      <c r="AD62" s="122"/>
    </row>
    <row r="63" spans="1:30" s="33" customFormat="1" ht="12.75" x14ac:dyDescent="0.2">
      <c r="A63" s="180">
        <f t="shared" si="0"/>
        <v>58</v>
      </c>
      <c r="B63">
        <v>990</v>
      </c>
      <c r="C63">
        <v>520204</v>
      </c>
      <c r="D63" t="s">
        <v>259</v>
      </c>
      <c r="E63"/>
      <c r="F63" s="213">
        <v>38986</v>
      </c>
      <c r="G63" t="s">
        <v>384</v>
      </c>
      <c r="H63" t="s">
        <v>99</v>
      </c>
      <c r="I63" t="s">
        <v>188</v>
      </c>
      <c r="J63" s="225">
        <v>139384.39000000001</v>
      </c>
      <c r="K63" s="228">
        <v>0</v>
      </c>
      <c r="L63" s="148">
        <v>20907.66</v>
      </c>
      <c r="M63" s="148">
        <v>160292.04999999999</v>
      </c>
      <c r="N63" s="101"/>
      <c r="O63" s="31"/>
      <c r="P63" s="143" t="s">
        <v>283</v>
      </c>
      <c r="Q63" s="180"/>
      <c r="R63" s="183"/>
      <c r="S63" s="183"/>
      <c r="T63" s="183"/>
      <c r="U63" s="184"/>
      <c r="V63" s="122"/>
      <c r="W63" s="143"/>
      <c r="X63" s="102"/>
      <c r="Y63" s="103"/>
      <c r="Z63" s="102"/>
      <c r="AA63" s="102"/>
      <c r="AB63" s="162"/>
      <c r="AC63" s="122"/>
      <c r="AD63" s="122"/>
    </row>
    <row r="64" spans="1:30" s="33" customFormat="1" ht="12.75" x14ac:dyDescent="0.2">
      <c r="A64" s="180">
        <f t="shared" si="0"/>
        <v>59</v>
      </c>
      <c r="B64">
        <v>921</v>
      </c>
      <c r="C64">
        <v>520203</v>
      </c>
      <c r="D64" t="s">
        <v>19</v>
      </c>
      <c r="E64"/>
      <c r="F64" s="213">
        <v>38988</v>
      </c>
      <c r="G64" t="s">
        <v>394</v>
      </c>
      <c r="H64" t="s">
        <v>371</v>
      </c>
      <c r="I64" t="s">
        <v>13</v>
      </c>
      <c r="J64" s="225">
        <v>148682.35999999999</v>
      </c>
      <c r="K64" s="228">
        <v>0</v>
      </c>
      <c r="L64" s="148">
        <v>22302.35</v>
      </c>
      <c r="M64" s="148">
        <v>170984.71</v>
      </c>
      <c r="N64" s="101"/>
      <c r="O64" s="31"/>
      <c r="P64" s="143" t="s">
        <v>283</v>
      </c>
      <c r="Q64" s="180"/>
      <c r="R64" s="183"/>
      <c r="S64" s="183"/>
      <c r="T64" s="183"/>
      <c r="U64" s="184"/>
      <c r="V64" s="122"/>
      <c r="W64" s="122"/>
      <c r="X64" s="102"/>
      <c r="Y64" s="103"/>
      <c r="Z64" s="102"/>
      <c r="AA64" s="102"/>
      <c r="AB64" s="162"/>
      <c r="AC64" s="122"/>
      <c r="AD64" s="122"/>
    </row>
    <row r="65" spans="1:30" s="33" customFormat="1" ht="12.75" x14ac:dyDescent="0.2">
      <c r="A65" s="180">
        <f t="shared" si="0"/>
        <v>60</v>
      </c>
      <c r="B65">
        <v>933</v>
      </c>
      <c r="C65">
        <v>520207</v>
      </c>
      <c r="D65" t="s">
        <v>345</v>
      </c>
      <c r="E65"/>
      <c r="F65" s="213">
        <v>38988</v>
      </c>
      <c r="G65" t="s">
        <v>171</v>
      </c>
      <c r="H65" t="s">
        <v>371</v>
      </c>
      <c r="I65" t="s">
        <v>14</v>
      </c>
      <c r="J65" s="225">
        <v>158275.35999999999</v>
      </c>
      <c r="K65" s="228">
        <v>0</v>
      </c>
      <c r="L65" s="148">
        <v>23741.3</v>
      </c>
      <c r="M65" s="148">
        <v>182016.66</v>
      </c>
      <c r="N65" s="101"/>
      <c r="O65" s="31"/>
      <c r="P65" s="143" t="s">
        <v>283</v>
      </c>
      <c r="Q65" s="180"/>
      <c r="R65" s="183"/>
      <c r="S65" s="183"/>
      <c r="T65" s="183"/>
      <c r="U65" s="184"/>
      <c r="V65" s="122"/>
      <c r="W65" s="122"/>
      <c r="X65" s="102"/>
      <c r="Y65" s="103"/>
      <c r="Z65" s="102"/>
      <c r="AA65" s="102"/>
      <c r="AB65" s="162"/>
      <c r="AC65" s="122"/>
      <c r="AD65" s="122"/>
    </row>
    <row r="66" spans="1:30" s="33" customFormat="1" ht="12.75" x14ac:dyDescent="0.2">
      <c r="A66" s="180">
        <f t="shared" si="0"/>
        <v>61</v>
      </c>
      <c r="B66">
        <v>825</v>
      </c>
      <c r="C66">
        <v>521501</v>
      </c>
      <c r="D66" t="s">
        <v>172</v>
      </c>
      <c r="E66"/>
      <c r="F66" s="213">
        <v>38967</v>
      </c>
      <c r="G66" t="s">
        <v>173</v>
      </c>
      <c r="H66" t="s">
        <v>371</v>
      </c>
      <c r="I66" t="s">
        <v>15</v>
      </c>
      <c r="J66" s="245">
        <v>199103.94</v>
      </c>
      <c r="K66" s="228">
        <v>0</v>
      </c>
      <c r="L66" s="148">
        <v>29865.59</v>
      </c>
      <c r="M66" s="148">
        <v>228969.53</v>
      </c>
      <c r="N66" s="101"/>
      <c r="O66" s="31"/>
      <c r="P66" s="143" t="s">
        <v>283</v>
      </c>
      <c r="Q66" s="180"/>
      <c r="R66" s="183"/>
      <c r="S66" s="183"/>
      <c r="T66" s="183"/>
      <c r="U66" s="184"/>
      <c r="V66" s="122"/>
      <c r="W66" s="122"/>
      <c r="X66" s="102"/>
      <c r="Y66" s="103"/>
      <c r="Z66" s="102"/>
      <c r="AA66" s="102"/>
      <c r="AB66" s="162"/>
      <c r="AC66" s="122"/>
      <c r="AD66" s="122"/>
    </row>
    <row r="67" spans="1:30" s="33" customFormat="1" ht="12.75" x14ac:dyDescent="0.2">
      <c r="A67" s="180">
        <f t="shared" si="0"/>
        <v>62</v>
      </c>
      <c r="B67">
        <v>902</v>
      </c>
      <c r="C67">
        <v>521501</v>
      </c>
      <c r="D67" t="s">
        <v>172</v>
      </c>
      <c r="E67"/>
      <c r="F67" s="213">
        <v>38986</v>
      </c>
      <c r="G67" t="s">
        <v>174</v>
      </c>
      <c r="H67" t="s">
        <v>134</v>
      </c>
      <c r="I67" t="s">
        <v>16</v>
      </c>
      <c r="J67" s="245">
        <v>199103.94</v>
      </c>
      <c r="K67" s="228">
        <v>0</v>
      </c>
      <c r="L67" s="148">
        <v>29865.59</v>
      </c>
      <c r="M67" s="148">
        <v>228969.53</v>
      </c>
      <c r="N67" s="101"/>
      <c r="O67" s="31"/>
      <c r="P67" s="143" t="s">
        <v>283</v>
      </c>
      <c r="Q67" s="180"/>
      <c r="R67" s="183"/>
      <c r="S67" s="183"/>
      <c r="T67" s="183"/>
      <c r="U67" s="184"/>
      <c r="V67" s="122"/>
      <c r="W67" s="143"/>
      <c r="X67" s="102"/>
      <c r="Y67" s="103"/>
      <c r="Z67" s="102"/>
      <c r="AA67" s="102"/>
      <c r="AB67" s="162"/>
      <c r="AC67" s="122"/>
      <c r="AD67" s="122"/>
    </row>
    <row r="68" spans="1:30" s="33" customFormat="1" ht="12.75" x14ac:dyDescent="0.2">
      <c r="A68" s="180">
        <f t="shared" si="0"/>
        <v>63</v>
      </c>
      <c r="B68">
        <v>865</v>
      </c>
      <c r="C68">
        <v>1520202</v>
      </c>
      <c r="D68" t="s">
        <v>221</v>
      </c>
      <c r="E68"/>
      <c r="F68" s="213">
        <v>38980</v>
      </c>
      <c r="G68" t="s">
        <v>22</v>
      </c>
      <c r="H68" t="s">
        <v>392</v>
      </c>
      <c r="I68" t="s">
        <v>386</v>
      </c>
      <c r="J68" s="225">
        <v>186332.94</v>
      </c>
      <c r="K68" s="228">
        <v>0</v>
      </c>
      <c r="L68" s="148">
        <v>27949.94</v>
      </c>
      <c r="M68" s="148">
        <v>214282.88</v>
      </c>
      <c r="N68" s="101"/>
      <c r="O68" s="31"/>
      <c r="P68" s="143" t="s">
        <v>283</v>
      </c>
      <c r="Q68" s="180"/>
      <c r="R68" s="183"/>
      <c r="S68" s="183"/>
      <c r="T68" s="183"/>
      <c r="U68" s="184"/>
      <c r="V68" s="143"/>
      <c r="W68" s="143"/>
      <c r="X68" s="102"/>
      <c r="Y68" s="103"/>
      <c r="Z68" s="102"/>
      <c r="AA68" s="102"/>
      <c r="AB68" s="162"/>
      <c r="AC68" s="122"/>
      <c r="AD68" s="122"/>
    </row>
    <row r="69" spans="1:30" s="33" customFormat="1" ht="12.75" x14ac:dyDescent="0.2">
      <c r="A69" s="180">
        <f t="shared" si="0"/>
        <v>64</v>
      </c>
      <c r="B69">
        <v>853</v>
      </c>
      <c r="C69">
        <v>1520107</v>
      </c>
      <c r="D69" t="s">
        <v>221</v>
      </c>
      <c r="E69"/>
      <c r="F69" s="213">
        <v>38978</v>
      </c>
      <c r="G69" t="s">
        <v>182</v>
      </c>
      <c r="H69" t="s">
        <v>199</v>
      </c>
      <c r="I69" t="s">
        <v>64</v>
      </c>
      <c r="J69" s="225">
        <v>159843.04999999999</v>
      </c>
      <c r="K69" s="228">
        <v>0</v>
      </c>
      <c r="L69" s="148">
        <v>23976.46</v>
      </c>
      <c r="M69" s="148">
        <v>183819.51</v>
      </c>
      <c r="N69" s="101"/>
      <c r="O69" s="31"/>
      <c r="P69" s="143" t="s">
        <v>283</v>
      </c>
      <c r="Q69" s="180"/>
      <c r="R69" s="183"/>
      <c r="S69" s="183"/>
      <c r="T69" s="183"/>
      <c r="U69" s="184"/>
      <c r="V69" s="122"/>
      <c r="W69" s="143"/>
      <c r="X69" s="102"/>
      <c r="Y69" s="103"/>
      <c r="Z69" s="102"/>
      <c r="AA69" s="102"/>
      <c r="AB69" s="162"/>
      <c r="AC69" s="122"/>
      <c r="AD69" s="122"/>
    </row>
    <row r="70" spans="1:30" s="33" customFormat="1" ht="12.75" x14ac:dyDescent="0.2">
      <c r="A70" s="180">
        <f t="shared" si="0"/>
        <v>65</v>
      </c>
      <c r="B70">
        <v>901</v>
      </c>
      <c r="C70">
        <v>520302</v>
      </c>
      <c r="D70" t="s">
        <v>344</v>
      </c>
      <c r="E70"/>
      <c r="F70" s="213">
        <v>38986</v>
      </c>
      <c r="G70" t="s">
        <v>196</v>
      </c>
      <c r="H70" t="s">
        <v>5</v>
      </c>
      <c r="I70" t="s">
        <v>18</v>
      </c>
      <c r="J70" s="225">
        <v>152858.66</v>
      </c>
      <c r="K70" s="228">
        <v>0</v>
      </c>
      <c r="L70" s="148">
        <v>22928.799999999999</v>
      </c>
      <c r="M70" s="148">
        <v>175787.46</v>
      </c>
      <c r="N70" s="101"/>
      <c r="O70" s="31"/>
      <c r="P70" s="143" t="s">
        <v>283</v>
      </c>
      <c r="Q70" s="180"/>
      <c r="R70" s="183"/>
      <c r="S70" s="183"/>
      <c r="T70" s="183"/>
      <c r="U70" s="184"/>
      <c r="V70" s="122"/>
      <c r="W70" s="143"/>
      <c r="X70" s="102"/>
      <c r="Y70" s="103"/>
      <c r="Z70" s="102"/>
      <c r="AA70" s="102"/>
      <c r="AB70" s="162"/>
      <c r="AC70" s="122"/>
      <c r="AD70" s="122"/>
    </row>
    <row r="71" spans="1:30" s="33" customFormat="1" ht="12.75" x14ac:dyDescent="0.2">
      <c r="A71" s="180">
        <f t="shared" si="0"/>
        <v>66</v>
      </c>
      <c r="B71">
        <v>841</v>
      </c>
      <c r="C71">
        <v>520804</v>
      </c>
      <c r="D71" t="s">
        <v>262</v>
      </c>
      <c r="E71"/>
      <c r="F71" s="213">
        <v>38973</v>
      </c>
      <c r="G71" t="s">
        <v>77</v>
      </c>
      <c r="H71" t="s">
        <v>78</v>
      </c>
      <c r="I71" t="s">
        <v>285</v>
      </c>
      <c r="J71" s="225">
        <v>198194.02</v>
      </c>
      <c r="K71" s="228">
        <v>0</v>
      </c>
      <c r="L71" s="148">
        <v>29729.1</v>
      </c>
      <c r="M71" s="148">
        <v>227923.12</v>
      </c>
      <c r="N71" s="101"/>
      <c r="O71" s="31"/>
      <c r="P71" s="143" t="s">
        <v>283</v>
      </c>
      <c r="Q71" s="180"/>
      <c r="R71" s="183"/>
      <c r="S71" s="183"/>
      <c r="T71" s="183"/>
      <c r="U71" s="184"/>
      <c r="V71" s="122"/>
      <c r="W71" s="143"/>
      <c r="X71" s="102"/>
      <c r="Y71" s="103"/>
      <c r="Z71" s="102"/>
      <c r="AA71" s="102"/>
      <c r="AB71" s="162"/>
      <c r="AC71" s="122"/>
      <c r="AD71" s="122"/>
    </row>
    <row r="72" spans="1:30" s="33" customFormat="1" ht="12.75" x14ac:dyDescent="0.2">
      <c r="A72" s="180">
        <f t="shared" si="0"/>
        <v>67</v>
      </c>
      <c r="B72">
        <v>844</v>
      </c>
      <c r="C72">
        <v>520804</v>
      </c>
      <c r="D72" t="s">
        <v>262</v>
      </c>
      <c r="E72"/>
      <c r="F72" s="213">
        <v>38975</v>
      </c>
      <c r="G72" t="s">
        <v>79</v>
      </c>
      <c r="H72" t="s">
        <v>371</v>
      </c>
      <c r="I72" t="s">
        <v>286</v>
      </c>
      <c r="J72" s="225">
        <v>193343.94</v>
      </c>
      <c r="K72" s="228">
        <v>0</v>
      </c>
      <c r="L72" s="148">
        <v>29001.59</v>
      </c>
      <c r="M72" s="148">
        <v>222345.53</v>
      </c>
      <c r="N72" s="101"/>
      <c r="O72" s="31"/>
      <c r="P72" s="143" t="s">
        <v>283</v>
      </c>
      <c r="Q72" s="180"/>
      <c r="R72" s="183"/>
      <c r="S72" s="183"/>
      <c r="T72" s="183"/>
      <c r="U72" s="184"/>
      <c r="V72" s="143"/>
      <c r="W72" s="143"/>
      <c r="X72" s="102"/>
      <c r="Y72" s="103"/>
      <c r="Z72" s="102"/>
      <c r="AA72" s="102"/>
      <c r="AB72" s="162"/>
      <c r="AC72" s="122"/>
      <c r="AD72" s="122"/>
    </row>
    <row r="73" spans="1:30" s="33" customFormat="1" ht="12.75" x14ac:dyDescent="0.2">
      <c r="A73" s="180">
        <f t="shared" si="0"/>
        <v>68</v>
      </c>
      <c r="B73">
        <v>992</v>
      </c>
      <c r="C73">
        <v>520804</v>
      </c>
      <c r="D73" t="s">
        <v>262</v>
      </c>
      <c r="E73"/>
      <c r="F73" s="213">
        <v>38986</v>
      </c>
      <c r="G73" t="s">
        <v>110</v>
      </c>
      <c r="H73" t="s">
        <v>59</v>
      </c>
      <c r="I73" t="s">
        <v>289</v>
      </c>
      <c r="J73" s="225">
        <v>198194.02</v>
      </c>
      <c r="K73" s="228">
        <v>0</v>
      </c>
      <c r="L73" s="148">
        <v>29729.1</v>
      </c>
      <c r="M73" s="148">
        <v>227923.12</v>
      </c>
      <c r="N73" s="101"/>
      <c r="O73" s="31"/>
      <c r="P73" s="143" t="s">
        <v>283</v>
      </c>
      <c r="Q73" s="180"/>
      <c r="R73" s="183"/>
      <c r="S73" s="183"/>
      <c r="T73" s="183"/>
      <c r="U73" s="184"/>
      <c r="V73" s="122"/>
      <c r="W73" s="143"/>
      <c r="X73" s="102"/>
      <c r="Y73" s="103"/>
      <c r="Z73" s="102"/>
      <c r="AA73" s="102"/>
      <c r="AB73" s="162"/>
      <c r="AC73" s="122"/>
      <c r="AD73" s="122"/>
    </row>
    <row r="74" spans="1:30" s="33" customFormat="1" ht="12.75" x14ac:dyDescent="0.2">
      <c r="A74" s="180">
        <f t="shared" si="0"/>
        <v>69</v>
      </c>
      <c r="B74">
        <v>905</v>
      </c>
      <c r="C74">
        <v>520804</v>
      </c>
      <c r="D74" t="s">
        <v>262</v>
      </c>
      <c r="E74"/>
      <c r="F74" s="213">
        <v>38988</v>
      </c>
      <c r="G74" t="s">
        <v>111</v>
      </c>
      <c r="H74" t="s">
        <v>371</v>
      </c>
      <c r="I74" t="s">
        <v>200</v>
      </c>
      <c r="J74" s="225">
        <v>193343.94</v>
      </c>
      <c r="K74" s="228">
        <v>0</v>
      </c>
      <c r="L74" s="148">
        <v>29001.59</v>
      </c>
      <c r="M74" s="148">
        <v>222345.53</v>
      </c>
      <c r="N74" s="101"/>
      <c r="O74" s="31"/>
      <c r="P74" s="143" t="s">
        <v>283</v>
      </c>
      <c r="Q74" s="180"/>
      <c r="R74" s="183"/>
      <c r="S74" s="183"/>
      <c r="T74" s="183"/>
      <c r="U74" s="184"/>
      <c r="V74" s="122"/>
      <c r="W74" s="143"/>
      <c r="X74" s="102"/>
      <c r="Y74" s="103"/>
      <c r="Z74" s="102"/>
      <c r="AA74" s="102"/>
      <c r="AB74" s="162"/>
      <c r="AC74" s="122"/>
      <c r="AD74" s="122"/>
    </row>
    <row r="75" spans="1:30" s="33" customFormat="1" ht="12.75" x14ac:dyDescent="0.2">
      <c r="A75" s="180">
        <f t="shared" si="0"/>
        <v>70</v>
      </c>
      <c r="B75">
        <v>807</v>
      </c>
      <c r="C75">
        <v>520801</v>
      </c>
      <c r="D75" t="s">
        <v>346</v>
      </c>
      <c r="E75"/>
      <c r="F75" s="213">
        <v>38964</v>
      </c>
      <c r="G75" t="s">
        <v>84</v>
      </c>
      <c r="H75" t="s">
        <v>60</v>
      </c>
      <c r="I75" t="s">
        <v>338</v>
      </c>
      <c r="J75" s="225">
        <v>191107</v>
      </c>
      <c r="K75" s="228">
        <v>0</v>
      </c>
      <c r="L75" s="148">
        <v>28666.05</v>
      </c>
      <c r="M75" s="148">
        <v>219773.05</v>
      </c>
      <c r="N75" s="101"/>
      <c r="O75" s="31"/>
      <c r="P75" s="143" t="s">
        <v>283</v>
      </c>
      <c r="Q75" s="180"/>
      <c r="R75" s="183"/>
      <c r="S75" s="183"/>
      <c r="T75" s="183"/>
      <c r="U75" s="184"/>
      <c r="V75" s="122"/>
      <c r="W75" s="143"/>
      <c r="X75" s="102"/>
      <c r="Y75" s="103"/>
      <c r="Z75" s="102"/>
      <c r="AA75" s="102"/>
      <c r="AB75" s="162"/>
      <c r="AC75" s="122"/>
      <c r="AD75" s="122"/>
    </row>
    <row r="76" spans="1:30" s="33" customFormat="1" ht="12.75" x14ac:dyDescent="0.2">
      <c r="A76" s="180">
        <f t="shared" si="0"/>
        <v>71</v>
      </c>
      <c r="B76">
        <v>819</v>
      </c>
      <c r="C76">
        <v>520801</v>
      </c>
      <c r="D76" t="s">
        <v>346</v>
      </c>
      <c r="E76"/>
      <c r="F76" s="213">
        <v>38968</v>
      </c>
      <c r="G76" t="s">
        <v>85</v>
      </c>
      <c r="H76" t="s">
        <v>86</v>
      </c>
      <c r="I76" t="s">
        <v>339</v>
      </c>
      <c r="J76" s="225">
        <v>191107</v>
      </c>
      <c r="K76" s="228">
        <v>0</v>
      </c>
      <c r="L76" s="148">
        <v>28666.05</v>
      </c>
      <c r="M76" s="148">
        <v>219773.05</v>
      </c>
      <c r="N76" s="101"/>
      <c r="O76" s="31"/>
      <c r="P76" s="143" t="s">
        <v>283</v>
      </c>
      <c r="Q76" s="180"/>
      <c r="R76" s="183"/>
      <c r="S76" s="183"/>
      <c r="T76" s="183"/>
      <c r="U76" s="184"/>
      <c r="V76" s="122"/>
      <c r="W76" s="143"/>
      <c r="X76" s="102"/>
      <c r="Y76" s="103"/>
      <c r="Z76" s="102"/>
      <c r="AA76" s="102"/>
      <c r="AB76" s="162"/>
      <c r="AC76" s="122"/>
      <c r="AD76" s="122"/>
    </row>
    <row r="77" spans="1:30" s="33" customFormat="1" ht="12.75" x14ac:dyDescent="0.2">
      <c r="A77" s="180">
        <f t="shared" si="0"/>
        <v>72</v>
      </c>
      <c r="B77">
        <v>926</v>
      </c>
      <c r="C77">
        <v>520803</v>
      </c>
      <c r="D77" t="s">
        <v>346</v>
      </c>
      <c r="E77"/>
      <c r="F77" s="213">
        <v>38989</v>
      </c>
      <c r="G77" t="s">
        <v>91</v>
      </c>
      <c r="H77" t="s">
        <v>371</v>
      </c>
      <c r="I77" t="s">
        <v>342</v>
      </c>
      <c r="J77" s="225">
        <v>186255.91</v>
      </c>
      <c r="K77" s="228">
        <v>0</v>
      </c>
      <c r="L77" s="148">
        <v>27938.39</v>
      </c>
      <c r="M77" s="148">
        <v>214194.3</v>
      </c>
      <c r="N77" s="101"/>
      <c r="O77" s="31"/>
      <c r="P77" s="143" t="s">
        <v>283</v>
      </c>
      <c r="Q77" s="180"/>
      <c r="R77" s="183"/>
      <c r="S77" s="183"/>
      <c r="T77" s="183"/>
      <c r="U77" s="184"/>
      <c r="V77" s="122"/>
      <c r="W77" s="143"/>
      <c r="X77" s="102"/>
      <c r="Y77" s="103"/>
      <c r="Z77" s="102"/>
      <c r="AA77" s="102"/>
      <c r="AB77" s="162"/>
      <c r="AC77" s="122"/>
      <c r="AD77" s="122"/>
    </row>
    <row r="78" spans="1:30" s="33" customFormat="1" ht="12.75" x14ac:dyDescent="0.2">
      <c r="A78" s="180">
        <f t="shared" si="0"/>
        <v>73</v>
      </c>
      <c r="B78">
        <v>836</v>
      </c>
      <c r="C78">
        <v>520805</v>
      </c>
      <c r="D78" t="s">
        <v>271</v>
      </c>
      <c r="E78"/>
      <c r="F78" s="213">
        <v>38974</v>
      </c>
      <c r="G78" t="s">
        <v>92</v>
      </c>
      <c r="H78" t="s">
        <v>135</v>
      </c>
      <c r="I78" t="s">
        <v>343</v>
      </c>
      <c r="J78" s="225">
        <v>214043.51</v>
      </c>
      <c r="K78" s="228">
        <v>0</v>
      </c>
      <c r="L78" s="148">
        <v>32106.53</v>
      </c>
      <c r="M78" s="148">
        <v>246150.04</v>
      </c>
      <c r="N78" s="101"/>
      <c r="O78" s="31"/>
      <c r="P78" s="143" t="s">
        <v>283</v>
      </c>
      <c r="Q78" s="180"/>
      <c r="R78" s="183"/>
      <c r="S78" s="183"/>
      <c r="T78" s="183"/>
      <c r="U78" s="184"/>
      <c r="V78" s="143"/>
      <c r="W78" s="143"/>
      <c r="X78" s="102"/>
      <c r="Y78" s="103"/>
      <c r="Z78" s="102"/>
      <c r="AA78" s="102"/>
      <c r="AB78" s="162"/>
      <c r="AC78" s="122"/>
      <c r="AD78" s="122"/>
    </row>
    <row r="79" spans="1:30" s="33" customFormat="1" ht="12.75" x14ac:dyDescent="0.2">
      <c r="A79" s="180">
        <f t="shared" si="0"/>
        <v>74</v>
      </c>
      <c r="B79">
        <v>925</v>
      </c>
      <c r="C79">
        <v>520805</v>
      </c>
      <c r="D79" t="s">
        <v>271</v>
      </c>
      <c r="E79"/>
      <c r="F79" s="213">
        <v>38989</v>
      </c>
      <c r="G79" t="s">
        <v>194</v>
      </c>
      <c r="H79" t="s">
        <v>391</v>
      </c>
      <c r="I79" t="s">
        <v>281</v>
      </c>
      <c r="J79" s="225">
        <v>209282.77</v>
      </c>
      <c r="K79" s="228">
        <v>0</v>
      </c>
      <c r="L79" s="148">
        <v>31392.41</v>
      </c>
      <c r="M79" s="148">
        <v>240675.18</v>
      </c>
      <c r="N79" s="101"/>
      <c r="O79" s="31"/>
      <c r="P79" s="143" t="s">
        <v>283</v>
      </c>
      <c r="Q79" s="180"/>
      <c r="R79" s="183"/>
      <c r="S79" s="183"/>
      <c r="T79" s="183"/>
      <c r="U79" s="184"/>
      <c r="V79" s="122"/>
      <c r="W79" s="143"/>
      <c r="X79" s="102"/>
      <c r="Y79" s="103"/>
      <c r="Z79" s="102"/>
      <c r="AA79" s="102"/>
      <c r="AB79" s="162"/>
      <c r="AC79" s="122"/>
      <c r="AD79" s="122"/>
    </row>
    <row r="80" spans="1:30" s="33" customFormat="1" ht="12.75" x14ac:dyDescent="0.2">
      <c r="A80" s="180">
        <f t="shared" si="0"/>
        <v>75</v>
      </c>
      <c r="B80">
        <v>924</v>
      </c>
      <c r="C80">
        <v>520805</v>
      </c>
      <c r="D80" t="s">
        <v>271</v>
      </c>
      <c r="E80"/>
      <c r="F80" s="213">
        <v>38989</v>
      </c>
      <c r="G80" t="s">
        <v>195</v>
      </c>
      <c r="H80" t="s">
        <v>371</v>
      </c>
      <c r="I80" t="s">
        <v>150</v>
      </c>
      <c r="J80" s="225">
        <v>209274.94</v>
      </c>
      <c r="K80" s="228">
        <v>0</v>
      </c>
      <c r="L80" s="148">
        <v>31391.24</v>
      </c>
      <c r="M80" s="148">
        <v>240666.18</v>
      </c>
      <c r="N80" s="101"/>
      <c r="O80" s="31"/>
      <c r="P80" s="143" t="s">
        <v>283</v>
      </c>
      <c r="Q80" s="180"/>
      <c r="R80" s="183"/>
      <c r="S80" s="183"/>
      <c r="T80" s="183"/>
      <c r="U80" s="184"/>
      <c r="V80" s="122"/>
      <c r="W80" s="143"/>
      <c r="X80" s="102"/>
      <c r="Y80" s="103"/>
      <c r="Z80" s="102"/>
      <c r="AA80" s="102"/>
      <c r="AB80" s="162"/>
      <c r="AC80" s="122"/>
      <c r="AD80" s="122"/>
    </row>
    <row r="81" spans="1:30" s="33" customFormat="1" ht="12.75" x14ac:dyDescent="0.2">
      <c r="A81" s="180">
        <f t="shared" si="0"/>
        <v>76</v>
      </c>
      <c r="B81">
        <v>827</v>
      </c>
      <c r="C81">
        <v>520506</v>
      </c>
      <c r="D81" t="s">
        <v>223</v>
      </c>
      <c r="E81"/>
      <c r="F81" s="213">
        <v>38971</v>
      </c>
      <c r="G81" t="s">
        <v>144</v>
      </c>
      <c r="H81" t="s">
        <v>62</v>
      </c>
      <c r="I81" t="s">
        <v>219</v>
      </c>
      <c r="J81" s="225">
        <v>237166.36</v>
      </c>
      <c r="K81" s="228">
        <v>0</v>
      </c>
      <c r="L81" s="148">
        <v>35574.949999999997</v>
      </c>
      <c r="M81" s="148">
        <v>272741.31</v>
      </c>
      <c r="N81" s="101"/>
      <c r="O81" s="31"/>
      <c r="P81" s="143" t="s">
        <v>283</v>
      </c>
      <c r="Q81" s="180"/>
      <c r="R81" s="183"/>
      <c r="S81" s="183"/>
      <c r="T81" s="183"/>
      <c r="U81" s="184"/>
      <c r="V81" s="122"/>
      <c r="W81" s="143"/>
      <c r="X81" s="102"/>
      <c r="Y81" s="103"/>
      <c r="Z81" s="102"/>
      <c r="AA81" s="102"/>
      <c r="AB81" s="162"/>
      <c r="AC81" s="122"/>
      <c r="AD81" s="122"/>
    </row>
    <row r="82" spans="1:30" s="33" customFormat="1" ht="12.75" x14ac:dyDescent="0.2">
      <c r="A82" s="180">
        <f t="shared" si="0"/>
        <v>77</v>
      </c>
      <c r="B82">
        <v>846</v>
      </c>
      <c r="C82">
        <v>1520303</v>
      </c>
      <c r="D82" t="s">
        <v>358</v>
      </c>
      <c r="E82"/>
      <c r="F82" s="213">
        <v>38975</v>
      </c>
      <c r="G82" t="s">
        <v>122</v>
      </c>
      <c r="H82" t="s">
        <v>371</v>
      </c>
      <c r="I82" t="s">
        <v>128</v>
      </c>
      <c r="J82" s="225">
        <v>217837.36</v>
      </c>
      <c r="K82" s="228">
        <v>0</v>
      </c>
      <c r="L82" s="148">
        <v>32675.599999999999</v>
      </c>
      <c r="M82" s="148">
        <v>250512.96</v>
      </c>
      <c r="N82" s="101"/>
      <c r="O82" s="31"/>
      <c r="P82" s="143" t="s">
        <v>283</v>
      </c>
      <c r="Q82" s="180"/>
      <c r="R82" s="183"/>
      <c r="S82" s="183"/>
      <c r="T82" s="183"/>
      <c r="U82" s="184"/>
      <c r="V82" s="122"/>
      <c r="W82" s="143"/>
      <c r="X82" s="102"/>
      <c r="Y82" s="103"/>
      <c r="Z82" s="102"/>
      <c r="AA82" s="102"/>
      <c r="AB82" s="162"/>
      <c r="AC82" s="122"/>
      <c r="AD82" s="122"/>
    </row>
    <row r="83" spans="1:30" s="33" customFormat="1" ht="12.75" x14ac:dyDescent="0.2">
      <c r="A83" s="180">
        <f t="shared" si="0"/>
        <v>78</v>
      </c>
      <c r="B83">
        <v>845</v>
      </c>
      <c r="C83">
        <v>1520303</v>
      </c>
      <c r="D83" t="s">
        <v>358</v>
      </c>
      <c r="E83"/>
      <c r="F83" s="213">
        <v>38975</v>
      </c>
      <c r="G83" t="s">
        <v>123</v>
      </c>
      <c r="H83" t="s">
        <v>371</v>
      </c>
      <c r="I83" t="s">
        <v>306</v>
      </c>
      <c r="J83" s="225">
        <v>217837.36</v>
      </c>
      <c r="K83" s="228">
        <v>0</v>
      </c>
      <c r="L83" s="148">
        <v>32675.599999999999</v>
      </c>
      <c r="M83" s="148">
        <v>250512.96</v>
      </c>
      <c r="N83" s="101"/>
      <c r="O83" s="31"/>
      <c r="P83" s="143" t="s">
        <v>283</v>
      </c>
      <c r="Q83" s="180"/>
      <c r="R83" s="183"/>
      <c r="S83" s="183"/>
      <c r="T83" s="183"/>
      <c r="U83" s="184"/>
      <c r="V83" s="143"/>
      <c r="W83" s="143"/>
      <c r="X83" s="102"/>
      <c r="Y83" s="103"/>
      <c r="Z83" s="102"/>
      <c r="AA83" s="102"/>
      <c r="AB83" s="162"/>
      <c r="AC83" s="122"/>
      <c r="AD83" s="122"/>
    </row>
    <row r="84" spans="1:30" s="33" customFormat="1" ht="12.75" x14ac:dyDescent="0.2">
      <c r="A84" s="180">
        <f t="shared" si="0"/>
        <v>79</v>
      </c>
      <c r="B84">
        <v>903</v>
      </c>
      <c r="C84">
        <v>1520303</v>
      </c>
      <c r="D84" t="s">
        <v>358</v>
      </c>
      <c r="E84"/>
      <c r="F84" s="213">
        <v>38987</v>
      </c>
      <c r="G84" t="s">
        <v>124</v>
      </c>
      <c r="H84" t="s">
        <v>371</v>
      </c>
      <c r="I84" t="s">
        <v>307</v>
      </c>
      <c r="J84" s="225">
        <v>217837.36</v>
      </c>
      <c r="K84" s="228">
        <v>0</v>
      </c>
      <c r="L84" s="148">
        <v>32675.599999999999</v>
      </c>
      <c r="M84" s="148">
        <v>250512.96</v>
      </c>
      <c r="N84" s="101"/>
      <c r="O84" s="31"/>
      <c r="P84" s="143" t="s">
        <v>283</v>
      </c>
      <c r="Q84" s="180"/>
      <c r="R84" s="183"/>
      <c r="S84" s="183"/>
      <c r="T84" s="183"/>
      <c r="U84" s="184"/>
      <c r="V84" s="143"/>
      <c r="W84" s="143"/>
      <c r="X84" s="102"/>
      <c r="Y84" s="103"/>
      <c r="Z84" s="102"/>
      <c r="AA84" s="102"/>
      <c r="AB84" s="162"/>
      <c r="AC84" s="122"/>
      <c r="AD84" s="122"/>
    </row>
    <row r="85" spans="1:30" s="33" customFormat="1" ht="12.75" x14ac:dyDescent="0.2">
      <c r="A85" s="180">
        <f t="shared" si="0"/>
        <v>80</v>
      </c>
      <c r="B85">
        <v>927</v>
      </c>
      <c r="C85">
        <v>1520303</v>
      </c>
      <c r="D85" t="s">
        <v>358</v>
      </c>
      <c r="E85"/>
      <c r="F85" s="213">
        <v>38988</v>
      </c>
      <c r="G85" t="s">
        <v>148</v>
      </c>
      <c r="H85" t="s">
        <v>371</v>
      </c>
      <c r="I85" t="s">
        <v>308</v>
      </c>
      <c r="J85" s="225">
        <v>217837.36</v>
      </c>
      <c r="K85" s="228">
        <v>0</v>
      </c>
      <c r="L85" s="148">
        <v>32675.599999999999</v>
      </c>
      <c r="M85" s="148">
        <v>250512.96</v>
      </c>
      <c r="N85" s="101"/>
      <c r="O85" s="31"/>
      <c r="P85" s="143" t="s">
        <v>283</v>
      </c>
      <c r="Q85" s="180"/>
      <c r="R85" s="183"/>
      <c r="S85" s="183"/>
      <c r="T85" s="183"/>
      <c r="U85" s="184"/>
      <c r="V85" s="122"/>
      <c r="W85" s="143"/>
      <c r="X85" s="102"/>
      <c r="Y85" s="103"/>
      <c r="Z85" s="102"/>
      <c r="AA85" s="102"/>
      <c r="AB85" s="162"/>
      <c r="AC85" s="122"/>
      <c r="AD85" s="122"/>
    </row>
    <row r="86" spans="1:30" s="33" customFormat="1" ht="12.75" x14ac:dyDescent="0.2">
      <c r="A86" s="180">
        <f t="shared" si="0"/>
        <v>81</v>
      </c>
      <c r="B86">
        <v>922</v>
      </c>
      <c r="C86">
        <v>1520303</v>
      </c>
      <c r="D86" t="s">
        <v>358</v>
      </c>
      <c r="E86"/>
      <c r="F86" s="213">
        <v>38988</v>
      </c>
      <c r="G86" t="s">
        <v>149</v>
      </c>
      <c r="H86" t="s">
        <v>371</v>
      </c>
      <c r="I86" t="s">
        <v>309</v>
      </c>
      <c r="J86" s="225">
        <v>217837.36</v>
      </c>
      <c r="K86" s="228">
        <v>0</v>
      </c>
      <c r="L86" s="148">
        <v>32675.599999999999</v>
      </c>
      <c r="M86" s="148">
        <v>250512.96</v>
      </c>
      <c r="N86" s="101"/>
      <c r="O86" s="31"/>
      <c r="P86" s="143" t="s">
        <v>283</v>
      </c>
      <c r="Q86" s="180"/>
      <c r="R86" s="183"/>
      <c r="S86" s="183"/>
      <c r="T86" s="183"/>
      <c r="U86" s="184"/>
      <c r="V86" s="122"/>
      <c r="W86" s="143"/>
      <c r="X86" s="102"/>
      <c r="Y86" s="103"/>
      <c r="Z86" s="102"/>
      <c r="AA86" s="102"/>
      <c r="AB86" s="162"/>
      <c r="AC86" s="122"/>
      <c r="AD86" s="122"/>
    </row>
    <row r="87" spans="1:30" s="33" customFormat="1" ht="12.75" x14ac:dyDescent="0.2">
      <c r="A87" s="180">
        <f t="shared" ref="A87:A100" si="13">+A86+1</f>
        <v>82</v>
      </c>
      <c r="B87">
        <v>839</v>
      </c>
      <c r="C87">
        <v>520906</v>
      </c>
      <c r="D87" t="s">
        <v>264</v>
      </c>
      <c r="E87"/>
      <c r="F87" s="213">
        <v>38974</v>
      </c>
      <c r="G87" t="s">
        <v>350</v>
      </c>
      <c r="H87" t="s">
        <v>59</v>
      </c>
      <c r="I87" t="s">
        <v>311</v>
      </c>
      <c r="J87" s="225">
        <v>107777.31</v>
      </c>
      <c r="K87" s="228">
        <v>0</v>
      </c>
      <c r="L87" s="148">
        <v>16166.6</v>
      </c>
      <c r="M87" s="148">
        <v>123943.91</v>
      </c>
      <c r="N87" s="101"/>
      <c r="O87" s="31"/>
      <c r="P87" s="143" t="s">
        <v>283</v>
      </c>
      <c r="Q87" s="180"/>
      <c r="R87" s="183"/>
      <c r="S87" s="183"/>
      <c r="T87" s="183"/>
      <c r="U87" s="184"/>
      <c r="V87" s="122"/>
      <c r="W87" s="143"/>
      <c r="X87" s="102"/>
      <c r="Y87" s="103"/>
      <c r="Z87" s="102"/>
      <c r="AA87" s="102"/>
      <c r="AB87" s="162"/>
      <c r="AC87" s="122"/>
      <c r="AD87" s="122"/>
    </row>
    <row r="88" spans="1:30" s="33" customFormat="1" ht="12.75" x14ac:dyDescent="0.2">
      <c r="A88" s="180">
        <f t="shared" si="13"/>
        <v>83</v>
      </c>
      <c r="B88">
        <v>866</v>
      </c>
      <c r="C88">
        <v>520907</v>
      </c>
      <c r="D88" t="s">
        <v>266</v>
      </c>
      <c r="E88"/>
      <c r="F88" s="213">
        <v>38980</v>
      </c>
      <c r="G88" t="s">
        <v>294</v>
      </c>
      <c r="H88" t="s">
        <v>392</v>
      </c>
      <c r="I88" t="s">
        <v>315</v>
      </c>
      <c r="J88" s="225">
        <v>118136.49</v>
      </c>
      <c r="K88" s="228">
        <v>0</v>
      </c>
      <c r="L88" s="148">
        <v>17720.47</v>
      </c>
      <c r="M88" s="148">
        <v>135856.95999999999</v>
      </c>
      <c r="N88" s="101"/>
      <c r="O88" s="31"/>
      <c r="P88" s="143" t="s">
        <v>283</v>
      </c>
      <c r="Q88" s="180"/>
      <c r="R88" s="183"/>
      <c r="S88" s="183"/>
      <c r="T88" s="183"/>
      <c r="U88" s="184"/>
      <c r="V88" s="143"/>
      <c r="W88" s="143"/>
      <c r="X88" s="102"/>
      <c r="Y88" s="103"/>
      <c r="Z88" s="102"/>
      <c r="AA88" s="102"/>
      <c r="AB88" s="162"/>
      <c r="AC88" s="122"/>
      <c r="AD88" s="122"/>
    </row>
    <row r="89" spans="1:30" s="33" customFormat="1" ht="12.75" x14ac:dyDescent="0.2">
      <c r="A89" s="180">
        <f t="shared" si="13"/>
        <v>84</v>
      </c>
      <c r="B89">
        <v>881</v>
      </c>
      <c r="C89">
        <v>521703</v>
      </c>
      <c r="D89" t="s">
        <v>137</v>
      </c>
      <c r="E89"/>
      <c r="F89" s="213">
        <v>38979</v>
      </c>
      <c r="G89" t="s">
        <v>295</v>
      </c>
      <c r="H89" t="s">
        <v>371</v>
      </c>
      <c r="I89" t="s">
        <v>316</v>
      </c>
      <c r="J89" s="225">
        <v>126843.94</v>
      </c>
      <c r="K89" s="228">
        <v>0</v>
      </c>
      <c r="L89" s="148">
        <v>19026.59</v>
      </c>
      <c r="M89" s="148">
        <v>145870.53</v>
      </c>
      <c r="N89" s="101"/>
      <c r="O89" s="31"/>
      <c r="P89" s="143" t="s">
        <v>283</v>
      </c>
      <c r="Q89" s="180"/>
      <c r="R89" s="183"/>
      <c r="S89" s="183"/>
      <c r="T89" s="183"/>
      <c r="U89" s="184"/>
      <c r="V89" s="122"/>
      <c r="W89" s="143"/>
      <c r="X89" s="102"/>
      <c r="Y89" s="103"/>
      <c r="Z89" s="102"/>
      <c r="AA89" s="102"/>
      <c r="AB89" s="162"/>
      <c r="AC89" s="122"/>
      <c r="AD89" s="122"/>
    </row>
    <row r="90" spans="1:30" s="33" customFormat="1" ht="12.75" x14ac:dyDescent="0.2">
      <c r="A90" s="180">
        <f t="shared" si="13"/>
        <v>85</v>
      </c>
      <c r="B90">
        <v>880</v>
      </c>
      <c r="C90">
        <v>521703</v>
      </c>
      <c r="D90" t="s">
        <v>137</v>
      </c>
      <c r="E90"/>
      <c r="F90" s="213">
        <v>38979</v>
      </c>
      <c r="G90" t="s">
        <v>296</v>
      </c>
      <c r="H90" t="s">
        <v>371</v>
      </c>
      <c r="I90" t="s">
        <v>272</v>
      </c>
      <c r="J90" s="225">
        <v>126843.94</v>
      </c>
      <c r="K90" s="228">
        <v>0</v>
      </c>
      <c r="L90" s="148">
        <v>19026.59</v>
      </c>
      <c r="M90" s="148">
        <v>145870.53</v>
      </c>
      <c r="N90" s="101"/>
      <c r="O90" s="31"/>
      <c r="P90" s="143" t="s">
        <v>283</v>
      </c>
      <c r="Q90" s="180"/>
      <c r="R90" s="183"/>
      <c r="S90" s="183"/>
      <c r="T90" s="183"/>
      <c r="U90" s="184"/>
      <c r="V90" s="122"/>
      <c r="W90" s="143"/>
      <c r="X90" s="102"/>
      <c r="Y90" s="103"/>
      <c r="Z90" s="102"/>
      <c r="AA90" s="102"/>
      <c r="AB90" s="162"/>
      <c r="AC90" s="122"/>
      <c r="AD90" s="122"/>
    </row>
    <row r="91" spans="1:30" s="33" customFormat="1" ht="12.75" x14ac:dyDescent="0.2">
      <c r="A91" s="180">
        <f t="shared" si="13"/>
        <v>86</v>
      </c>
      <c r="B91">
        <v>818</v>
      </c>
      <c r="C91">
        <v>521705</v>
      </c>
      <c r="D91" t="s">
        <v>268</v>
      </c>
      <c r="E91"/>
      <c r="F91" s="213">
        <v>38966</v>
      </c>
      <c r="G91" t="s">
        <v>95</v>
      </c>
      <c r="H91" t="s">
        <v>365</v>
      </c>
      <c r="I91" t="s">
        <v>276</v>
      </c>
      <c r="J91" s="225">
        <v>136240.23000000001</v>
      </c>
      <c r="K91" s="228">
        <v>0</v>
      </c>
      <c r="L91" s="148">
        <v>20436.03</v>
      </c>
      <c r="M91" s="148">
        <v>156676.26</v>
      </c>
      <c r="N91" s="101"/>
      <c r="O91" s="31"/>
      <c r="P91" s="143" t="s">
        <v>283</v>
      </c>
      <c r="Q91" s="180"/>
      <c r="R91" s="183"/>
      <c r="S91" s="183"/>
      <c r="T91" s="183"/>
      <c r="U91" s="184"/>
      <c r="V91" s="143"/>
      <c r="W91" s="143"/>
      <c r="X91" s="102"/>
      <c r="Y91" s="103"/>
      <c r="Z91" s="102"/>
      <c r="AA91" s="102"/>
      <c r="AB91" s="162"/>
      <c r="AC91" s="122"/>
      <c r="AD91" s="122"/>
    </row>
    <row r="92" spans="1:30" s="33" customFormat="1" ht="12.75" x14ac:dyDescent="0.2">
      <c r="A92" s="180">
        <f t="shared" si="13"/>
        <v>87</v>
      </c>
      <c r="B92">
        <v>868</v>
      </c>
      <c r="C92">
        <v>521705</v>
      </c>
      <c r="D92" t="s">
        <v>268</v>
      </c>
      <c r="E92"/>
      <c r="F92" s="213">
        <v>38982</v>
      </c>
      <c r="G92" t="s">
        <v>241</v>
      </c>
      <c r="H92" t="s">
        <v>357</v>
      </c>
      <c r="I92" t="s">
        <v>212</v>
      </c>
      <c r="J92" s="225">
        <v>134749.94</v>
      </c>
      <c r="K92" s="228">
        <v>0</v>
      </c>
      <c r="L92" s="148">
        <v>20212.490000000002</v>
      </c>
      <c r="M92" s="148">
        <v>154962.43</v>
      </c>
      <c r="N92" s="101"/>
      <c r="O92" s="31"/>
      <c r="P92" s="143" t="s">
        <v>283</v>
      </c>
      <c r="Q92" s="180"/>
      <c r="R92" s="183"/>
      <c r="S92" s="183"/>
      <c r="T92" s="183"/>
      <c r="U92" s="184"/>
      <c r="V92" s="143"/>
      <c r="W92" s="143"/>
      <c r="X92" s="102"/>
      <c r="Y92" s="103"/>
      <c r="Z92" s="102"/>
      <c r="AA92" s="102"/>
      <c r="AB92" s="162"/>
      <c r="AC92" s="122"/>
      <c r="AD92" s="122"/>
    </row>
    <row r="93" spans="1:30" s="33" customFormat="1" ht="12.75" x14ac:dyDescent="0.2">
      <c r="A93" s="180">
        <f t="shared" si="13"/>
        <v>88</v>
      </c>
      <c r="B93">
        <v>850</v>
      </c>
      <c r="C93">
        <v>521704</v>
      </c>
      <c r="D93" t="s">
        <v>252</v>
      </c>
      <c r="E93"/>
      <c r="F93" s="213">
        <v>38982</v>
      </c>
      <c r="G93" t="s">
        <v>244</v>
      </c>
      <c r="H93" t="s">
        <v>135</v>
      </c>
      <c r="I93" t="s">
        <v>214</v>
      </c>
      <c r="J93" s="225">
        <v>128335.14</v>
      </c>
      <c r="K93" s="228">
        <v>0</v>
      </c>
      <c r="L93" s="148">
        <v>19250.27</v>
      </c>
      <c r="M93" s="148">
        <v>147585.41</v>
      </c>
      <c r="N93" s="101"/>
      <c r="O93" s="31"/>
      <c r="P93" s="143" t="s">
        <v>283</v>
      </c>
      <c r="Q93" s="180"/>
      <c r="R93" s="183"/>
      <c r="S93" s="183"/>
      <c r="T93" s="183"/>
      <c r="U93" s="184"/>
      <c r="V93" s="143"/>
      <c r="W93" s="143"/>
      <c r="X93" s="102"/>
      <c r="Y93" s="103"/>
      <c r="Z93" s="102"/>
      <c r="AA93" s="102"/>
      <c r="AB93" s="162"/>
      <c r="AC93" s="122"/>
      <c r="AD93" s="122"/>
    </row>
    <row r="94" spans="1:30" s="33" customFormat="1" ht="12.75" x14ac:dyDescent="0.2">
      <c r="A94" s="180">
        <f t="shared" si="13"/>
        <v>89</v>
      </c>
      <c r="B94">
        <v>805</v>
      </c>
      <c r="C94">
        <v>23502</v>
      </c>
      <c r="D94" t="s">
        <v>324</v>
      </c>
      <c r="E94"/>
      <c r="F94" s="213">
        <v>38964</v>
      </c>
      <c r="G94" t="s">
        <v>325</v>
      </c>
      <c r="H94" t="s">
        <v>326</v>
      </c>
      <c r="I94" t="s">
        <v>202</v>
      </c>
      <c r="J94" s="239">
        <v>50739.13</v>
      </c>
      <c r="K94" s="228">
        <v>0</v>
      </c>
      <c r="L94" s="148">
        <v>260.87</v>
      </c>
      <c r="M94" s="148">
        <v>51000</v>
      </c>
      <c r="N94" s="101"/>
      <c r="O94" s="31"/>
      <c r="P94" s="143" t="s">
        <v>263</v>
      </c>
      <c r="Q94" s="180"/>
      <c r="R94" s="183"/>
      <c r="S94" s="183"/>
      <c r="T94" s="183"/>
      <c r="U94" s="184"/>
      <c r="V94" s="143"/>
      <c r="W94" s="122"/>
      <c r="X94" s="102"/>
      <c r="Y94" s="103"/>
      <c r="Z94" s="102"/>
      <c r="AA94" s="102"/>
      <c r="AB94" s="162"/>
      <c r="AC94" s="122"/>
      <c r="AD94" s="122"/>
    </row>
    <row r="95" spans="1:30" s="33" customFormat="1" ht="12.75" x14ac:dyDescent="0.2">
      <c r="A95" s="180">
        <f t="shared" si="13"/>
        <v>90</v>
      </c>
      <c r="B95">
        <v>820</v>
      </c>
      <c r="C95">
        <v>14304</v>
      </c>
      <c r="D95" t="s">
        <v>324</v>
      </c>
      <c r="E95"/>
      <c r="F95" s="213">
        <v>38968</v>
      </c>
      <c r="G95" t="s">
        <v>327</v>
      </c>
      <c r="H95" t="s">
        <v>328</v>
      </c>
      <c r="I95" t="s">
        <v>1</v>
      </c>
      <c r="J95" s="239">
        <v>78260.87</v>
      </c>
      <c r="K95" s="228">
        <v>0</v>
      </c>
      <c r="L95" s="148">
        <v>11739.13</v>
      </c>
      <c r="M95" s="148">
        <v>90000</v>
      </c>
      <c r="N95" s="101"/>
      <c r="O95" s="31"/>
      <c r="P95" s="143" t="s">
        <v>263</v>
      </c>
      <c r="Q95" s="180"/>
      <c r="R95" s="183"/>
      <c r="S95" s="183"/>
      <c r="T95" s="183"/>
      <c r="U95" s="184"/>
      <c r="V95" s="122"/>
      <c r="W95" s="122"/>
      <c r="X95" s="102"/>
      <c r="Y95" s="103"/>
      <c r="Z95" s="102"/>
      <c r="AA95" s="102"/>
      <c r="AB95" s="162"/>
      <c r="AC95" s="122"/>
      <c r="AD95" s="122"/>
    </row>
    <row r="96" spans="1:30" s="33" customFormat="1" ht="12.75" x14ac:dyDescent="0.2">
      <c r="A96" s="180">
        <f t="shared" si="13"/>
        <v>91</v>
      </c>
      <c r="B96">
        <v>823</v>
      </c>
      <c r="C96"/>
      <c r="D96" t="s">
        <v>324</v>
      </c>
      <c r="E96"/>
      <c r="F96" s="213">
        <v>38971</v>
      </c>
      <c r="G96" t="s">
        <v>393</v>
      </c>
      <c r="H96" t="s">
        <v>329</v>
      </c>
      <c r="I96" t="s">
        <v>215</v>
      </c>
      <c r="J96" s="239">
        <v>88695.65</v>
      </c>
      <c r="K96" s="228">
        <v>0</v>
      </c>
      <c r="L96" s="148">
        <v>1304.3499999999999</v>
      </c>
      <c r="M96" s="148">
        <v>90000</v>
      </c>
      <c r="N96" s="101"/>
      <c r="O96" s="31"/>
      <c r="P96" s="143" t="s">
        <v>263</v>
      </c>
      <c r="Q96" s="180"/>
      <c r="R96" s="183"/>
      <c r="S96" s="183"/>
      <c r="T96" s="183"/>
      <c r="U96" s="184"/>
      <c r="V96" s="122"/>
      <c r="W96" s="143"/>
      <c r="X96" s="102"/>
      <c r="Y96" s="103"/>
      <c r="Z96" s="102"/>
      <c r="AA96" s="102"/>
      <c r="AB96" s="162"/>
      <c r="AC96" s="122"/>
      <c r="AD96" s="122"/>
    </row>
    <row r="97" spans="1:30" s="33" customFormat="1" ht="12.75" x14ac:dyDescent="0.2">
      <c r="A97" s="180">
        <f t="shared" si="13"/>
        <v>92</v>
      </c>
      <c r="B97">
        <v>864</v>
      </c>
      <c r="C97">
        <v>520907</v>
      </c>
      <c r="D97" t="s">
        <v>324</v>
      </c>
      <c r="E97"/>
      <c r="F97" s="213">
        <v>38981</v>
      </c>
      <c r="G97" t="s">
        <v>140</v>
      </c>
      <c r="H97" t="s">
        <v>141</v>
      </c>
      <c r="I97" t="s">
        <v>216</v>
      </c>
      <c r="J97" s="239">
        <v>122608.7</v>
      </c>
      <c r="K97" s="228">
        <v>0</v>
      </c>
      <c r="L97" s="148">
        <v>391.3</v>
      </c>
      <c r="M97" s="148">
        <v>123000</v>
      </c>
      <c r="N97" s="101"/>
      <c r="O97" s="31"/>
      <c r="P97" s="143" t="s">
        <v>263</v>
      </c>
      <c r="Q97" s="180"/>
      <c r="R97" s="183"/>
      <c r="S97" s="183"/>
      <c r="T97" s="183"/>
      <c r="U97" s="184"/>
      <c r="V97" s="186"/>
      <c r="W97" s="186"/>
      <c r="X97" s="102"/>
      <c r="Y97" s="103"/>
      <c r="Z97" s="102"/>
      <c r="AA97" s="102"/>
      <c r="AB97" s="162"/>
      <c r="AC97" s="122"/>
      <c r="AD97" s="122"/>
    </row>
    <row r="98" spans="1:30" s="33" customFormat="1" ht="12.75" x14ac:dyDescent="0.2">
      <c r="A98" s="180">
        <f t="shared" si="13"/>
        <v>93</v>
      </c>
      <c r="B98">
        <v>884</v>
      </c>
      <c r="C98">
        <v>1020515</v>
      </c>
      <c r="D98" t="s">
        <v>324</v>
      </c>
      <c r="E98"/>
      <c r="F98" s="213">
        <v>38986</v>
      </c>
      <c r="G98" t="s">
        <v>142</v>
      </c>
      <c r="H98" t="s">
        <v>4</v>
      </c>
      <c r="I98" t="s">
        <v>217</v>
      </c>
      <c r="J98" s="239">
        <v>96260.87</v>
      </c>
      <c r="K98" s="228">
        <v>0</v>
      </c>
      <c r="L98" s="148">
        <v>1239.1300000000001</v>
      </c>
      <c r="M98" s="148">
        <v>97500</v>
      </c>
      <c r="N98" s="101"/>
      <c r="O98" s="31"/>
      <c r="P98" s="143" t="s">
        <v>263</v>
      </c>
      <c r="Q98" s="180"/>
      <c r="R98" s="183"/>
      <c r="S98" s="183"/>
      <c r="T98" s="183"/>
      <c r="U98" s="184"/>
      <c r="V98" s="243"/>
      <c r="W98" s="186"/>
      <c r="X98" s="102"/>
      <c r="Y98" s="103"/>
      <c r="Z98" s="102"/>
      <c r="AA98" s="102"/>
      <c r="AB98" s="162"/>
      <c r="AC98" s="122"/>
      <c r="AD98" s="122"/>
    </row>
    <row r="99" spans="1:30" s="33" customFormat="1" ht="12.75" x14ac:dyDescent="0.2">
      <c r="A99" s="180">
        <f t="shared" si="13"/>
        <v>94</v>
      </c>
      <c r="B99">
        <v>883</v>
      </c>
      <c r="C99">
        <v>31561</v>
      </c>
      <c r="D99" t="s">
        <v>324</v>
      </c>
      <c r="E99"/>
      <c r="F99" s="213">
        <v>38986</v>
      </c>
      <c r="G99" t="s">
        <v>143</v>
      </c>
      <c r="H99" t="s">
        <v>4</v>
      </c>
      <c r="I99" t="s">
        <v>218</v>
      </c>
      <c r="J99" s="239">
        <v>78956.52</v>
      </c>
      <c r="K99" s="228">
        <v>0</v>
      </c>
      <c r="L99" s="148">
        <v>1043.48</v>
      </c>
      <c r="M99" s="148">
        <v>80000</v>
      </c>
      <c r="N99" s="211"/>
      <c r="O99" s="31"/>
      <c r="P99" s="143" t="s">
        <v>263</v>
      </c>
      <c r="Q99" s="180"/>
      <c r="R99" s="183"/>
      <c r="S99" s="183"/>
      <c r="T99" s="183"/>
      <c r="U99" s="184"/>
      <c r="V99" s="186"/>
      <c r="W99" s="186"/>
      <c r="X99" s="102"/>
      <c r="Y99" s="103"/>
      <c r="Z99" s="102"/>
      <c r="AA99" s="102"/>
      <c r="AB99" s="162"/>
      <c r="AC99" s="122"/>
      <c r="AD99" s="122"/>
    </row>
    <row r="100" spans="1:30" s="33" customFormat="1" ht="12.75" x14ac:dyDescent="0.2">
      <c r="A100" s="180">
        <f t="shared" si="13"/>
        <v>95</v>
      </c>
      <c r="O100" s="31"/>
      <c r="P100" s="143"/>
      <c r="Q100" s="180"/>
      <c r="R100" s="183"/>
      <c r="S100" s="183"/>
      <c r="T100" s="183"/>
      <c r="U100" s="184"/>
      <c r="V100" s="186"/>
      <c r="W100" s="186"/>
      <c r="X100" s="102"/>
      <c r="Y100" s="103"/>
      <c r="Z100" s="102"/>
      <c r="AA100" s="102"/>
      <c r="AB100" s="162"/>
      <c r="AC100" s="122"/>
      <c r="AD100" s="122"/>
    </row>
    <row r="101" spans="1:30" s="33" customFormat="1" ht="12.75" x14ac:dyDescent="0.2">
      <c r="A101" s="180">
        <f t="shared" ref="A101:A151" si="14">+A100+1</f>
        <v>96</v>
      </c>
      <c r="O101" s="31"/>
      <c r="P101" s="143"/>
      <c r="Q101" s="180"/>
      <c r="R101" s="183"/>
      <c r="S101" s="183"/>
      <c r="T101" s="183"/>
      <c r="U101" s="184"/>
      <c r="V101" s="243"/>
      <c r="W101" s="186"/>
      <c r="X101" s="102"/>
      <c r="Y101" s="103"/>
      <c r="Z101" s="102"/>
      <c r="AA101" s="102"/>
      <c r="AB101" s="162"/>
      <c r="AC101" s="122"/>
      <c r="AD101" s="122"/>
    </row>
    <row r="102" spans="1:30" s="33" customFormat="1" ht="12.75" x14ac:dyDescent="0.2">
      <c r="A102" s="180">
        <f t="shared" si="14"/>
        <v>97</v>
      </c>
      <c r="O102" s="31"/>
      <c r="P102" s="143"/>
      <c r="Q102" s="180"/>
      <c r="R102" s="183"/>
      <c r="S102" s="183"/>
      <c r="T102" s="183"/>
      <c r="U102" s="184"/>
      <c r="V102" s="243"/>
      <c r="W102" s="243"/>
      <c r="X102" s="102"/>
      <c r="Y102" s="103"/>
      <c r="Z102" s="102"/>
      <c r="AA102" s="102"/>
      <c r="AB102" s="162"/>
      <c r="AC102" s="122"/>
      <c r="AD102" s="122"/>
    </row>
    <row r="103" spans="1:30" s="33" customFormat="1" ht="12.75" x14ac:dyDescent="0.2">
      <c r="A103" s="180">
        <f t="shared" si="14"/>
        <v>98</v>
      </c>
      <c r="O103" s="31"/>
      <c r="P103" s="143"/>
      <c r="Q103" s="180"/>
      <c r="R103" s="183"/>
      <c r="S103" s="183"/>
      <c r="T103" s="183"/>
      <c r="U103" s="184"/>
      <c r="V103" s="186"/>
      <c r="W103" s="186"/>
      <c r="X103" s="102"/>
      <c r="Y103" s="103"/>
      <c r="Z103" s="102"/>
      <c r="AA103" s="102"/>
      <c r="AB103" s="162"/>
      <c r="AC103" s="122"/>
      <c r="AD103" s="122"/>
    </row>
    <row r="104" spans="1:30" s="33" customFormat="1" ht="12.75" x14ac:dyDescent="0.2">
      <c r="A104" s="180">
        <f t="shared" si="14"/>
        <v>99</v>
      </c>
      <c r="O104" s="31"/>
      <c r="P104" s="143"/>
      <c r="Q104" s="180"/>
      <c r="R104" s="183"/>
      <c r="S104" s="183"/>
      <c r="T104" s="183"/>
      <c r="U104" s="189"/>
      <c r="X104" s="102"/>
      <c r="Y104" s="103"/>
      <c r="Z104" s="102"/>
      <c r="AA104" s="102"/>
      <c r="AB104" s="162"/>
      <c r="AC104" s="122"/>
      <c r="AD104" s="122"/>
    </row>
    <row r="105" spans="1:30" s="33" customFormat="1" ht="12.75" x14ac:dyDescent="0.2">
      <c r="A105" s="180">
        <f t="shared" si="14"/>
        <v>100</v>
      </c>
      <c r="O105" s="31"/>
      <c r="P105" s="143"/>
      <c r="Q105" s="180"/>
      <c r="R105" s="183"/>
      <c r="S105" s="183"/>
      <c r="T105" s="183">
        <f>COUNT(T5:T102)</f>
        <v>52</v>
      </c>
      <c r="U105" s="181">
        <f>SUM(U6:U102)</f>
        <v>38360114.68</v>
      </c>
      <c r="V105" s="181">
        <f>SUM(V6:V102)</f>
        <v>19180057.34</v>
      </c>
      <c r="W105" s="181">
        <f>SUM(W6:W102)</f>
        <v>19180057.340000004</v>
      </c>
      <c r="X105" s="234"/>
      <c r="Y105" s="235"/>
      <c r="Z105" s="234"/>
      <c r="AA105" s="181">
        <f>SUM(AA6:AA102)</f>
        <v>485089.64039999968</v>
      </c>
      <c r="AB105" s="162"/>
      <c r="AC105" s="122"/>
      <c r="AD105" s="122"/>
    </row>
    <row r="106" spans="1:30" s="33" customFormat="1" ht="12.75" x14ac:dyDescent="0.2">
      <c r="A106" s="180">
        <f t="shared" si="14"/>
        <v>101</v>
      </c>
      <c r="B106" s="221"/>
      <c r="C106" s="221"/>
      <c r="D106" s="221"/>
      <c r="E106" s="221"/>
      <c r="F106" s="222"/>
      <c r="G106" s="221"/>
      <c r="H106" s="221"/>
      <c r="I106" s="221"/>
      <c r="J106" s="240"/>
      <c r="K106" s="240"/>
      <c r="L106" s="223"/>
      <c r="M106" s="223"/>
      <c r="N106" s="165"/>
      <c r="O106" s="208"/>
      <c r="P106" s="224"/>
      <c r="Q106" s="180"/>
      <c r="R106" s="183"/>
      <c r="S106" s="183"/>
      <c r="T106" s="183"/>
      <c r="U106" s="181"/>
      <c r="V106" s="139"/>
      <c r="W106" s="139"/>
      <c r="X106" s="234"/>
      <c r="Y106" s="235"/>
      <c r="Z106" s="234"/>
      <c r="AA106" s="234">
        <v>361792.72</v>
      </c>
      <c r="AB106" s="162" t="s">
        <v>257</v>
      </c>
      <c r="AC106" s="122"/>
      <c r="AD106" s="122"/>
    </row>
    <row r="107" spans="1:30" s="33" customFormat="1" ht="12.75" x14ac:dyDescent="0.2">
      <c r="A107" s="180">
        <f t="shared" si="14"/>
        <v>102</v>
      </c>
      <c r="B107" s="221"/>
      <c r="C107" s="221"/>
      <c r="D107" s="221"/>
      <c r="E107" s="221"/>
      <c r="F107" s="222"/>
      <c r="G107" s="221"/>
      <c r="H107" s="221"/>
      <c r="I107" s="221"/>
      <c r="J107" s="240"/>
      <c r="K107" s="240"/>
      <c r="L107" s="223"/>
      <c r="M107" s="223"/>
      <c r="N107" s="165"/>
      <c r="O107" s="208"/>
      <c r="P107" s="224"/>
      <c r="Q107" s="180"/>
      <c r="R107" s="183"/>
      <c r="S107" s="183"/>
      <c r="T107" s="183"/>
      <c r="U107" s="181"/>
      <c r="V107" s="181"/>
      <c r="W107" s="181"/>
      <c r="X107" s="234"/>
      <c r="Y107" s="235"/>
      <c r="Z107" s="234"/>
      <c r="AA107" s="234"/>
      <c r="AB107" s="162"/>
      <c r="AC107" s="122"/>
      <c r="AD107" s="122"/>
    </row>
    <row r="108" spans="1:30" s="33" customFormat="1" ht="12.75" x14ac:dyDescent="0.2">
      <c r="A108" s="180">
        <f t="shared" si="14"/>
        <v>103</v>
      </c>
      <c r="B108" s="221"/>
      <c r="C108" s="221"/>
      <c r="D108" s="221"/>
      <c r="E108" s="221"/>
      <c r="F108" s="222"/>
      <c r="G108" s="221"/>
      <c r="H108" s="221"/>
      <c r="I108" s="221"/>
      <c r="J108" s="240"/>
      <c r="K108" s="240"/>
      <c r="L108" s="223"/>
      <c r="M108" s="223"/>
      <c r="N108" s="165"/>
      <c r="O108" s="208"/>
      <c r="P108" s="224"/>
      <c r="Q108" s="180"/>
      <c r="R108" s="183"/>
      <c r="S108" s="183"/>
      <c r="T108" s="232">
        <f>COUNT(X6:X102)-T109-T110</f>
        <v>16</v>
      </c>
      <c r="U108" s="236">
        <f>SUM(U6:U102)-U109-U110</f>
        <v>970478.22000000358</v>
      </c>
      <c r="V108" s="143"/>
      <c r="W108" s="143"/>
      <c r="X108" s="102"/>
      <c r="Y108" s="103"/>
      <c r="Z108" s="102"/>
      <c r="AA108" s="102"/>
      <c r="AB108" s="162"/>
      <c r="AC108" s="122"/>
      <c r="AD108" s="122"/>
    </row>
    <row r="109" spans="1:30" s="33" customFormat="1" ht="12.75" x14ac:dyDescent="0.2">
      <c r="A109" s="180">
        <f t="shared" si="14"/>
        <v>104</v>
      </c>
      <c r="B109" s="182"/>
      <c r="C109" s="182"/>
      <c r="D109"/>
      <c r="E109"/>
      <c r="F109" s="213"/>
      <c r="G109"/>
      <c r="H109"/>
      <c r="I109"/>
      <c r="J109" s="239"/>
      <c r="K109" s="239"/>
      <c r="L109" s="148"/>
      <c r="M109" s="148"/>
      <c r="N109" s="101"/>
      <c r="O109" s="31"/>
      <c r="P109" s="143"/>
      <c r="Q109" s="180"/>
      <c r="R109" s="183"/>
      <c r="S109" s="183"/>
      <c r="T109" s="230">
        <f>COUNT(Y11:Y63,Y90:Y98)</f>
        <v>30</v>
      </c>
      <c r="U109" s="237">
        <f>SUM(U11:U63,U90:U98)</f>
        <v>37241375.589999996</v>
      </c>
      <c r="V109" s="143"/>
      <c r="W109" s="143"/>
      <c r="X109" s="102"/>
      <c r="Y109" s="212"/>
      <c r="Z109" s="102"/>
      <c r="AA109" s="102"/>
      <c r="AB109" s="162"/>
      <c r="AC109" s="122"/>
      <c r="AD109" s="122"/>
    </row>
    <row r="110" spans="1:30" s="33" customFormat="1" ht="12.75" x14ac:dyDescent="0.2">
      <c r="A110" s="180">
        <f t="shared" si="14"/>
        <v>105</v>
      </c>
      <c r="B110" s="182"/>
      <c r="C110" s="182"/>
      <c r="D110"/>
      <c r="E110"/>
      <c r="F110" s="213"/>
      <c r="G110"/>
      <c r="H110"/>
      <c r="I110"/>
      <c r="J110" s="239"/>
      <c r="K110" s="239"/>
      <c r="L110" s="148"/>
      <c r="M110" s="148"/>
      <c r="N110" s="101"/>
      <c r="O110" s="31"/>
      <c r="P110" s="143"/>
      <c r="Q110" s="187"/>
      <c r="R110" s="188"/>
      <c r="S110" s="143"/>
      <c r="T110" s="231">
        <f>COUNT(AA10,AA80:AA89)</f>
        <v>1</v>
      </c>
      <c r="U110" s="238">
        <f>SUM(U10,U80:U89)</f>
        <v>148260.87</v>
      </c>
      <c r="V110" s="143"/>
      <c r="W110" s="143"/>
      <c r="X110" s="102"/>
      <c r="Y110" s="103"/>
      <c r="Z110" s="102"/>
      <c r="AA110" s="102"/>
      <c r="AB110" s="162"/>
      <c r="AC110" s="122"/>
      <c r="AD110" s="122"/>
    </row>
    <row r="111" spans="1:30" s="33" customFormat="1" ht="12.75" x14ac:dyDescent="0.2">
      <c r="A111" s="180">
        <f t="shared" si="14"/>
        <v>106</v>
      </c>
      <c r="B111" s="182"/>
      <c r="C111" s="182"/>
      <c r="D111"/>
      <c r="E111"/>
      <c r="F111" s="213"/>
      <c r="G111"/>
      <c r="H111"/>
      <c r="I111"/>
      <c r="J111" s="239"/>
      <c r="K111" s="239"/>
      <c r="L111" s="148"/>
      <c r="M111" s="148"/>
      <c r="N111" s="101"/>
      <c r="O111" s="31"/>
      <c r="P111" s="143"/>
      <c r="Q111" s="187"/>
      <c r="R111" s="188"/>
      <c r="S111" s="188"/>
      <c r="T111" s="183"/>
      <c r="U111" s="181"/>
      <c r="V111" s="143"/>
      <c r="W111" s="143"/>
      <c r="X111" s="102"/>
      <c r="Y111" s="103"/>
      <c r="Z111" s="102"/>
      <c r="AA111" s="102"/>
      <c r="AB111" s="162"/>
      <c r="AC111" s="122"/>
      <c r="AD111" s="122"/>
    </row>
    <row r="112" spans="1:30" s="33" customFormat="1" ht="12.75" x14ac:dyDescent="0.2">
      <c r="A112" s="180">
        <f t="shared" si="14"/>
        <v>107</v>
      </c>
      <c r="B112" s="182"/>
      <c r="C112" s="182"/>
      <c r="D112"/>
      <c r="E112"/>
      <c r="F112" s="213"/>
      <c r="G112"/>
      <c r="H112"/>
      <c r="I112"/>
      <c r="J112" s="239"/>
      <c r="K112" s="239"/>
      <c r="L112" s="148"/>
      <c r="M112" s="148"/>
      <c r="N112" s="101"/>
      <c r="O112" s="31"/>
      <c r="P112" s="109"/>
      <c r="Q112" s="180"/>
      <c r="R112" s="183"/>
      <c r="S112" s="109"/>
      <c r="T112" s="183">
        <f>SUM(T108:T111)</f>
        <v>47</v>
      </c>
      <c r="U112" s="181">
        <f>SUM(U108:U111)</f>
        <v>38360114.68</v>
      </c>
      <c r="V112" s="143"/>
      <c r="W112" s="143"/>
      <c r="X112" s="102"/>
      <c r="Y112" s="103"/>
      <c r="Z112" s="102"/>
      <c r="AA112" s="102"/>
      <c r="AB112" s="162"/>
      <c r="AC112" s="122"/>
      <c r="AD112" s="122"/>
    </row>
    <row r="113" spans="1:30" s="33" customFormat="1" ht="12.75" x14ac:dyDescent="0.2">
      <c r="A113" s="180">
        <f t="shared" si="14"/>
        <v>108</v>
      </c>
      <c r="B113" s="182"/>
      <c r="C113" s="182"/>
      <c r="D113"/>
      <c r="E113"/>
      <c r="F113" s="213"/>
      <c r="G113"/>
      <c r="H113"/>
      <c r="I113"/>
      <c r="J113" s="239"/>
      <c r="K113" s="239"/>
      <c r="L113" s="148"/>
      <c r="M113" s="148"/>
      <c r="N113" s="101"/>
      <c r="O113" s="31"/>
      <c r="P113" s="143"/>
      <c r="Q113" s="187"/>
      <c r="R113" s="188"/>
      <c r="S113" s="143"/>
      <c r="U113" s="139"/>
      <c r="X113" s="102"/>
      <c r="Y113" s="103"/>
      <c r="Z113" s="102"/>
      <c r="AA113" s="102"/>
      <c r="AB113" s="162"/>
      <c r="AC113" s="122"/>
      <c r="AD113" s="122"/>
    </row>
    <row r="114" spans="1:30" s="33" customFormat="1" ht="12.75" x14ac:dyDescent="0.2">
      <c r="A114" s="180">
        <f t="shared" si="14"/>
        <v>109</v>
      </c>
      <c r="B114" s="182"/>
      <c r="C114" s="182"/>
      <c r="D114"/>
      <c r="E114"/>
      <c r="F114" s="213"/>
      <c r="G114"/>
      <c r="H114"/>
      <c r="I114"/>
      <c r="J114" s="239"/>
      <c r="K114" s="239"/>
      <c r="L114" s="148"/>
      <c r="M114" s="148"/>
      <c r="N114" s="101"/>
      <c r="O114" s="31"/>
      <c r="P114" s="143"/>
      <c r="Q114" s="48" t="s">
        <v>151</v>
      </c>
      <c r="R114" s="47" t="s">
        <v>7</v>
      </c>
      <c r="S114" s="183"/>
      <c r="U114" s="139"/>
      <c r="X114" s="102"/>
      <c r="Y114" s="103"/>
      <c r="Z114" s="102"/>
      <c r="AA114" s="102"/>
      <c r="AB114" s="162"/>
      <c r="AC114" s="122"/>
      <c r="AD114" s="122"/>
    </row>
    <row r="115" spans="1:30" s="33" customFormat="1" ht="12.75" x14ac:dyDescent="0.2">
      <c r="A115" s="180">
        <f t="shared" si="14"/>
        <v>110</v>
      </c>
      <c r="B115" s="182"/>
      <c r="C115" s="182"/>
      <c r="D115"/>
      <c r="E115"/>
      <c r="F115" s="213"/>
      <c r="G115"/>
      <c r="H115"/>
      <c r="I115"/>
      <c r="J115" s="239"/>
      <c r="K115" s="239"/>
      <c r="L115" s="148"/>
      <c r="M115" s="148"/>
      <c r="N115" s="101"/>
      <c r="O115" s="31"/>
      <c r="P115" s="143"/>
      <c r="Q115" s="48" t="s">
        <v>152</v>
      </c>
      <c r="R115" s="47" t="s">
        <v>255</v>
      </c>
      <c r="S115" s="183"/>
      <c r="X115" s="102"/>
      <c r="Y115" s="103"/>
      <c r="Z115" s="102"/>
      <c r="AA115" s="102"/>
      <c r="AB115" s="162"/>
      <c r="AC115" s="122"/>
      <c r="AD115" s="122"/>
    </row>
    <row r="116" spans="1:30" s="33" customFormat="1" ht="12.75" x14ac:dyDescent="0.2">
      <c r="A116" s="180">
        <f t="shared" si="14"/>
        <v>111</v>
      </c>
      <c r="B116" s="182"/>
      <c r="C116" s="182"/>
      <c r="D116"/>
      <c r="E116"/>
      <c r="F116" s="213"/>
      <c r="G116"/>
      <c r="H116"/>
      <c r="I116"/>
      <c r="J116" s="239"/>
      <c r="K116" s="239"/>
      <c r="L116" s="148"/>
      <c r="M116" s="148"/>
      <c r="N116" s="101"/>
      <c r="O116" s="31"/>
      <c r="P116" s="143"/>
      <c r="Q116" s="180"/>
      <c r="R116" s="183"/>
      <c r="S116" s="183"/>
      <c r="X116" s="102"/>
      <c r="Y116" s="103"/>
      <c r="Z116" s="102"/>
      <c r="AA116" s="102"/>
      <c r="AB116" s="162"/>
      <c r="AC116" s="122"/>
      <c r="AD116" s="122"/>
    </row>
    <row r="117" spans="1:30" s="33" customFormat="1" ht="12.75" x14ac:dyDescent="0.2">
      <c r="A117" s="180">
        <f t="shared" si="14"/>
        <v>112</v>
      </c>
      <c r="B117" s="182"/>
      <c r="C117" s="182"/>
      <c r="D117"/>
      <c r="E117"/>
      <c r="F117" s="213"/>
      <c r="G117"/>
      <c r="H117"/>
      <c r="I117"/>
      <c r="J117" s="239"/>
      <c r="K117" s="239"/>
      <c r="L117" s="148"/>
      <c r="M117" s="148"/>
      <c r="N117" s="101"/>
      <c r="O117" s="31"/>
      <c r="P117" s="109"/>
      <c r="Q117" s="180"/>
      <c r="R117" s="183"/>
      <c r="S117" s="183"/>
      <c r="X117" s="102"/>
      <c r="Y117" s="103"/>
      <c r="Z117" s="102"/>
      <c r="AA117" s="102"/>
      <c r="AB117" s="162"/>
      <c r="AC117" s="122"/>
      <c r="AD117" s="122"/>
    </row>
    <row r="118" spans="1:30" s="33" customFormat="1" ht="12.75" x14ac:dyDescent="0.2">
      <c r="A118" s="180">
        <f t="shared" si="14"/>
        <v>113</v>
      </c>
      <c r="B118" s="182"/>
      <c r="C118" s="182"/>
      <c r="D118"/>
      <c r="E118"/>
      <c r="F118" s="213"/>
      <c r="G118"/>
      <c r="H118"/>
      <c r="I118"/>
      <c r="J118" s="239"/>
      <c r="K118" s="239"/>
      <c r="L118" s="148"/>
      <c r="M118" s="148"/>
      <c r="N118" s="101"/>
      <c r="O118" s="31"/>
      <c r="P118" s="143"/>
      <c r="Q118" s="180"/>
      <c r="R118" s="183"/>
      <c r="S118" s="183"/>
      <c r="T118" s="183"/>
      <c r="U118" s="184"/>
      <c r="V118" s="186"/>
      <c r="W118" s="186"/>
      <c r="X118" s="102"/>
      <c r="Y118" s="103"/>
      <c r="Z118" s="102"/>
      <c r="AA118" s="102"/>
      <c r="AB118" s="162"/>
      <c r="AC118" s="122"/>
      <c r="AD118" s="122"/>
    </row>
    <row r="119" spans="1:30" s="33" customFormat="1" ht="12.75" x14ac:dyDescent="0.2">
      <c r="A119" s="180">
        <f t="shared" si="14"/>
        <v>114</v>
      </c>
      <c r="B119" s="182"/>
      <c r="C119" s="182"/>
      <c r="D119"/>
      <c r="E119"/>
      <c r="F119" s="213"/>
      <c r="G119"/>
      <c r="H119"/>
      <c r="I119"/>
      <c r="J119" s="239"/>
      <c r="K119" s="239"/>
      <c r="L119" s="148"/>
      <c r="M119" s="148"/>
      <c r="N119" s="101"/>
      <c r="O119" s="31"/>
      <c r="P119" s="109"/>
      <c r="Q119" s="180"/>
      <c r="R119" s="183"/>
      <c r="S119" s="183"/>
      <c r="T119" s="183"/>
      <c r="U119" s="184"/>
      <c r="V119" s="186"/>
      <c r="W119" s="186"/>
      <c r="X119" s="102"/>
      <c r="Y119" s="103"/>
      <c r="Z119" s="102"/>
      <c r="AA119" s="102"/>
      <c r="AB119" s="162"/>
      <c r="AC119" s="122"/>
      <c r="AD119" s="122"/>
    </row>
    <row r="120" spans="1:30" s="33" customFormat="1" ht="12.75" x14ac:dyDescent="0.2">
      <c r="A120" s="180">
        <f t="shared" si="14"/>
        <v>115</v>
      </c>
      <c r="B120" s="182"/>
      <c r="C120" s="182"/>
      <c r="D120"/>
      <c r="E120"/>
      <c r="F120" s="213"/>
      <c r="G120"/>
      <c r="H120"/>
      <c r="I120"/>
      <c r="J120" s="239"/>
      <c r="K120" s="239"/>
      <c r="L120" s="148"/>
      <c r="M120" s="148"/>
      <c r="N120" s="85"/>
      <c r="O120" s="31"/>
      <c r="P120" s="143"/>
      <c r="Q120" s="180"/>
      <c r="R120" s="183"/>
      <c r="S120" s="183"/>
      <c r="T120" s="183"/>
      <c r="U120" s="184"/>
      <c r="V120" s="186"/>
      <c r="W120" s="186"/>
      <c r="X120" s="102"/>
      <c r="Y120" s="103"/>
      <c r="Z120" s="102"/>
      <c r="AA120" s="102"/>
      <c r="AB120" s="162"/>
      <c r="AC120" s="122"/>
      <c r="AD120" s="122"/>
    </row>
    <row r="121" spans="1:30" s="33" customFormat="1" ht="12.75" x14ac:dyDescent="0.2">
      <c r="A121" s="180">
        <f t="shared" si="14"/>
        <v>116</v>
      </c>
      <c r="B121" s="182"/>
      <c r="C121" s="182"/>
      <c r="D121"/>
      <c r="E121"/>
      <c r="F121" s="213"/>
      <c r="G121"/>
      <c r="H121"/>
      <c r="I121"/>
      <c r="J121" s="239"/>
      <c r="K121" s="239"/>
      <c r="L121" s="148"/>
      <c r="M121" s="148"/>
      <c r="N121" s="101"/>
      <c r="O121" s="31"/>
      <c r="P121" s="143"/>
      <c r="Q121" s="180"/>
      <c r="R121" s="183"/>
      <c r="S121" s="183"/>
      <c r="T121" s="183"/>
      <c r="U121" s="184"/>
      <c r="V121" s="186"/>
      <c r="W121" s="186"/>
      <c r="X121" s="102"/>
      <c r="Y121" s="103"/>
      <c r="Z121" s="102"/>
      <c r="AA121" s="102"/>
      <c r="AB121" s="162"/>
      <c r="AC121" s="122"/>
      <c r="AD121" s="122"/>
    </row>
    <row r="122" spans="1:30" s="33" customFormat="1" ht="12.75" x14ac:dyDescent="0.2">
      <c r="A122" s="180">
        <f t="shared" si="14"/>
        <v>117</v>
      </c>
      <c r="B122" s="182"/>
      <c r="C122" s="182"/>
      <c r="D122"/>
      <c r="E122"/>
      <c r="F122" s="213"/>
      <c r="G122"/>
      <c r="H122"/>
      <c r="I122"/>
      <c r="J122" s="239"/>
      <c r="K122" s="239"/>
      <c r="L122" s="148"/>
      <c r="M122" s="148"/>
      <c r="N122" s="101"/>
      <c r="O122" s="31"/>
      <c r="P122" s="143"/>
      <c r="Q122" s="180"/>
      <c r="R122" s="183"/>
      <c r="S122" s="183"/>
      <c r="T122" s="183"/>
      <c r="U122" s="184"/>
      <c r="V122" s="186"/>
      <c r="W122" s="186"/>
      <c r="X122" s="102"/>
      <c r="Y122" s="103"/>
      <c r="Z122" s="102"/>
      <c r="AA122" s="102"/>
      <c r="AB122" s="162"/>
      <c r="AC122" s="122"/>
      <c r="AD122" s="122"/>
    </row>
    <row r="123" spans="1:30" s="33" customFormat="1" ht="12.75" x14ac:dyDescent="0.2">
      <c r="A123" s="180">
        <f t="shared" si="14"/>
        <v>118</v>
      </c>
      <c r="B123" s="182"/>
      <c r="C123" s="182"/>
      <c r="D123"/>
      <c r="E123"/>
      <c r="F123" s="213"/>
      <c r="G123"/>
      <c r="H123"/>
      <c r="I123"/>
      <c r="J123" s="239"/>
      <c r="K123" s="239"/>
      <c r="L123" s="148"/>
      <c r="M123" s="148"/>
      <c r="N123" s="101"/>
      <c r="O123" s="31"/>
      <c r="P123" s="143"/>
      <c r="Q123" s="180"/>
      <c r="R123" s="183"/>
      <c r="S123" s="183"/>
      <c r="T123" s="183"/>
      <c r="U123" s="122"/>
      <c r="V123" s="143"/>
      <c r="W123" s="143"/>
      <c r="X123" s="102"/>
      <c r="Y123" s="103"/>
      <c r="Z123" s="102"/>
      <c r="AA123" s="102"/>
      <c r="AB123" s="162"/>
      <c r="AC123" s="122"/>
      <c r="AD123" s="122"/>
    </row>
    <row r="124" spans="1:30" s="33" customFormat="1" ht="12.75" x14ac:dyDescent="0.2">
      <c r="A124" s="180">
        <f t="shared" si="14"/>
        <v>119</v>
      </c>
      <c r="B124" s="182"/>
      <c r="C124" s="182"/>
      <c r="D124"/>
      <c r="E124"/>
      <c r="F124" s="213"/>
      <c r="G124"/>
      <c r="H124"/>
      <c r="I124"/>
      <c r="J124" s="239"/>
      <c r="K124" s="239"/>
      <c r="L124" s="148"/>
      <c r="M124" s="148"/>
      <c r="N124" s="101"/>
      <c r="O124" s="31"/>
      <c r="P124" s="143"/>
      <c r="Q124" s="180"/>
      <c r="R124" s="183"/>
      <c r="S124" s="183"/>
      <c r="T124" s="183"/>
      <c r="U124" s="122"/>
      <c r="V124" s="143"/>
      <c r="W124" s="143"/>
      <c r="X124" s="102"/>
      <c r="Y124" s="103"/>
      <c r="Z124" s="102"/>
      <c r="AA124" s="102"/>
      <c r="AB124" s="162"/>
      <c r="AC124" s="122"/>
      <c r="AD124" s="122"/>
    </row>
    <row r="125" spans="1:30" s="33" customFormat="1" ht="12.75" x14ac:dyDescent="0.2">
      <c r="A125" s="180">
        <f t="shared" si="14"/>
        <v>120</v>
      </c>
      <c r="B125" s="182"/>
      <c r="C125" s="182"/>
      <c r="D125"/>
      <c r="E125"/>
      <c r="F125" s="213"/>
      <c r="G125"/>
      <c r="H125"/>
      <c r="I125"/>
      <c r="J125" s="239"/>
      <c r="K125" s="239"/>
      <c r="L125" s="148"/>
      <c r="M125" s="148"/>
      <c r="N125" s="101"/>
      <c r="O125" s="31"/>
      <c r="P125" s="143"/>
      <c r="Q125" s="180"/>
      <c r="R125" s="183"/>
      <c r="S125" s="183"/>
      <c r="T125" s="183"/>
      <c r="U125" s="122"/>
      <c r="V125" s="143"/>
      <c r="W125" s="143"/>
      <c r="X125" s="102"/>
      <c r="Y125" s="103"/>
      <c r="Z125" s="102"/>
      <c r="AA125" s="102"/>
      <c r="AB125" s="162"/>
      <c r="AC125" s="122"/>
      <c r="AD125" s="122"/>
    </row>
    <row r="126" spans="1:30" s="33" customFormat="1" ht="12.75" x14ac:dyDescent="0.2">
      <c r="A126" s="180">
        <f t="shared" si="14"/>
        <v>121</v>
      </c>
      <c r="B126" s="182"/>
      <c r="C126" s="182"/>
      <c r="D126"/>
      <c r="E126"/>
      <c r="F126" s="213"/>
      <c r="G126"/>
      <c r="H126"/>
      <c r="I126"/>
      <c r="J126" s="239"/>
      <c r="K126" s="239"/>
      <c r="L126" s="148"/>
      <c r="M126" s="148"/>
      <c r="N126" s="101"/>
      <c r="O126" s="31"/>
      <c r="P126" s="143"/>
      <c r="Q126" s="180"/>
      <c r="R126" s="183"/>
      <c r="S126" s="183"/>
      <c r="T126" s="183"/>
      <c r="U126" s="122"/>
      <c r="V126" s="143"/>
      <c r="W126" s="143"/>
      <c r="X126" s="102"/>
      <c r="Y126" s="103"/>
      <c r="Z126" s="102"/>
      <c r="AA126" s="102"/>
      <c r="AB126" s="162"/>
      <c r="AC126" s="122"/>
      <c r="AD126" s="122"/>
    </row>
    <row r="127" spans="1:30" s="33" customFormat="1" ht="12.75" x14ac:dyDescent="0.2">
      <c r="A127" s="180">
        <f t="shared" si="14"/>
        <v>122</v>
      </c>
      <c r="B127" s="182"/>
      <c r="C127" s="182"/>
      <c r="D127"/>
      <c r="E127"/>
      <c r="F127" s="213"/>
      <c r="G127"/>
      <c r="H127"/>
      <c r="I127"/>
      <c r="J127" s="239"/>
      <c r="K127" s="239"/>
      <c r="L127" s="148"/>
      <c r="M127" s="148"/>
      <c r="N127" s="101"/>
      <c r="O127" s="31"/>
      <c r="P127" s="143"/>
      <c r="Q127" s="180"/>
      <c r="R127" s="183"/>
      <c r="S127" s="183"/>
      <c r="T127" s="183"/>
      <c r="U127" s="122"/>
      <c r="V127" s="143"/>
      <c r="W127" s="143"/>
      <c r="X127" s="102"/>
      <c r="Y127" s="103"/>
      <c r="Z127" s="102"/>
      <c r="AA127" s="102"/>
      <c r="AB127" s="162"/>
      <c r="AC127" s="122"/>
      <c r="AD127" s="122"/>
    </row>
    <row r="128" spans="1:30" s="33" customFormat="1" ht="12.75" x14ac:dyDescent="0.2">
      <c r="A128" s="180">
        <f t="shared" si="14"/>
        <v>123</v>
      </c>
      <c r="B128" s="182"/>
      <c r="C128" s="182"/>
      <c r="D128"/>
      <c r="E128"/>
      <c r="F128" s="213"/>
      <c r="G128"/>
      <c r="H128"/>
      <c r="I128"/>
      <c r="J128" s="239"/>
      <c r="K128" s="239"/>
      <c r="L128" s="148"/>
      <c r="M128" s="148"/>
      <c r="N128" s="101"/>
      <c r="O128" s="31"/>
      <c r="P128" s="143"/>
      <c r="Q128" s="180"/>
      <c r="R128" s="183"/>
      <c r="S128" s="183"/>
      <c r="T128" s="183"/>
      <c r="U128" s="122"/>
      <c r="V128" s="143"/>
      <c r="W128" s="143"/>
      <c r="X128" s="102"/>
      <c r="Y128" s="103"/>
      <c r="Z128" s="102"/>
      <c r="AA128" s="102"/>
      <c r="AB128" s="162"/>
      <c r="AC128" s="122"/>
      <c r="AD128" s="122"/>
    </row>
    <row r="129" spans="1:30" s="33" customFormat="1" ht="12.75" x14ac:dyDescent="0.2">
      <c r="A129" s="180">
        <f t="shared" si="14"/>
        <v>124</v>
      </c>
      <c r="B129" s="182"/>
      <c r="C129" s="182"/>
      <c r="D129"/>
      <c r="E129"/>
      <c r="F129" s="213"/>
      <c r="G129"/>
      <c r="H129"/>
      <c r="I129"/>
      <c r="J129" s="239"/>
      <c r="K129" s="239"/>
      <c r="L129" s="148"/>
      <c r="M129" s="148"/>
      <c r="N129" s="101"/>
      <c r="O129" s="31"/>
      <c r="P129" s="143"/>
      <c r="Q129" s="180"/>
      <c r="R129" s="183"/>
      <c r="S129" s="183"/>
      <c r="T129" s="183"/>
      <c r="U129" s="122"/>
      <c r="V129" s="143"/>
      <c r="W129" s="143"/>
      <c r="X129" s="102"/>
      <c r="Y129" s="103"/>
      <c r="Z129" s="102"/>
      <c r="AA129" s="102"/>
      <c r="AB129" s="162"/>
      <c r="AC129" s="122"/>
      <c r="AD129" s="122"/>
    </row>
    <row r="130" spans="1:30" s="33" customFormat="1" ht="12.75" x14ac:dyDescent="0.2">
      <c r="A130" s="180">
        <f t="shared" si="14"/>
        <v>125</v>
      </c>
      <c r="B130" s="182"/>
      <c r="C130" s="182"/>
      <c r="D130"/>
      <c r="E130"/>
      <c r="F130" s="213"/>
      <c r="G130"/>
      <c r="H130"/>
      <c r="I130"/>
      <c r="J130" s="239"/>
      <c r="K130" s="239"/>
      <c r="L130" s="148"/>
      <c r="M130" s="148"/>
      <c r="N130" s="101"/>
      <c r="O130" s="31"/>
      <c r="P130" s="143"/>
      <c r="Q130" s="180"/>
      <c r="R130" s="183"/>
      <c r="S130" s="183"/>
      <c r="T130" s="183"/>
      <c r="U130" s="122"/>
      <c r="V130" s="143"/>
      <c r="W130" s="143"/>
      <c r="X130" s="102"/>
      <c r="Y130" s="103"/>
      <c r="Z130" s="102"/>
      <c r="AA130" s="102"/>
      <c r="AB130" s="162"/>
      <c r="AC130" s="122"/>
      <c r="AD130" s="122"/>
    </row>
    <row r="131" spans="1:30" s="33" customFormat="1" ht="12.75" x14ac:dyDescent="0.2">
      <c r="A131" s="180">
        <f t="shared" si="14"/>
        <v>126</v>
      </c>
      <c r="B131" s="182"/>
      <c r="C131" s="182"/>
      <c r="D131"/>
      <c r="E131"/>
      <c r="F131" s="213"/>
      <c r="G131"/>
      <c r="H131"/>
      <c r="I131"/>
      <c r="J131" s="239"/>
      <c r="K131" s="239"/>
      <c r="L131" s="148"/>
      <c r="M131" s="148"/>
      <c r="N131" s="101"/>
      <c r="O131" s="31"/>
      <c r="P131" s="143"/>
      <c r="Q131" s="180"/>
      <c r="R131" s="183"/>
      <c r="S131" s="183"/>
      <c r="T131" s="183"/>
      <c r="U131" s="122"/>
      <c r="V131" s="143"/>
      <c r="W131" s="143"/>
      <c r="X131" s="102"/>
      <c r="Y131" s="103"/>
      <c r="Z131" s="102"/>
      <c r="AA131" s="102"/>
      <c r="AB131" s="162"/>
      <c r="AC131" s="122"/>
      <c r="AD131" s="122"/>
    </row>
    <row r="132" spans="1:30" s="33" customFormat="1" ht="12.75" x14ac:dyDescent="0.2">
      <c r="A132" s="180">
        <f t="shared" si="14"/>
        <v>127</v>
      </c>
      <c r="B132" s="182"/>
      <c r="C132" s="182"/>
      <c r="D132"/>
      <c r="E132"/>
      <c r="F132" s="213"/>
      <c r="G132"/>
      <c r="H132"/>
      <c r="I132"/>
      <c r="J132" s="239"/>
      <c r="K132" s="239"/>
      <c r="L132" s="148"/>
      <c r="M132" s="148"/>
      <c r="N132" s="101"/>
      <c r="O132" s="31"/>
      <c r="P132" s="143"/>
      <c r="Q132" s="180"/>
      <c r="R132" s="183"/>
      <c r="S132" s="183"/>
      <c r="T132" s="183"/>
      <c r="U132" s="122"/>
      <c r="V132" s="143"/>
      <c r="W132" s="143"/>
      <c r="X132" s="102"/>
      <c r="Y132" s="103"/>
      <c r="Z132" s="102"/>
      <c r="AA132" s="102"/>
      <c r="AB132" s="162"/>
      <c r="AC132" s="122"/>
      <c r="AD132" s="122"/>
    </row>
    <row r="133" spans="1:30" s="33" customFormat="1" ht="12.75" x14ac:dyDescent="0.2">
      <c r="A133" s="180">
        <f t="shared" si="14"/>
        <v>128</v>
      </c>
      <c r="B133" s="182"/>
      <c r="C133" s="182"/>
      <c r="D133"/>
      <c r="E133"/>
      <c r="F133" s="213"/>
      <c r="G133"/>
      <c r="H133"/>
      <c r="I133"/>
      <c r="J133" s="239"/>
      <c r="K133" s="239"/>
      <c r="L133" s="148"/>
      <c r="M133" s="148"/>
      <c r="N133" s="101"/>
      <c r="O133" s="31"/>
      <c r="P133" s="143"/>
      <c r="Q133" s="180"/>
      <c r="R133" s="183"/>
      <c r="S133" s="183"/>
      <c r="T133" s="183"/>
      <c r="U133" s="122"/>
      <c r="V133" s="143"/>
      <c r="W133" s="143"/>
      <c r="X133" s="102"/>
      <c r="Y133" s="103"/>
      <c r="Z133" s="102"/>
      <c r="AA133" s="102"/>
      <c r="AB133" s="162"/>
      <c r="AC133" s="122"/>
      <c r="AD133" s="122"/>
    </row>
    <row r="134" spans="1:30" s="33" customFormat="1" ht="12.75" x14ac:dyDescent="0.2">
      <c r="A134" s="180">
        <f t="shared" si="14"/>
        <v>129</v>
      </c>
      <c r="B134" s="182"/>
      <c r="C134" s="182"/>
      <c r="D134"/>
      <c r="E134"/>
      <c r="F134" s="213"/>
      <c r="G134"/>
      <c r="H134"/>
      <c r="I134"/>
      <c r="J134" s="239"/>
      <c r="K134" s="239"/>
      <c r="L134" s="148"/>
      <c r="M134" s="148"/>
      <c r="N134" s="101"/>
      <c r="O134" s="31"/>
      <c r="P134" s="143"/>
      <c r="Q134" s="180"/>
      <c r="R134" s="183"/>
      <c r="S134" s="183"/>
      <c r="T134" s="183"/>
      <c r="U134" s="122"/>
      <c r="V134" s="143"/>
      <c r="W134" s="143"/>
      <c r="X134" s="102"/>
      <c r="Y134" s="103"/>
      <c r="Z134" s="102"/>
      <c r="AA134" s="102"/>
      <c r="AB134" s="162"/>
      <c r="AC134" s="122"/>
      <c r="AD134" s="122"/>
    </row>
    <row r="135" spans="1:30" s="33" customFormat="1" ht="12.75" x14ac:dyDescent="0.2">
      <c r="A135" s="180">
        <f t="shared" si="14"/>
        <v>130</v>
      </c>
      <c r="B135" s="182"/>
      <c r="C135" s="182"/>
      <c r="D135"/>
      <c r="E135"/>
      <c r="F135" s="213"/>
      <c r="G135"/>
      <c r="H135"/>
      <c r="I135"/>
      <c r="J135" s="239"/>
      <c r="K135" s="239"/>
      <c r="L135" s="148"/>
      <c r="M135" s="148"/>
      <c r="N135" s="101"/>
      <c r="O135" s="31"/>
      <c r="P135" s="143"/>
      <c r="Q135" s="180"/>
      <c r="R135" s="183"/>
      <c r="S135" s="183"/>
      <c r="T135" s="183"/>
      <c r="U135" s="122"/>
      <c r="V135" s="143"/>
      <c r="W135" s="143"/>
      <c r="X135" s="102"/>
      <c r="Y135" s="103"/>
      <c r="Z135" s="102"/>
      <c r="AA135" s="102"/>
      <c r="AB135" s="162"/>
      <c r="AC135" s="122"/>
      <c r="AD135" s="122"/>
    </row>
    <row r="136" spans="1:30" s="33" customFormat="1" ht="12.75" x14ac:dyDescent="0.2">
      <c r="A136" s="180">
        <f t="shared" si="14"/>
        <v>131</v>
      </c>
      <c r="B136" s="182"/>
      <c r="C136" s="182"/>
      <c r="D136"/>
      <c r="E136"/>
      <c r="F136" s="213"/>
      <c r="G136"/>
      <c r="H136"/>
      <c r="I136"/>
      <c r="J136" s="239"/>
      <c r="K136" s="239"/>
      <c r="L136" s="148"/>
      <c r="M136" s="148"/>
      <c r="N136" s="101"/>
      <c r="O136" s="31"/>
      <c r="P136" s="143"/>
      <c r="Q136" s="180"/>
      <c r="R136" s="183"/>
      <c r="S136" s="183"/>
      <c r="T136" s="183"/>
      <c r="U136" s="122"/>
      <c r="V136" s="143"/>
      <c r="W136" s="143"/>
      <c r="X136" s="102"/>
      <c r="Y136" s="103"/>
      <c r="Z136" s="102"/>
      <c r="AA136" s="102"/>
      <c r="AB136" s="162"/>
      <c r="AC136" s="122"/>
      <c r="AD136" s="122"/>
    </row>
    <row r="137" spans="1:30" s="33" customFormat="1" ht="12.75" x14ac:dyDescent="0.2">
      <c r="A137" s="180">
        <f t="shared" si="14"/>
        <v>132</v>
      </c>
      <c r="B137" s="182"/>
      <c r="C137" s="182"/>
      <c r="D137"/>
      <c r="E137"/>
      <c r="F137" s="213"/>
      <c r="G137"/>
      <c r="H137"/>
      <c r="I137"/>
      <c r="J137" s="239"/>
      <c r="K137" s="239"/>
      <c r="L137" s="148"/>
      <c r="M137" s="148"/>
      <c r="N137" s="101"/>
      <c r="O137" s="31"/>
      <c r="P137" s="143"/>
      <c r="Q137" s="180"/>
      <c r="R137" s="183"/>
      <c r="S137" s="183"/>
      <c r="T137" s="183"/>
      <c r="U137" s="122"/>
      <c r="V137" s="143"/>
      <c r="W137" s="143"/>
      <c r="X137" s="102"/>
      <c r="Y137" s="103"/>
      <c r="Z137" s="102"/>
      <c r="AA137" s="102"/>
      <c r="AB137" s="162"/>
      <c r="AC137" s="122"/>
      <c r="AD137" s="122"/>
    </row>
    <row r="138" spans="1:30" s="33" customFormat="1" ht="12.75" x14ac:dyDescent="0.2">
      <c r="A138" s="180">
        <f t="shared" si="14"/>
        <v>133</v>
      </c>
      <c r="B138" s="182"/>
      <c r="C138" s="182"/>
      <c r="D138"/>
      <c r="E138"/>
      <c r="F138" s="213"/>
      <c r="G138"/>
      <c r="H138"/>
      <c r="I138"/>
      <c r="J138" s="239"/>
      <c r="K138" s="239"/>
      <c r="L138" s="148"/>
      <c r="M138" s="148"/>
      <c r="N138" s="101"/>
      <c r="O138" s="31"/>
      <c r="P138" s="143"/>
      <c r="Q138" s="180"/>
      <c r="R138" s="183"/>
      <c r="S138" s="183"/>
      <c r="T138" s="183"/>
      <c r="U138" s="122"/>
      <c r="V138" s="143"/>
      <c r="W138" s="143"/>
      <c r="X138" s="102"/>
      <c r="Y138" s="103"/>
      <c r="Z138" s="102"/>
      <c r="AA138" s="102"/>
      <c r="AB138" s="162"/>
      <c r="AC138" s="122"/>
      <c r="AD138" s="122"/>
    </row>
    <row r="139" spans="1:30" s="33" customFormat="1" ht="12.75" x14ac:dyDescent="0.2">
      <c r="A139" s="180">
        <f t="shared" si="14"/>
        <v>134</v>
      </c>
      <c r="B139" s="182"/>
      <c r="C139" s="182"/>
      <c r="D139"/>
      <c r="E139"/>
      <c r="F139" s="213"/>
      <c r="G139"/>
      <c r="H139"/>
      <c r="I139"/>
      <c r="J139" s="239"/>
      <c r="K139" s="239"/>
      <c r="L139" s="148"/>
      <c r="M139" s="148"/>
      <c r="N139" s="101"/>
      <c r="O139" s="31"/>
      <c r="P139" s="143"/>
      <c r="Q139" s="180"/>
      <c r="R139" s="183"/>
      <c r="S139" s="183"/>
      <c r="T139" s="183"/>
      <c r="U139" s="122"/>
      <c r="V139" s="143"/>
      <c r="W139" s="143"/>
      <c r="X139" s="102"/>
      <c r="Y139" s="103"/>
      <c r="Z139" s="102"/>
      <c r="AA139" s="102"/>
      <c r="AB139" s="162"/>
      <c r="AC139" s="122"/>
      <c r="AD139" s="122"/>
    </row>
    <row r="140" spans="1:30" s="33" customFormat="1" ht="12.75" x14ac:dyDescent="0.2">
      <c r="A140" s="180">
        <f t="shared" si="14"/>
        <v>135</v>
      </c>
      <c r="B140" s="182"/>
      <c r="C140" s="182"/>
      <c r="D140"/>
      <c r="E140"/>
      <c r="F140" s="213"/>
      <c r="G140"/>
      <c r="H140"/>
      <c r="I140"/>
      <c r="J140" s="239"/>
      <c r="K140" s="239"/>
      <c r="L140" s="148"/>
      <c r="M140" s="148"/>
      <c r="N140" s="101"/>
      <c r="O140" s="31"/>
      <c r="P140" s="143"/>
      <c r="Q140" s="180"/>
      <c r="R140" s="183"/>
      <c r="S140" s="183"/>
      <c r="T140" s="183"/>
      <c r="U140" s="122"/>
      <c r="V140" s="143"/>
      <c r="W140" s="143"/>
      <c r="X140" s="102"/>
      <c r="Y140" s="103"/>
      <c r="Z140" s="102"/>
      <c r="AA140" s="102"/>
      <c r="AB140" s="162"/>
      <c r="AC140" s="122"/>
      <c r="AD140" s="122"/>
    </row>
    <row r="141" spans="1:30" s="33" customFormat="1" ht="12.75" x14ac:dyDescent="0.2">
      <c r="A141" s="180">
        <f t="shared" si="14"/>
        <v>136</v>
      </c>
      <c r="B141" s="182"/>
      <c r="C141" s="182"/>
      <c r="D141"/>
      <c r="E141"/>
      <c r="F141" s="213"/>
      <c r="G141"/>
      <c r="H141"/>
      <c r="I141"/>
      <c r="J141" s="239"/>
      <c r="K141" s="239"/>
      <c r="L141" s="148"/>
      <c r="M141" s="148"/>
      <c r="N141" s="101"/>
      <c r="O141" s="31"/>
      <c r="P141" s="143"/>
      <c r="Q141" s="180"/>
      <c r="R141" s="183"/>
      <c r="S141" s="183"/>
      <c r="T141" s="183"/>
      <c r="U141" s="122"/>
      <c r="V141" s="143"/>
      <c r="W141" s="143"/>
      <c r="X141" s="102"/>
      <c r="Y141" s="103"/>
      <c r="Z141" s="102"/>
      <c r="AA141" s="102"/>
      <c r="AB141" s="162"/>
      <c r="AC141" s="122"/>
      <c r="AD141" s="122"/>
    </row>
    <row r="142" spans="1:30" s="33" customFormat="1" ht="12.75" x14ac:dyDescent="0.2">
      <c r="A142" s="180">
        <f t="shared" si="14"/>
        <v>137</v>
      </c>
      <c r="B142" s="109"/>
      <c r="C142" s="109"/>
      <c r="J142" s="109"/>
      <c r="K142" s="109"/>
      <c r="Q142" s="180"/>
      <c r="R142" s="183"/>
      <c r="S142" s="183"/>
      <c r="T142" s="183"/>
      <c r="U142" s="122"/>
      <c r="V142" s="143"/>
      <c r="W142" s="143"/>
      <c r="X142" s="102"/>
      <c r="Y142" s="103"/>
      <c r="Z142" s="102"/>
      <c r="AA142" s="102"/>
      <c r="AB142" s="162"/>
      <c r="AC142" s="122"/>
      <c r="AD142" s="122"/>
    </row>
    <row r="143" spans="1:30" s="33" customFormat="1" ht="12.75" hidden="1" outlineLevel="1" x14ac:dyDescent="0.2">
      <c r="A143" s="180">
        <f t="shared" si="14"/>
        <v>138</v>
      </c>
      <c r="B143" s="241"/>
      <c r="C143" s="242"/>
      <c r="D143"/>
      <c r="E143"/>
      <c r="F143" s="213"/>
      <c r="G143"/>
      <c r="H143"/>
      <c r="I143"/>
      <c r="J143" s="239"/>
      <c r="K143" s="239"/>
      <c r="L143" s="148"/>
      <c r="M143" s="148"/>
      <c r="N143" s="101"/>
      <c r="O143" s="31"/>
      <c r="P143" s="109"/>
      <c r="Q143" s="180"/>
      <c r="R143" s="183"/>
      <c r="S143" s="109"/>
      <c r="T143" s="180"/>
      <c r="U143" s="184"/>
      <c r="V143" s="186"/>
      <c r="W143" s="186"/>
      <c r="X143" s="102"/>
      <c r="Y143" s="103"/>
      <c r="Z143" s="102"/>
      <c r="AA143" s="102"/>
      <c r="AB143" s="162"/>
      <c r="AC143" s="122"/>
      <c r="AD143" s="122"/>
    </row>
    <row r="144" spans="1:30" s="33" customFormat="1" ht="12.75" hidden="1" outlineLevel="1" x14ac:dyDescent="0.2">
      <c r="A144" s="180">
        <f t="shared" si="14"/>
        <v>139</v>
      </c>
      <c r="B144" s="242"/>
      <c r="C144" s="242"/>
      <c r="D144"/>
      <c r="E144"/>
      <c r="F144" s="213"/>
      <c r="G144"/>
      <c r="H144"/>
      <c r="I144"/>
      <c r="J144" s="239"/>
      <c r="K144" s="239"/>
      <c r="L144" s="148"/>
      <c r="M144" s="148"/>
      <c r="N144" s="101"/>
      <c r="O144" s="31"/>
      <c r="P144" s="109"/>
      <c r="Q144" s="180"/>
      <c r="R144" s="183"/>
      <c r="S144" s="109"/>
      <c r="T144" s="180"/>
      <c r="U144" s="184"/>
      <c r="V144" s="186"/>
      <c r="W144" s="186"/>
      <c r="X144" s="102"/>
      <c r="Y144" s="103"/>
      <c r="Z144" s="102"/>
      <c r="AA144" s="102"/>
      <c r="AB144" s="162"/>
      <c r="AC144" s="122"/>
      <c r="AD144" s="122"/>
    </row>
    <row r="145" spans="1:30" s="33" customFormat="1" ht="12.75" hidden="1" outlineLevel="1" x14ac:dyDescent="0.2">
      <c r="A145" s="180">
        <f t="shared" si="14"/>
        <v>140</v>
      </c>
      <c r="B145" s="218"/>
      <c r="C145" s="242"/>
      <c r="D145"/>
      <c r="E145"/>
      <c r="F145" s="213"/>
      <c r="G145"/>
      <c r="H145"/>
      <c r="I145"/>
      <c r="J145" s="239"/>
      <c r="K145" s="239"/>
      <c r="L145" s="148"/>
      <c r="M145" s="148"/>
      <c r="N145" s="101"/>
      <c r="O145" s="31"/>
      <c r="P145" s="109"/>
      <c r="Q145" s="180"/>
      <c r="R145" s="183"/>
      <c r="S145" s="109"/>
      <c r="T145" s="180"/>
      <c r="U145" s="184"/>
      <c r="V145" s="186"/>
      <c r="W145" s="186"/>
      <c r="X145" s="102"/>
      <c r="Y145" s="103"/>
      <c r="Z145" s="102"/>
      <c r="AA145" s="102"/>
      <c r="AB145" s="162"/>
      <c r="AC145" s="122"/>
      <c r="AD145" s="122"/>
    </row>
    <row r="146" spans="1:30" s="33" customFormat="1" ht="12.75" hidden="1" outlineLevel="1" x14ac:dyDescent="0.2">
      <c r="A146" s="180">
        <f t="shared" si="14"/>
        <v>141</v>
      </c>
      <c r="B146" s="241"/>
      <c r="C146" s="242"/>
      <c r="D146"/>
      <c r="E146"/>
      <c r="F146" s="213"/>
      <c r="G146"/>
      <c r="H146"/>
      <c r="I146"/>
      <c r="J146" s="239"/>
      <c r="K146" s="239"/>
      <c r="L146" s="148"/>
      <c r="M146" s="148"/>
      <c r="N146" s="101"/>
      <c r="O146" s="31"/>
      <c r="P146" s="109"/>
      <c r="Q146" s="180"/>
      <c r="R146" s="183"/>
      <c r="S146" s="109"/>
      <c r="T146" s="180"/>
      <c r="U146" s="184"/>
      <c r="V146" s="186"/>
      <c r="W146" s="186"/>
      <c r="X146" s="102"/>
      <c r="Y146" s="103"/>
      <c r="Z146" s="102"/>
      <c r="AA146" s="102"/>
      <c r="AB146" s="162"/>
      <c r="AC146" s="122"/>
      <c r="AD146" s="122"/>
    </row>
    <row r="147" spans="1:30" s="33" customFormat="1" ht="12.75" hidden="1" outlineLevel="1" x14ac:dyDescent="0.2">
      <c r="A147" s="180">
        <f t="shared" si="14"/>
        <v>142</v>
      </c>
      <c r="B147" s="241"/>
      <c r="C147" s="242"/>
      <c r="D147"/>
      <c r="E147"/>
      <c r="F147" s="213"/>
      <c r="G147"/>
      <c r="H147"/>
      <c r="I147"/>
      <c r="J147" s="239"/>
      <c r="K147" s="239"/>
      <c r="L147" s="148"/>
      <c r="M147" s="148"/>
      <c r="N147" s="165"/>
      <c r="O147" s="31"/>
      <c r="P147" s="109"/>
      <c r="Q147" s="180"/>
      <c r="R147" s="183"/>
      <c r="S147" s="109"/>
      <c r="T147" s="180"/>
      <c r="U147" s="184"/>
      <c r="V147" s="186"/>
      <c r="W147" s="186"/>
      <c r="X147" s="102"/>
      <c r="Y147" s="103"/>
      <c r="Z147" s="102"/>
      <c r="AA147" s="102"/>
      <c r="AB147" s="162"/>
      <c r="AC147" s="122"/>
      <c r="AD147" s="122"/>
    </row>
    <row r="148" spans="1:30" s="33" customFormat="1" ht="12.75" hidden="1" outlineLevel="1" x14ac:dyDescent="0.2">
      <c r="A148" s="180">
        <f t="shared" si="14"/>
        <v>143</v>
      </c>
      <c r="B148" s="241"/>
      <c r="C148" s="242"/>
      <c r="D148"/>
      <c r="E148"/>
      <c r="F148" s="213"/>
      <c r="G148"/>
      <c r="H148"/>
      <c r="I148"/>
      <c r="J148" s="239"/>
      <c r="K148" s="239"/>
      <c r="L148" s="148"/>
      <c r="M148" s="148"/>
      <c r="N148" s="101"/>
      <c r="O148" s="31"/>
      <c r="P148" s="109"/>
      <c r="Q148" s="180"/>
      <c r="R148" s="183"/>
      <c r="S148" s="109"/>
      <c r="T148" s="180"/>
      <c r="U148" s="184"/>
      <c r="V148" s="186"/>
      <c r="W148" s="186"/>
      <c r="X148" s="102"/>
      <c r="Y148" s="103"/>
      <c r="Z148" s="102"/>
      <c r="AA148" s="102"/>
      <c r="AB148" s="162"/>
      <c r="AC148" s="122"/>
      <c r="AD148" s="122"/>
    </row>
    <row r="149" spans="1:30" s="33" customFormat="1" ht="12.75" hidden="1" outlineLevel="1" x14ac:dyDescent="0.2">
      <c r="A149" s="180">
        <f t="shared" si="14"/>
        <v>144</v>
      </c>
      <c r="B149" s="241"/>
      <c r="C149" s="242"/>
      <c r="D149"/>
      <c r="E149"/>
      <c r="F149" s="213"/>
      <c r="G149"/>
      <c r="H149"/>
      <c r="I149"/>
      <c r="J149" s="239"/>
      <c r="K149" s="239"/>
      <c r="L149" s="148"/>
      <c r="M149" s="148"/>
      <c r="N149" s="101"/>
      <c r="O149" s="31"/>
      <c r="P149" s="109"/>
      <c r="Q149" s="180"/>
      <c r="R149" s="183"/>
      <c r="S149" s="109"/>
      <c r="T149" s="180"/>
      <c r="U149" s="184"/>
      <c r="V149" s="186"/>
      <c r="W149" s="186"/>
      <c r="X149" s="102"/>
      <c r="Y149" s="103"/>
      <c r="Z149" s="102"/>
      <c r="AA149" s="102"/>
      <c r="AB149" s="162"/>
      <c r="AC149" s="122"/>
      <c r="AD149" s="122"/>
    </row>
    <row r="150" spans="1:30" s="33" customFormat="1" ht="12.75" hidden="1" outlineLevel="1" x14ac:dyDescent="0.2">
      <c r="A150" s="180">
        <f t="shared" si="14"/>
        <v>145</v>
      </c>
      <c r="B150" s="217"/>
      <c r="C150" s="220"/>
      <c r="D150"/>
      <c r="E150"/>
      <c r="F150" s="213"/>
      <c r="G150"/>
      <c r="H150"/>
      <c r="I150"/>
      <c r="J150" s="239"/>
      <c r="K150" s="239"/>
      <c r="L150" s="148"/>
      <c r="M150" s="148"/>
      <c r="N150" s="101"/>
      <c r="O150" s="31"/>
      <c r="P150" s="109"/>
      <c r="Q150" s="180"/>
      <c r="R150" s="183"/>
      <c r="S150" s="109"/>
      <c r="T150" s="180"/>
      <c r="U150" s="184"/>
      <c r="V150" s="186"/>
      <c r="W150" s="186"/>
      <c r="X150" s="102"/>
      <c r="Y150" s="103"/>
      <c r="Z150" s="102"/>
      <c r="AA150" s="102"/>
      <c r="AB150" s="162"/>
      <c r="AC150" s="122"/>
      <c r="AD150" s="122"/>
    </row>
    <row r="151" spans="1:30" s="33" customFormat="1" ht="12.75" hidden="1" outlineLevel="1" x14ac:dyDescent="0.2">
      <c r="A151" s="180">
        <f t="shared" si="14"/>
        <v>146</v>
      </c>
      <c r="B151" s="217"/>
      <c r="C151" s="220"/>
      <c r="D151"/>
      <c r="E151"/>
      <c r="F151" s="213"/>
      <c r="G151"/>
      <c r="H151"/>
      <c r="I151"/>
      <c r="J151" s="239"/>
      <c r="K151" s="239"/>
      <c r="L151" s="148"/>
      <c r="M151" s="148"/>
      <c r="N151" s="101"/>
      <c r="O151" s="31"/>
      <c r="P151" s="109"/>
      <c r="Q151" s="180"/>
      <c r="R151" s="183"/>
      <c r="S151" s="109"/>
      <c r="T151" s="180"/>
      <c r="U151" s="184"/>
      <c r="V151" s="186"/>
      <c r="W151" s="186"/>
      <c r="X151" s="102"/>
      <c r="Y151" s="103"/>
      <c r="Z151" s="102"/>
      <c r="AA151" s="102"/>
      <c r="AB151" s="162"/>
      <c r="AC151" s="122"/>
      <c r="AD151" s="122"/>
    </row>
    <row r="152" spans="1:30" s="33" customFormat="1" ht="12.75" hidden="1" outlineLevel="1" x14ac:dyDescent="0.2">
      <c r="A152" s="180">
        <f t="shared" ref="A152:A186" si="15">+A151+1</f>
        <v>147</v>
      </c>
      <c r="B152" s="217"/>
      <c r="C152" s="220"/>
      <c r="D152"/>
      <c r="E152"/>
      <c r="F152" s="213"/>
      <c r="G152"/>
      <c r="H152"/>
      <c r="I152"/>
      <c r="J152" s="239"/>
      <c r="K152" s="239"/>
      <c r="L152" s="148"/>
      <c r="M152" s="148"/>
      <c r="N152" s="101"/>
      <c r="O152" s="31"/>
      <c r="P152" s="109"/>
      <c r="Q152" s="180"/>
      <c r="R152" s="183"/>
      <c r="S152" s="109"/>
      <c r="T152" s="180"/>
      <c r="U152" s="184"/>
      <c r="V152" s="186"/>
      <c r="W152" s="186"/>
      <c r="X152" s="102"/>
      <c r="Y152" s="103"/>
      <c r="Z152" s="102"/>
      <c r="AA152" s="102"/>
      <c r="AB152" s="162"/>
      <c r="AC152" s="122"/>
      <c r="AD152" s="122"/>
    </row>
    <row r="153" spans="1:30" s="33" customFormat="1" ht="12.75" hidden="1" outlineLevel="1" x14ac:dyDescent="0.2">
      <c r="A153" s="180">
        <f t="shared" si="15"/>
        <v>148</v>
      </c>
      <c r="B153" s="217"/>
      <c r="C153" s="220"/>
      <c r="D153"/>
      <c r="E153"/>
      <c r="F153" s="213"/>
      <c r="G153"/>
      <c r="H153"/>
      <c r="I153"/>
      <c r="J153" s="239"/>
      <c r="K153" s="239"/>
      <c r="L153" s="148"/>
      <c r="M153" s="148"/>
      <c r="N153" s="101"/>
      <c r="O153" s="31"/>
      <c r="P153" s="109"/>
      <c r="Q153" s="180"/>
      <c r="R153" s="183"/>
      <c r="S153" s="109"/>
      <c r="T153" s="180"/>
      <c r="U153" s="184"/>
      <c r="V153" s="186"/>
      <c r="W153" s="186"/>
      <c r="X153" s="102"/>
      <c r="Y153" s="103"/>
      <c r="Z153" s="102"/>
      <c r="AA153" s="102"/>
      <c r="AB153" s="162"/>
      <c r="AC153" s="122"/>
      <c r="AD153" s="122"/>
    </row>
    <row r="154" spans="1:30" s="33" customFormat="1" ht="12.75" hidden="1" outlineLevel="1" x14ac:dyDescent="0.2">
      <c r="A154" s="180">
        <f t="shared" si="15"/>
        <v>149</v>
      </c>
      <c r="B154" s="217"/>
      <c r="C154" s="220"/>
      <c r="D154"/>
      <c r="E154"/>
      <c r="F154" s="213"/>
      <c r="G154"/>
      <c r="H154"/>
      <c r="I154"/>
      <c r="J154" s="239"/>
      <c r="K154" s="239"/>
      <c r="L154" s="148"/>
      <c r="M154" s="148"/>
      <c r="N154" s="101"/>
      <c r="O154" s="31"/>
      <c r="P154" s="109"/>
      <c r="Q154" s="180"/>
      <c r="R154" s="183"/>
      <c r="S154" s="109"/>
      <c r="T154" s="180"/>
      <c r="U154" s="184"/>
      <c r="V154" s="186"/>
      <c r="W154" s="186"/>
      <c r="X154" s="102"/>
      <c r="Y154" s="103"/>
      <c r="Z154" s="102"/>
      <c r="AA154" s="102"/>
      <c r="AB154" s="162"/>
      <c r="AC154" s="122"/>
      <c r="AD154" s="122"/>
    </row>
    <row r="155" spans="1:30" s="33" customFormat="1" ht="12.75" hidden="1" outlineLevel="1" x14ac:dyDescent="0.2">
      <c r="A155" s="180">
        <f t="shared" si="15"/>
        <v>150</v>
      </c>
      <c r="B155" s="217"/>
      <c r="C155" s="220"/>
      <c r="D155"/>
      <c r="E155"/>
      <c r="F155" s="213"/>
      <c r="G155"/>
      <c r="H155"/>
      <c r="I155"/>
      <c r="J155" s="239"/>
      <c r="K155" s="239"/>
      <c r="L155" s="148"/>
      <c r="M155" s="148"/>
      <c r="N155" s="101"/>
      <c r="O155" s="31"/>
      <c r="P155" s="109"/>
      <c r="Q155" s="180"/>
      <c r="R155" s="183"/>
      <c r="S155" s="109"/>
      <c r="T155" s="180"/>
      <c r="U155" s="184"/>
      <c r="V155" s="186"/>
      <c r="W155" s="186"/>
      <c r="X155" s="102"/>
      <c r="Y155" s="103"/>
      <c r="Z155" s="102"/>
      <c r="AA155" s="102"/>
      <c r="AB155" s="162"/>
      <c r="AC155" s="122"/>
      <c r="AD155" s="122"/>
    </row>
    <row r="156" spans="1:30" s="33" customFormat="1" ht="12.75" hidden="1" outlineLevel="1" x14ac:dyDescent="0.2">
      <c r="A156" s="180">
        <f t="shared" si="15"/>
        <v>151</v>
      </c>
      <c r="B156" s="215"/>
      <c r="C156" s="242"/>
      <c r="D156"/>
      <c r="E156"/>
      <c r="F156" s="213"/>
      <c r="G156"/>
      <c r="H156"/>
      <c r="I156"/>
      <c r="J156" s="239"/>
      <c r="K156" s="239"/>
      <c r="L156" s="148"/>
      <c r="M156" s="148"/>
      <c r="N156" s="101"/>
      <c r="O156" s="31"/>
      <c r="P156" s="109"/>
      <c r="Q156" s="180"/>
      <c r="R156" s="183"/>
      <c r="S156" s="109"/>
      <c r="T156" s="180"/>
      <c r="U156" s="184"/>
      <c r="V156" s="186"/>
      <c r="W156" s="186"/>
      <c r="X156" s="102"/>
      <c r="Y156" s="103"/>
      <c r="Z156" s="102"/>
      <c r="AA156" s="102"/>
      <c r="AB156" s="162"/>
      <c r="AC156" s="122"/>
      <c r="AD156" s="122"/>
    </row>
    <row r="157" spans="1:30" s="33" customFormat="1" ht="12.75" hidden="1" outlineLevel="1" x14ac:dyDescent="0.2">
      <c r="A157" s="180">
        <f t="shared" si="15"/>
        <v>152</v>
      </c>
      <c r="B157" s="215"/>
      <c r="C157" s="242"/>
      <c r="D157"/>
      <c r="E157"/>
      <c r="F157" s="213"/>
      <c r="G157"/>
      <c r="H157"/>
      <c r="I157"/>
      <c r="J157" s="239"/>
      <c r="K157" s="239"/>
      <c r="L157" s="148"/>
      <c r="M157" s="148"/>
      <c r="N157" s="101"/>
      <c r="O157" s="31"/>
      <c r="P157" s="109"/>
      <c r="Q157" s="180"/>
      <c r="R157" s="183"/>
      <c r="S157" s="109"/>
      <c r="T157" s="180"/>
      <c r="U157" s="184"/>
      <c r="V157" s="186"/>
      <c r="W157" s="186"/>
      <c r="X157" s="102"/>
      <c r="Y157" s="103"/>
      <c r="Z157" s="102"/>
      <c r="AA157" s="102"/>
      <c r="AB157" s="162"/>
      <c r="AC157" s="122"/>
      <c r="AD157" s="122"/>
    </row>
    <row r="158" spans="1:30" s="33" customFormat="1" ht="12.75" hidden="1" outlineLevel="1" x14ac:dyDescent="0.2">
      <c r="A158" s="180">
        <f t="shared" si="15"/>
        <v>153</v>
      </c>
      <c r="B158" s="215"/>
      <c r="C158" s="242"/>
      <c r="D158"/>
      <c r="E158"/>
      <c r="F158" s="213"/>
      <c r="G158"/>
      <c r="H158"/>
      <c r="I158"/>
      <c r="J158" s="239"/>
      <c r="K158" s="239"/>
      <c r="L158" s="148"/>
      <c r="M158" s="148"/>
      <c r="N158" s="101"/>
      <c r="O158" s="31"/>
      <c r="P158" s="109"/>
      <c r="Q158" s="180"/>
      <c r="R158" s="183"/>
      <c r="S158" s="109"/>
      <c r="T158" s="180"/>
      <c r="U158" s="184"/>
      <c r="V158" s="186"/>
      <c r="W158" s="186"/>
      <c r="X158" s="102"/>
      <c r="Y158" s="103"/>
      <c r="Z158" s="102"/>
      <c r="AA158" s="102"/>
      <c r="AB158" s="162"/>
      <c r="AC158" s="122"/>
      <c r="AD158" s="122"/>
    </row>
    <row r="159" spans="1:30" s="33" customFormat="1" ht="12.75" hidden="1" outlineLevel="1" x14ac:dyDescent="0.2">
      <c r="A159" s="180">
        <f t="shared" si="15"/>
        <v>154</v>
      </c>
      <c r="B159" s="218"/>
      <c r="C159" s="242"/>
      <c r="D159"/>
      <c r="E159"/>
      <c r="F159" s="213"/>
      <c r="G159"/>
      <c r="H159"/>
      <c r="I159"/>
      <c r="J159" s="239"/>
      <c r="K159" s="239"/>
      <c r="L159" s="148"/>
      <c r="M159" s="148"/>
      <c r="N159" s="101"/>
      <c r="O159" s="31"/>
      <c r="P159" s="109"/>
      <c r="Q159" s="180"/>
      <c r="R159" s="183"/>
      <c r="S159" s="109"/>
      <c r="T159" s="180"/>
      <c r="U159" s="184"/>
      <c r="V159" s="186"/>
      <c r="W159" s="186"/>
      <c r="X159" s="102"/>
      <c r="Y159" s="103"/>
      <c r="Z159" s="102"/>
      <c r="AA159" s="102"/>
      <c r="AB159" s="162"/>
      <c r="AC159" s="122"/>
      <c r="AD159" s="122"/>
    </row>
    <row r="160" spans="1:30" s="33" customFormat="1" ht="12.75" hidden="1" outlineLevel="1" x14ac:dyDescent="0.2">
      <c r="A160" s="180">
        <f t="shared" si="15"/>
        <v>155</v>
      </c>
      <c r="B160" s="218"/>
      <c r="C160" s="242"/>
      <c r="D160"/>
      <c r="E160"/>
      <c r="F160" s="213"/>
      <c r="G160"/>
      <c r="H160"/>
      <c r="I160"/>
      <c r="J160" s="239"/>
      <c r="K160" s="239"/>
      <c r="L160" s="148"/>
      <c r="M160" s="148"/>
      <c r="N160" s="101"/>
      <c r="O160" s="31"/>
      <c r="P160" s="109"/>
      <c r="Q160" s="180"/>
      <c r="R160" s="183"/>
      <c r="S160" s="109"/>
      <c r="T160" s="180"/>
      <c r="U160" s="184"/>
      <c r="V160" s="186"/>
      <c r="W160" s="186"/>
      <c r="X160" s="102"/>
      <c r="Y160" s="103"/>
      <c r="Z160" s="102"/>
      <c r="AA160" s="102"/>
      <c r="AB160" s="162"/>
      <c r="AC160" s="122"/>
      <c r="AD160" s="122"/>
    </row>
    <row r="161" spans="1:30" s="33" customFormat="1" ht="12.75" hidden="1" outlineLevel="1" x14ac:dyDescent="0.2">
      <c r="A161" s="180">
        <f t="shared" si="15"/>
        <v>156</v>
      </c>
      <c r="B161" s="218"/>
      <c r="C161" s="242"/>
      <c r="D161"/>
      <c r="E161"/>
      <c r="F161" s="213"/>
      <c r="G161"/>
      <c r="H161"/>
      <c r="I161"/>
      <c r="J161" s="239"/>
      <c r="K161" s="239"/>
      <c r="L161" s="148"/>
      <c r="M161" s="148"/>
      <c r="N161" s="101"/>
      <c r="O161" s="31"/>
      <c r="P161" s="109"/>
      <c r="Q161" s="180"/>
      <c r="R161" s="183"/>
      <c r="S161" s="109"/>
      <c r="T161" s="180"/>
      <c r="U161" s="184"/>
      <c r="V161" s="186"/>
      <c r="W161" s="186"/>
      <c r="X161" s="102"/>
      <c r="Y161" s="103"/>
      <c r="Z161" s="102"/>
      <c r="AA161" s="102"/>
      <c r="AB161" s="162"/>
      <c r="AC161" s="122"/>
      <c r="AD161" s="122"/>
    </row>
    <row r="162" spans="1:30" s="33" customFormat="1" ht="12.75" hidden="1" outlineLevel="1" x14ac:dyDescent="0.2">
      <c r="A162" s="180">
        <f t="shared" si="15"/>
        <v>157</v>
      </c>
      <c r="B162" s="218"/>
      <c r="C162" s="242"/>
      <c r="D162"/>
      <c r="E162"/>
      <c r="F162" s="213"/>
      <c r="G162"/>
      <c r="H162"/>
      <c r="I162"/>
      <c r="J162" s="239"/>
      <c r="K162" s="239"/>
      <c r="L162" s="148"/>
      <c r="M162" s="148"/>
      <c r="N162" s="144"/>
      <c r="O162" s="31"/>
      <c r="P162" s="109"/>
      <c r="Q162" s="180"/>
      <c r="R162" s="183"/>
      <c r="S162" s="183"/>
      <c r="T162" s="183"/>
      <c r="U162" s="184"/>
      <c r="V162" s="186"/>
      <c r="W162" s="143"/>
      <c r="X162" s="102"/>
      <c r="Y162" s="103"/>
      <c r="Z162" s="102"/>
      <c r="AA162" s="102"/>
      <c r="AB162" s="162"/>
      <c r="AC162" s="122"/>
      <c r="AD162" s="122"/>
    </row>
    <row r="163" spans="1:30" s="33" customFormat="1" ht="12.75" hidden="1" outlineLevel="1" x14ac:dyDescent="0.2">
      <c r="A163" s="180">
        <f t="shared" si="15"/>
        <v>158</v>
      </c>
      <c r="B163" s="216"/>
      <c r="C163" s="207"/>
      <c r="D163" s="190"/>
      <c r="E163" s="191"/>
      <c r="F163" s="192"/>
      <c r="G163" s="191"/>
      <c r="H163" s="190"/>
      <c r="I163" s="191"/>
      <c r="J163" s="193"/>
      <c r="K163" s="85"/>
      <c r="L163" s="194"/>
      <c r="M163" s="194"/>
      <c r="N163" s="101"/>
      <c r="O163" s="31"/>
      <c r="P163" s="109"/>
      <c r="Q163" s="180"/>
      <c r="R163" s="183"/>
      <c r="S163" s="109"/>
      <c r="T163" s="180"/>
      <c r="U163" s="184"/>
      <c r="V163" s="186"/>
      <c r="W163" s="186"/>
      <c r="X163" s="102"/>
      <c r="Y163" s="103"/>
      <c r="Z163" s="102"/>
      <c r="AA163" s="102"/>
      <c r="AB163" s="162"/>
      <c r="AC163" s="122"/>
      <c r="AD163" s="122"/>
    </row>
    <row r="164" spans="1:30" s="33" customFormat="1" ht="12.75" hidden="1" outlineLevel="1" x14ac:dyDescent="0.2">
      <c r="A164" s="180">
        <f t="shared" si="15"/>
        <v>159</v>
      </c>
      <c r="B164" s="216"/>
      <c r="C164" s="207"/>
      <c r="D164" s="190"/>
      <c r="E164" s="191"/>
      <c r="F164" s="192"/>
      <c r="G164" s="191"/>
      <c r="H164" s="190"/>
      <c r="I164" s="191"/>
      <c r="J164" s="193"/>
      <c r="K164" s="85"/>
      <c r="L164" s="194"/>
      <c r="M164" s="194"/>
      <c r="N164" s="101"/>
      <c r="O164" s="31"/>
      <c r="P164" s="109"/>
      <c r="Q164" s="180"/>
      <c r="R164" s="183"/>
      <c r="S164" s="109"/>
      <c r="T164" s="180"/>
      <c r="U164" s="184"/>
      <c r="V164" s="186"/>
      <c r="W164" s="186"/>
      <c r="X164" s="102"/>
      <c r="Y164" s="103"/>
      <c r="Z164" s="102"/>
      <c r="AA164" s="102"/>
      <c r="AB164" s="162"/>
      <c r="AC164" s="122"/>
      <c r="AD164" s="122"/>
    </row>
    <row r="165" spans="1:30" s="33" customFormat="1" ht="12.75" hidden="1" outlineLevel="1" x14ac:dyDescent="0.2">
      <c r="A165" s="180">
        <f t="shared" si="15"/>
        <v>160</v>
      </c>
      <c r="B165" s="214"/>
      <c r="C165" s="135"/>
      <c r="D165" s="190"/>
      <c r="E165" s="191"/>
      <c r="F165" s="192"/>
      <c r="G165" s="191"/>
      <c r="H165" s="190"/>
      <c r="I165" s="191"/>
      <c r="J165" s="193"/>
      <c r="K165" s="85"/>
      <c r="L165" s="194"/>
      <c r="M165" s="194"/>
      <c r="N165" s="101"/>
      <c r="O165" s="31"/>
      <c r="P165" s="109"/>
      <c r="Q165" s="180"/>
      <c r="R165" s="183"/>
      <c r="S165" s="109"/>
      <c r="T165" s="180"/>
      <c r="U165" s="184"/>
      <c r="V165" s="186"/>
      <c r="W165" s="186"/>
      <c r="X165" s="102"/>
      <c r="Y165" s="103"/>
      <c r="Z165" s="102"/>
      <c r="AA165" s="102"/>
      <c r="AB165" s="162"/>
      <c r="AC165" s="122"/>
      <c r="AD165" s="122"/>
    </row>
    <row r="166" spans="1:30" s="33" customFormat="1" ht="12.75" hidden="1" outlineLevel="1" x14ac:dyDescent="0.2">
      <c r="A166" s="180">
        <f t="shared" si="15"/>
        <v>161</v>
      </c>
      <c r="B166" s="214"/>
      <c r="C166" s="135"/>
      <c r="D166" s="190"/>
      <c r="E166" s="191"/>
      <c r="F166" s="192"/>
      <c r="G166" s="191"/>
      <c r="H166" s="190"/>
      <c r="I166" s="191"/>
      <c r="J166" s="193"/>
      <c r="K166" s="85"/>
      <c r="L166" s="194"/>
      <c r="M166" s="194"/>
      <c r="N166" s="101"/>
      <c r="O166" s="31"/>
      <c r="P166" s="109"/>
      <c r="Q166" s="180"/>
      <c r="R166" s="183"/>
      <c r="S166" s="109"/>
      <c r="T166" s="180"/>
      <c r="U166" s="184"/>
      <c r="V166" s="186"/>
      <c r="W166" s="186"/>
      <c r="X166" s="102"/>
      <c r="Y166" s="103"/>
      <c r="Z166" s="102"/>
      <c r="AA166" s="102"/>
      <c r="AB166" s="162"/>
      <c r="AC166" s="122"/>
      <c r="AD166" s="122"/>
    </row>
    <row r="167" spans="1:30" s="33" customFormat="1" ht="12.75" hidden="1" outlineLevel="1" x14ac:dyDescent="0.2">
      <c r="A167" s="180">
        <f t="shared" si="15"/>
        <v>162</v>
      </c>
      <c r="B167" s="214"/>
      <c r="C167" s="135"/>
      <c r="D167" s="190"/>
      <c r="E167" s="191"/>
      <c r="F167" s="192"/>
      <c r="G167" s="191"/>
      <c r="H167" s="190"/>
      <c r="I167" s="191"/>
      <c r="J167" s="193"/>
      <c r="K167" s="85"/>
      <c r="L167" s="194"/>
      <c r="M167" s="194"/>
      <c r="N167" s="101"/>
      <c r="O167" s="31"/>
      <c r="P167" s="109"/>
      <c r="Q167" s="180"/>
      <c r="R167" s="183"/>
      <c r="S167" s="109"/>
      <c r="T167" s="180"/>
      <c r="U167" s="184"/>
      <c r="V167" s="186"/>
      <c r="W167" s="186"/>
      <c r="X167" s="102"/>
      <c r="Y167" s="103"/>
      <c r="Z167" s="102"/>
      <c r="AA167" s="102"/>
      <c r="AB167" s="162"/>
      <c r="AC167" s="122"/>
      <c r="AD167" s="122"/>
    </row>
    <row r="168" spans="1:30" s="33" customFormat="1" ht="12.75" hidden="1" outlineLevel="1" x14ac:dyDescent="0.2">
      <c r="A168" s="180">
        <f t="shared" si="15"/>
        <v>163</v>
      </c>
      <c r="B168" s="214"/>
      <c r="C168" s="135"/>
      <c r="D168" s="190"/>
      <c r="E168" s="191"/>
      <c r="F168" s="192"/>
      <c r="G168" s="191"/>
      <c r="H168" s="190"/>
      <c r="I168" s="191"/>
      <c r="J168" s="193"/>
      <c r="K168" s="85"/>
      <c r="L168" s="194"/>
      <c r="M168" s="194"/>
      <c r="N168" s="101"/>
      <c r="O168" s="31"/>
      <c r="P168" s="109"/>
      <c r="Q168" s="180"/>
      <c r="R168" s="183"/>
      <c r="S168" s="109"/>
      <c r="T168" s="180"/>
      <c r="U168" s="184"/>
      <c r="V168" s="186"/>
      <c r="W168" s="186"/>
      <c r="X168" s="102"/>
      <c r="Y168" s="103"/>
      <c r="Z168" s="102"/>
      <c r="AA168" s="102"/>
      <c r="AB168" s="162"/>
      <c r="AC168" s="122"/>
      <c r="AD168" s="122"/>
    </row>
    <row r="169" spans="1:30" s="33" customFormat="1" ht="12.75" hidden="1" outlineLevel="1" x14ac:dyDescent="0.2">
      <c r="A169" s="180">
        <f t="shared" si="15"/>
        <v>164</v>
      </c>
      <c r="B169" s="214"/>
      <c r="C169" s="135"/>
      <c r="D169" s="190"/>
      <c r="E169" s="191"/>
      <c r="F169" s="192"/>
      <c r="G169" s="191"/>
      <c r="H169" s="190"/>
      <c r="I169" s="191"/>
      <c r="J169" s="193"/>
      <c r="K169" s="85"/>
      <c r="L169" s="194"/>
      <c r="M169" s="194"/>
      <c r="N169" s="101"/>
      <c r="O169" s="31"/>
      <c r="P169" s="109"/>
      <c r="Q169" s="180"/>
      <c r="R169" s="183"/>
      <c r="S169" s="109"/>
      <c r="T169" s="180"/>
      <c r="U169" s="184"/>
      <c r="V169" s="186"/>
      <c r="W169" s="186"/>
      <c r="X169" s="102"/>
      <c r="Y169" s="103"/>
      <c r="Z169" s="102"/>
      <c r="AA169" s="102"/>
      <c r="AB169" s="162"/>
      <c r="AC169" s="122"/>
      <c r="AD169" s="122"/>
    </row>
    <row r="170" spans="1:30" s="33" customFormat="1" ht="12.75" hidden="1" outlineLevel="1" x14ac:dyDescent="0.2">
      <c r="A170" s="180">
        <f t="shared" si="15"/>
        <v>165</v>
      </c>
      <c r="B170" s="214"/>
      <c r="C170" s="135"/>
      <c r="D170" s="190"/>
      <c r="E170" s="191"/>
      <c r="F170" s="192"/>
      <c r="G170" s="191"/>
      <c r="H170" s="190"/>
      <c r="I170" s="191"/>
      <c r="J170" s="193"/>
      <c r="K170" s="85"/>
      <c r="L170" s="194"/>
      <c r="M170" s="194"/>
      <c r="N170" s="101"/>
      <c r="O170" s="31"/>
      <c r="P170" s="109"/>
      <c r="Q170" s="180"/>
      <c r="R170" s="183"/>
      <c r="S170" s="109"/>
      <c r="T170" s="180"/>
      <c r="U170" s="184"/>
      <c r="V170" s="186"/>
      <c r="W170" s="186"/>
      <c r="X170" s="102"/>
      <c r="Y170" s="103"/>
      <c r="Z170" s="102"/>
      <c r="AA170" s="102"/>
      <c r="AB170" s="162"/>
      <c r="AC170" s="122"/>
      <c r="AD170" s="122"/>
    </row>
    <row r="171" spans="1:30" s="33" customFormat="1" ht="12.75" hidden="1" outlineLevel="1" x14ac:dyDescent="0.2">
      <c r="A171" s="180">
        <f t="shared" si="15"/>
        <v>166</v>
      </c>
      <c r="B171" s="214"/>
      <c r="C171" s="135"/>
      <c r="D171" s="190"/>
      <c r="E171" s="191"/>
      <c r="F171" s="192"/>
      <c r="G171" s="191"/>
      <c r="H171" s="190"/>
      <c r="I171" s="191"/>
      <c r="J171" s="193"/>
      <c r="K171" s="85"/>
      <c r="L171" s="194"/>
      <c r="M171" s="194"/>
      <c r="N171" s="101"/>
      <c r="O171" s="31"/>
      <c r="P171" s="109"/>
      <c r="Q171" s="180"/>
      <c r="R171" s="183"/>
      <c r="S171" s="109"/>
      <c r="T171" s="180"/>
      <c r="U171" s="184"/>
      <c r="V171" s="186"/>
      <c r="W171" s="186"/>
      <c r="X171" s="102"/>
      <c r="Y171" s="103"/>
      <c r="Z171" s="102"/>
      <c r="AA171" s="102"/>
      <c r="AB171" s="162"/>
      <c r="AC171" s="122"/>
      <c r="AD171" s="122"/>
    </row>
    <row r="172" spans="1:30" s="33" customFormat="1" ht="12.75" hidden="1" outlineLevel="1" x14ac:dyDescent="0.2">
      <c r="A172" s="180">
        <f t="shared" si="15"/>
        <v>167</v>
      </c>
      <c r="B172" s="214"/>
      <c r="C172" s="135"/>
      <c r="D172" s="190"/>
      <c r="E172" s="191"/>
      <c r="F172" s="192"/>
      <c r="G172" s="191"/>
      <c r="H172" s="190"/>
      <c r="I172" s="191"/>
      <c r="J172" s="193"/>
      <c r="K172" s="85"/>
      <c r="L172" s="194"/>
      <c r="M172" s="194"/>
      <c r="N172" s="101"/>
      <c r="O172" s="31"/>
      <c r="P172" s="109"/>
      <c r="Q172" s="180"/>
      <c r="R172" s="183"/>
      <c r="S172" s="109"/>
      <c r="T172" s="180"/>
      <c r="U172" s="184"/>
      <c r="V172" s="186"/>
      <c r="W172" s="186"/>
      <c r="X172" s="102"/>
      <c r="Y172" s="103"/>
      <c r="Z172" s="102"/>
      <c r="AA172" s="102"/>
      <c r="AB172" s="162"/>
      <c r="AC172" s="122"/>
      <c r="AD172" s="122"/>
    </row>
    <row r="173" spans="1:30" s="33" customFormat="1" ht="12.75" hidden="1" outlineLevel="1" x14ac:dyDescent="0.2">
      <c r="A173" s="180">
        <f t="shared" si="15"/>
        <v>168</v>
      </c>
      <c r="B173" s="214"/>
      <c r="C173" s="135"/>
      <c r="D173" s="190"/>
      <c r="E173" s="191"/>
      <c r="F173" s="192"/>
      <c r="G173" s="191"/>
      <c r="H173" s="190"/>
      <c r="I173" s="191"/>
      <c r="J173" s="193"/>
      <c r="K173" s="85"/>
      <c r="L173" s="194"/>
      <c r="M173" s="194"/>
      <c r="N173" s="101"/>
      <c r="O173" s="31"/>
      <c r="P173" s="109"/>
      <c r="Q173" s="180"/>
      <c r="R173" s="183"/>
      <c r="S173" s="109"/>
      <c r="T173" s="180"/>
      <c r="U173" s="184"/>
      <c r="V173" s="186"/>
      <c r="W173" s="186"/>
      <c r="X173" s="102"/>
      <c r="Y173" s="103"/>
      <c r="Z173" s="102"/>
      <c r="AA173" s="102"/>
      <c r="AB173" s="162"/>
      <c r="AC173" s="122"/>
      <c r="AD173" s="122"/>
    </row>
    <row r="174" spans="1:30" s="33" customFormat="1" ht="12.75" hidden="1" outlineLevel="1" x14ac:dyDescent="0.2">
      <c r="A174" s="180">
        <f t="shared" si="15"/>
        <v>169</v>
      </c>
      <c r="B174" s="216"/>
      <c r="C174" s="207"/>
      <c r="D174" s="190"/>
      <c r="E174" s="191"/>
      <c r="F174" s="192"/>
      <c r="G174" s="191"/>
      <c r="H174" s="190"/>
      <c r="I174" s="191"/>
      <c r="J174" s="193"/>
      <c r="K174" s="85"/>
      <c r="L174" s="194"/>
      <c r="M174" s="194"/>
      <c r="N174" s="101"/>
      <c r="O174" s="31"/>
      <c r="P174" s="109"/>
      <c r="Q174" s="180"/>
      <c r="R174" s="183"/>
      <c r="S174" s="109"/>
      <c r="T174" s="180"/>
      <c r="U174" s="184"/>
      <c r="V174" s="186"/>
      <c r="W174" s="186"/>
      <c r="X174" s="102"/>
      <c r="Y174" s="103"/>
      <c r="Z174" s="102"/>
      <c r="AA174" s="102"/>
      <c r="AB174" s="162"/>
      <c r="AC174" s="122"/>
      <c r="AD174" s="122"/>
    </row>
    <row r="175" spans="1:30" s="33" customFormat="1" ht="12.75" hidden="1" outlineLevel="1" x14ac:dyDescent="0.2">
      <c r="A175" s="180">
        <f t="shared" si="15"/>
        <v>170</v>
      </c>
      <c r="B175" s="214"/>
      <c r="C175" s="135"/>
      <c r="D175" s="190"/>
      <c r="E175" s="191"/>
      <c r="F175" s="192"/>
      <c r="G175" s="191"/>
      <c r="H175" s="190"/>
      <c r="I175" s="191"/>
      <c r="J175" s="193"/>
      <c r="K175" s="85"/>
      <c r="L175" s="194"/>
      <c r="M175" s="194"/>
      <c r="N175" s="101"/>
      <c r="O175" s="31"/>
      <c r="P175" s="109"/>
      <c r="Q175" s="180"/>
      <c r="R175" s="183"/>
      <c r="S175" s="109"/>
      <c r="T175" s="180"/>
      <c r="U175" s="184"/>
      <c r="V175" s="186"/>
      <c r="W175" s="186"/>
      <c r="X175" s="102"/>
      <c r="Y175" s="103"/>
      <c r="Z175" s="102"/>
      <c r="AA175" s="102"/>
      <c r="AB175" s="162"/>
      <c r="AC175" s="122"/>
      <c r="AD175" s="122"/>
    </row>
    <row r="176" spans="1:30" s="33" customFormat="1" ht="12.75" hidden="1" outlineLevel="1" x14ac:dyDescent="0.2">
      <c r="A176" s="180">
        <f t="shared" si="15"/>
        <v>171</v>
      </c>
      <c r="B176" s="214"/>
      <c r="C176" s="135"/>
      <c r="D176" s="190"/>
      <c r="E176" s="191"/>
      <c r="F176" s="192"/>
      <c r="G176" s="191"/>
      <c r="H176" s="190"/>
      <c r="I176" s="191"/>
      <c r="J176" s="193"/>
      <c r="K176" s="85"/>
      <c r="L176" s="194"/>
      <c r="M176" s="194"/>
      <c r="N176" s="101"/>
      <c r="O176" s="31"/>
      <c r="P176" s="109"/>
      <c r="Q176" s="180"/>
      <c r="R176" s="183"/>
      <c r="S176" s="109"/>
      <c r="T176" s="180"/>
      <c r="U176" s="184"/>
      <c r="V176" s="186"/>
      <c r="W176" s="186"/>
      <c r="X176" s="102"/>
      <c r="Y176" s="103"/>
      <c r="Z176" s="102"/>
      <c r="AA176" s="102"/>
      <c r="AB176" s="162"/>
      <c r="AC176" s="122"/>
      <c r="AD176" s="122"/>
    </row>
    <row r="177" spans="1:30" s="33" customFormat="1" ht="12.75" hidden="1" outlineLevel="1" x14ac:dyDescent="0.2">
      <c r="A177" s="180">
        <f t="shared" si="15"/>
        <v>172</v>
      </c>
      <c r="B177" s="216"/>
      <c r="C177" s="207"/>
      <c r="D177" s="190"/>
      <c r="E177" s="191"/>
      <c r="F177" s="192"/>
      <c r="G177" s="191"/>
      <c r="H177" s="190"/>
      <c r="I177" s="191"/>
      <c r="J177" s="193"/>
      <c r="K177" s="85"/>
      <c r="L177" s="194"/>
      <c r="M177" s="194"/>
      <c r="N177" s="101"/>
      <c r="O177" s="31"/>
      <c r="P177" s="109"/>
      <c r="Q177" s="180"/>
      <c r="R177" s="183"/>
      <c r="S177" s="109"/>
      <c r="T177" s="180"/>
      <c r="U177" s="184"/>
      <c r="V177" s="186"/>
      <c r="W177" s="186"/>
      <c r="X177" s="102"/>
      <c r="Y177" s="103"/>
      <c r="Z177" s="102"/>
      <c r="AA177" s="102"/>
      <c r="AB177" s="162"/>
      <c r="AC177" s="122"/>
      <c r="AD177" s="122"/>
    </row>
    <row r="178" spans="1:30" s="33" customFormat="1" ht="12.75" hidden="1" outlineLevel="1" x14ac:dyDescent="0.2">
      <c r="A178" s="180">
        <f t="shared" si="15"/>
        <v>173</v>
      </c>
      <c r="B178" s="214"/>
      <c r="C178" s="135"/>
      <c r="D178" s="190"/>
      <c r="E178" s="191"/>
      <c r="F178" s="192"/>
      <c r="G178" s="191"/>
      <c r="H178" s="190"/>
      <c r="I178" s="191"/>
      <c r="J178" s="193"/>
      <c r="K178" s="85"/>
      <c r="L178" s="194"/>
      <c r="M178" s="194"/>
      <c r="N178" s="101"/>
      <c r="O178" s="31"/>
      <c r="P178" s="109"/>
      <c r="Q178" s="180"/>
      <c r="R178" s="183"/>
      <c r="S178" s="109"/>
      <c r="T178" s="180"/>
      <c r="U178" s="184"/>
      <c r="V178" s="186"/>
      <c r="W178" s="186"/>
      <c r="X178" s="102"/>
      <c r="Y178" s="103"/>
      <c r="Z178" s="102"/>
      <c r="AA178" s="102"/>
      <c r="AB178" s="162"/>
      <c r="AC178" s="122"/>
      <c r="AD178" s="122"/>
    </row>
    <row r="179" spans="1:30" s="33" customFormat="1" ht="12.75" hidden="1" outlineLevel="1" x14ac:dyDescent="0.2">
      <c r="A179" s="180">
        <f t="shared" si="15"/>
        <v>174</v>
      </c>
      <c r="B179" s="216"/>
      <c r="C179" s="207"/>
      <c r="D179" s="190"/>
      <c r="E179" s="191"/>
      <c r="F179" s="192"/>
      <c r="G179" s="191"/>
      <c r="H179" s="190"/>
      <c r="I179" s="191"/>
      <c r="J179" s="193"/>
      <c r="K179" s="85"/>
      <c r="L179" s="194"/>
      <c r="M179" s="194"/>
      <c r="N179" s="101"/>
      <c r="O179" s="31"/>
      <c r="P179" s="109"/>
      <c r="Q179" s="180"/>
      <c r="R179" s="183"/>
      <c r="S179" s="109"/>
      <c r="T179" s="180"/>
      <c r="U179" s="184"/>
      <c r="V179" s="186"/>
      <c r="W179" s="186"/>
      <c r="X179" s="102"/>
      <c r="Y179" s="103"/>
      <c r="Z179" s="102"/>
      <c r="AA179" s="102"/>
      <c r="AB179" s="162"/>
      <c r="AC179" s="122"/>
      <c r="AD179" s="122"/>
    </row>
    <row r="180" spans="1:30" s="33" customFormat="1" ht="12.75" hidden="1" outlineLevel="1" x14ac:dyDescent="0.2">
      <c r="A180" s="180">
        <f t="shared" si="15"/>
        <v>175</v>
      </c>
      <c r="B180" s="214"/>
      <c r="C180" s="135"/>
      <c r="D180" s="190"/>
      <c r="E180" s="191"/>
      <c r="F180" s="192"/>
      <c r="G180" s="191"/>
      <c r="H180" s="190"/>
      <c r="I180" s="191"/>
      <c r="J180" s="193"/>
      <c r="K180" s="85"/>
      <c r="L180" s="194"/>
      <c r="M180" s="194"/>
      <c r="N180" s="101"/>
      <c r="O180" s="31"/>
      <c r="P180" s="109"/>
      <c r="Q180" s="180"/>
      <c r="R180" s="183"/>
      <c r="S180" s="109"/>
      <c r="T180" s="180"/>
      <c r="U180" s="184"/>
      <c r="V180" s="186"/>
      <c r="W180" s="186"/>
      <c r="X180" s="102"/>
      <c r="Y180" s="103"/>
      <c r="Z180" s="102"/>
      <c r="AA180" s="102"/>
      <c r="AB180" s="162"/>
      <c r="AC180" s="122"/>
      <c r="AD180" s="122"/>
    </row>
    <row r="181" spans="1:30" s="33" customFormat="1" ht="12.75" hidden="1" outlineLevel="1" x14ac:dyDescent="0.2">
      <c r="A181" s="180">
        <f t="shared" si="15"/>
        <v>176</v>
      </c>
      <c r="B181" s="214"/>
      <c r="C181" s="135"/>
      <c r="D181" s="190"/>
      <c r="E181" s="191"/>
      <c r="F181" s="192"/>
      <c r="G181" s="191"/>
      <c r="H181" s="190"/>
      <c r="I181" s="191"/>
      <c r="J181" s="193"/>
      <c r="K181" s="85"/>
      <c r="L181" s="194"/>
      <c r="M181" s="194"/>
      <c r="N181" s="101"/>
      <c r="O181" s="31"/>
      <c r="P181" s="109"/>
      <c r="Q181" s="180"/>
      <c r="R181" s="183"/>
      <c r="S181" s="109"/>
      <c r="T181" s="180"/>
      <c r="U181" s="184"/>
      <c r="V181" s="186"/>
      <c r="W181" s="186"/>
      <c r="X181" s="102"/>
      <c r="Y181" s="103"/>
      <c r="Z181" s="102"/>
      <c r="AA181" s="102"/>
      <c r="AB181" s="162"/>
      <c r="AC181" s="122"/>
      <c r="AD181" s="122"/>
    </row>
    <row r="182" spans="1:30" s="33" customFormat="1" ht="12.75" hidden="1" outlineLevel="1" x14ac:dyDescent="0.2">
      <c r="A182" s="180">
        <f t="shared" si="15"/>
        <v>177</v>
      </c>
      <c r="B182" s="214"/>
      <c r="C182" s="135"/>
      <c r="D182" s="190"/>
      <c r="E182" s="191"/>
      <c r="F182" s="192"/>
      <c r="G182" s="191"/>
      <c r="H182" s="190"/>
      <c r="I182" s="191"/>
      <c r="J182" s="193"/>
      <c r="K182" s="85"/>
      <c r="L182" s="194"/>
      <c r="M182" s="194"/>
      <c r="N182" s="101"/>
      <c r="O182" s="31"/>
      <c r="P182" s="109"/>
      <c r="Q182" s="180"/>
      <c r="R182" s="183"/>
      <c r="S182" s="109"/>
      <c r="T182" s="180"/>
      <c r="U182" s="184"/>
      <c r="V182" s="186"/>
      <c r="W182" s="186"/>
      <c r="X182" s="102"/>
      <c r="Y182" s="103"/>
      <c r="Z182" s="102"/>
      <c r="AA182" s="102"/>
      <c r="AB182" s="162"/>
      <c r="AC182" s="122"/>
      <c r="AD182" s="122"/>
    </row>
    <row r="183" spans="1:30" s="33" customFormat="1" ht="12.75" hidden="1" outlineLevel="1" x14ac:dyDescent="0.2">
      <c r="A183" s="180">
        <f t="shared" si="15"/>
        <v>178</v>
      </c>
      <c r="B183" s="216"/>
      <c r="C183" s="219"/>
      <c r="D183" s="190"/>
      <c r="E183" s="191"/>
      <c r="F183" s="192"/>
      <c r="G183" s="191"/>
      <c r="H183" s="190"/>
      <c r="I183" s="191"/>
      <c r="J183" s="193"/>
      <c r="K183" s="85"/>
      <c r="L183" s="194"/>
      <c r="M183" s="194"/>
      <c r="N183" s="101"/>
      <c r="O183" s="31"/>
      <c r="P183" s="109"/>
      <c r="Q183" s="180"/>
      <c r="R183" s="183"/>
      <c r="S183" s="109"/>
      <c r="T183" s="180"/>
      <c r="U183" s="184"/>
      <c r="V183" s="186"/>
      <c r="W183" s="186"/>
      <c r="X183" s="102"/>
      <c r="Y183" s="103"/>
      <c r="Z183" s="102"/>
      <c r="AA183" s="102"/>
      <c r="AB183" s="162"/>
      <c r="AC183" s="122"/>
      <c r="AD183" s="122"/>
    </row>
    <row r="184" spans="1:30" s="33" customFormat="1" ht="12.75" hidden="1" outlineLevel="1" x14ac:dyDescent="0.2">
      <c r="A184" s="180">
        <f t="shared" si="15"/>
        <v>179</v>
      </c>
      <c r="B184" s="214"/>
      <c r="C184" s="135"/>
      <c r="D184" s="190"/>
      <c r="E184" s="191"/>
      <c r="F184" s="192"/>
      <c r="G184" s="191"/>
      <c r="H184" s="190"/>
      <c r="I184" s="191"/>
      <c r="J184" s="193"/>
      <c r="K184" s="85"/>
      <c r="L184" s="194"/>
      <c r="M184" s="194"/>
      <c r="N184" s="101"/>
      <c r="O184" s="31"/>
      <c r="P184" s="109"/>
      <c r="Q184" s="180"/>
      <c r="R184" s="183"/>
      <c r="S184" s="109"/>
      <c r="T184" s="180"/>
      <c r="U184" s="184"/>
      <c r="V184" s="186"/>
      <c r="W184" s="186"/>
      <c r="X184" s="102"/>
      <c r="Y184" s="103"/>
      <c r="Z184" s="102"/>
      <c r="AA184" s="102"/>
      <c r="AB184" s="162"/>
      <c r="AC184" s="122"/>
      <c r="AD184" s="122"/>
    </row>
    <row r="185" spans="1:30" s="33" customFormat="1" ht="12.75" hidden="1" outlineLevel="1" x14ac:dyDescent="0.2">
      <c r="A185" s="180">
        <f t="shared" si="15"/>
        <v>180</v>
      </c>
      <c r="B185" s="214"/>
      <c r="C185" s="135"/>
      <c r="D185" s="190"/>
      <c r="E185" s="191"/>
      <c r="F185" s="192"/>
      <c r="G185" s="191"/>
      <c r="H185" s="190"/>
      <c r="I185" s="191"/>
      <c r="J185" s="193"/>
      <c r="K185" s="85"/>
      <c r="L185" s="194"/>
      <c r="M185" s="194"/>
      <c r="N185" s="101"/>
      <c r="O185" s="31"/>
      <c r="P185" s="109"/>
      <c r="Q185" s="180"/>
      <c r="R185" s="183"/>
      <c r="S185" s="109"/>
      <c r="T185" s="180"/>
      <c r="U185" s="184"/>
      <c r="V185" s="186"/>
      <c r="W185" s="186"/>
      <c r="X185" s="102"/>
      <c r="Y185" s="103"/>
      <c r="Z185" s="102"/>
      <c r="AA185" s="102"/>
      <c r="AB185" s="162"/>
      <c r="AC185" s="122"/>
      <c r="AD185" s="122"/>
    </row>
    <row r="186" spans="1:30" s="33" customFormat="1" ht="12.75" hidden="1" outlineLevel="1" x14ac:dyDescent="0.2">
      <c r="A186" s="180">
        <f t="shared" si="15"/>
        <v>181</v>
      </c>
      <c r="B186" s="214"/>
      <c r="C186" s="135"/>
      <c r="D186" s="190"/>
      <c r="E186" s="191"/>
      <c r="F186" s="192"/>
      <c r="G186" s="191"/>
      <c r="H186" s="190"/>
      <c r="I186" s="191"/>
      <c r="J186" s="193"/>
      <c r="K186" s="85"/>
      <c r="L186" s="194"/>
      <c r="M186" s="194"/>
      <c r="N186" s="101"/>
      <c r="O186" s="31"/>
      <c r="P186" s="109"/>
      <c r="Q186" s="180"/>
      <c r="R186" s="183"/>
      <c r="S186" s="109"/>
      <c r="T186" s="180"/>
      <c r="U186" s="184"/>
      <c r="V186" s="186"/>
      <c r="W186" s="186"/>
      <c r="X186" s="102"/>
      <c r="Y186" s="103"/>
      <c r="Z186" s="102"/>
      <c r="AA186" s="102"/>
      <c r="AB186" s="162"/>
      <c r="AC186" s="122"/>
      <c r="AD186" s="122"/>
    </row>
    <row r="187" spans="1:30" s="33" customFormat="1" ht="12.75" hidden="1" outlineLevel="1" x14ac:dyDescent="0.2">
      <c r="A187" s="180"/>
      <c r="B187" s="214"/>
      <c r="C187" s="135"/>
      <c r="D187" s="190"/>
      <c r="E187" s="191"/>
      <c r="F187" s="192"/>
      <c r="G187" s="191"/>
      <c r="H187" s="190"/>
      <c r="I187" s="191"/>
      <c r="J187" s="193"/>
      <c r="K187" s="85"/>
      <c r="L187" s="194"/>
      <c r="M187" s="194"/>
      <c r="N187" s="101"/>
      <c r="O187" s="31"/>
      <c r="P187" s="109"/>
      <c r="Q187" s="180"/>
      <c r="R187" s="183"/>
      <c r="S187" s="109"/>
      <c r="T187" s="180"/>
      <c r="U187" s="184"/>
      <c r="V187" s="186"/>
      <c r="W187" s="186"/>
      <c r="X187" s="102"/>
      <c r="Y187" s="103"/>
      <c r="Z187" s="102"/>
      <c r="AA187" s="102"/>
      <c r="AB187" s="162"/>
      <c r="AC187" s="122"/>
      <c r="AD187" s="122"/>
    </row>
    <row r="188" spans="1:30" s="33" customFormat="1" ht="12.75" hidden="1" outlineLevel="1" x14ac:dyDescent="0.2">
      <c r="A188" s="180"/>
      <c r="B188" s="214"/>
      <c r="C188" s="135"/>
      <c r="D188" s="190"/>
      <c r="E188" s="191"/>
      <c r="F188" s="192"/>
      <c r="G188" s="191"/>
      <c r="H188" s="190"/>
      <c r="I188" s="191"/>
      <c r="J188" s="193"/>
      <c r="K188" s="85"/>
      <c r="L188" s="194"/>
      <c r="M188" s="194"/>
      <c r="N188" s="101"/>
      <c r="O188" s="31"/>
      <c r="P188" s="109"/>
      <c r="Q188" s="180"/>
      <c r="R188" s="183"/>
      <c r="S188" s="109"/>
      <c r="T188" s="180"/>
      <c r="U188" s="184"/>
      <c r="V188" s="186"/>
      <c r="W188" s="186"/>
      <c r="X188" s="102"/>
      <c r="Y188" s="103"/>
      <c r="Z188" s="102"/>
      <c r="AA188" s="102"/>
      <c r="AB188" s="162"/>
      <c r="AC188" s="122"/>
      <c r="AD188" s="122"/>
    </row>
    <row r="189" spans="1:30" s="33" customFormat="1" ht="12.75" hidden="1" outlineLevel="1" x14ac:dyDescent="0.2">
      <c r="A189" s="180"/>
      <c r="B189" s="214"/>
      <c r="C189" s="135"/>
      <c r="D189" s="190"/>
      <c r="E189" s="191"/>
      <c r="F189" s="192"/>
      <c r="G189" s="191"/>
      <c r="H189" s="190"/>
      <c r="I189" s="191"/>
      <c r="J189" s="193"/>
      <c r="K189" s="85"/>
      <c r="L189" s="194"/>
      <c r="M189" s="194"/>
      <c r="N189" s="101"/>
      <c r="O189" s="31"/>
      <c r="P189" s="109"/>
      <c r="Q189" s="180"/>
      <c r="R189" s="183"/>
      <c r="S189" s="109"/>
      <c r="T189" s="180"/>
      <c r="U189" s="184"/>
      <c r="V189" s="186"/>
      <c r="W189" s="186"/>
      <c r="X189" s="102"/>
      <c r="Y189" s="103"/>
      <c r="Z189" s="102"/>
      <c r="AA189" s="102"/>
      <c r="AB189" s="162"/>
      <c r="AC189" s="122"/>
      <c r="AD189" s="122"/>
    </row>
    <row r="190" spans="1:30" s="33" customFormat="1" ht="12.75" hidden="1" outlineLevel="1" x14ac:dyDescent="0.2">
      <c r="A190" s="180"/>
      <c r="B190" s="214"/>
      <c r="C190" s="135"/>
      <c r="D190" s="190"/>
      <c r="E190" s="191"/>
      <c r="F190" s="192"/>
      <c r="G190" s="191"/>
      <c r="H190" s="190"/>
      <c r="I190" s="191"/>
      <c r="J190" s="193"/>
      <c r="K190" s="85"/>
      <c r="L190" s="194"/>
      <c r="M190" s="194"/>
      <c r="N190" s="101"/>
      <c r="O190" s="31"/>
      <c r="P190" s="109"/>
      <c r="Q190" s="180"/>
      <c r="R190" s="183"/>
      <c r="S190" s="109"/>
      <c r="T190" s="180"/>
      <c r="U190" s="184"/>
      <c r="V190" s="186"/>
      <c r="W190" s="186"/>
      <c r="X190" s="102"/>
      <c r="Y190" s="103"/>
      <c r="Z190" s="102"/>
      <c r="AA190" s="102"/>
      <c r="AB190" s="162"/>
      <c r="AC190" s="122"/>
      <c r="AD190" s="122"/>
    </row>
    <row r="191" spans="1:30" s="33" customFormat="1" ht="12.75" hidden="1" outlineLevel="1" x14ac:dyDescent="0.2">
      <c r="A191" s="180"/>
      <c r="B191" s="214"/>
      <c r="C191" s="135"/>
      <c r="D191" s="190"/>
      <c r="E191" s="191"/>
      <c r="F191" s="192"/>
      <c r="G191" s="191"/>
      <c r="H191" s="190"/>
      <c r="I191" s="191"/>
      <c r="J191" s="193"/>
      <c r="K191" s="85"/>
      <c r="L191" s="194"/>
      <c r="M191" s="194"/>
      <c r="N191" s="101"/>
      <c r="O191" s="31"/>
      <c r="P191" s="109"/>
      <c r="Q191" s="180"/>
      <c r="R191" s="183"/>
      <c r="S191" s="109"/>
      <c r="T191" s="180"/>
      <c r="U191" s="184"/>
      <c r="V191" s="186"/>
      <c r="W191" s="186"/>
      <c r="X191" s="102"/>
      <c r="Y191" s="103"/>
      <c r="Z191" s="102"/>
      <c r="AA191" s="102"/>
      <c r="AB191" s="162"/>
      <c r="AC191" s="122"/>
      <c r="AD191" s="122"/>
    </row>
    <row r="192" spans="1:30" s="33" customFormat="1" ht="13.5" collapsed="1" thickBot="1" x14ac:dyDescent="0.25">
      <c r="A192" s="180"/>
      <c r="B192" s="154"/>
      <c r="C192" s="167"/>
      <c r="D192" s="35"/>
      <c r="E192" s="34"/>
      <c r="F192" s="79"/>
      <c r="G192" s="34"/>
      <c r="H192" s="84"/>
      <c r="I192" s="34"/>
      <c r="J192" s="83"/>
      <c r="K192" s="83"/>
      <c r="L192" s="36"/>
      <c r="M192" s="36"/>
      <c r="N192" s="85"/>
      <c r="O192" s="31"/>
      <c r="P192" s="109"/>
      <c r="Q192" s="180"/>
      <c r="R192" s="183"/>
      <c r="S192" s="109"/>
      <c r="T192" s="180"/>
      <c r="U192" s="184"/>
      <c r="V192" s="186"/>
      <c r="W192" s="186"/>
      <c r="X192" s="102"/>
      <c r="Y192" s="103"/>
      <c r="Z192" s="102"/>
      <c r="AA192" s="102"/>
      <c r="AB192" s="162"/>
      <c r="AC192" s="122"/>
      <c r="AD192" s="122"/>
    </row>
    <row r="193" spans="1:30" s="33" customFormat="1" ht="12.75" x14ac:dyDescent="0.2">
      <c r="A193" s="30"/>
      <c r="B193" s="155"/>
      <c r="C193" s="128"/>
      <c r="D193" s="128"/>
      <c r="E193" s="37"/>
      <c r="F193" s="80"/>
      <c r="G193" s="89"/>
      <c r="H193" s="89"/>
      <c r="I193" s="37"/>
      <c r="J193" s="206"/>
      <c r="K193" s="195"/>
      <c r="L193" s="196"/>
      <c r="M193" s="196"/>
      <c r="N193" s="38"/>
      <c r="O193" s="39"/>
      <c r="P193" s="109"/>
      <c r="Q193" s="30"/>
      <c r="R193" s="45"/>
      <c r="T193" s="30"/>
      <c r="U193" s="124"/>
      <c r="V193" s="186"/>
      <c r="W193" s="186"/>
      <c r="X193" s="102"/>
      <c r="Y193" s="103"/>
      <c r="Z193" s="102"/>
      <c r="AA193" s="102"/>
      <c r="AB193" s="162"/>
      <c r="AC193" s="122"/>
      <c r="AD193" s="122"/>
    </row>
    <row r="194" spans="1:30" s="33" customFormat="1" ht="12.75" x14ac:dyDescent="0.2">
      <c r="A194" s="30"/>
      <c r="B194" s="156"/>
      <c r="C194" s="99"/>
      <c r="D194" s="129"/>
      <c r="E194" s="40"/>
      <c r="F194" s="81"/>
      <c r="G194" s="90"/>
      <c r="H194" s="90"/>
      <c r="I194" s="40"/>
      <c r="J194" s="209">
        <f>SUM(J6:J171)</f>
        <v>17562365.899999991</v>
      </c>
      <c r="K194" s="198">
        <f>SUM(K6:K192)</f>
        <v>369557.4800000001</v>
      </c>
      <c r="L194" s="198">
        <f>SUM(L6:L192)</f>
        <v>2628438.4500000011</v>
      </c>
      <c r="M194" s="198">
        <f>SUM(M6:M192)</f>
        <v>20560361.830000009</v>
      </c>
      <c r="N194" s="41">
        <f>SUM(N6:N192)</f>
        <v>0</v>
      </c>
      <c r="O194" s="41">
        <f>SUM(O6:O192)</f>
        <v>0</v>
      </c>
      <c r="Q194" s="30"/>
      <c r="R194" s="45"/>
      <c r="T194" s="30"/>
      <c r="U194" s="124"/>
      <c r="V194" s="186"/>
      <c r="W194" s="186"/>
      <c r="X194" s="102"/>
      <c r="Y194" s="103"/>
      <c r="Z194" s="102"/>
      <c r="AA194" s="102"/>
      <c r="AB194" s="162"/>
      <c r="AC194" s="122"/>
      <c r="AD194" s="122"/>
    </row>
    <row r="195" spans="1:30" s="33" customFormat="1" ht="13.5" thickBot="1" x14ac:dyDescent="0.25">
      <c r="A195" s="30"/>
      <c r="B195" s="157"/>
      <c r="C195" s="42"/>
      <c r="D195" s="130"/>
      <c r="E195" s="42"/>
      <c r="F195" s="82"/>
      <c r="G195" s="91"/>
      <c r="H195" s="92"/>
      <c r="I195" s="42"/>
      <c r="J195" s="205"/>
      <c r="K195" s="199"/>
      <c r="L195" s="197"/>
      <c r="M195" s="197"/>
      <c r="N195" s="43"/>
      <c r="O195" s="44"/>
      <c r="Q195" s="30"/>
      <c r="R195" s="45"/>
      <c r="T195" s="30"/>
      <c r="U195" s="124"/>
      <c r="V195" s="166"/>
      <c r="W195" s="122"/>
      <c r="X195" s="102"/>
      <c r="Y195" s="103"/>
      <c r="Z195" s="102"/>
      <c r="AA195" s="102"/>
      <c r="AB195" s="162"/>
      <c r="AC195" s="122"/>
      <c r="AD195" s="122"/>
    </row>
    <row r="196" spans="1:30" s="33" customFormat="1" ht="12.75" x14ac:dyDescent="0.2">
      <c r="A196" s="30"/>
      <c r="B196" s="46"/>
      <c r="C196" s="47"/>
      <c r="D196" s="113"/>
      <c r="E196" s="48"/>
      <c r="F196" s="49"/>
      <c r="G196" s="133" t="s">
        <v>37</v>
      </c>
      <c r="H196" s="117"/>
      <c r="I196" s="8" t="s">
        <v>75</v>
      </c>
      <c r="J196" s="200">
        <v>10262581.65</v>
      </c>
      <c r="K196" s="201"/>
      <c r="L196" s="202"/>
      <c r="M196" s="203"/>
      <c r="N196" s="200"/>
      <c r="O196" s="6"/>
      <c r="Q196" s="30"/>
      <c r="R196" s="45"/>
      <c r="T196" s="30"/>
      <c r="U196" s="124"/>
      <c r="V196" s="166"/>
      <c r="W196" s="122"/>
      <c r="X196" s="102"/>
      <c r="Y196" s="103"/>
      <c r="Z196" s="102"/>
      <c r="AA196" s="102"/>
      <c r="AB196" s="162"/>
      <c r="AC196" s="122"/>
      <c r="AD196" s="122"/>
    </row>
    <row r="197" spans="1:30" s="33" customFormat="1" ht="12.75" x14ac:dyDescent="0.2">
      <c r="A197" s="30"/>
      <c r="B197" s="48"/>
      <c r="C197" s="47"/>
      <c r="D197" s="113"/>
      <c r="E197" s="48"/>
      <c r="F197" s="49"/>
      <c r="G197" s="133" t="s">
        <v>74</v>
      </c>
      <c r="H197" s="117"/>
      <c r="I197" s="8" t="s">
        <v>75</v>
      </c>
      <c r="J197" s="200">
        <v>6784262.5099999998</v>
      </c>
      <c r="K197" s="201"/>
      <c r="L197" s="202"/>
      <c r="M197" s="203"/>
      <c r="N197" s="200"/>
      <c r="O197" s="6"/>
      <c r="Q197" s="244">
        <f>J197-P197</f>
        <v>6784262.5099999998</v>
      </c>
      <c r="R197" s="45"/>
      <c r="T197" s="30"/>
      <c r="U197" s="124"/>
      <c r="V197" s="166"/>
      <c r="W197" s="122"/>
      <c r="X197" s="102"/>
      <c r="Y197" s="103"/>
      <c r="Z197" s="102"/>
      <c r="AA197" s="102"/>
      <c r="AB197" s="162"/>
      <c r="AC197" s="122"/>
      <c r="AD197" s="122"/>
    </row>
    <row r="198" spans="1:30" s="33" customFormat="1" ht="12.75" x14ac:dyDescent="0.2">
      <c r="A198" s="30"/>
      <c r="B198" s="48"/>
      <c r="C198" s="47"/>
      <c r="D198" s="113"/>
      <c r="E198" s="48"/>
      <c r="F198" s="49"/>
      <c r="G198" s="133" t="s">
        <v>38</v>
      </c>
      <c r="H198" s="117"/>
      <c r="I198" s="8" t="s">
        <v>75</v>
      </c>
      <c r="J198" s="204">
        <v>515521.74</v>
      </c>
      <c r="K198" s="201"/>
      <c r="L198" s="202"/>
      <c r="M198" s="202">
        <v>0</v>
      </c>
      <c r="N198" s="204"/>
      <c r="O198" s="6"/>
      <c r="Q198" s="30"/>
      <c r="R198" s="45"/>
      <c r="T198" s="30"/>
      <c r="U198" s="124"/>
      <c r="V198" s="166"/>
      <c r="W198" s="122"/>
      <c r="X198" s="102"/>
      <c r="Y198" s="103"/>
      <c r="Z198" s="102"/>
      <c r="AA198" s="102"/>
      <c r="AB198" s="162"/>
      <c r="AC198" s="122"/>
      <c r="AD198" s="122"/>
    </row>
    <row r="199" spans="1:30" s="33" customFormat="1" ht="12.75" x14ac:dyDescent="0.2">
      <c r="A199" s="30"/>
      <c r="B199" s="48" t="s">
        <v>151</v>
      </c>
      <c r="C199" s="47" t="s">
        <v>7</v>
      </c>
      <c r="D199" s="113"/>
      <c r="E199" s="48"/>
      <c r="F199" s="51"/>
      <c r="G199" s="133" t="s">
        <v>39</v>
      </c>
      <c r="H199" s="117"/>
      <c r="I199" s="8" t="s">
        <v>75</v>
      </c>
      <c r="J199" s="200">
        <f>SUM(J196:J198)</f>
        <v>17562365.899999999</v>
      </c>
      <c r="K199" s="204">
        <f>SUM(K196:K198)</f>
        <v>0</v>
      </c>
      <c r="L199" s="202"/>
      <c r="M199" s="200"/>
      <c r="N199" s="153">
        <f>+SUM(N196:N198)</f>
        <v>0</v>
      </c>
      <c r="O199" s="6"/>
      <c r="Q199" s="30"/>
      <c r="R199" s="45"/>
      <c r="T199" s="30"/>
      <c r="U199" s="124"/>
      <c r="V199" s="166"/>
      <c r="W199" s="122"/>
      <c r="X199" s="102"/>
      <c r="Y199" s="103"/>
      <c r="Z199" s="102"/>
      <c r="AA199" s="102"/>
      <c r="AB199" s="162"/>
      <c r="AC199" s="122"/>
      <c r="AD199" s="122"/>
    </row>
    <row r="200" spans="1:30" s="33" customFormat="1" ht="12.75" x14ac:dyDescent="0.2">
      <c r="A200" s="30"/>
      <c r="B200" s="48" t="s">
        <v>152</v>
      </c>
      <c r="C200" s="47" t="s">
        <v>255</v>
      </c>
      <c r="D200" s="113"/>
      <c r="E200" s="48"/>
      <c r="F200" s="49"/>
      <c r="G200" s="116"/>
      <c r="H200" s="117"/>
      <c r="I200" s="8"/>
      <c r="J200" s="200">
        <f>J194-J199</f>
        <v>0</v>
      </c>
      <c r="K200" s="201"/>
      <c r="L200" s="202"/>
      <c r="M200" s="200"/>
      <c r="N200" s="200">
        <f>N194-N199</f>
        <v>0</v>
      </c>
      <c r="O200" s="6"/>
      <c r="Q200" s="30"/>
      <c r="R200" s="45"/>
      <c r="T200" s="30"/>
      <c r="U200" s="124"/>
      <c r="V200" s="166"/>
      <c r="W200" s="122"/>
      <c r="X200" s="102"/>
      <c r="Y200" s="103"/>
      <c r="Z200" s="102"/>
      <c r="AA200" s="139"/>
      <c r="AB200" s="162"/>
      <c r="AC200" s="122"/>
      <c r="AD200" s="122"/>
    </row>
    <row r="201" spans="1:30" s="33" customFormat="1" ht="12.75" x14ac:dyDescent="0.2">
      <c r="A201" s="30"/>
      <c r="B201" s="48"/>
      <c r="C201" s="47"/>
      <c r="D201" s="113"/>
      <c r="E201" s="48"/>
      <c r="F201" s="49"/>
      <c r="G201" s="116"/>
      <c r="H201" s="117"/>
      <c r="I201" s="8" t="s">
        <v>40</v>
      </c>
      <c r="J201" s="200"/>
      <c r="K201" s="200">
        <f>+K194-K199</f>
        <v>369557.4800000001</v>
      </c>
      <c r="L201" s="202"/>
      <c r="M201" s="200"/>
      <c r="N201" s="52"/>
      <c r="O201" s="6"/>
      <c r="Q201" s="30"/>
      <c r="R201" s="45"/>
      <c r="T201" s="30"/>
      <c r="U201" s="124"/>
      <c r="V201" s="166"/>
      <c r="W201" s="122"/>
      <c r="X201" s="102"/>
      <c r="Y201" s="103"/>
      <c r="Z201" s="102"/>
      <c r="AB201" s="162"/>
      <c r="AC201" s="122"/>
      <c r="AD201" s="122"/>
    </row>
    <row r="202" spans="1:30" s="33" customFormat="1" ht="12.75" x14ac:dyDescent="0.2">
      <c r="A202" s="30"/>
      <c r="B202" s="48"/>
      <c r="C202" s="47"/>
      <c r="D202" s="113"/>
      <c r="E202" s="48"/>
      <c r="F202" s="49"/>
      <c r="G202" s="93"/>
      <c r="H202" s="94"/>
      <c r="I202" s="13"/>
      <c r="J202" s="19"/>
      <c r="K202" s="97"/>
      <c r="L202" s="141" t="s">
        <v>234</v>
      </c>
      <c r="M202" s="50"/>
      <c r="N202" s="50"/>
      <c r="O202" s="6"/>
      <c r="Q202" s="30"/>
      <c r="R202" s="45"/>
      <c r="T202" s="30"/>
      <c r="U202" s="124"/>
      <c r="V202" s="166"/>
      <c r="W202" s="122"/>
      <c r="X202" s="102"/>
      <c r="Y202" s="103"/>
      <c r="Z202" s="102"/>
      <c r="AB202" s="162"/>
      <c r="AC202" s="122"/>
      <c r="AD202" s="122"/>
    </row>
    <row r="203" spans="1:30" s="33" customFormat="1" ht="12.75" x14ac:dyDescent="0.2">
      <c r="A203" s="30"/>
      <c r="B203" s="48"/>
      <c r="C203" s="47"/>
      <c r="D203" s="113"/>
      <c r="E203" s="48"/>
      <c r="F203" s="49"/>
      <c r="G203" s="93"/>
      <c r="H203" s="94"/>
      <c r="I203" s="13"/>
      <c r="J203" s="19">
        <f>J78+J16+J17</f>
        <v>847119.35000000009</v>
      </c>
      <c r="K203" s="97"/>
      <c r="L203" s="141" t="s">
        <v>167</v>
      </c>
      <c r="M203" s="50"/>
      <c r="N203" s="50"/>
      <c r="O203" s="6"/>
      <c r="Q203" s="30"/>
      <c r="R203" s="45"/>
      <c r="T203" s="30"/>
      <c r="U203" s="124"/>
      <c r="V203" s="166"/>
      <c r="W203" s="122"/>
      <c r="X203" s="102"/>
      <c r="Y203" s="103"/>
      <c r="Z203" s="102"/>
      <c r="AB203" s="162"/>
      <c r="AC203" s="122"/>
      <c r="AD203" s="122"/>
    </row>
    <row r="204" spans="1:30" s="33" customFormat="1" ht="12.75" x14ac:dyDescent="0.2">
      <c r="A204" s="30"/>
      <c r="B204" s="113"/>
      <c r="C204" s="47" t="s">
        <v>256</v>
      </c>
      <c r="D204" s="113"/>
      <c r="E204" s="48"/>
      <c r="F204" s="49"/>
      <c r="G204" s="93"/>
      <c r="H204" s="94"/>
      <c r="I204" s="13"/>
      <c r="J204" s="19"/>
      <c r="K204" s="118">
        <f>+K199-K202-K203</f>
        <v>0</v>
      </c>
      <c r="L204" s="142" t="s">
        <v>129</v>
      </c>
      <c r="M204" s="50"/>
      <c r="N204" s="50"/>
      <c r="O204" s="6"/>
      <c r="Q204" s="30"/>
      <c r="R204" s="45"/>
      <c r="T204" s="30"/>
      <c r="U204" s="124"/>
      <c r="V204" s="166"/>
      <c r="W204" s="122"/>
      <c r="X204" s="102"/>
      <c r="Y204" s="103"/>
      <c r="Z204" s="102"/>
      <c r="AA204" s="102"/>
      <c r="AB204" s="162"/>
      <c r="AC204" s="122"/>
      <c r="AD204" s="122"/>
    </row>
    <row r="205" spans="1:30" s="33" customFormat="1" ht="12" customHeight="1" x14ac:dyDescent="0.2">
      <c r="A205" s="30"/>
      <c r="B205" s="48"/>
      <c r="C205" s="47"/>
      <c r="D205" s="233"/>
      <c r="E205" s="48"/>
      <c r="F205" s="51"/>
      <c r="G205" s="93"/>
      <c r="H205" s="94"/>
      <c r="I205" s="13"/>
      <c r="J205" s="19"/>
      <c r="K205" s="97"/>
      <c r="L205" s="50"/>
      <c r="M205" s="50"/>
      <c r="N205" s="50"/>
      <c r="O205" s="6"/>
      <c r="Q205" s="30"/>
      <c r="R205" s="45"/>
      <c r="T205" s="30"/>
      <c r="U205" s="124"/>
      <c r="V205" s="166"/>
      <c r="W205" s="122"/>
      <c r="X205" s="102"/>
      <c r="Y205" s="103"/>
      <c r="Z205" s="102"/>
      <c r="AA205" s="102"/>
      <c r="AB205" s="162"/>
      <c r="AC205" s="122"/>
      <c r="AD205" s="122"/>
    </row>
    <row r="206" spans="1:30" s="33" customFormat="1" ht="12" customHeight="1" x14ac:dyDescent="0.2">
      <c r="A206" s="30"/>
      <c r="B206" s="48"/>
      <c r="C206" s="47"/>
      <c r="D206" s="113"/>
      <c r="E206" s="48"/>
      <c r="F206" s="51"/>
      <c r="G206" s="93"/>
      <c r="H206" s="94"/>
      <c r="I206" s="13"/>
      <c r="J206" s="19"/>
      <c r="K206" s="97"/>
      <c r="L206" s="50"/>
      <c r="M206" s="50"/>
      <c r="N206" s="50"/>
      <c r="O206" s="6"/>
      <c r="Q206" s="30"/>
      <c r="R206" s="45"/>
      <c r="T206" s="30"/>
      <c r="U206" s="124"/>
      <c r="V206" s="166"/>
      <c r="W206" s="122"/>
      <c r="X206" s="102"/>
      <c r="Y206" s="103"/>
      <c r="Z206" s="102"/>
      <c r="AA206" s="102"/>
      <c r="AB206" s="162"/>
      <c r="AC206" s="122"/>
      <c r="AD206" s="122"/>
    </row>
    <row r="207" spans="1:30" s="33" customFormat="1" ht="12" customHeight="1" x14ac:dyDescent="0.2">
      <c r="A207" s="30"/>
      <c r="B207" s="48"/>
      <c r="C207" s="47"/>
      <c r="D207" s="113"/>
      <c r="E207" s="48"/>
      <c r="F207" s="51"/>
      <c r="G207" s="93"/>
      <c r="H207" s="94"/>
      <c r="I207" s="13"/>
      <c r="J207" s="19"/>
      <c r="K207" s="97"/>
      <c r="L207" s="50"/>
      <c r="M207" s="50"/>
      <c r="N207" s="50"/>
      <c r="O207" s="6"/>
      <c r="Q207" s="30"/>
      <c r="R207" s="45"/>
      <c r="T207" s="30"/>
      <c r="U207" s="124"/>
      <c r="V207" s="166"/>
      <c r="W207" s="122"/>
      <c r="X207" s="102"/>
      <c r="Y207" s="103"/>
      <c r="Z207" s="102"/>
      <c r="AA207" s="102"/>
      <c r="AB207" s="162"/>
      <c r="AC207" s="122"/>
      <c r="AD207" s="122"/>
    </row>
    <row r="208" spans="1:30" s="33" customFormat="1" ht="12.75" x14ac:dyDescent="0.2">
      <c r="A208" s="30"/>
      <c r="B208" s="138"/>
      <c r="C208" s="145"/>
      <c r="D208" s="137"/>
      <c r="E208" s="48"/>
      <c r="F208" s="49"/>
      <c r="G208" s="93"/>
      <c r="H208" s="94"/>
      <c r="I208" s="13"/>
      <c r="J208" s="19"/>
      <c r="K208" s="97"/>
      <c r="L208" s="50"/>
      <c r="M208" s="50"/>
      <c r="N208" s="50"/>
      <c r="O208" s="6"/>
      <c r="Q208" s="30"/>
      <c r="R208" s="45"/>
      <c r="T208" s="30"/>
      <c r="U208" s="124"/>
      <c r="V208" s="166"/>
      <c r="W208" s="122"/>
      <c r="X208" s="102"/>
      <c r="Y208" s="103"/>
      <c r="Z208" s="102"/>
      <c r="AA208" s="102"/>
      <c r="AB208" s="162"/>
      <c r="AC208" s="122"/>
      <c r="AD208" s="122"/>
    </row>
    <row r="209" spans="1:30" s="33" customFormat="1" ht="12" customHeight="1" x14ac:dyDescent="0.2">
      <c r="A209" s="30"/>
      <c r="B209" s="138"/>
      <c r="C209" s="145"/>
      <c r="D209" s="137"/>
      <c r="E209" s="48"/>
      <c r="F209" s="49"/>
      <c r="G209" s="93"/>
      <c r="H209" s="94"/>
      <c r="I209" s="13"/>
      <c r="J209" s="19"/>
      <c r="K209" s="97"/>
      <c r="L209" s="50"/>
      <c r="M209" s="50"/>
      <c r="N209" s="50"/>
      <c r="O209" s="6"/>
      <c r="Q209" s="30"/>
      <c r="R209" s="45"/>
      <c r="T209" s="30"/>
      <c r="U209" s="124"/>
      <c r="V209" s="166"/>
      <c r="W209" s="122"/>
      <c r="X209" s="102"/>
      <c r="Y209" s="103"/>
      <c r="Z209" s="102"/>
      <c r="AA209" s="102"/>
      <c r="AB209" s="162"/>
      <c r="AC209" s="122"/>
      <c r="AD209" s="122"/>
    </row>
    <row r="210" spans="1:30" s="33" customFormat="1" ht="12.75" x14ac:dyDescent="0.2">
      <c r="A210" s="30"/>
      <c r="B210" s="138"/>
      <c r="C210" s="145"/>
      <c r="D210" s="137"/>
      <c r="E210" s="138"/>
      <c r="F210" s="146"/>
      <c r="G210" s="93"/>
      <c r="H210" s="94"/>
      <c r="I210" s="13"/>
      <c r="J210" s="19"/>
      <c r="K210" s="97"/>
      <c r="L210" s="50"/>
      <c r="M210" s="50"/>
      <c r="N210" s="50"/>
      <c r="O210" s="6"/>
      <c r="Q210" s="30"/>
      <c r="R210" s="45"/>
      <c r="T210" s="30"/>
      <c r="U210" s="124"/>
      <c r="V210" s="166"/>
      <c r="W210" s="122"/>
      <c r="X210" s="102"/>
      <c r="Y210" s="103"/>
      <c r="Z210" s="102"/>
      <c r="AA210" s="102"/>
      <c r="AB210" s="162"/>
      <c r="AC210" s="122"/>
      <c r="AD210" s="122"/>
    </row>
    <row r="211" spans="1:30" s="33" customFormat="1" ht="12.75" x14ac:dyDescent="0.2">
      <c r="A211" s="30"/>
      <c r="B211" s="138"/>
      <c r="C211" s="145"/>
      <c r="D211" s="137"/>
      <c r="E211" s="138"/>
      <c r="F211" s="146"/>
      <c r="G211" s="93"/>
      <c r="H211" s="94"/>
      <c r="I211" s="13"/>
      <c r="J211" s="19"/>
      <c r="K211" s="97"/>
      <c r="L211" s="50"/>
      <c r="M211" s="50"/>
      <c r="N211" s="50"/>
      <c r="O211" s="6"/>
      <c r="Q211" s="30"/>
      <c r="R211" s="45"/>
      <c r="T211" s="30"/>
      <c r="U211" s="124"/>
      <c r="V211" s="166"/>
      <c r="W211" s="122"/>
      <c r="X211" s="102"/>
      <c r="Y211" s="103"/>
      <c r="Z211" s="102"/>
      <c r="AA211" s="102"/>
      <c r="AB211" s="162"/>
      <c r="AC211" s="122"/>
      <c r="AD211" s="122"/>
    </row>
    <row r="212" spans="1:30" s="33" customFormat="1" ht="12.75" x14ac:dyDescent="0.2">
      <c r="A212" s="30"/>
      <c r="B212" s="138"/>
      <c r="C212" s="145"/>
      <c r="D212" s="137"/>
      <c r="E212" s="138"/>
      <c r="F212" s="146"/>
      <c r="G212" s="93"/>
      <c r="H212" s="94"/>
      <c r="I212" s="13"/>
      <c r="J212" s="19"/>
      <c r="K212" s="97"/>
      <c r="L212" s="50"/>
      <c r="M212" s="50"/>
      <c r="N212" s="50"/>
      <c r="O212" s="6"/>
      <c r="Q212" s="30"/>
      <c r="R212" s="45"/>
      <c r="T212" s="30"/>
      <c r="U212" s="124"/>
      <c r="V212" s="166"/>
      <c r="W212" s="122"/>
      <c r="X212" s="102"/>
      <c r="Y212" s="103"/>
      <c r="Z212" s="102"/>
      <c r="AA212" s="102"/>
      <c r="AB212" s="162"/>
      <c r="AC212" s="122"/>
      <c r="AD212" s="122"/>
    </row>
    <row r="213" spans="1:30" s="33" customFormat="1" ht="12.75" x14ac:dyDescent="0.2">
      <c r="A213" s="30"/>
      <c r="B213" s="138"/>
      <c r="C213" s="145"/>
      <c r="D213" s="137"/>
      <c r="E213" s="138"/>
      <c r="F213" s="146"/>
      <c r="G213" s="48"/>
      <c r="H213" s="21"/>
      <c r="I213" s="13"/>
      <c r="J213" s="19"/>
      <c r="K213" s="97"/>
      <c r="L213" s="50"/>
      <c r="M213" s="50"/>
      <c r="N213" s="50"/>
      <c r="O213" s="6"/>
      <c r="Q213" s="30"/>
      <c r="R213" s="45"/>
      <c r="T213" s="30"/>
      <c r="U213" s="124"/>
      <c r="V213" s="166"/>
      <c r="W213" s="122"/>
      <c r="X213" s="102"/>
      <c r="Y213" s="103"/>
      <c r="Z213" s="102"/>
      <c r="AA213" s="102"/>
      <c r="AB213" s="162"/>
      <c r="AC213" s="122"/>
      <c r="AD213" s="122"/>
    </row>
    <row r="214" spans="1:30" s="33" customFormat="1" ht="12.75" x14ac:dyDescent="0.2">
      <c r="A214" s="30"/>
      <c r="B214" s="138"/>
      <c r="C214" s="145"/>
      <c r="D214" s="137"/>
      <c r="E214" s="138"/>
      <c r="F214" s="146"/>
      <c r="G214" s="48"/>
      <c r="H214" s="21"/>
      <c r="I214" s="13"/>
      <c r="J214" s="19"/>
      <c r="K214" s="97"/>
      <c r="L214" s="50"/>
      <c r="M214" s="50"/>
      <c r="N214" s="50"/>
      <c r="O214" s="6"/>
      <c r="Q214" s="30"/>
      <c r="R214" s="45"/>
      <c r="T214" s="30"/>
      <c r="U214" s="124"/>
      <c r="V214" s="166"/>
      <c r="W214" s="122"/>
      <c r="X214" s="102"/>
      <c r="Y214" s="103"/>
      <c r="Z214" s="102"/>
      <c r="AA214" s="102"/>
      <c r="AB214" s="162"/>
      <c r="AC214" s="122"/>
      <c r="AD214" s="122"/>
    </row>
    <row r="215" spans="1:30" s="33" customFormat="1" ht="12.75" x14ac:dyDescent="0.2">
      <c r="A215" s="30"/>
      <c r="B215" s="138"/>
      <c r="C215" s="145"/>
      <c r="D215" s="137"/>
      <c r="E215" s="138"/>
      <c r="F215" s="146"/>
      <c r="G215" s="48"/>
      <c r="H215" s="21"/>
      <c r="I215" s="13"/>
      <c r="J215" s="19"/>
      <c r="K215" s="97"/>
      <c r="L215" s="50"/>
      <c r="M215" s="50"/>
      <c r="N215" s="50"/>
      <c r="O215" s="6"/>
      <c r="Q215" s="30"/>
      <c r="R215" s="45"/>
      <c r="T215" s="30"/>
      <c r="U215" s="124"/>
      <c r="V215" s="166"/>
      <c r="W215" s="122"/>
      <c r="X215" s="102"/>
      <c r="Y215" s="103"/>
      <c r="Z215" s="102"/>
      <c r="AA215" s="102"/>
      <c r="AB215" s="162"/>
      <c r="AC215" s="122"/>
      <c r="AD215" s="122"/>
    </row>
    <row r="216" spans="1:30" s="33" customFormat="1" ht="12.75" x14ac:dyDescent="0.2">
      <c r="A216" s="13"/>
      <c r="B216" s="138"/>
      <c r="C216" s="145"/>
      <c r="D216" s="137"/>
      <c r="E216" s="138"/>
      <c r="F216" s="146"/>
      <c r="G216" s="48"/>
      <c r="H216" s="21"/>
      <c r="I216" s="13"/>
      <c r="J216" s="19"/>
      <c r="K216" s="97"/>
      <c r="L216" s="50"/>
      <c r="M216" s="50"/>
      <c r="N216" s="50"/>
      <c r="O216" s="6"/>
      <c r="Q216" s="30"/>
      <c r="R216" s="45"/>
      <c r="T216" s="30"/>
      <c r="U216" s="124"/>
      <c r="V216" s="166"/>
      <c r="W216" s="122"/>
      <c r="X216" s="102"/>
      <c r="Y216" s="103"/>
      <c r="Z216" s="102"/>
      <c r="AA216" s="102"/>
      <c r="AB216" s="162"/>
      <c r="AC216" s="122"/>
      <c r="AD216" s="122"/>
    </row>
    <row r="217" spans="1:30" s="33" customFormat="1" ht="12.75" x14ac:dyDescent="0.2">
      <c r="A217" s="13"/>
      <c r="B217" s="138"/>
      <c r="C217" s="145"/>
      <c r="D217" s="137"/>
      <c r="E217" s="138"/>
      <c r="F217" s="146"/>
      <c r="G217" s="48"/>
      <c r="H217" s="21"/>
      <c r="I217" s="13"/>
      <c r="J217" s="19"/>
      <c r="K217" s="97"/>
      <c r="L217" s="50"/>
      <c r="M217" s="50"/>
      <c r="N217" s="50"/>
      <c r="O217" s="6"/>
      <c r="Q217" s="30"/>
      <c r="R217" s="45"/>
      <c r="T217" s="30"/>
      <c r="U217" s="124"/>
      <c r="V217" s="166"/>
      <c r="W217" s="122"/>
      <c r="X217" s="102"/>
      <c r="Y217" s="103"/>
      <c r="Z217" s="102"/>
      <c r="AA217" s="102"/>
      <c r="AB217" s="162"/>
      <c r="AC217" s="122"/>
      <c r="AD217" s="122"/>
    </row>
    <row r="218" spans="1:30" s="33" customFormat="1" ht="12.75" x14ac:dyDescent="0.2">
      <c r="A218" s="13"/>
      <c r="B218" s="138"/>
      <c r="C218" s="145"/>
      <c r="D218" s="137"/>
      <c r="E218" s="138"/>
      <c r="F218" s="146"/>
      <c r="G218" s="48"/>
      <c r="H218" s="21"/>
      <c r="I218" s="13"/>
      <c r="J218" s="19"/>
      <c r="K218" s="97"/>
      <c r="L218" s="50"/>
      <c r="M218" s="50"/>
      <c r="N218" s="50"/>
      <c r="O218" s="6"/>
      <c r="Q218" s="30"/>
      <c r="R218" s="45"/>
      <c r="T218" s="30"/>
      <c r="U218" s="124"/>
      <c r="V218" s="166"/>
      <c r="W218" s="122"/>
      <c r="X218" s="102"/>
      <c r="Y218" s="103"/>
      <c r="Z218" s="102"/>
      <c r="AA218" s="102"/>
      <c r="AB218" s="162"/>
      <c r="AC218" s="122"/>
      <c r="AD218" s="122"/>
    </row>
    <row r="219" spans="1:30" s="33" customFormat="1" ht="12.75" x14ac:dyDescent="0.2">
      <c r="A219" s="13"/>
      <c r="B219" s="138"/>
      <c r="C219" s="145"/>
      <c r="D219" s="137"/>
      <c r="E219" s="138"/>
      <c r="F219" s="146"/>
      <c r="G219" s="48"/>
      <c r="H219" s="21"/>
      <c r="I219" s="13"/>
      <c r="J219" s="19"/>
      <c r="K219" s="97"/>
      <c r="L219" s="50"/>
      <c r="M219" s="50"/>
      <c r="N219" s="50"/>
      <c r="O219" s="6"/>
      <c r="Q219" s="30"/>
      <c r="R219" s="45"/>
      <c r="T219" s="30"/>
      <c r="U219" s="124"/>
      <c r="V219" s="166"/>
      <c r="W219" s="122"/>
      <c r="X219" s="102"/>
      <c r="Y219" s="103"/>
      <c r="Z219" s="102"/>
      <c r="AA219" s="102"/>
      <c r="AB219" s="162"/>
      <c r="AC219" s="122"/>
      <c r="AD219" s="122"/>
    </row>
    <row r="220" spans="1:30" s="33" customFormat="1" ht="12.75" x14ac:dyDescent="0.2">
      <c r="A220" s="13"/>
      <c r="B220" s="138"/>
      <c r="C220" s="145"/>
      <c r="D220" s="137"/>
      <c r="E220" s="138"/>
      <c r="F220" s="146"/>
      <c r="G220" s="48"/>
      <c r="H220" s="21"/>
      <c r="I220" s="13"/>
      <c r="J220" s="19"/>
      <c r="K220" s="97"/>
      <c r="L220" s="50"/>
      <c r="M220" s="50"/>
      <c r="N220" s="50"/>
      <c r="O220" s="6"/>
      <c r="Q220" s="30"/>
      <c r="R220" s="45"/>
      <c r="T220" s="30"/>
      <c r="U220" s="124"/>
      <c r="V220" s="166"/>
      <c r="W220" s="122"/>
      <c r="X220" s="102"/>
      <c r="Y220" s="103"/>
      <c r="Z220" s="102"/>
      <c r="AA220" s="102"/>
      <c r="AB220" s="162"/>
      <c r="AC220" s="122"/>
      <c r="AD220" s="122"/>
    </row>
    <row r="221" spans="1:30" s="33" customFormat="1" ht="12.75" x14ac:dyDescent="0.2">
      <c r="A221" s="13"/>
      <c r="B221" s="138"/>
      <c r="C221" s="145"/>
      <c r="D221" s="137"/>
      <c r="E221" s="138"/>
      <c r="F221" s="147"/>
      <c r="G221" s="48"/>
      <c r="H221" s="21"/>
      <c r="I221" s="13"/>
      <c r="J221" s="19"/>
      <c r="K221" s="97"/>
      <c r="L221" s="50"/>
      <c r="M221" s="50"/>
      <c r="N221" s="50"/>
      <c r="O221" s="6"/>
      <c r="Q221" s="30"/>
      <c r="R221" s="45"/>
      <c r="T221" s="30"/>
      <c r="U221" s="124"/>
      <c r="V221" s="166"/>
      <c r="W221" s="122"/>
      <c r="X221" s="102"/>
      <c r="Y221" s="103"/>
      <c r="Z221" s="102"/>
      <c r="AA221" s="102"/>
      <c r="AB221" s="162"/>
      <c r="AC221" s="122"/>
      <c r="AD221" s="122"/>
    </row>
    <row r="222" spans="1:30" s="33" customFormat="1" ht="12.75" x14ac:dyDescent="0.2">
      <c r="A222" s="13"/>
      <c r="B222" s="138"/>
      <c r="C222" s="145"/>
      <c r="D222" s="137"/>
      <c r="E222" s="138"/>
      <c r="F222" s="146"/>
      <c r="G222" s="48"/>
      <c r="H222" s="21"/>
      <c r="I222" s="13"/>
      <c r="J222" s="19"/>
      <c r="K222" s="97"/>
      <c r="L222" s="50"/>
      <c r="M222" s="50"/>
      <c r="N222" s="50"/>
      <c r="O222" s="6"/>
      <c r="Q222" s="30"/>
      <c r="R222" s="45"/>
      <c r="T222" s="30"/>
      <c r="U222" s="124"/>
      <c r="V222" s="166"/>
      <c r="W222" s="122"/>
      <c r="X222" s="102"/>
      <c r="Y222" s="103"/>
      <c r="Z222" s="102"/>
      <c r="AA222" s="102"/>
      <c r="AB222" s="162"/>
      <c r="AC222" s="122"/>
      <c r="AD222" s="122"/>
    </row>
    <row r="223" spans="1:30" s="33" customFormat="1" ht="12.75" x14ac:dyDescent="0.2">
      <c r="A223" s="13"/>
      <c r="B223" s="138"/>
      <c r="C223" s="145"/>
      <c r="D223" s="137"/>
      <c r="E223" s="138"/>
      <c r="F223" s="146"/>
      <c r="G223" s="48"/>
      <c r="H223" s="21"/>
      <c r="I223" s="13"/>
      <c r="J223" s="19"/>
      <c r="K223" s="97"/>
      <c r="L223" s="50"/>
      <c r="M223" s="50"/>
      <c r="N223" s="50"/>
      <c r="O223" s="6"/>
      <c r="Q223" s="30"/>
      <c r="R223" s="45"/>
      <c r="T223" s="30"/>
      <c r="U223" s="124"/>
      <c r="V223" s="166"/>
      <c r="W223" s="122"/>
      <c r="X223" s="102"/>
      <c r="Y223" s="103"/>
      <c r="Z223" s="102"/>
      <c r="AA223" s="102"/>
      <c r="AB223" s="162"/>
      <c r="AC223" s="122"/>
      <c r="AD223" s="122"/>
    </row>
    <row r="224" spans="1:30" s="33" customFormat="1" ht="12.75" x14ac:dyDescent="0.2">
      <c r="A224" s="13"/>
      <c r="B224" s="138"/>
      <c r="C224" s="145"/>
      <c r="D224" s="137"/>
      <c r="E224" s="138"/>
      <c r="F224" s="146"/>
      <c r="G224" s="48"/>
      <c r="H224" s="21"/>
      <c r="I224" s="13"/>
      <c r="J224" s="19"/>
      <c r="K224" s="97"/>
      <c r="L224" s="50"/>
      <c r="M224" s="50"/>
      <c r="N224" s="50"/>
      <c r="O224" s="6"/>
      <c r="Q224" s="30"/>
      <c r="R224" s="45"/>
      <c r="T224" s="30"/>
      <c r="U224" s="124"/>
      <c r="V224" s="166"/>
      <c r="W224" s="122"/>
      <c r="X224" s="102"/>
      <c r="Y224" s="103"/>
      <c r="Z224" s="102"/>
      <c r="AA224" s="102"/>
      <c r="AB224" s="162"/>
      <c r="AC224" s="122"/>
      <c r="AD224" s="122"/>
    </row>
    <row r="225" spans="1:30" s="33" customFormat="1" ht="12.75" x14ac:dyDescent="0.2">
      <c r="A225" s="13"/>
      <c r="B225" s="138"/>
      <c r="C225" s="145"/>
      <c r="D225" s="137"/>
      <c r="E225" s="138"/>
      <c r="F225" s="146"/>
      <c r="G225" s="48"/>
      <c r="H225" s="21"/>
      <c r="I225" s="13"/>
      <c r="J225" s="19"/>
      <c r="K225" s="97"/>
      <c r="L225" s="50"/>
      <c r="M225" s="50"/>
      <c r="N225" s="50"/>
      <c r="O225" s="6"/>
      <c r="Q225" s="30"/>
      <c r="R225" s="45"/>
      <c r="T225" s="30"/>
      <c r="U225" s="124"/>
      <c r="V225" s="166"/>
      <c r="W225" s="122"/>
      <c r="X225" s="102"/>
      <c r="Y225" s="103"/>
      <c r="Z225" s="102"/>
      <c r="AA225" s="102"/>
      <c r="AB225" s="162"/>
      <c r="AC225" s="122"/>
      <c r="AD225" s="122"/>
    </row>
    <row r="226" spans="1:30" s="33" customFormat="1" ht="12.75" x14ac:dyDescent="0.2">
      <c r="A226" s="13"/>
      <c r="B226" s="48"/>
      <c r="C226" s="145"/>
      <c r="D226" s="137"/>
      <c r="E226" s="48"/>
      <c r="F226" s="51"/>
      <c r="G226" s="48"/>
      <c r="H226" s="21"/>
      <c r="I226" s="13"/>
      <c r="J226" s="19"/>
      <c r="K226" s="97"/>
      <c r="L226" s="50"/>
      <c r="M226" s="50"/>
      <c r="N226" s="50"/>
      <c r="O226" s="6"/>
      <c r="Q226" s="30"/>
      <c r="R226" s="45"/>
      <c r="T226" s="30"/>
      <c r="U226" s="124"/>
      <c r="V226" s="166"/>
      <c r="W226" s="122"/>
      <c r="X226" s="102"/>
      <c r="Y226" s="103"/>
      <c r="Z226" s="102"/>
      <c r="AA226" s="102"/>
      <c r="AB226" s="162"/>
      <c r="AC226" s="122"/>
      <c r="AD226" s="122"/>
    </row>
    <row r="227" spans="1:30" s="33" customFormat="1" ht="12.75" x14ac:dyDescent="0.2">
      <c r="A227" s="13"/>
      <c r="B227" s="48"/>
      <c r="C227" s="145"/>
      <c r="D227" s="137"/>
      <c r="E227" s="48"/>
      <c r="F227" s="49"/>
      <c r="G227" s="48"/>
      <c r="H227" s="21"/>
      <c r="I227" s="13"/>
      <c r="J227" s="19"/>
      <c r="K227" s="97"/>
      <c r="L227" s="50"/>
      <c r="M227" s="50"/>
      <c r="N227" s="50"/>
      <c r="O227" s="6"/>
      <c r="Q227" s="30"/>
      <c r="R227" s="45"/>
      <c r="T227" s="30"/>
      <c r="U227" s="124"/>
      <c r="V227" s="166"/>
      <c r="W227" s="122"/>
      <c r="X227" s="102"/>
      <c r="Y227" s="103"/>
      <c r="Z227" s="102"/>
      <c r="AA227" s="102"/>
      <c r="AB227" s="162"/>
      <c r="AC227" s="122"/>
      <c r="AD227" s="122"/>
    </row>
    <row r="228" spans="1:30" s="33" customFormat="1" ht="12.75" x14ac:dyDescent="0.2">
      <c r="A228" s="13"/>
      <c r="B228" s="48"/>
      <c r="C228" s="145"/>
      <c r="D228" s="137"/>
      <c r="E228" s="48"/>
      <c r="F228" s="51"/>
      <c r="G228" s="48"/>
      <c r="H228" s="21"/>
      <c r="I228" s="13"/>
      <c r="J228" s="19"/>
      <c r="K228" s="97"/>
      <c r="L228" s="50"/>
      <c r="M228" s="50"/>
      <c r="N228" s="50"/>
      <c r="O228" s="6"/>
      <c r="Q228" s="30"/>
      <c r="R228" s="45"/>
      <c r="T228" s="30"/>
      <c r="U228" s="124"/>
      <c r="V228" s="166"/>
      <c r="W228" s="122"/>
      <c r="X228" s="102"/>
      <c r="Y228" s="103"/>
      <c r="Z228" s="102"/>
      <c r="AA228" s="102"/>
      <c r="AB228" s="162"/>
      <c r="AC228" s="122"/>
      <c r="AD228" s="122"/>
    </row>
    <row r="229" spans="1:30" s="33" customFormat="1" ht="12.75" x14ac:dyDescent="0.2">
      <c r="A229" s="13"/>
      <c r="B229" s="48"/>
      <c r="C229" s="47"/>
      <c r="D229" s="113"/>
      <c r="E229" s="48"/>
      <c r="F229" s="49"/>
      <c r="G229" s="48"/>
      <c r="H229" s="21"/>
      <c r="I229" s="13"/>
      <c r="J229" s="19"/>
      <c r="K229" s="97"/>
      <c r="L229" s="50"/>
      <c r="M229" s="50"/>
      <c r="N229" s="50"/>
      <c r="O229" s="6"/>
      <c r="Q229" s="30"/>
      <c r="R229" s="45"/>
      <c r="T229" s="30"/>
      <c r="U229" s="124"/>
      <c r="V229" s="166"/>
      <c r="W229" s="122"/>
      <c r="X229" s="102"/>
      <c r="Y229" s="103"/>
      <c r="Z229" s="102"/>
      <c r="AA229" s="102"/>
      <c r="AB229" s="162"/>
      <c r="AC229" s="122"/>
      <c r="AD229" s="122"/>
    </row>
    <row r="230" spans="1:30" s="33" customFormat="1" ht="12.75" x14ac:dyDescent="0.2">
      <c r="A230" s="13"/>
      <c r="B230" s="48"/>
      <c r="C230" s="47"/>
      <c r="D230" s="113"/>
      <c r="E230" s="48"/>
      <c r="F230" s="49"/>
      <c r="G230" s="48"/>
      <c r="H230" s="21"/>
      <c r="I230" s="13"/>
      <c r="J230" s="19"/>
      <c r="K230" s="97"/>
      <c r="L230" s="50"/>
      <c r="M230" s="50"/>
      <c r="N230" s="50"/>
      <c r="O230" s="6"/>
      <c r="Q230" s="30"/>
      <c r="R230" s="45"/>
      <c r="T230" s="30"/>
      <c r="U230" s="124"/>
      <c r="V230" s="166"/>
      <c r="W230" s="122"/>
      <c r="X230" s="102"/>
      <c r="Y230" s="103"/>
      <c r="Z230" s="102"/>
      <c r="AA230" s="102"/>
      <c r="AB230" s="162"/>
      <c r="AC230" s="122"/>
      <c r="AD230" s="122"/>
    </row>
    <row r="231" spans="1:30" s="33" customFormat="1" ht="12.75" x14ac:dyDescent="0.2">
      <c r="A231" s="13"/>
      <c r="B231" s="48"/>
      <c r="C231" s="47"/>
      <c r="D231" s="113"/>
      <c r="E231" s="48"/>
      <c r="F231" s="49"/>
      <c r="G231" s="48"/>
      <c r="H231" s="21"/>
      <c r="I231" s="13"/>
      <c r="J231" s="19"/>
      <c r="K231" s="97"/>
      <c r="L231" s="50"/>
      <c r="M231" s="50"/>
      <c r="N231" s="50"/>
      <c r="O231" s="6"/>
      <c r="Q231" s="30"/>
      <c r="R231" s="45"/>
      <c r="T231" s="30"/>
      <c r="U231" s="124"/>
      <c r="V231" s="166"/>
      <c r="W231" s="122"/>
      <c r="X231" s="102"/>
      <c r="Y231" s="103"/>
      <c r="Z231" s="102"/>
      <c r="AA231" s="102"/>
      <c r="AB231" s="162"/>
      <c r="AC231" s="122"/>
      <c r="AD231" s="122"/>
    </row>
    <row r="232" spans="1:30" s="33" customFormat="1" ht="12.75" x14ac:dyDescent="0.2">
      <c r="A232" s="13"/>
      <c r="B232" s="48"/>
      <c r="C232" s="47"/>
      <c r="D232" s="113"/>
      <c r="E232" s="48"/>
      <c r="F232" s="51"/>
      <c r="G232" s="48"/>
      <c r="H232" s="21"/>
      <c r="I232" s="13"/>
      <c r="J232" s="19"/>
      <c r="K232" s="97"/>
      <c r="L232" s="50"/>
      <c r="M232" s="50"/>
      <c r="N232" s="50"/>
      <c r="O232" s="6"/>
      <c r="P232" s="21"/>
      <c r="Q232" s="30"/>
      <c r="R232" s="45"/>
      <c r="T232" s="30"/>
      <c r="U232" s="124"/>
      <c r="V232" s="166"/>
      <c r="W232" s="122"/>
      <c r="X232" s="102"/>
      <c r="Y232" s="103"/>
      <c r="Z232" s="102"/>
      <c r="AA232" s="102"/>
      <c r="AB232" s="162"/>
      <c r="AC232" s="122"/>
      <c r="AD232" s="122"/>
    </row>
    <row r="233" spans="1:30" s="33" customFormat="1" ht="12.75" x14ac:dyDescent="0.2">
      <c r="A233" s="13"/>
      <c r="B233" s="48"/>
      <c r="C233" s="47"/>
      <c r="D233" s="113"/>
      <c r="E233" s="48"/>
      <c r="F233" s="49"/>
      <c r="G233" s="48"/>
      <c r="H233" s="21"/>
      <c r="I233" s="13"/>
      <c r="J233" s="19"/>
      <c r="K233" s="97"/>
      <c r="L233" s="50"/>
      <c r="M233" s="50"/>
      <c r="N233" s="50"/>
      <c r="O233" s="6"/>
      <c r="P233" s="21"/>
      <c r="Q233" s="30"/>
      <c r="R233" s="45"/>
      <c r="T233" s="30"/>
      <c r="U233" s="124"/>
      <c r="V233" s="166"/>
      <c r="W233" s="122"/>
      <c r="X233" s="102"/>
      <c r="Y233" s="103"/>
      <c r="Z233" s="102"/>
      <c r="AA233" s="102"/>
      <c r="AB233" s="162"/>
      <c r="AC233" s="122"/>
      <c r="AD233" s="122"/>
    </row>
    <row r="234" spans="1:30" s="33" customFormat="1" ht="12.75" x14ac:dyDescent="0.2">
      <c r="A234" s="13"/>
      <c r="B234" s="48"/>
      <c r="C234" s="47"/>
      <c r="D234" s="113"/>
      <c r="E234" s="48"/>
      <c r="F234" s="49"/>
      <c r="G234" s="48"/>
      <c r="H234" s="21"/>
      <c r="I234" s="13"/>
      <c r="J234" s="19"/>
      <c r="K234" s="97"/>
      <c r="L234" s="50"/>
      <c r="M234" s="50"/>
      <c r="N234" s="50"/>
      <c r="O234" s="6"/>
      <c r="P234" s="21"/>
      <c r="Q234" s="30"/>
      <c r="R234" s="45"/>
      <c r="T234" s="30"/>
      <c r="U234" s="124"/>
      <c r="V234" s="166"/>
      <c r="W234" s="122"/>
      <c r="X234" s="102"/>
      <c r="Y234" s="103"/>
      <c r="Z234" s="102"/>
      <c r="AA234" s="102"/>
      <c r="AB234" s="162"/>
      <c r="AC234" s="122"/>
      <c r="AD234" s="122"/>
    </row>
    <row r="235" spans="1:30" s="33" customFormat="1" ht="12.75" x14ac:dyDescent="0.2">
      <c r="A235" s="54"/>
      <c r="B235" s="48"/>
      <c r="C235" s="47"/>
      <c r="D235" s="113"/>
      <c r="E235" s="48"/>
      <c r="F235" s="49"/>
      <c r="G235" s="48"/>
      <c r="H235" s="21"/>
      <c r="I235" s="13"/>
      <c r="J235" s="19"/>
      <c r="K235" s="97"/>
      <c r="L235" s="50"/>
      <c r="M235" s="50"/>
      <c r="N235" s="50"/>
      <c r="O235" s="6"/>
      <c r="P235" s="21"/>
      <c r="Q235" s="30"/>
      <c r="R235" s="45"/>
      <c r="T235" s="30"/>
      <c r="U235" s="124"/>
      <c r="V235" s="166"/>
      <c r="W235" s="122"/>
      <c r="X235" s="102"/>
      <c r="Y235" s="103"/>
      <c r="Z235" s="102"/>
      <c r="AA235" s="102"/>
      <c r="AB235" s="162"/>
      <c r="AC235" s="122"/>
      <c r="AD235" s="122"/>
    </row>
    <row r="236" spans="1:30" s="33" customFormat="1" ht="12.75" x14ac:dyDescent="0.2">
      <c r="A236" s="56"/>
      <c r="B236" s="48"/>
      <c r="C236" s="47"/>
      <c r="D236" s="113"/>
      <c r="E236" s="48"/>
      <c r="F236" s="49"/>
      <c r="G236" s="48"/>
      <c r="H236" s="21"/>
      <c r="I236" s="13"/>
      <c r="J236" s="19"/>
      <c r="K236" s="97"/>
      <c r="L236" s="50"/>
      <c r="M236" s="50"/>
      <c r="N236" s="50"/>
      <c r="O236" s="6"/>
      <c r="P236" s="21"/>
      <c r="Q236" s="30"/>
      <c r="R236" s="45"/>
      <c r="T236" s="30"/>
      <c r="U236" s="124"/>
      <c r="V236" s="166"/>
      <c r="W236" s="122"/>
      <c r="X236" s="102"/>
      <c r="Y236" s="103"/>
      <c r="Z236" s="102"/>
      <c r="AA236" s="102"/>
      <c r="AB236" s="162"/>
      <c r="AC236" s="122"/>
      <c r="AD236" s="122"/>
    </row>
    <row r="237" spans="1:30" s="33" customFormat="1" ht="12.75" x14ac:dyDescent="0.2">
      <c r="A237" s="18"/>
      <c r="B237" s="48"/>
      <c r="C237" s="47"/>
      <c r="D237" s="113"/>
      <c r="E237" s="48"/>
      <c r="F237" s="49"/>
      <c r="G237" s="48"/>
      <c r="H237" s="21"/>
      <c r="I237" s="13"/>
      <c r="J237" s="19"/>
      <c r="K237" s="97"/>
      <c r="L237" s="50"/>
      <c r="M237" s="50"/>
      <c r="N237" s="50"/>
      <c r="O237" s="6"/>
      <c r="P237" s="21"/>
      <c r="Q237" s="30"/>
      <c r="R237" s="45"/>
      <c r="T237" s="30"/>
      <c r="U237" s="124"/>
      <c r="V237" s="166"/>
      <c r="W237" s="122"/>
      <c r="X237" s="102"/>
      <c r="Y237" s="103"/>
      <c r="Z237" s="102"/>
      <c r="AA237" s="102"/>
      <c r="AB237" s="162"/>
      <c r="AC237" s="122"/>
      <c r="AD237" s="122"/>
    </row>
    <row r="238" spans="1:30" s="33" customFormat="1" ht="12.75" x14ac:dyDescent="0.2">
      <c r="A238" s="57"/>
      <c r="B238" s="48"/>
      <c r="C238" s="47"/>
      <c r="D238" s="113"/>
      <c r="E238" s="48"/>
      <c r="F238" s="49"/>
      <c r="G238" s="48"/>
      <c r="H238" s="21"/>
      <c r="I238" s="13"/>
      <c r="J238" s="19"/>
      <c r="K238" s="97"/>
      <c r="L238" s="50"/>
      <c r="M238" s="50"/>
      <c r="N238" s="50"/>
      <c r="O238" s="6"/>
      <c r="P238" s="21"/>
      <c r="Q238" s="30"/>
      <c r="R238" s="45"/>
      <c r="T238" s="30"/>
      <c r="U238" s="124"/>
      <c r="V238" s="166"/>
      <c r="W238" s="122"/>
      <c r="X238" s="102"/>
      <c r="Y238" s="103"/>
      <c r="Z238" s="102"/>
      <c r="AA238" s="102"/>
      <c r="AB238" s="162"/>
      <c r="AC238" s="122"/>
      <c r="AD238" s="122"/>
    </row>
    <row r="239" spans="1:30" s="33" customFormat="1" ht="12.75" collapsed="1" x14ac:dyDescent="0.2">
      <c r="A239" s="58"/>
      <c r="B239" s="48"/>
      <c r="C239" s="47"/>
      <c r="D239" s="113"/>
      <c r="E239" s="48"/>
      <c r="F239" s="49"/>
      <c r="G239" s="48"/>
      <c r="H239" s="21"/>
      <c r="I239" s="13"/>
      <c r="J239" s="19"/>
      <c r="K239" s="97"/>
      <c r="L239" s="50"/>
      <c r="M239" s="50"/>
      <c r="N239" s="50"/>
      <c r="O239" s="6"/>
      <c r="P239" s="21"/>
      <c r="Q239" s="30"/>
      <c r="R239" s="45"/>
      <c r="T239" s="30"/>
      <c r="U239" s="124"/>
      <c r="V239" s="166"/>
      <c r="W239" s="122"/>
      <c r="X239" s="102"/>
      <c r="Y239" s="103"/>
      <c r="Z239" s="102"/>
      <c r="AA239" s="102"/>
      <c r="AB239" s="162"/>
      <c r="AC239" s="122"/>
      <c r="AD239" s="122"/>
    </row>
    <row r="240" spans="1:30" s="33" customFormat="1" ht="12.75" x14ac:dyDescent="0.2">
      <c r="A240" s="48"/>
      <c r="B240" s="48"/>
      <c r="C240" s="47"/>
      <c r="D240" s="113"/>
      <c r="E240" s="48"/>
      <c r="F240" s="49"/>
      <c r="G240" s="48"/>
      <c r="H240" s="21"/>
      <c r="I240" s="13"/>
      <c r="J240" s="19"/>
      <c r="K240" s="97"/>
      <c r="L240" s="50"/>
      <c r="M240" s="50"/>
      <c r="N240" s="50"/>
      <c r="O240" s="6"/>
      <c r="P240" s="21"/>
      <c r="Q240" s="30"/>
      <c r="R240" s="45"/>
      <c r="T240" s="30"/>
      <c r="U240" s="124"/>
      <c r="V240" s="166"/>
      <c r="W240" s="122"/>
      <c r="X240" s="102"/>
      <c r="Y240" s="103"/>
      <c r="Z240" s="102"/>
      <c r="AA240" s="102"/>
      <c r="AB240" s="162"/>
      <c r="AC240" s="122"/>
      <c r="AD240" s="122"/>
    </row>
    <row r="241" spans="1:30" s="33" customFormat="1" ht="12.75" x14ac:dyDescent="0.2">
      <c r="A241" s="13"/>
      <c r="B241" s="48"/>
      <c r="C241" s="47"/>
      <c r="D241" s="113"/>
      <c r="E241" s="48"/>
      <c r="F241" s="49"/>
      <c r="G241" s="48"/>
      <c r="H241" s="21"/>
      <c r="I241" s="13"/>
      <c r="J241" s="19"/>
      <c r="K241" s="97"/>
      <c r="L241" s="50"/>
      <c r="M241" s="50"/>
      <c r="N241" s="50"/>
      <c r="O241" s="6"/>
      <c r="P241" s="21"/>
      <c r="Q241" s="30"/>
      <c r="R241" s="45"/>
      <c r="T241" s="30"/>
      <c r="U241" s="124"/>
      <c r="V241" s="166"/>
      <c r="W241" s="122"/>
      <c r="X241" s="102"/>
      <c r="Y241" s="103"/>
      <c r="Z241" s="102"/>
      <c r="AA241" s="102"/>
      <c r="AB241" s="162"/>
      <c r="AC241" s="122"/>
      <c r="AD241" s="122"/>
    </row>
    <row r="242" spans="1:30" s="33" customFormat="1" ht="12.75" x14ac:dyDescent="0.2">
      <c r="A242" s="13"/>
      <c r="B242" s="48"/>
      <c r="C242" s="47"/>
      <c r="D242" s="113"/>
      <c r="E242" s="48"/>
      <c r="F242" s="51"/>
      <c r="G242" s="48"/>
      <c r="H242" s="53"/>
      <c r="I242" s="13"/>
      <c r="J242" s="19"/>
      <c r="K242" s="97"/>
      <c r="L242" s="50"/>
      <c r="M242" s="50"/>
      <c r="N242" s="50"/>
      <c r="O242" s="6"/>
      <c r="P242" s="21"/>
      <c r="Q242" s="30"/>
      <c r="R242" s="45"/>
      <c r="T242" s="30"/>
      <c r="U242" s="124"/>
      <c r="V242" s="166"/>
      <c r="W242" s="122"/>
      <c r="X242" s="102"/>
      <c r="Y242" s="103"/>
      <c r="Z242" s="102"/>
      <c r="AA242" s="102"/>
      <c r="AB242" s="162"/>
      <c r="AC242" s="122"/>
      <c r="AD242" s="122"/>
    </row>
    <row r="243" spans="1:30" s="33" customFormat="1" ht="12.75" x14ac:dyDescent="0.2">
      <c r="A243" s="13"/>
      <c r="B243" s="48"/>
      <c r="C243" s="47"/>
      <c r="D243" s="113"/>
      <c r="E243" s="48"/>
      <c r="F243" s="49"/>
      <c r="G243" s="48"/>
      <c r="H243" s="53"/>
      <c r="I243" s="13"/>
      <c r="J243" s="19"/>
      <c r="K243" s="97"/>
      <c r="L243" s="50"/>
      <c r="M243" s="50"/>
      <c r="N243" s="50"/>
      <c r="O243" s="6"/>
      <c r="P243" s="21"/>
      <c r="Q243" s="30"/>
      <c r="R243" s="45"/>
      <c r="T243" s="30"/>
      <c r="U243" s="124"/>
      <c r="V243" s="166"/>
      <c r="W243" s="122"/>
      <c r="X243" s="102"/>
      <c r="Y243" s="103"/>
      <c r="Z243" s="102"/>
      <c r="AA243" s="102"/>
      <c r="AB243" s="162"/>
      <c r="AC243" s="122"/>
      <c r="AD243" s="122"/>
    </row>
    <row r="244" spans="1:30" s="33" customFormat="1" ht="12.75" x14ac:dyDescent="0.2">
      <c r="A244" s="13"/>
      <c r="B244" s="48"/>
      <c r="C244" s="47"/>
      <c r="D244" s="113"/>
      <c r="E244" s="48"/>
      <c r="F244" s="51"/>
      <c r="G244" s="48"/>
      <c r="H244" s="53"/>
      <c r="I244" s="13"/>
      <c r="J244" s="19"/>
      <c r="K244" s="97"/>
      <c r="L244" s="50"/>
      <c r="M244" s="50"/>
      <c r="N244" s="50"/>
      <c r="O244" s="6"/>
      <c r="P244" s="21"/>
      <c r="Q244" s="30"/>
      <c r="R244" s="45"/>
      <c r="T244" s="30"/>
      <c r="U244" s="124"/>
      <c r="V244" s="166"/>
      <c r="W244" s="122"/>
      <c r="X244" s="102"/>
      <c r="Y244" s="103"/>
      <c r="Z244" s="102"/>
      <c r="AA244" s="102"/>
      <c r="AB244" s="162"/>
      <c r="AC244" s="122"/>
      <c r="AD244" s="122"/>
    </row>
    <row r="245" spans="1:30" s="33" customFormat="1" ht="12.75" x14ac:dyDescent="0.2">
      <c r="A245" s="13"/>
      <c r="B245" s="48"/>
      <c r="C245" s="47"/>
      <c r="D245" s="113"/>
      <c r="E245" s="48"/>
      <c r="F245" s="49"/>
      <c r="G245" s="48"/>
      <c r="H245" s="53"/>
      <c r="I245" s="13"/>
      <c r="J245" s="19"/>
      <c r="K245" s="97"/>
      <c r="L245" s="50"/>
      <c r="M245" s="50"/>
      <c r="N245" s="50"/>
      <c r="O245" s="6"/>
      <c r="P245" s="21"/>
      <c r="Q245" s="30"/>
      <c r="R245" s="45"/>
      <c r="T245" s="30"/>
      <c r="U245" s="124"/>
      <c r="V245" s="166"/>
      <c r="W245" s="122"/>
      <c r="X245" s="102"/>
      <c r="Y245" s="103"/>
      <c r="Z245" s="102"/>
      <c r="AA245" s="102"/>
      <c r="AB245" s="162"/>
      <c r="AC245" s="122"/>
      <c r="AD245" s="122"/>
    </row>
    <row r="246" spans="1:30" s="33" customFormat="1" ht="12.75" x14ac:dyDescent="0.2">
      <c r="A246" s="13"/>
      <c r="B246" s="48"/>
      <c r="C246" s="47"/>
      <c r="D246" s="113"/>
      <c r="E246" s="48"/>
      <c r="F246" s="51"/>
      <c r="G246" s="48"/>
      <c r="H246" s="53"/>
      <c r="I246" s="13"/>
      <c r="J246" s="19"/>
      <c r="K246" s="97"/>
      <c r="L246" s="50"/>
      <c r="M246" s="50"/>
      <c r="N246" s="50"/>
      <c r="O246" s="6"/>
      <c r="P246" s="21"/>
      <c r="Q246" s="30"/>
      <c r="R246" s="45"/>
      <c r="T246" s="30"/>
      <c r="U246" s="124"/>
      <c r="V246" s="166"/>
      <c r="W246" s="122"/>
      <c r="X246" s="102"/>
      <c r="Y246" s="103"/>
      <c r="Z246" s="102"/>
      <c r="AA246" s="102"/>
      <c r="AB246" s="162"/>
      <c r="AC246" s="122"/>
      <c r="AD246" s="122"/>
    </row>
    <row r="247" spans="1:30" s="33" customFormat="1" ht="12.75" x14ac:dyDescent="0.2">
      <c r="A247" s="13"/>
      <c r="B247" s="48"/>
      <c r="C247" s="47"/>
      <c r="D247" s="113"/>
      <c r="E247" s="48"/>
      <c r="F247" s="49"/>
      <c r="G247" s="48"/>
      <c r="H247" s="53"/>
      <c r="I247" s="13"/>
      <c r="J247" s="19"/>
      <c r="K247" s="97"/>
      <c r="L247" s="50"/>
      <c r="M247" s="50"/>
      <c r="N247" s="50"/>
      <c r="O247" s="6"/>
      <c r="P247" s="21"/>
      <c r="Q247" s="30"/>
      <c r="R247" s="45"/>
      <c r="T247" s="30"/>
      <c r="U247" s="124"/>
      <c r="V247" s="166"/>
      <c r="W247" s="122"/>
      <c r="X247" s="102"/>
      <c r="Y247" s="103"/>
      <c r="Z247" s="102"/>
      <c r="AA247" s="102"/>
      <c r="AB247" s="162"/>
      <c r="AC247" s="122"/>
      <c r="AD247" s="122"/>
    </row>
    <row r="248" spans="1:30" s="33" customFormat="1" ht="12.75" x14ac:dyDescent="0.2">
      <c r="A248" s="13"/>
      <c r="B248" s="48"/>
      <c r="C248" s="47"/>
      <c r="D248" s="113"/>
      <c r="E248" s="48"/>
      <c r="F248" s="49"/>
      <c r="G248" s="48"/>
      <c r="H248" s="53"/>
      <c r="I248" s="13"/>
      <c r="J248" s="19"/>
      <c r="K248" s="97"/>
      <c r="L248" s="50"/>
      <c r="M248" s="50"/>
      <c r="N248" s="50"/>
      <c r="O248" s="6"/>
      <c r="P248" s="21"/>
      <c r="Q248" s="30"/>
      <c r="R248" s="45"/>
      <c r="T248" s="30"/>
      <c r="U248" s="124"/>
      <c r="V248" s="166"/>
      <c r="W248" s="122"/>
      <c r="X248" s="102"/>
      <c r="Y248" s="103"/>
      <c r="Z248" s="102"/>
      <c r="AA248" s="102"/>
      <c r="AB248" s="162"/>
      <c r="AC248" s="122"/>
      <c r="AD248" s="122"/>
    </row>
    <row r="249" spans="1:30" s="33" customFormat="1" ht="12.75" x14ac:dyDescent="0.2">
      <c r="A249" s="13"/>
      <c r="B249" s="48"/>
      <c r="C249" s="47"/>
      <c r="D249" s="113"/>
      <c r="E249" s="48"/>
      <c r="F249" s="49"/>
      <c r="G249" s="48"/>
      <c r="H249" s="53"/>
      <c r="I249" s="13"/>
      <c r="J249" s="19"/>
      <c r="K249" s="97"/>
      <c r="L249" s="50"/>
      <c r="M249" s="50"/>
      <c r="N249" s="50"/>
      <c r="O249" s="6"/>
      <c r="P249" s="21"/>
      <c r="Q249" s="30"/>
      <c r="R249" s="45"/>
      <c r="T249" s="30"/>
      <c r="U249" s="124"/>
      <c r="V249" s="166"/>
      <c r="W249" s="122"/>
      <c r="X249" s="102"/>
      <c r="Y249" s="103"/>
      <c r="Z249" s="102"/>
      <c r="AA249" s="102"/>
      <c r="AB249" s="162"/>
      <c r="AC249" s="122"/>
      <c r="AD249" s="122"/>
    </row>
    <row r="250" spans="1:30" s="33" customFormat="1" ht="12.75" x14ac:dyDescent="0.2">
      <c r="A250" s="13"/>
      <c r="B250" s="48"/>
      <c r="C250" s="47"/>
      <c r="D250" s="131"/>
      <c r="E250" s="55"/>
      <c r="F250" s="49"/>
      <c r="G250" s="48"/>
      <c r="H250" s="53"/>
      <c r="I250" s="13"/>
      <c r="J250" s="19"/>
      <c r="K250" s="97"/>
      <c r="L250" s="50"/>
      <c r="M250" s="50"/>
      <c r="N250" s="50"/>
      <c r="O250" s="6"/>
      <c r="P250" s="21"/>
      <c r="Q250" s="30"/>
      <c r="R250" s="45"/>
      <c r="T250" s="30"/>
      <c r="U250" s="124"/>
      <c r="V250" s="166"/>
      <c r="W250" s="122"/>
      <c r="X250" s="102"/>
      <c r="Y250" s="103"/>
      <c r="Z250" s="102"/>
      <c r="AA250" s="102"/>
      <c r="AB250" s="162"/>
      <c r="AC250" s="122"/>
      <c r="AD250" s="122"/>
    </row>
    <row r="251" spans="1:30" s="33" customFormat="1" ht="12.75" x14ac:dyDescent="0.2">
      <c r="A251" s="13"/>
      <c r="B251" s="48"/>
      <c r="C251" s="47"/>
      <c r="D251" s="131"/>
      <c r="E251" s="55"/>
      <c r="F251" s="51"/>
      <c r="G251" s="48"/>
      <c r="H251" s="53"/>
      <c r="I251" s="13"/>
      <c r="J251" s="19"/>
      <c r="K251" s="97"/>
      <c r="L251" s="50"/>
      <c r="M251" s="50"/>
      <c r="N251" s="50"/>
      <c r="O251" s="6"/>
      <c r="P251" s="21"/>
      <c r="Q251" s="30"/>
      <c r="R251" s="45"/>
      <c r="T251" s="30"/>
      <c r="U251" s="124"/>
      <c r="V251" s="166"/>
      <c r="W251" s="122"/>
      <c r="X251" s="102"/>
      <c r="Y251" s="103"/>
      <c r="Z251" s="102"/>
      <c r="AA251" s="102"/>
      <c r="AB251" s="162"/>
      <c r="AC251" s="122"/>
      <c r="AD251" s="122"/>
    </row>
    <row r="252" spans="1:30" s="33" customFormat="1" ht="12.75" x14ac:dyDescent="0.2">
      <c r="A252" s="13"/>
      <c r="B252" s="48"/>
      <c r="C252" s="47"/>
      <c r="D252" s="113"/>
      <c r="E252" s="48"/>
      <c r="F252" s="49"/>
      <c r="G252" s="48"/>
      <c r="H252" s="53"/>
      <c r="I252" s="13"/>
      <c r="J252" s="19"/>
      <c r="K252" s="97"/>
      <c r="L252" s="50"/>
      <c r="M252" s="50"/>
      <c r="N252" s="50"/>
      <c r="O252" s="6"/>
      <c r="P252" s="21"/>
      <c r="Q252" s="30"/>
      <c r="R252" s="45"/>
      <c r="T252" s="30"/>
      <c r="U252" s="124"/>
      <c r="V252" s="166"/>
      <c r="W252" s="122"/>
      <c r="X252" s="102"/>
      <c r="Y252" s="103"/>
      <c r="Z252" s="102"/>
      <c r="AA252" s="102"/>
      <c r="AB252" s="162"/>
      <c r="AC252" s="122"/>
      <c r="AD252" s="122"/>
    </row>
    <row r="253" spans="1:30" s="33" customFormat="1" ht="12.75" x14ac:dyDescent="0.2">
      <c r="A253" s="13"/>
      <c r="B253" s="48"/>
      <c r="C253" s="47"/>
      <c r="D253" s="113"/>
      <c r="E253" s="48"/>
      <c r="F253" s="49"/>
      <c r="G253" s="48"/>
      <c r="H253" s="21"/>
      <c r="I253" s="13"/>
      <c r="J253" s="19"/>
      <c r="K253" s="97"/>
      <c r="L253" s="50"/>
      <c r="M253" s="50"/>
      <c r="N253" s="50"/>
      <c r="O253" s="6"/>
      <c r="P253" s="21"/>
      <c r="Q253" s="30"/>
      <c r="R253" s="45"/>
      <c r="T253" s="30"/>
      <c r="U253" s="124"/>
      <c r="V253" s="166"/>
      <c r="W253" s="122"/>
      <c r="X253" s="102"/>
      <c r="Y253" s="103"/>
      <c r="Z253" s="102"/>
      <c r="AA253" s="102"/>
      <c r="AB253" s="162"/>
      <c r="AC253" s="122"/>
      <c r="AD253" s="122"/>
    </row>
    <row r="254" spans="1:30" s="33" customFormat="1" ht="12.75" x14ac:dyDescent="0.2">
      <c r="A254" s="13"/>
      <c r="B254" s="48"/>
      <c r="C254" s="47"/>
      <c r="D254" s="113"/>
      <c r="E254" s="48"/>
      <c r="F254" s="49"/>
      <c r="G254" s="48"/>
      <c r="H254" s="21"/>
      <c r="I254" s="13"/>
      <c r="J254" s="19"/>
      <c r="K254" s="97"/>
      <c r="L254" s="50"/>
      <c r="M254" s="50"/>
      <c r="N254" s="50"/>
      <c r="O254" s="6"/>
      <c r="P254" s="21"/>
      <c r="Q254" s="30"/>
      <c r="R254" s="45"/>
      <c r="T254" s="30"/>
      <c r="U254" s="124"/>
      <c r="V254" s="166"/>
      <c r="W254" s="122"/>
      <c r="X254" s="102"/>
      <c r="Y254" s="103"/>
      <c r="Z254" s="102"/>
      <c r="AA254" s="102"/>
      <c r="AB254" s="162"/>
      <c r="AC254" s="122"/>
      <c r="AD254" s="122"/>
    </row>
    <row r="255" spans="1:30" s="33" customFormat="1" ht="12.75" x14ac:dyDescent="0.2">
      <c r="A255" s="13"/>
      <c r="B255" s="48"/>
      <c r="C255" s="47"/>
      <c r="D255" s="113"/>
      <c r="E255" s="48"/>
      <c r="F255" s="49"/>
      <c r="G255" s="48"/>
      <c r="H255" s="21"/>
      <c r="I255" s="13"/>
      <c r="J255" s="19"/>
      <c r="K255" s="97"/>
      <c r="L255" s="50"/>
      <c r="M255" s="50"/>
      <c r="N255" s="50"/>
      <c r="O255" s="6"/>
      <c r="P255" s="21"/>
      <c r="Q255" s="30"/>
      <c r="R255" s="45"/>
      <c r="T255" s="30"/>
      <c r="U255" s="124"/>
      <c r="V255" s="166"/>
      <c r="W255" s="122"/>
      <c r="X255" s="102"/>
      <c r="Y255" s="103"/>
      <c r="Z255" s="102"/>
      <c r="AA255" s="102"/>
      <c r="AB255" s="162"/>
      <c r="AC255" s="122"/>
      <c r="AD255" s="122"/>
    </row>
    <row r="256" spans="1:30" s="33" customFormat="1" ht="12.75" x14ac:dyDescent="0.2">
      <c r="A256" s="13"/>
      <c r="B256" s="48"/>
      <c r="C256" s="47"/>
      <c r="D256" s="113"/>
      <c r="E256" s="48"/>
      <c r="F256" s="49"/>
      <c r="G256" s="48"/>
      <c r="H256" s="21"/>
      <c r="I256" s="13"/>
      <c r="J256" s="19"/>
      <c r="K256" s="97"/>
      <c r="L256" s="50"/>
      <c r="M256" s="50"/>
      <c r="N256" s="50"/>
      <c r="O256" s="6"/>
      <c r="P256" s="21"/>
      <c r="Q256" s="30"/>
      <c r="R256" s="45"/>
      <c r="T256" s="30"/>
      <c r="U256" s="124"/>
      <c r="V256" s="166"/>
      <c r="W256" s="122"/>
      <c r="X256" s="102"/>
      <c r="Y256" s="103"/>
      <c r="Z256" s="102"/>
      <c r="AA256" s="102"/>
      <c r="AB256" s="162"/>
      <c r="AC256" s="122"/>
      <c r="AD256" s="122"/>
    </row>
    <row r="257" spans="1:30" s="33" customFormat="1" ht="12.75" x14ac:dyDescent="0.2">
      <c r="A257" s="13"/>
      <c r="B257" s="48"/>
      <c r="C257" s="47"/>
      <c r="D257" s="113"/>
      <c r="E257" s="48"/>
      <c r="F257" s="49"/>
      <c r="G257" s="48"/>
      <c r="H257" s="21"/>
      <c r="I257" s="13"/>
      <c r="J257" s="19"/>
      <c r="K257" s="97"/>
      <c r="L257" s="50"/>
      <c r="M257" s="50"/>
      <c r="N257" s="50"/>
      <c r="O257" s="6"/>
      <c r="P257" s="58"/>
      <c r="Q257" s="30"/>
      <c r="R257" s="45"/>
      <c r="T257" s="30"/>
      <c r="U257" s="124"/>
      <c r="V257" s="166"/>
      <c r="W257" s="122"/>
      <c r="X257" s="102"/>
      <c r="Y257" s="103"/>
      <c r="Z257" s="102"/>
      <c r="AA257" s="102"/>
      <c r="AB257" s="162"/>
      <c r="AC257" s="122"/>
      <c r="AD257" s="122"/>
    </row>
    <row r="258" spans="1:30" s="33" customFormat="1" ht="12.75" x14ac:dyDescent="0.2">
      <c r="A258" s="13"/>
      <c r="B258" s="48"/>
      <c r="C258" s="47"/>
      <c r="D258" s="113"/>
      <c r="E258" s="48"/>
      <c r="F258" s="49"/>
      <c r="G258" s="48"/>
      <c r="H258" s="21"/>
      <c r="I258" s="13"/>
      <c r="J258" s="19"/>
      <c r="K258" s="97"/>
      <c r="L258" s="50"/>
      <c r="M258" s="50"/>
      <c r="N258" s="50"/>
      <c r="O258" s="6"/>
      <c r="P258" s="21"/>
      <c r="Q258" s="30"/>
      <c r="R258" s="45"/>
      <c r="T258" s="30"/>
      <c r="U258" s="124"/>
      <c r="V258" s="166"/>
      <c r="W258" s="122"/>
      <c r="X258" s="102"/>
      <c r="Y258" s="103"/>
      <c r="Z258" s="102"/>
      <c r="AA258" s="102"/>
      <c r="AB258" s="162"/>
      <c r="AC258" s="122"/>
      <c r="AD258" s="122"/>
    </row>
    <row r="259" spans="1:30" s="33" customFormat="1" ht="12.75" x14ac:dyDescent="0.2">
      <c r="A259" s="13"/>
      <c r="B259" s="48"/>
      <c r="C259" s="59"/>
      <c r="D259" s="132"/>
      <c r="E259" s="60"/>
      <c r="F259" s="51"/>
      <c r="G259" s="48"/>
      <c r="H259" s="21"/>
      <c r="I259" s="13"/>
      <c r="J259" s="19"/>
      <c r="K259" s="97"/>
      <c r="L259" s="50"/>
      <c r="M259" s="50"/>
      <c r="N259" s="50"/>
      <c r="O259" s="6"/>
      <c r="P259" s="21"/>
      <c r="Q259" s="30"/>
      <c r="R259" s="45"/>
      <c r="T259" s="30"/>
      <c r="U259" s="124"/>
      <c r="V259" s="166"/>
      <c r="W259" s="122"/>
      <c r="X259" s="102"/>
      <c r="Y259" s="103"/>
      <c r="Z259" s="102"/>
      <c r="AA259" s="102"/>
      <c r="AB259" s="162"/>
      <c r="AC259" s="122"/>
      <c r="AD259" s="122"/>
    </row>
    <row r="260" spans="1:30" s="33" customFormat="1" ht="12.75" x14ac:dyDescent="0.2">
      <c r="A260" s="13"/>
      <c r="B260" s="48"/>
      <c r="C260" s="47"/>
      <c r="D260" s="113"/>
      <c r="E260" s="48"/>
      <c r="F260" s="48"/>
      <c r="G260" s="48"/>
      <c r="H260" s="21"/>
      <c r="I260" s="13"/>
      <c r="J260" s="19"/>
      <c r="K260" s="97"/>
      <c r="L260" s="50"/>
      <c r="M260" s="50"/>
      <c r="N260" s="50"/>
      <c r="O260" s="6"/>
      <c r="P260" s="21"/>
      <c r="Q260" s="30"/>
      <c r="R260" s="45"/>
      <c r="T260" s="30"/>
      <c r="U260" s="124"/>
      <c r="V260" s="166"/>
      <c r="W260" s="122"/>
      <c r="X260" s="102"/>
      <c r="Y260" s="103"/>
      <c r="Z260" s="102"/>
      <c r="AA260" s="102"/>
      <c r="AB260" s="162"/>
      <c r="AC260" s="122"/>
      <c r="AD260" s="122"/>
    </row>
    <row r="261" spans="1:30" s="33" customFormat="1" ht="12.75" x14ac:dyDescent="0.2">
      <c r="A261" s="13"/>
      <c r="B261" s="48"/>
      <c r="C261" s="47"/>
      <c r="D261" s="113"/>
      <c r="E261" s="48"/>
      <c r="F261" s="48"/>
      <c r="G261" s="48"/>
      <c r="H261" s="21"/>
      <c r="I261" s="13"/>
      <c r="J261" s="19"/>
      <c r="K261" s="97"/>
      <c r="L261" s="50"/>
      <c r="M261" s="50"/>
      <c r="N261" s="50"/>
      <c r="O261" s="6"/>
      <c r="P261" s="21"/>
      <c r="Q261" s="30"/>
      <c r="R261" s="45"/>
      <c r="T261" s="30"/>
      <c r="U261" s="124"/>
      <c r="V261" s="166"/>
      <c r="W261" s="122"/>
      <c r="X261" s="102"/>
      <c r="Y261" s="103"/>
      <c r="Z261" s="102"/>
      <c r="AA261" s="102"/>
      <c r="AB261" s="162"/>
      <c r="AC261" s="122"/>
      <c r="AD261" s="122"/>
    </row>
    <row r="262" spans="1:30" s="33" customFormat="1" ht="12.75" x14ac:dyDescent="0.2">
      <c r="A262" s="13"/>
      <c r="B262" s="48"/>
      <c r="C262" s="47"/>
      <c r="D262" s="113"/>
      <c r="E262" s="48"/>
      <c r="F262" s="48"/>
      <c r="G262" s="48"/>
      <c r="H262" s="21"/>
      <c r="I262" s="13"/>
      <c r="J262" s="19"/>
      <c r="K262" s="97"/>
      <c r="L262" s="50"/>
      <c r="M262" s="50"/>
      <c r="N262" s="50"/>
      <c r="O262" s="6"/>
      <c r="P262" s="21"/>
      <c r="Q262" s="30"/>
      <c r="R262" s="45"/>
      <c r="T262" s="30"/>
      <c r="U262" s="124"/>
      <c r="V262" s="166"/>
      <c r="W262" s="122"/>
      <c r="X262" s="102"/>
      <c r="Y262" s="103"/>
      <c r="Z262" s="102"/>
      <c r="AA262" s="102"/>
      <c r="AB262" s="162"/>
      <c r="AC262" s="122"/>
      <c r="AD262" s="122"/>
    </row>
    <row r="263" spans="1:30" s="33" customFormat="1" ht="12.75" x14ac:dyDescent="0.2">
      <c r="A263" s="13"/>
      <c r="B263" s="48"/>
      <c r="C263" s="47"/>
      <c r="D263" s="113"/>
      <c r="E263" s="48"/>
      <c r="F263" s="48"/>
      <c r="G263" s="48"/>
      <c r="H263" s="21"/>
      <c r="I263" s="13"/>
      <c r="J263" s="19"/>
      <c r="K263" s="97"/>
      <c r="L263" s="50"/>
      <c r="M263" s="50"/>
      <c r="N263" s="50"/>
      <c r="O263" s="6"/>
      <c r="P263" s="21"/>
      <c r="Q263" s="30"/>
      <c r="R263" s="45"/>
      <c r="T263" s="30"/>
      <c r="U263" s="124"/>
      <c r="V263" s="166"/>
      <c r="W263" s="122"/>
      <c r="X263" s="102"/>
      <c r="Y263" s="103"/>
      <c r="Z263" s="102"/>
      <c r="AA263" s="102"/>
      <c r="AB263" s="162"/>
      <c r="AC263" s="122"/>
      <c r="AD263" s="122"/>
    </row>
    <row r="264" spans="1:30" s="33" customFormat="1" ht="12.75" x14ac:dyDescent="0.2">
      <c r="A264" s="13"/>
      <c r="B264" s="48"/>
      <c r="C264" s="47"/>
      <c r="D264" s="113"/>
      <c r="E264" s="48"/>
      <c r="F264" s="48"/>
      <c r="G264" s="48"/>
      <c r="H264" s="21"/>
      <c r="I264" s="13"/>
      <c r="J264" s="19"/>
      <c r="K264" s="97"/>
      <c r="L264" s="50"/>
      <c r="M264" s="50"/>
      <c r="N264" s="50"/>
      <c r="O264" s="6"/>
      <c r="P264" s="21"/>
      <c r="Q264" s="30"/>
      <c r="R264" s="45"/>
      <c r="T264" s="30"/>
      <c r="U264" s="124"/>
      <c r="V264" s="166"/>
      <c r="W264" s="122"/>
      <c r="X264" s="102"/>
      <c r="Y264" s="103"/>
      <c r="Z264" s="102"/>
      <c r="AA264" s="102"/>
      <c r="AB264" s="162"/>
      <c r="AC264" s="122"/>
      <c r="AD264" s="122"/>
    </row>
    <row r="265" spans="1:30" s="33" customFormat="1" ht="12.75" x14ac:dyDescent="0.2">
      <c r="A265" s="13"/>
      <c r="B265" s="48"/>
      <c r="C265" s="47"/>
      <c r="D265" s="113"/>
      <c r="E265" s="48"/>
      <c r="F265" s="48"/>
      <c r="G265" s="48"/>
      <c r="H265" s="21"/>
      <c r="I265" s="13"/>
      <c r="J265" s="19"/>
      <c r="K265" s="97"/>
      <c r="L265" s="50"/>
      <c r="M265" s="50"/>
      <c r="N265" s="50"/>
      <c r="O265" s="6"/>
      <c r="P265" s="21"/>
      <c r="Q265" s="30"/>
      <c r="R265" s="45"/>
      <c r="T265" s="30"/>
      <c r="U265" s="124"/>
      <c r="V265" s="166"/>
      <c r="W265" s="122"/>
      <c r="X265" s="102"/>
      <c r="Y265" s="103"/>
      <c r="Z265" s="102"/>
      <c r="AA265" s="102"/>
      <c r="AB265" s="162"/>
      <c r="AC265" s="122"/>
      <c r="AD265" s="122"/>
    </row>
    <row r="266" spans="1:30" s="33" customFormat="1" ht="12.75" x14ac:dyDescent="0.2">
      <c r="A266" s="13"/>
      <c r="B266" s="48"/>
      <c r="C266" s="47"/>
      <c r="D266" s="113"/>
      <c r="E266" s="48"/>
      <c r="F266" s="48"/>
      <c r="G266" s="48"/>
      <c r="H266" s="21"/>
      <c r="I266" s="13"/>
      <c r="J266" s="19"/>
      <c r="K266" s="97"/>
      <c r="L266" s="50"/>
      <c r="M266" s="50"/>
      <c r="N266" s="50"/>
      <c r="O266" s="6"/>
      <c r="P266" s="21"/>
      <c r="Q266" s="30"/>
      <c r="R266" s="45"/>
      <c r="T266" s="30"/>
      <c r="U266" s="124"/>
      <c r="V266" s="166"/>
      <c r="W266" s="122"/>
      <c r="X266" s="102"/>
      <c r="Y266" s="103"/>
      <c r="Z266" s="102"/>
      <c r="AA266" s="102"/>
      <c r="AB266" s="162"/>
      <c r="AC266" s="122"/>
      <c r="AD266" s="122"/>
    </row>
    <row r="267" spans="1:30" s="33" customFormat="1" ht="12.75" x14ac:dyDescent="0.2">
      <c r="A267" s="13"/>
      <c r="B267" s="48"/>
      <c r="C267" s="47"/>
      <c r="D267" s="113"/>
      <c r="E267" s="48"/>
      <c r="F267" s="48"/>
      <c r="G267" s="48"/>
      <c r="H267" s="21"/>
      <c r="I267" s="13"/>
      <c r="J267" s="19"/>
      <c r="K267" s="97"/>
      <c r="L267" s="50"/>
      <c r="M267" s="50"/>
      <c r="N267" s="50"/>
      <c r="O267" s="6"/>
      <c r="P267" s="21"/>
      <c r="Q267" s="30"/>
      <c r="R267" s="45"/>
      <c r="T267" s="30"/>
      <c r="U267" s="124"/>
      <c r="V267" s="166"/>
      <c r="W267" s="122"/>
      <c r="X267" s="102"/>
      <c r="Y267" s="103"/>
      <c r="Z267" s="102"/>
      <c r="AA267" s="102"/>
      <c r="AB267" s="162"/>
      <c r="AC267" s="122"/>
      <c r="AD267" s="122"/>
    </row>
    <row r="268" spans="1:30" s="33" customFormat="1" ht="12.75" x14ac:dyDescent="0.2">
      <c r="A268" s="13"/>
      <c r="B268" s="48"/>
      <c r="C268" s="47"/>
      <c r="D268" s="113"/>
      <c r="E268" s="48"/>
      <c r="F268" s="48"/>
      <c r="G268" s="48"/>
      <c r="H268" s="21"/>
      <c r="I268" s="13"/>
      <c r="J268" s="19"/>
      <c r="K268" s="97"/>
      <c r="L268" s="50"/>
      <c r="M268" s="50"/>
      <c r="N268" s="50"/>
      <c r="O268" s="6"/>
      <c r="P268" s="21"/>
      <c r="Q268" s="30"/>
      <c r="R268" s="45"/>
      <c r="T268" s="30"/>
      <c r="U268" s="124"/>
      <c r="V268" s="166"/>
      <c r="W268" s="122"/>
      <c r="X268" s="102"/>
      <c r="Y268" s="103"/>
      <c r="Z268" s="102"/>
      <c r="AA268" s="102"/>
      <c r="AB268" s="162"/>
      <c r="AC268" s="122"/>
      <c r="AD268" s="122"/>
    </row>
    <row r="269" spans="1:30" s="33" customFormat="1" ht="12.75" x14ac:dyDescent="0.2">
      <c r="A269" s="13"/>
      <c r="B269" s="48"/>
      <c r="C269" s="47"/>
      <c r="D269" s="113"/>
      <c r="E269" s="48"/>
      <c r="F269" s="48"/>
      <c r="G269" s="48"/>
      <c r="H269" s="21"/>
      <c r="I269" s="13"/>
      <c r="J269" s="19"/>
      <c r="K269" s="97"/>
      <c r="L269" s="50"/>
      <c r="M269" s="50"/>
      <c r="N269" s="50"/>
      <c r="O269" s="6"/>
      <c r="P269" s="21"/>
      <c r="Q269" s="30"/>
      <c r="R269" s="45"/>
      <c r="T269" s="30"/>
      <c r="U269" s="124"/>
      <c r="V269" s="166"/>
      <c r="W269" s="122"/>
      <c r="X269" s="102"/>
      <c r="Y269" s="103"/>
      <c r="Z269" s="102"/>
      <c r="AA269" s="102"/>
      <c r="AB269" s="162"/>
      <c r="AC269" s="122"/>
      <c r="AD269" s="122"/>
    </row>
    <row r="270" spans="1:30" s="33" customFormat="1" ht="12.75" x14ac:dyDescent="0.2">
      <c r="A270" s="13"/>
      <c r="B270" s="48"/>
      <c r="C270" s="47"/>
      <c r="D270" s="113"/>
      <c r="E270" s="48"/>
      <c r="F270" s="48"/>
      <c r="G270" s="48"/>
      <c r="H270" s="21"/>
      <c r="I270" s="13"/>
      <c r="J270" s="50"/>
      <c r="K270" s="97"/>
      <c r="L270" s="50"/>
      <c r="M270" s="50"/>
      <c r="N270" s="50"/>
      <c r="O270" s="6"/>
      <c r="P270" s="21"/>
      <c r="Q270" s="30"/>
      <c r="R270" s="45"/>
      <c r="T270" s="30"/>
      <c r="U270" s="124"/>
      <c r="V270" s="166"/>
      <c r="W270" s="122"/>
      <c r="X270" s="102"/>
      <c r="Y270" s="103"/>
      <c r="Z270" s="102"/>
      <c r="AA270" s="102"/>
      <c r="AB270" s="162"/>
      <c r="AC270" s="122"/>
      <c r="AD270" s="122"/>
    </row>
    <row r="271" spans="1:30" s="33" customFormat="1" ht="12.75" x14ac:dyDescent="0.2">
      <c r="A271" s="13"/>
      <c r="B271" s="48"/>
      <c r="C271" s="47"/>
      <c r="D271" s="113"/>
      <c r="E271" s="48"/>
      <c r="F271" s="48"/>
      <c r="G271" s="48"/>
      <c r="H271" s="21"/>
      <c r="I271" s="13"/>
      <c r="J271" s="50"/>
      <c r="K271" s="97"/>
      <c r="L271" s="50"/>
      <c r="M271" s="50"/>
      <c r="N271" s="50"/>
      <c r="O271" s="6"/>
      <c r="P271" s="21"/>
      <c r="Q271" s="30"/>
      <c r="R271" s="45"/>
      <c r="T271" s="30"/>
      <c r="U271" s="124"/>
      <c r="V271" s="166"/>
      <c r="W271" s="122"/>
      <c r="X271" s="102"/>
      <c r="Y271" s="103"/>
      <c r="Z271" s="102"/>
      <c r="AA271" s="102"/>
      <c r="AB271" s="162"/>
      <c r="AC271" s="122"/>
      <c r="AD271" s="122"/>
    </row>
    <row r="272" spans="1:30" s="33" customFormat="1" ht="12.75" x14ac:dyDescent="0.2">
      <c r="A272" s="13"/>
      <c r="B272" s="48"/>
      <c r="C272" s="47"/>
      <c r="D272" s="113"/>
      <c r="E272" s="48"/>
      <c r="F272" s="48"/>
      <c r="G272" s="48"/>
      <c r="H272" s="21"/>
      <c r="I272" s="13"/>
      <c r="J272" s="50"/>
      <c r="K272" s="97"/>
      <c r="L272" s="50"/>
      <c r="M272" s="50"/>
      <c r="N272" s="50"/>
      <c r="O272" s="6"/>
      <c r="P272" s="21"/>
      <c r="Q272" s="30"/>
      <c r="R272" s="45"/>
      <c r="T272" s="30"/>
      <c r="U272" s="124"/>
      <c r="V272" s="166"/>
      <c r="W272" s="122"/>
      <c r="X272" s="102"/>
      <c r="Y272" s="103"/>
      <c r="Z272" s="102"/>
      <c r="AA272" s="102"/>
      <c r="AB272" s="162"/>
      <c r="AC272" s="122"/>
      <c r="AD272" s="122"/>
    </row>
    <row r="273" spans="1:30" s="33" customFormat="1" ht="12.75" x14ac:dyDescent="0.2">
      <c r="A273" s="13"/>
      <c r="B273" s="48"/>
      <c r="C273" s="47"/>
      <c r="D273" s="113"/>
      <c r="E273" s="48"/>
      <c r="F273" s="48"/>
      <c r="G273" s="48"/>
      <c r="H273" s="21"/>
      <c r="I273" s="13"/>
      <c r="J273" s="50"/>
      <c r="K273" s="97"/>
      <c r="L273" s="50"/>
      <c r="M273" s="50"/>
      <c r="N273" s="50"/>
      <c r="O273" s="6"/>
      <c r="P273" s="21"/>
      <c r="Q273" s="30"/>
      <c r="R273" s="45"/>
      <c r="T273" s="30"/>
      <c r="U273" s="124"/>
      <c r="V273" s="166"/>
      <c r="W273" s="122"/>
      <c r="X273" s="102"/>
      <c r="Y273" s="103"/>
      <c r="Z273" s="102"/>
      <c r="AA273" s="102"/>
      <c r="AB273" s="162"/>
      <c r="AC273" s="122"/>
      <c r="AD273" s="122"/>
    </row>
    <row r="274" spans="1:30" s="33" customFormat="1" ht="12.75" x14ac:dyDescent="0.2">
      <c r="A274" s="13"/>
      <c r="B274" s="48"/>
      <c r="C274" s="47"/>
      <c r="D274" s="113"/>
      <c r="E274" s="48"/>
      <c r="F274" s="48"/>
      <c r="G274" s="48"/>
      <c r="H274" s="21"/>
      <c r="I274" s="13"/>
      <c r="J274" s="50"/>
      <c r="K274" s="97"/>
      <c r="L274" s="50"/>
      <c r="M274" s="50"/>
      <c r="N274" s="50"/>
      <c r="O274" s="6"/>
      <c r="P274" s="21"/>
      <c r="Q274" s="30"/>
      <c r="R274" s="45"/>
      <c r="T274" s="30"/>
      <c r="U274" s="124"/>
      <c r="V274" s="166"/>
      <c r="W274" s="122"/>
      <c r="X274" s="102"/>
      <c r="Y274" s="103"/>
      <c r="Z274" s="102"/>
      <c r="AA274" s="102"/>
      <c r="AB274" s="162"/>
      <c r="AC274" s="122"/>
      <c r="AD274" s="122"/>
    </row>
    <row r="275" spans="1:30" s="33" customFormat="1" ht="12.75" x14ac:dyDescent="0.2">
      <c r="A275" s="13"/>
      <c r="B275" s="48"/>
      <c r="C275" s="47"/>
      <c r="D275" s="113"/>
      <c r="E275" s="48"/>
      <c r="F275" s="48"/>
      <c r="G275" s="48"/>
      <c r="H275" s="21"/>
      <c r="I275" s="13"/>
      <c r="J275" s="50"/>
      <c r="K275" s="97"/>
      <c r="L275" s="50"/>
      <c r="M275" s="50"/>
      <c r="N275" s="50"/>
      <c r="O275" s="6"/>
      <c r="P275" s="21"/>
      <c r="Q275" s="30"/>
      <c r="R275" s="45"/>
      <c r="T275" s="30"/>
      <c r="U275" s="124"/>
      <c r="V275" s="166"/>
      <c r="W275" s="122"/>
      <c r="X275" s="102"/>
      <c r="Y275" s="103"/>
      <c r="Z275" s="102"/>
      <c r="AA275" s="102"/>
      <c r="AB275" s="162"/>
      <c r="AC275" s="122"/>
      <c r="AD275" s="122"/>
    </row>
    <row r="276" spans="1:30" s="33" customFormat="1" ht="12.75" x14ac:dyDescent="0.2">
      <c r="A276" s="13"/>
      <c r="B276" s="48"/>
      <c r="C276" s="47"/>
      <c r="D276" s="113"/>
      <c r="E276" s="48"/>
      <c r="F276" s="48"/>
      <c r="G276" s="48"/>
      <c r="H276" s="21"/>
      <c r="I276" s="13"/>
      <c r="J276" s="50"/>
      <c r="K276" s="97"/>
      <c r="L276" s="50"/>
      <c r="M276" s="50"/>
      <c r="N276" s="50"/>
      <c r="O276" s="6"/>
      <c r="P276" s="21"/>
      <c r="Q276" s="30"/>
      <c r="R276" s="45"/>
      <c r="T276" s="30"/>
      <c r="U276" s="124"/>
      <c r="V276" s="166"/>
      <c r="W276" s="122"/>
      <c r="X276" s="102"/>
      <c r="Y276" s="103"/>
      <c r="Z276" s="102"/>
      <c r="AA276" s="102"/>
      <c r="AB276" s="162"/>
      <c r="AC276" s="122"/>
      <c r="AD276" s="122"/>
    </row>
    <row r="277" spans="1:30" s="33" customFormat="1" ht="12.75" x14ac:dyDescent="0.2">
      <c r="A277" s="13"/>
      <c r="B277" s="48"/>
      <c r="C277" s="47"/>
      <c r="D277" s="113"/>
      <c r="E277" s="48"/>
      <c r="F277" s="48"/>
      <c r="G277" s="48"/>
      <c r="H277" s="21"/>
      <c r="I277" s="13"/>
      <c r="J277" s="50"/>
      <c r="K277" s="97"/>
      <c r="L277" s="50"/>
      <c r="M277" s="50"/>
      <c r="N277" s="50"/>
      <c r="O277" s="6"/>
      <c r="P277" s="21"/>
      <c r="Q277" s="30"/>
      <c r="R277" s="45"/>
      <c r="T277" s="30"/>
      <c r="U277" s="124"/>
      <c r="V277" s="166"/>
      <c r="W277" s="122"/>
      <c r="X277" s="102"/>
      <c r="Y277" s="103"/>
      <c r="Z277" s="102"/>
      <c r="AA277" s="102"/>
      <c r="AB277" s="162"/>
      <c r="AC277" s="122"/>
      <c r="AD277" s="122"/>
    </row>
    <row r="278" spans="1:30" s="33" customFormat="1" ht="12.75" x14ac:dyDescent="0.2">
      <c r="A278" s="13"/>
      <c r="B278" s="48"/>
      <c r="C278" s="47"/>
      <c r="D278" s="113"/>
      <c r="E278" s="48"/>
      <c r="F278" s="48"/>
      <c r="G278" s="48"/>
      <c r="H278" s="21"/>
      <c r="I278" s="13"/>
      <c r="J278" s="50"/>
      <c r="K278" s="97"/>
      <c r="L278" s="50"/>
      <c r="M278" s="50"/>
      <c r="N278" s="50"/>
      <c r="O278" s="6"/>
      <c r="P278" s="21"/>
      <c r="Q278" s="30"/>
      <c r="R278" s="45"/>
      <c r="T278" s="30"/>
      <c r="U278" s="124"/>
      <c r="V278" s="166"/>
      <c r="W278" s="122"/>
      <c r="X278" s="102"/>
      <c r="Y278" s="103"/>
      <c r="Z278" s="102"/>
      <c r="AA278" s="102"/>
      <c r="AB278" s="162"/>
      <c r="AC278" s="122"/>
      <c r="AD278" s="122"/>
    </row>
    <row r="279" spans="1:30" ht="12.75" x14ac:dyDescent="0.2">
      <c r="B279" s="48"/>
      <c r="C279" s="47"/>
      <c r="D279" s="113"/>
      <c r="E279" s="48"/>
      <c r="F279" s="48"/>
      <c r="G279" s="48"/>
      <c r="Q279" s="30"/>
      <c r="R279" s="45"/>
      <c r="S279" s="33"/>
      <c r="T279" s="30"/>
      <c r="U279" s="124"/>
      <c r="V279" s="166"/>
      <c r="W279" s="122"/>
      <c r="X279" s="102"/>
      <c r="Y279" s="103"/>
      <c r="Z279" s="102"/>
      <c r="AA279" s="102"/>
      <c r="AB279" s="162"/>
      <c r="AC279" s="122"/>
      <c r="AD279" s="122"/>
    </row>
    <row r="280" spans="1:30" ht="12.75" x14ac:dyDescent="0.2">
      <c r="B280" s="48"/>
      <c r="C280" s="47"/>
      <c r="D280" s="113"/>
      <c r="E280" s="48"/>
      <c r="F280" s="48"/>
      <c r="G280" s="48"/>
      <c r="Q280" s="30"/>
      <c r="R280" s="45"/>
      <c r="S280" s="33"/>
      <c r="T280" s="30"/>
      <c r="U280" s="124"/>
      <c r="V280" s="166"/>
      <c r="W280" s="122"/>
      <c r="X280" s="102"/>
      <c r="Y280" s="103"/>
      <c r="Z280" s="102"/>
      <c r="AA280" s="102"/>
      <c r="AB280" s="162"/>
      <c r="AC280" s="122"/>
      <c r="AD280" s="122"/>
    </row>
    <row r="281" spans="1:30" ht="12.75" x14ac:dyDescent="0.2">
      <c r="B281" s="48"/>
      <c r="C281" s="47"/>
      <c r="Q281" s="30"/>
      <c r="R281" s="45"/>
      <c r="S281" s="33"/>
      <c r="T281" s="30"/>
      <c r="U281" s="124"/>
      <c r="V281" s="166"/>
      <c r="W281" s="122"/>
      <c r="X281" s="102"/>
      <c r="Y281" s="103"/>
      <c r="Z281" s="102"/>
      <c r="AA281" s="102"/>
      <c r="AB281" s="162"/>
      <c r="AC281" s="122"/>
      <c r="AD281" s="122"/>
    </row>
    <row r="282" spans="1:30" ht="12.75" x14ac:dyDescent="0.2">
      <c r="B282" s="48"/>
      <c r="C282" s="47"/>
      <c r="Q282" s="30"/>
      <c r="R282" s="45"/>
      <c r="S282" s="33"/>
      <c r="T282" s="30"/>
      <c r="U282" s="124"/>
      <c r="V282" s="166"/>
      <c r="W282" s="122"/>
      <c r="X282" s="102"/>
      <c r="Y282" s="103"/>
      <c r="Z282" s="102"/>
      <c r="AA282" s="102"/>
      <c r="AB282" s="162"/>
      <c r="AC282" s="122"/>
      <c r="AD282" s="122"/>
    </row>
    <row r="283" spans="1:30" ht="12.75" x14ac:dyDescent="0.2">
      <c r="B283" s="48"/>
      <c r="C283" s="47"/>
      <c r="Q283" s="30"/>
      <c r="R283" s="45"/>
      <c r="S283" s="33"/>
      <c r="T283" s="30"/>
      <c r="U283" s="124"/>
      <c r="V283" s="166"/>
      <c r="W283" s="122"/>
      <c r="X283" s="102"/>
      <c r="Y283" s="103"/>
      <c r="Z283" s="102"/>
      <c r="AA283" s="102"/>
      <c r="AB283" s="162"/>
      <c r="AC283" s="122"/>
      <c r="AD283" s="122"/>
    </row>
    <row r="284" spans="1:30" ht="12.75" x14ac:dyDescent="0.2">
      <c r="B284" s="48"/>
      <c r="C284" s="47"/>
      <c r="Q284" s="30"/>
      <c r="R284" s="45"/>
      <c r="S284" s="33"/>
      <c r="T284" s="30"/>
      <c r="U284" s="124"/>
      <c r="V284" s="166"/>
      <c r="W284" s="122"/>
      <c r="X284" s="102"/>
      <c r="Y284" s="103"/>
      <c r="Z284" s="102"/>
      <c r="AA284" s="102"/>
      <c r="AB284" s="162"/>
      <c r="AC284" s="122"/>
      <c r="AD284" s="122"/>
    </row>
    <row r="285" spans="1:30" ht="12.75" x14ac:dyDescent="0.2">
      <c r="B285" s="48"/>
      <c r="C285" s="47"/>
      <c r="Q285" s="30"/>
      <c r="R285" s="45"/>
      <c r="S285" s="33"/>
      <c r="T285" s="30"/>
      <c r="U285" s="124"/>
      <c r="V285" s="166"/>
      <c r="W285" s="122"/>
      <c r="X285" s="102"/>
      <c r="Y285" s="103"/>
      <c r="Z285" s="102"/>
      <c r="AA285" s="102"/>
      <c r="AB285" s="162"/>
      <c r="AC285" s="122"/>
      <c r="AD285" s="122"/>
    </row>
    <row r="286" spans="1:30" ht="12.75" x14ac:dyDescent="0.2">
      <c r="B286" s="48"/>
      <c r="C286" s="47"/>
      <c r="Q286" s="30"/>
      <c r="R286" s="45"/>
      <c r="S286" s="33"/>
      <c r="T286" s="30"/>
      <c r="U286" s="124"/>
      <c r="V286" s="166"/>
      <c r="W286" s="122"/>
      <c r="X286" s="102"/>
      <c r="Y286" s="103"/>
      <c r="Z286" s="102"/>
      <c r="AA286" s="102"/>
      <c r="AB286" s="162"/>
      <c r="AC286" s="122"/>
      <c r="AD286" s="122"/>
    </row>
    <row r="287" spans="1:30" ht="12.75" x14ac:dyDescent="0.2">
      <c r="B287" s="48"/>
      <c r="C287" s="47"/>
      <c r="Q287" s="30"/>
      <c r="R287" s="45"/>
      <c r="S287" s="33"/>
      <c r="T287" s="30"/>
      <c r="U287" s="124"/>
      <c r="V287" s="166"/>
      <c r="W287" s="122"/>
      <c r="X287" s="102"/>
      <c r="Y287" s="103"/>
      <c r="Z287" s="102"/>
      <c r="AA287" s="102"/>
      <c r="AB287" s="162"/>
      <c r="AC287" s="122"/>
      <c r="AD287" s="122"/>
    </row>
    <row r="288" spans="1:30" ht="12.75" x14ac:dyDescent="0.2">
      <c r="B288" s="48"/>
      <c r="C288" s="47"/>
      <c r="Q288" s="30"/>
      <c r="R288" s="45"/>
      <c r="S288" s="33"/>
      <c r="T288" s="30"/>
      <c r="U288" s="124"/>
      <c r="V288" s="166"/>
      <c r="W288" s="122"/>
      <c r="X288" s="102"/>
      <c r="Y288" s="103"/>
      <c r="Z288" s="102"/>
      <c r="AA288" s="102"/>
      <c r="AB288" s="162"/>
      <c r="AC288" s="122"/>
      <c r="AD288" s="122"/>
    </row>
    <row r="289" spans="2:30" ht="12.75" x14ac:dyDescent="0.2">
      <c r="B289" s="48"/>
      <c r="C289" s="47"/>
      <c r="Q289" s="30"/>
      <c r="R289" s="45"/>
      <c r="S289" s="33"/>
      <c r="T289" s="30"/>
      <c r="U289" s="124"/>
      <c r="V289" s="166"/>
      <c r="W289" s="122"/>
      <c r="X289" s="102"/>
      <c r="Y289" s="103"/>
      <c r="Z289" s="102"/>
      <c r="AA289" s="102"/>
      <c r="AB289" s="162"/>
      <c r="AC289" s="122"/>
      <c r="AD289" s="122"/>
    </row>
    <row r="290" spans="2:30" ht="12.75" x14ac:dyDescent="0.2">
      <c r="B290" s="48"/>
      <c r="C290" s="47"/>
      <c r="Q290" s="30"/>
      <c r="R290" s="45"/>
      <c r="S290" s="33"/>
      <c r="T290" s="30"/>
      <c r="U290" s="124"/>
      <c r="V290" s="166"/>
      <c r="W290" s="122"/>
      <c r="X290" s="102"/>
      <c r="Y290" s="103"/>
      <c r="Z290" s="102"/>
      <c r="AA290" s="102"/>
      <c r="AB290" s="162"/>
      <c r="AC290" s="122"/>
      <c r="AD290" s="122"/>
    </row>
    <row r="291" spans="2:30" ht="12.75" x14ac:dyDescent="0.2">
      <c r="B291" s="48"/>
      <c r="C291" s="47"/>
      <c r="Q291" s="30"/>
      <c r="R291" s="45"/>
      <c r="S291" s="33"/>
      <c r="T291" s="30"/>
      <c r="U291" s="124"/>
      <c r="V291" s="166"/>
      <c r="W291" s="122"/>
      <c r="X291" s="102"/>
      <c r="Y291" s="103"/>
      <c r="Z291" s="102"/>
      <c r="AA291" s="102"/>
      <c r="AB291" s="162"/>
      <c r="AC291" s="122"/>
      <c r="AD291" s="122"/>
    </row>
    <row r="292" spans="2:30" ht="12.75" x14ac:dyDescent="0.2">
      <c r="B292" s="48"/>
      <c r="C292" s="47"/>
      <c r="Q292" s="30"/>
      <c r="R292" s="45"/>
      <c r="S292" s="33"/>
      <c r="T292" s="30"/>
      <c r="U292" s="124"/>
      <c r="V292" s="166"/>
      <c r="W292" s="122"/>
      <c r="X292" s="102"/>
      <c r="Y292" s="103"/>
      <c r="Z292" s="102"/>
      <c r="AA292" s="102"/>
      <c r="AB292" s="162"/>
      <c r="AC292" s="122"/>
      <c r="AD292" s="122"/>
    </row>
    <row r="293" spans="2:30" ht="12.75" x14ac:dyDescent="0.2">
      <c r="B293" s="48"/>
      <c r="C293" s="47"/>
      <c r="Q293" s="30"/>
      <c r="R293" s="45"/>
      <c r="S293" s="33"/>
      <c r="T293" s="30"/>
      <c r="U293" s="124"/>
      <c r="V293" s="166"/>
      <c r="W293" s="122"/>
      <c r="X293" s="102"/>
      <c r="Y293" s="103"/>
      <c r="Z293" s="102"/>
      <c r="AA293" s="102"/>
      <c r="AB293" s="162"/>
      <c r="AC293" s="122"/>
      <c r="AD293" s="122"/>
    </row>
    <row r="294" spans="2:30" ht="12.75" x14ac:dyDescent="0.2">
      <c r="B294" s="48"/>
      <c r="C294" s="47"/>
      <c r="Q294" s="30"/>
      <c r="R294" s="45"/>
      <c r="S294" s="33"/>
      <c r="T294" s="30"/>
      <c r="U294" s="124"/>
      <c r="V294" s="166"/>
      <c r="W294" s="122"/>
      <c r="X294" s="102"/>
      <c r="Y294" s="103"/>
      <c r="Z294" s="102"/>
      <c r="AA294" s="102"/>
      <c r="AB294" s="162"/>
      <c r="AC294" s="122"/>
      <c r="AD294" s="122"/>
    </row>
    <row r="295" spans="2:30" ht="12.75" x14ac:dyDescent="0.2">
      <c r="B295" s="48"/>
      <c r="C295" s="47"/>
      <c r="Q295" s="30"/>
      <c r="R295" s="45"/>
      <c r="S295" s="33"/>
      <c r="T295" s="30"/>
      <c r="U295" s="124"/>
      <c r="V295" s="166"/>
      <c r="W295" s="122"/>
      <c r="X295" s="102"/>
      <c r="Y295" s="103"/>
      <c r="Z295" s="102"/>
      <c r="AA295" s="102"/>
      <c r="AB295" s="162"/>
      <c r="AC295" s="122"/>
      <c r="AD295" s="122"/>
    </row>
    <row r="296" spans="2:30" ht="12.75" x14ac:dyDescent="0.2">
      <c r="B296" s="48"/>
      <c r="C296" s="47"/>
      <c r="Q296" s="30"/>
      <c r="R296" s="45"/>
      <c r="S296" s="33"/>
      <c r="T296" s="30"/>
      <c r="U296" s="124"/>
      <c r="V296" s="166"/>
      <c r="W296" s="122"/>
      <c r="X296" s="102"/>
      <c r="Y296" s="103"/>
      <c r="Z296" s="102"/>
      <c r="AA296" s="102"/>
      <c r="AB296" s="162"/>
      <c r="AC296" s="122"/>
      <c r="AD296" s="122"/>
    </row>
    <row r="297" spans="2:30" ht="12.75" x14ac:dyDescent="0.2">
      <c r="B297" s="48"/>
      <c r="C297" s="47"/>
      <c r="Q297" s="30"/>
      <c r="R297" s="45"/>
      <c r="S297" s="33"/>
      <c r="T297" s="30"/>
      <c r="U297" s="124"/>
      <c r="V297" s="166"/>
      <c r="W297" s="122"/>
      <c r="X297" s="102"/>
      <c r="Y297" s="103"/>
      <c r="Z297" s="102"/>
      <c r="AA297" s="102"/>
      <c r="AB297" s="162"/>
      <c r="AC297" s="122"/>
      <c r="AD297" s="122"/>
    </row>
    <row r="298" spans="2:30" ht="12.75" x14ac:dyDescent="0.2">
      <c r="B298" s="48"/>
      <c r="C298" s="47"/>
      <c r="Q298" s="30"/>
      <c r="R298" s="45"/>
      <c r="S298" s="33"/>
      <c r="T298" s="30"/>
      <c r="U298" s="124"/>
      <c r="V298" s="166"/>
      <c r="W298" s="122"/>
      <c r="X298" s="102"/>
      <c r="Y298" s="103"/>
      <c r="Z298" s="102"/>
      <c r="AA298" s="102"/>
      <c r="AB298" s="162"/>
      <c r="AC298" s="122"/>
      <c r="AD298" s="122"/>
    </row>
    <row r="299" spans="2:30" ht="12.75" x14ac:dyDescent="0.2">
      <c r="B299" s="48"/>
      <c r="C299" s="47"/>
      <c r="Q299" s="30"/>
      <c r="R299" s="45"/>
      <c r="S299" s="33"/>
      <c r="T299" s="30"/>
      <c r="U299" s="124"/>
      <c r="V299" s="166"/>
      <c r="W299" s="122"/>
      <c r="X299" s="102"/>
      <c r="Y299" s="103"/>
      <c r="Z299" s="102"/>
      <c r="AA299" s="102"/>
      <c r="AB299" s="162"/>
      <c r="AC299" s="122"/>
      <c r="AD299" s="122"/>
    </row>
    <row r="300" spans="2:30" ht="12.75" x14ac:dyDescent="0.2">
      <c r="B300" s="48"/>
      <c r="C300" s="47"/>
      <c r="Q300" s="30"/>
      <c r="R300" s="45"/>
      <c r="S300" s="33"/>
      <c r="T300" s="30"/>
      <c r="U300" s="124"/>
      <c r="V300" s="166"/>
      <c r="W300" s="122"/>
      <c r="X300" s="102"/>
      <c r="Y300" s="103"/>
      <c r="Z300" s="102"/>
      <c r="AA300" s="102"/>
      <c r="AB300" s="162"/>
      <c r="AC300" s="122"/>
      <c r="AD300" s="122"/>
    </row>
    <row r="301" spans="2:30" ht="12.75" x14ac:dyDescent="0.2">
      <c r="B301" s="48"/>
      <c r="C301" s="47"/>
      <c r="Q301" s="30"/>
      <c r="R301" s="45"/>
      <c r="S301" s="33"/>
      <c r="T301" s="30"/>
      <c r="U301" s="124"/>
      <c r="V301" s="166"/>
      <c r="W301" s="122"/>
      <c r="X301" s="102"/>
      <c r="Y301" s="103"/>
      <c r="Z301" s="102"/>
      <c r="AA301" s="102"/>
      <c r="AB301" s="162"/>
      <c r="AC301" s="122"/>
      <c r="AD301" s="122"/>
    </row>
    <row r="302" spans="2:30" ht="12.75" x14ac:dyDescent="0.2">
      <c r="B302" s="48"/>
      <c r="C302" s="47"/>
      <c r="Q302" s="30"/>
      <c r="R302" s="45"/>
      <c r="S302" s="33"/>
      <c r="T302" s="30"/>
      <c r="U302" s="124"/>
      <c r="V302" s="166"/>
      <c r="W302" s="122"/>
      <c r="X302" s="102"/>
      <c r="Y302" s="103"/>
      <c r="Z302" s="102"/>
      <c r="AA302" s="102"/>
      <c r="AB302" s="162"/>
      <c r="AC302" s="122"/>
      <c r="AD302" s="122"/>
    </row>
    <row r="303" spans="2:30" ht="12.75" x14ac:dyDescent="0.2">
      <c r="B303" s="48"/>
      <c r="C303" s="47"/>
      <c r="Q303" s="30"/>
      <c r="R303" s="45"/>
      <c r="S303" s="33"/>
      <c r="T303" s="30"/>
      <c r="U303" s="124"/>
      <c r="V303" s="166"/>
      <c r="W303" s="122"/>
      <c r="X303" s="102"/>
      <c r="Y303" s="103"/>
      <c r="Z303" s="102"/>
      <c r="AA303" s="102"/>
      <c r="AB303" s="162"/>
      <c r="AC303" s="122"/>
      <c r="AD303" s="122"/>
    </row>
    <row r="304" spans="2:30" ht="12.75" x14ac:dyDescent="0.2">
      <c r="B304" s="48"/>
      <c r="C304" s="47"/>
      <c r="Q304" s="30"/>
      <c r="R304" s="45"/>
      <c r="S304" s="33"/>
      <c r="T304" s="30"/>
      <c r="U304" s="124"/>
      <c r="V304" s="166"/>
      <c r="W304" s="122"/>
      <c r="X304" s="102"/>
      <c r="Y304" s="103"/>
      <c r="Z304" s="102"/>
      <c r="AA304" s="102"/>
      <c r="AB304" s="162"/>
      <c r="AC304" s="122"/>
      <c r="AD304" s="122"/>
    </row>
    <row r="305" spans="2:30" ht="12.75" x14ac:dyDescent="0.2">
      <c r="B305" s="48"/>
      <c r="C305" s="47"/>
      <c r="Q305" s="30"/>
      <c r="R305" s="45"/>
      <c r="S305" s="33"/>
      <c r="T305" s="30"/>
      <c r="U305" s="124"/>
      <c r="V305" s="166"/>
      <c r="W305" s="122"/>
      <c r="X305" s="102"/>
      <c r="Y305" s="103"/>
      <c r="Z305" s="102"/>
      <c r="AA305" s="102"/>
      <c r="AB305" s="162"/>
      <c r="AC305" s="122"/>
      <c r="AD305" s="122"/>
    </row>
    <row r="306" spans="2:30" ht="12.75" x14ac:dyDescent="0.2">
      <c r="B306" s="48"/>
      <c r="C306" s="47"/>
      <c r="Q306" s="30"/>
      <c r="R306" s="45"/>
      <c r="S306" s="33"/>
      <c r="T306" s="30"/>
      <c r="U306" s="124"/>
      <c r="V306" s="166"/>
      <c r="W306" s="122"/>
      <c r="X306" s="102"/>
      <c r="Y306" s="103"/>
      <c r="Z306" s="102"/>
      <c r="AA306" s="102"/>
      <c r="AB306" s="162"/>
      <c r="AC306" s="122"/>
      <c r="AD306" s="122"/>
    </row>
    <row r="307" spans="2:30" ht="12.75" x14ac:dyDescent="0.2">
      <c r="B307" s="48"/>
      <c r="C307" s="47"/>
      <c r="Q307" s="30"/>
      <c r="R307" s="45"/>
      <c r="S307" s="33"/>
      <c r="T307" s="30"/>
      <c r="U307" s="124"/>
      <c r="V307" s="166"/>
      <c r="W307" s="122"/>
      <c r="X307" s="102"/>
      <c r="Y307" s="103"/>
      <c r="Z307" s="102"/>
      <c r="AA307" s="102"/>
      <c r="AB307" s="162"/>
      <c r="AC307" s="122"/>
      <c r="AD307" s="122"/>
    </row>
    <row r="308" spans="2:30" ht="12.75" x14ac:dyDescent="0.2">
      <c r="B308" s="48"/>
      <c r="C308" s="47"/>
      <c r="Q308" s="30"/>
      <c r="R308" s="45"/>
      <c r="S308" s="33"/>
      <c r="T308" s="30"/>
      <c r="U308" s="124"/>
      <c r="V308" s="166"/>
      <c r="W308" s="122"/>
      <c r="X308" s="102"/>
      <c r="Y308" s="103"/>
      <c r="Z308" s="102"/>
      <c r="AA308" s="102"/>
      <c r="AB308" s="162"/>
      <c r="AC308" s="122"/>
      <c r="AD308" s="122"/>
    </row>
    <row r="309" spans="2:30" ht="12.75" x14ac:dyDescent="0.2">
      <c r="B309" s="48"/>
      <c r="C309" s="47"/>
      <c r="Q309" s="30"/>
      <c r="R309" s="45"/>
      <c r="S309" s="33"/>
      <c r="T309" s="30"/>
      <c r="U309" s="124"/>
      <c r="V309" s="166"/>
      <c r="W309" s="122"/>
      <c r="X309" s="102"/>
      <c r="Y309" s="103"/>
      <c r="Z309" s="102"/>
      <c r="AA309" s="102"/>
      <c r="AB309" s="162"/>
      <c r="AC309" s="122"/>
      <c r="AD309" s="122"/>
    </row>
    <row r="310" spans="2:30" ht="12.75" x14ac:dyDescent="0.2">
      <c r="B310" s="48"/>
      <c r="C310" s="47"/>
      <c r="Q310" s="30"/>
      <c r="R310" s="45"/>
      <c r="S310" s="33"/>
      <c r="T310" s="30"/>
      <c r="U310" s="124"/>
      <c r="V310" s="166"/>
      <c r="W310" s="122"/>
      <c r="X310" s="102"/>
      <c r="Y310" s="103"/>
      <c r="Z310" s="102"/>
      <c r="AA310" s="102"/>
      <c r="AB310" s="162"/>
      <c r="AC310" s="122"/>
      <c r="AD310" s="122"/>
    </row>
    <row r="311" spans="2:30" ht="12.75" x14ac:dyDescent="0.2">
      <c r="B311" s="48"/>
      <c r="C311" s="47"/>
      <c r="Q311" s="30"/>
      <c r="R311" s="45"/>
      <c r="S311" s="33"/>
      <c r="T311" s="30"/>
      <c r="U311" s="124"/>
      <c r="V311" s="166"/>
      <c r="W311" s="122"/>
      <c r="X311" s="102"/>
      <c r="Y311" s="103"/>
      <c r="Z311" s="102"/>
      <c r="AA311" s="102"/>
      <c r="AB311" s="162"/>
      <c r="AC311" s="122"/>
      <c r="AD311" s="122"/>
    </row>
    <row r="312" spans="2:30" ht="12.75" x14ac:dyDescent="0.2">
      <c r="B312" s="48"/>
      <c r="C312" s="47"/>
      <c r="Q312" s="30"/>
      <c r="R312" s="45"/>
      <c r="S312" s="33"/>
      <c r="T312" s="30"/>
      <c r="U312" s="124"/>
      <c r="V312" s="166"/>
      <c r="W312" s="122"/>
      <c r="X312" s="102"/>
      <c r="Y312" s="103"/>
      <c r="Z312" s="102"/>
      <c r="AA312" s="102"/>
      <c r="AB312" s="162"/>
      <c r="AC312" s="122"/>
      <c r="AD312" s="122"/>
    </row>
    <row r="313" spans="2:30" ht="12.75" x14ac:dyDescent="0.2">
      <c r="B313" s="48"/>
      <c r="C313" s="47"/>
      <c r="Q313" s="30"/>
      <c r="R313" s="45"/>
      <c r="S313" s="33"/>
      <c r="T313" s="30"/>
      <c r="U313" s="124"/>
      <c r="V313" s="166"/>
      <c r="W313" s="122"/>
      <c r="X313" s="102"/>
      <c r="Y313" s="103"/>
      <c r="Z313" s="102"/>
      <c r="AA313" s="102"/>
      <c r="AB313" s="162"/>
      <c r="AC313" s="122"/>
      <c r="AD313" s="122"/>
    </row>
    <row r="314" spans="2:30" ht="12.75" x14ac:dyDescent="0.2">
      <c r="B314" s="48"/>
      <c r="C314" s="47"/>
      <c r="Q314" s="30"/>
      <c r="R314" s="45"/>
      <c r="S314" s="33"/>
      <c r="T314" s="30"/>
      <c r="U314" s="124"/>
      <c r="V314" s="166"/>
      <c r="W314" s="122"/>
      <c r="X314" s="102"/>
      <c r="Y314" s="103"/>
      <c r="Z314" s="102"/>
      <c r="AA314" s="102"/>
      <c r="AB314" s="162"/>
      <c r="AC314" s="122"/>
      <c r="AD314" s="122"/>
    </row>
    <row r="315" spans="2:30" ht="12.75" x14ac:dyDescent="0.2">
      <c r="B315" s="48"/>
      <c r="C315" s="47"/>
      <c r="Q315" s="30"/>
      <c r="R315" s="45"/>
      <c r="S315" s="33"/>
      <c r="T315" s="30"/>
      <c r="U315" s="124"/>
      <c r="V315" s="166"/>
      <c r="W315" s="122"/>
      <c r="X315" s="102"/>
      <c r="Y315" s="103"/>
      <c r="Z315" s="102"/>
      <c r="AA315" s="102"/>
      <c r="AB315" s="162"/>
      <c r="AC315" s="122"/>
      <c r="AD315" s="122"/>
    </row>
    <row r="316" spans="2:30" ht="12.75" x14ac:dyDescent="0.2">
      <c r="B316" s="48"/>
      <c r="C316" s="47"/>
      <c r="Q316" s="30"/>
      <c r="R316" s="45"/>
      <c r="S316" s="33"/>
      <c r="T316" s="30"/>
      <c r="U316" s="124"/>
      <c r="V316" s="166"/>
      <c r="W316" s="122"/>
      <c r="X316" s="102"/>
      <c r="Y316" s="103"/>
      <c r="Z316" s="102"/>
      <c r="AA316" s="102"/>
      <c r="AB316" s="162"/>
      <c r="AC316" s="122"/>
      <c r="AD316" s="122"/>
    </row>
    <row r="317" spans="2:30" ht="12.75" x14ac:dyDescent="0.2">
      <c r="B317" s="48"/>
      <c r="C317" s="47"/>
      <c r="Q317" s="30"/>
      <c r="R317" s="45"/>
      <c r="S317" s="33"/>
      <c r="T317" s="30"/>
      <c r="U317" s="124"/>
      <c r="V317" s="166"/>
      <c r="W317" s="122"/>
      <c r="X317" s="102"/>
      <c r="Y317" s="103"/>
      <c r="Z317" s="102"/>
      <c r="AA317" s="102"/>
      <c r="AB317" s="162"/>
      <c r="AC317" s="122"/>
      <c r="AD317" s="122"/>
    </row>
    <row r="318" spans="2:30" ht="12.75" x14ac:dyDescent="0.2">
      <c r="B318" s="48"/>
      <c r="C318" s="47"/>
      <c r="Q318" s="30"/>
      <c r="R318" s="45"/>
      <c r="S318" s="33"/>
      <c r="T318" s="30"/>
      <c r="U318" s="124"/>
      <c r="V318" s="166"/>
      <c r="W318" s="122"/>
      <c r="X318" s="102"/>
      <c r="Y318" s="103"/>
      <c r="Z318" s="102"/>
      <c r="AA318" s="102"/>
      <c r="AB318" s="162"/>
      <c r="AC318" s="122"/>
      <c r="AD318" s="122"/>
    </row>
    <row r="319" spans="2:30" ht="12.75" x14ac:dyDescent="0.2">
      <c r="B319" s="48"/>
      <c r="C319" s="47"/>
      <c r="Q319" s="30"/>
      <c r="R319" s="45"/>
      <c r="S319" s="33"/>
      <c r="T319" s="30"/>
      <c r="U319" s="124"/>
      <c r="V319" s="166"/>
      <c r="W319" s="122"/>
      <c r="X319" s="102"/>
      <c r="Y319" s="103"/>
      <c r="Z319" s="102"/>
      <c r="AA319" s="102"/>
      <c r="AB319" s="162"/>
      <c r="AC319" s="122"/>
      <c r="AD319" s="122"/>
    </row>
    <row r="320" spans="2:30" ht="12.75" x14ac:dyDescent="0.2">
      <c r="B320" s="48"/>
      <c r="C320" s="47"/>
      <c r="Q320" s="30"/>
      <c r="R320" s="45"/>
      <c r="S320" s="33"/>
      <c r="T320" s="30"/>
      <c r="U320" s="124"/>
      <c r="V320" s="166"/>
      <c r="W320" s="122"/>
      <c r="X320" s="102"/>
      <c r="Y320" s="103"/>
      <c r="Z320" s="102"/>
      <c r="AA320" s="102"/>
      <c r="AB320" s="162"/>
      <c r="AC320" s="122"/>
      <c r="AD320" s="122"/>
    </row>
    <row r="321" spans="2:30" ht="12.75" x14ac:dyDescent="0.2">
      <c r="B321" s="48"/>
      <c r="C321" s="47"/>
      <c r="Q321" s="30"/>
      <c r="R321" s="45"/>
      <c r="S321" s="33"/>
      <c r="T321" s="30"/>
      <c r="U321" s="124"/>
      <c r="V321" s="166"/>
      <c r="W321" s="122"/>
      <c r="X321" s="102"/>
      <c r="Y321" s="103"/>
      <c r="Z321" s="102"/>
      <c r="AA321" s="102"/>
      <c r="AB321" s="162"/>
      <c r="AC321" s="122"/>
      <c r="AD321" s="122"/>
    </row>
    <row r="322" spans="2:30" ht="12.75" x14ac:dyDescent="0.2">
      <c r="B322" s="48"/>
      <c r="C322" s="47"/>
      <c r="Q322" s="30"/>
      <c r="R322" s="45"/>
      <c r="S322" s="33"/>
      <c r="T322" s="30"/>
      <c r="U322" s="124"/>
      <c r="V322" s="166"/>
      <c r="W322" s="122"/>
      <c r="X322" s="102"/>
      <c r="Y322" s="103"/>
      <c r="Z322" s="102"/>
      <c r="AA322" s="102"/>
      <c r="AB322" s="162"/>
      <c r="AC322" s="122"/>
      <c r="AD322" s="122"/>
    </row>
    <row r="323" spans="2:30" ht="12.75" x14ac:dyDescent="0.2">
      <c r="B323" s="48"/>
      <c r="C323" s="47"/>
      <c r="Q323" s="30"/>
      <c r="R323" s="45"/>
      <c r="S323" s="33"/>
      <c r="T323" s="30"/>
      <c r="U323" s="124"/>
      <c r="V323" s="166"/>
      <c r="W323" s="122"/>
      <c r="X323" s="102"/>
      <c r="Y323" s="103"/>
      <c r="Z323" s="102"/>
      <c r="AA323" s="102"/>
      <c r="AB323" s="162"/>
      <c r="AC323" s="122"/>
      <c r="AD323" s="122"/>
    </row>
    <row r="324" spans="2:30" ht="12.75" x14ac:dyDescent="0.2">
      <c r="B324" s="48"/>
      <c r="C324" s="47"/>
      <c r="Q324" s="30"/>
      <c r="R324" s="45"/>
      <c r="S324" s="33"/>
      <c r="T324" s="30"/>
      <c r="U324" s="124"/>
      <c r="V324" s="166"/>
      <c r="W324" s="122"/>
      <c r="X324" s="102"/>
      <c r="Y324" s="103"/>
      <c r="Z324" s="102"/>
      <c r="AA324" s="102"/>
      <c r="AB324" s="162"/>
      <c r="AC324" s="122"/>
      <c r="AD324" s="122"/>
    </row>
    <row r="325" spans="2:30" ht="12.75" x14ac:dyDescent="0.2">
      <c r="B325" s="48"/>
      <c r="C325" s="47"/>
      <c r="Q325" s="30"/>
      <c r="R325" s="45"/>
      <c r="S325" s="33"/>
      <c r="T325" s="30"/>
      <c r="U325" s="124"/>
      <c r="V325" s="166"/>
      <c r="W325" s="122"/>
      <c r="X325" s="102"/>
      <c r="Y325" s="103"/>
      <c r="Z325" s="102"/>
      <c r="AA325" s="102"/>
      <c r="AB325" s="162"/>
      <c r="AC325" s="122"/>
      <c r="AD325" s="122"/>
    </row>
    <row r="326" spans="2:30" ht="12.75" x14ac:dyDescent="0.2">
      <c r="B326" s="48"/>
      <c r="C326" s="47"/>
      <c r="Q326" s="30"/>
      <c r="R326" s="45"/>
      <c r="S326" s="33"/>
      <c r="T326" s="30"/>
      <c r="U326" s="124"/>
      <c r="V326" s="166"/>
      <c r="W326" s="122"/>
      <c r="X326" s="102"/>
      <c r="Y326" s="103"/>
      <c r="Z326" s="102"/>
      <c r="AA326" s="102"/>
      <c r="AB326" s="162"/>
      <c r="AC326" s="122"/>
      <c r="AD326" s="122"/>
    </row>
    <row r="327" spans="2:30" ht="12.75" x14ac:dyDescent="0.2">
      <c r="B327" s="48"/>
      <c r="C327" s="47"/>
      <c r="Q327" s="30"/>
      <c r="R327" s="45"/>
      <c r="S327" s="33"/>
      <c r="T327" s="30"/>
      <c r="U327" s="124"/>
      <c r="V327" s="166"/>
      <c r="W327" s="122"/>
      <c r="X327" s="102"/>
      <c r="Y327" s="103"/>
      <c r="Z327" s="102"/>
      <c r="AA327" s="102"/>
      <c r="AB327" s="162"/>
      <c r="AC327" s="122"/>
      <c r="AD327" s="122"/>
    </row>
    <row r="328" spans="2:30" ht="12.75" x14ac:dyDescent="0.2">
      <c r="B328" s="48"/>
      <c r="C328" s="47"/>
      <c r="Q328" s="30"/>
      <c r="R328" s="45"/>
      <c r="S328" s="33"/>
      <c r="T328" s="30"/>
      <c r="U328" s="124"/>
      <c r="V328" s="166"/>
      <c r="W328" s="122"/>
      <c r="X328" s="102"/>
      <c r="Y328" s="103"/>
      <c r="Z328" s="102"/>
      <c r="AA328" s="102"/>
      <c r="AB328" s="162"/>
      <c r="AC328" s="122"/>
      <c r="AD328" s="122"/>
    </row>
    <row r="329" spans="2:30" ht="12.75" x14ac:dyDescent="0.2">
      <c r="B329" s="48"/>
      <c r="C329" s="47"/>
      <c r="Q329" s="30"/>
      <c r="R329" s="45"/>
      <c r="S329" s="33"/>
      <c r="T329" s="30"/>
      <c r="U329" s="124"/>
      <c r="V329" s="166"/>
      <c r="W329" s="122"/>
      <c r="X329" s="102"/>
      <c r="Y329" s="103"/>
      <c r="Z329" s="102"/>
      <c r="AA329" s="102"/>
      <c r="AB329" s="162"/>
      <c r="AC329" s="122"/>
      <c r="AD329" s="122"/>
    </row>
    <row r="330" spans="2:30" ht="12.75" x14ac:dyDescent="0.2">
      <c r="B330" s="48"/>
      <c r="C330" s="47"/>
      <c r="Q330" s="30"/>
      <c r="R330" s="45"/>
      <c r="S330" s="33"/>
      <c r="T330" s="30"/>
      <c r="U330" s="124"/>
      <c r="V330" s="166"/>
      <c r="W330" s="122"/>
      <c r="X330" s="102"/>
      <c r="Y330" s="103"/>
      <c r="Z330" s="102"/>
      <c r="AA330" s="102"/>
      <c r="AB330" s="162"/>
      <c r="AC330" s="122"/>
      <c r="AD330" s="122"/>
    </row>
    <row r="331" spans="2:30" ht="12.75" x14ac:dyDescent="0.2">
      <c r="B331" s="48"/>
      <c r="C331" s="47"/>
      <c r="Q331" s="30"/>
      <c r="R331" s="45"/>
      <c r="S331" s="33"/>
      <c r="T331" s="30"/>
      <c r="U331" s="124"/>
      <c r="V331" s="166"/>
      <c r="W331" s="122"/>
      <c r="X331" s="102"/>
      <c r="Y331" s="103"/>
      <c r="Z331" s="102"/>
      <c r="AA331" s="102"/>
      <c r="AB331" s="162"/>
      <c r="AC331" s="122"/>
      <c r="AD331" s="122"/>
    </row>
    <row r="332" spans="2:30" ht="12.75" x14ac:dyDescent="0.2">
      <c r="B332" s="48"/>
      <c r="C332" s="47"/>
      <c r="Q332" s="30"/>
      <c r="R332" s="45"/>
      <c r="S332" s="33"/>
      <c r="T332" s="30"/>
      <c r="U332" s="124"/>
      <c r="V332" s="166"/>
      <c r="W332" s="122"/>
      <c r="X332" s="102"/>
      <c r="Y332" s="103"/>
      <c r="Z332" s="102"/>
      <c r="AA332" s="102"/>
      <c r="AB332" s="162"/>
      <c r="AC332" s="122"/>
      <c r="AD332" s="122"/>
    </row>
    <row r="333" spans="2:30" ht="12.75" x14ac:dyDescent="0.2">
      <c r="B333" s="48"/>
      <c r="C333" s="47"/>
      <c r="Q333" s="30"/>
      <c r="R333" s="45"/>
      <c r="S333" s="33"/>
      <c r="T333" s="30"/>
      <c r="U333" s="124"/>
      <c r="V333" s="166"/>
      <c r="W333" s="122"/>
      <c r="X333" s="102"/>
      <c r="Y333" s="103"/>
      <c r="Z333" s="102"/>
      <c r="AA333" s="102"/>
      <c r="AB333" s="162"/>
      <c r="AC333" s="122"/>
      <c r="AD333" s="122"/>
    </row>
    <row r="334" spans="2:30" ht="12.75" x14ac:dyDescent="0.2">
      <c r="B334" s="48"/>
      <c r="C334" s="47"/>
      <c r="Q334" s="30"/>
      <c r="R334" s="45"/>
      <c r="S334" s="33"/>
      <c r="T334" s="30"/>
      <c r="U334" s="124"/>
      <c r="V334" s="166"/>
      <c r="W334" s="122"/>
      <c r="X334" s="102"/>
      <c r="Y334" s="103"/>
      <c r="Z334" s="102"/>
      <c r="AA334" s="102"/>
      <c r="AB334" s="162"/>
      <c r="AC334" s="122"/>
      <c r="AD334" s="122"/>
    </row>
    <row r="335" spans="2:30" ht="12.75" x14ac:dyDescent="0.2">
      <c r="B335" s="48"/>
      <c r="C335" s="47"/>
      <c r="Q335" s="30"/>
      <c r="R335" s="45"/>
      <c r="S335" s="33"/>
      <c r="T335" s="30"/>
      <c r="U335" s="124"/>
      <c r="V335" s="166"/>
      <c r="W335" s="122"/>
      <c r="X335" s="102"/>
      <c r="Y335" s="103"/>
      <c r="Z335" s="102"/>
      <c r="AA335" s="102"/>
      <c r="AB335" s="162"/>
      <c r="AC335" s="122"/>
      <c r="AD335" s="122"/>
    </row>
    <row r="336" spans="2:30" ht="12.75" x14ac:dyDescent="0.2">
      <c r="B336" s="48"/>
      <c r="C336" s="47"/>
      <c r="Q336" s="30"/>
      <c r="R336" s="45"/>
      <c r="S336" s="33"/>
      <c r="T336" s="30"/>
      <c r="U336" s="124"/>
      <c r="V336" s="166"/>
      <c r="W336" s="122"/>
      <c r="X336" s="102"/>
      <c r="Y336" s="103"/>
      <c r="Z336" s="102"/>
      <c r="AA336" s="102"/>
      <c r="AB336" s="162"/>
      <c r="AC336" s="122"/>
      <c r="AD336" s="122"/>
    </row>
    <row r="337" spans="2:30" ht="12.75" x14ac:dyDescent="0.2">
      <c r="B337" s="48"/>
      <c r="C337" s="47"/>
      <c r="Q337" s="30"/>
      <c r="R337" s="45"/>
      <c r="S337" s="33"/>
      <c r="T337" s="30"/>
      <c r="U337" s="124"/>
      <c r="V337" s="166"/>
      <c r="W337" s="122"/>
      <c r="X337" s="102"/>
      <c r="Y337" s="103"/>
      <c r="Z337" s="102"/>
      <c r="AA337" s="102"/>
      <c r="AB337" s="162"/>
      <c r="AC337" s="122"/>
      <c r="AD337" s="122"/>
    </row>
    <row r="338" spans="2:30" ht="12.75" x14ac:dyDescent="0.2">
      <c r="B338" s="48"/>
      <c r="C338" s="47"/>
      <c r="Q338" s="30"/>
      <c r="R338" s="45"/>
      <c r="S338" s="33"/>
      <c r="T338" s="30"/>
      <c r="U338" s="124"/>
      <c r="V338" s="166"/>
      <c r="W338" s="122"/>
      <c r="X338" s="102"/>
      <c r="Y338" s="103"/>
      <c r="Z338" s="102"/>
      <c r="AA338" s="102"/>
      <c r="AB338" s="162"/>
      <c r="AC338" s="122"/>
      <c r="AD338" s="122"/>
    </row>
    <row r="339" spans="2:30" ht="12.75" x14ac:dyDescent="0.2">
      <c r="B339" s="48"/>
      <c r="C339" s="47"/>
      <c r="Q339" s="30"/>
      <c r="R339" s="45"/>
      <c r="S339" s="33"/>
      <c r="T339" s="30"/>
      <c r="U339" s="124"/>
      <c r="V339" s="166"/>
      <c r="W339" s="122"/>
      <c r="X339" s="102"/>
      <c r="Y339" s="103"/>
      <c r="Z339" s="102"/>
      <c r="AA339" s="102"/>
      <c r="AB339" s="162"/>
      <c r="AC339" s="122"/>
      <c r="AD339" s="122"/>
    </row>
    <row r="340" spans="2:30" ht="12.75" x14ac:dyDescent="0.2">
      <c r="B340" s="48"/>
      <c r="C340" s="47"/>
      <c r="Q340" s="30"/>
      <c r="R340" s="45"/>
      <c r="S340" s="33"/>
      <c r="T340" s="30"/>
      <c r="U340" s="124"/>
      <c r="V340" s="166"/>
      <c r="W340" s="122"/>
      <c r="X340" s="102"/>
      <c r="Y340" s="103"/>
      <c r="Z340" s="102"/>
      <c r="AA340" s="102"/>
      <c r="AB340" s="162"/>
      <c r="AC340" s="122"/>
      <c r="AD340" s="122"/>
    </row>
    <row r="341" spans="2:30" ht="12.75" x14ac:dyDescent="0.2">
      <c r="B341" s="48"/>
      <c r="C341" s="47"/>
      <c r="Q341" s="30"/>
      <c r="R341" s="45"/>
      <c r="S341" s="33"/>
      <c r="T341" s="30"/>
      <c r="U341" s="124"/>
      <c r="V341" s="166"/>
      <c r="W341" s="122"/>
      <c r="X341" s="102"/>
      <c r="Y341" s="103"/>
      <c r="Z341" s="102"/>
      <c r="AA341" s="102"/>
      <c r="AB341" s="162"/>
      <c r="AC341" s="122"/>
      <c r="AD341" s="122"/>
    </row>
    <row r="342" spans="2:30" ht="12.75" x14ac:dyDescent="0.2">
      <c r="B342" s="48"/>
      <c r="C342" s="47"/>
      <c r="Q342" s="30"/>
      <c r="R342" s="45"/>
      <c r="S342" s="33"/>
      <c r="T342" s="30"/>
      <c r="U342" s="124"/>
      <c r="V342" s="166"/>
      <c r="W342" s="122"/>
      <c r="X342" s="102"/>
      <c r="Y342" s="103"/>
      <c r="Z342" s="102"/>
      <c r="AA342" s="102"/>
      <c r="AB342" s="162"/>
      <c r="AC342" s="122"/>
      <c r="AD342" s="122"/>
    </row>
    <row r="343" spans="2:30" ht="12.75" x14ac:dyDescent="0.2">
      <c r="B343" s="48"/>
      <c r="C343" s="47"/>
      <c r="Q343" s="30"/>
      <c r="R343" s="45"/>
      <c r="S343" s="33"/>
      <c r="T343" s="30"/>
      <c r="U343" s="124"/>
      <c r="V343" s="166"/>
      <c r="W343" s="122"/>
      <c r="X343" s="102"/>
      <c r="Y343" s="103"/>
      <c r="Z343" s="102"/>
      <c r="AA343" s="102"/>
      <c r="AB343" s="162"/>
      <c r="AC343" s="122"/>
      <c r="AD343" s="122"/>
    </row>
    <row r="344" spans="2:30" ht="12.75" x14ac:dyDescent="0.2">
      <c r="B344" s="48"/>
      <c r="C344" s="47"/>
      <c r="Q344" s="30"/>
      <c r="R344" s="45"/>
      <c r="S344" s="33"/>
      <c r="T344" s="30"/>
      <c r="U344" s="124"/>
      <c r="V344" s="166"/>
      <c r="W344" s="122"/>
      <c r="X344" s="102"/>
      <c r="Y344" s="103"/>
      <c r="Z344" s="102"/>
      <c r="AA344" s="102"/>
      <c r="AB344" s="162"/>
      <c r="AC344" s="122"/>
      <c r="AD344" s="122"/>
    </row>
    <row r="345" spans="2:30" ht="12.75" x14ac:dyDescent="0.2">
      <c r="B345" s="48"/>
      <c r="C345" s="47"/>
      <c r="Q345" s="30"/>
      <c r="R345" s="45"/>
      <c r="S345" s="33"/>
      <c r="T345" s="30"/>
      <c r="U345" s="124"/>
      <c r="V345" s="166"/>
      <c r="W345" s="122"/>
      <c r="X345" s="102"/>
      <c r="Y345" s="103"/>
      <c r="Z345" s="102"/>
      <c r="AA345" s="102"/>
      <c r="AB345" s="162"/>
      <c r="AC345" s="122"/>
      <c r="AD345" s="122"/>
    </row>
    <row r="346" spans="2:30" ht="12.75" x14ac:dyDescent="0.2">
      <c r="B346" s="48"/>
      <c r="C346" s="47"/>
      <c r="Q346" s="30"/>
      <c r="R346" s="45"/>
      <c r="S346" s="33"/>
      <c r="T346" s="30"/>
      <c r="U346" s="124"/>
      <c r="V346" s="166"/>
      <c r="W346" s="122"/>
      <c r="X346" s="102"/>
      <c r="Y346" s="103"/>
      <c r="Z346" s="102"/>
      <c r="AA346" s="102"/>
      <c r="AB346" s="162"/>
      <c r="AC346" s="122"/>
      <c r="AD346" s="122"/>
    </row>
    <row r="347" spans="2:30" ht="12.75" x14ac:dyDescent="0.2">
      <c r="B347" s="48"/>
      <c r="C347" s="47"/>
      <c r="Q347" s="30"/>
      <c r="R347" s="45"/>
      <c r="S347" s="33"/>
      <c r="T347" s="30"/>
      <c r="U347" s="124"/>
      <c r="V347" s="166"/>
      <c r="W347" s="122"/>
      <c r="X347" s="102"/>
      <c r="Y347" s="103"/>
      <c r="Z347" s="102"/>
      <c r="AA347" s="102"/>
      <c r="AB347" s="162"/>
      <c r="AC347" s="122"/>
      <c r="AD347" s="122"/>
    </row>
    <row r="348" spans="2:30" ht="12.75" x14ac:dyDescent="0.2">
      <c r="B348" s="48"/>
      <c r="C348" s="47"/>
      <c r="Q348" s="30"/>
      <c r="R348" s="45"/>
      <c r="S348" s="33"/>
      <c r="T348" s="30"/>
      <c r="U348" s="124"/>
      <c r="V348" s="166"/>
      <c r="W348" s="122"/>
      <c r="X348" s="102"/>
      <c r="Y348" s="103"/>
      <c r="Z348" s="102"/>
      <c r="AA348" s="102"/>
      <c r="AB348" s="162"/>
      <c r="AC348" s="122"/>
      <c r="AD348" s="122"/>
    </row>
    <row r="349" spans="2:30" ht="12.75" x14ac:dyDescent="0.2">
      <c r="B349" s="48"/>
      <c r="C349" s="47"/>
      <c r="Q349" s="30"/>
      <c r="R349" s="45"/>
      <c r="S349" s="33"/>
      <c r="T349" s="30"/>
      <c r="U349" s="124"/>
      <c r="V349" s="166"/>
      <c r="W349" s="122"/>
      <c r="X349" s="102"/>
      <c r="Y349" s="103"/>
      <c r="Z349" s="102"/>
      <c r="AA349" s="102"/>
      <c r="AB349" s="162"/>
      <c r="AC349" s="122"/>
      <c r="AD349" s="122"/>
    </row>
    <row r="350" spans="2:30" ht="12.75" x14ac:dyDescent="0.2">
      <c r="B350" s="48"/>
      <c r="C350" s="47"/>
      <c r="Q350" s="30"/>
      <c r="R350" s="45"/>
      <c r="S350" s="33"/>
      <c r="T350" s="30"/>
      <c r="U350" s="124"/>
      <c r="V350" s="166"/>
      <c r="W350" s="122"/>
      <c r="X350" s="102"/>
      <c r="Y350" s="103"/>
      <c r="Z350" s="102"/>
      <c r="AA350" s="102"/>
      <c r="AB350" s="162"/>
      <c r="AC350" s="122"/>
      <c r="AD350" s="122"/>
    </row>
    <row r="351" spans="2:30" ht="12.75" x14ac:dyDescent="0.2">
      <c r="B351" s="48"/>
      <c r="C351" s="47"/>
      <c r="Q351" s="30"/>
      <c r="R351" s="45"/>
      <c r="S351" s="33"/>
      <c r="T351" s="30"/>
      <c r="U351" s="124"/>
      <c r="V351" s="166"/>
      <c r="W351" s="122"/>
      <c r="X351" s="102"/>
      <c r="Y351" s="103"/>
      <c r="Z351" s="102"/>
      <c r="AA351" s="102"/>
      <c r="AB351" s="162"/>
      <c r="AC351" s="122"/>
      <c r="AD351" s="122"/>
    </row>
    <row r="352" spans="2:30" ht="12.75" x14ac:dyDescent="0.2">
      <c r="B352" s="48"/>
      <c r="C352" s="47"/>
      <c r="Q352" s="30"/>
      <c r="R352" s="45"/>
      <c r="S352" s="33"/>
      <c r="T352" s="30"/>
      <c r="U352" s="124"/>
      <c r="V352" s="166"/>
      <c r="W352" s="122"/>
      <c r="X352" s="102"/>
      <c r="Y352" s="103"/>
      <c r="Z352" s="102"/>
      <c r="AA352" s="102"/>
      <c r="AB352" s="162"/>
      <c r="AC352" s="122"/>
      <c r="AD352" s="122"/>
    </row>
    <row r="353" spans="2:30" ht="12.75" x14ac:dyDescent="0.2">
      <c r="B353" s="48"/>
      <c r="C353" s="47"/>
      <c r="Q353" s="30"/>
      <c r="R353" s="45"/>
      <c r="S353" s="33"/>
      <c r="T353" s="30"/>
      <c r="U353" s="124"/>
      <c r="V353" s="166"/>
      <c r="W353" s="122"/>
      <c r="X353" s="102"/>
      <c r="Y353" s="103"/>
      <c r="Z353" s="102"/>
      <c r="AA353" s="102"/>
      <c r="AB353" s="162"/>
      <c r="AC353" s="122"/>
      <c r="AD353" s="122"/>
    </row>
    <row r="354" spans="2:30" ht="12.75" x14ac:dyDescent="0.2">
      <c r="B354" s="48"/>
      <c r="C354" s="47"/>
      <c r="Q354" s="30"/>
      <c r="R354" s="45"/>
      <c r="S354" s="33"/>
      <c r="T354" s="30"/>
      <c r="U354" s="124"/>
      <c r="V354" s="166"/>
      <c r="W354" s="122"/>
      <c r="X354" s="102"/>
      <c r="Y354" s="103"/>
      <c r="Z354" s="102"/>
      <c r="AA354" s="102"/>
      <c r="AB354" s="162"/>
      <c r="AC354" s="122"/>
      <c r="AD354" s="122"/>
    </row>
    <row r="355" spans="2:30" ht="12.75" x14ac:dyDescent="0.2">
      <c r="B355" s="48"/>
      <c r="C355" s="47"/>
      <c r="Q355" s="30"/>
      <c r="R355" s="45"/>
      <c r="S355" s="33"/>
      <c r="T355" s="30"/>
      <c r="U355" s="124"/>
      <c r="V355" s="166"/>
      <c r="W355" s="122"/>
      <c r="X355" s="102"/>
      <c r="Y355" s="103"/>
      <c r="Z355" s="102"/>
      <c r="AA355" s="102"/>
      <c r="AB355" s="162"/>
      <c r="AC355" s="122"/>
      <c r="AD355" s="122"/>
    </row>
    <row r="356" spans="2:30" ht="12.75" x14ac:dyDescent="0.2">
      <c r="B356" s="48"/>
      <c r="C356" s="47"/>
      <c r="Q356" s="30"/>
      <c r="R356" s="45"/>
      <c r="S356" s="33"/>
      <c r="T356" s="30"/>
      <c r="U356" s="124"/>
      <c r="V356" s="166"/>
      <c r="W356" s="122"/>
      <c r="X356" s="102"/>
      <c r="Y356" s="103"/>
      <c r="Z356" s="102"/>
      <c r="AA356" s="102"/>
      <c r="AB356" s="162"/>
      <c r="AC356" s="122"/>
      <c r="AD356" s="122"/>
    </row>
    <row r="357" spans="2:30" ht="12.75" x14ac:dyDescent="0.2">
      <c r="B357" s="48"/>
      <c r="C357" s="47"/>
      <c r="Q357" s="30"/>
      <c r="R357" s="45"/>
      <c r="S357" s="33"/>
      <c r="T357" s="30"/>
      <c r="U357" s="124"/>
      <c r="V357" s="166"/>
      <c r="W357" s="122"/>
      <c r="X357" s="102"/>
      <c r="Y357" s="103"/>
      <c r="Z357" s="102"/>
      <c r="AA357" s="102"/>
      <c r="AB357" s="162"/>
      <c r="AC357" s="122"/>
      <c r="AD357" s="122"/>
    </row>
    <row r="358" spans="2:30" ht="12.75" x14ac:dyDescent="0.2">
      <c r="B358" s="48"/>
      <c r="C358" s="47"/>
      <c r="Q358" s="30"/>
      <c r="R358" s="45"/>
      <c r="S358" s="33"/>
      <c r="T358" s="30"/>
      <c r="U358" s="124"/>
      <c r="V358" s="166"/>
      <c r="W358" s="122"/>
      <c r="X358" s="102"/>
      <c r="Y358" s="103"/>
      <c r="Z358" s="102"/>
      <c r="AA358" s="102"/>
      <c r="AB358" s="162"/>
      <c r="AC358" s="122"/>
      <c r="AD358" s="122"/>
    </row>
    <row r="359" spans="2:30" ht="12.75" x14ac:dyDescent="0.2">
      <c r="B359" s="48"/>
      <c r="C359" s="47"/>
      <c r="Q359" s="30"/>
      <c r="R359" s="45"/>
      <c r="S359" s="33"/>
      <c r="T359" s="30"/>
      <c r="U359" s="124"/>
      <c r="V359" s="166"/>
      <c r="W359" s="122"/>
      <c r="X359" s="102"/>
      <c r="Y359" s="103"/>
      <c r="Z359" s="102"/>
      <c r="AA359" s="102"/>
      <c r="AB359" s="162"/>
      <c r="AC359" s="122"/>
      <c r="AD359" s="122"/>
    </row>
    <row r="360" spans="2:30" ht="12.75" x14ac:dyDescent="0.2">
      <c r="B360" s="48"/>
      <c r="C360" s="47"/>
      <c r="Q360" s="30"/>
      <c r="R360" s="45"/>
      <c r="S360" s="33"/>
      <c r="T360" s="30"/>
      <c r="U360" s="124"/>
      <c r="V360" s="166"/>
      <c r="W360" s="122"/>
      <c r="X360" s="102"/>
      <c r="Y360" s="103"/>
      <c r="Z360" s="102"/>
      <c r="AA360" s="102"/>
      <c r="AB360" s="162"/>
      <c r="AC360" s="122"/>
      <c r="AD360" s="122"/>
    </row>
    <row r="361" spans="2:30" ht="12.75" x14ac:dyDescent="0.2">
      <c r="B361" s="48"/>
      <c r="C361" s="47"/>
      <c r="Q361" s="30"/>
      <c r="R361" s="45"/>
      <c r="S361" s="33"/>
      <c r="T361" s="30"/>
      <c r="U361" s="124"/>
      <c r="V361" s="166"/>
      <c r="W361" s="122"/>
      <c r="X361" s="102"/>
      <c r="Y361" s="103"/>
      <c r="Z361" s="102"/>
      <c r="AA361" s="102"/>
      <c r="AB361" s="162"/>
      <c r="AC361" s="122"/>
      <c r="AD361" s="122"/>
    </row>
    <row r="362" spans="2:30" ht="12.75" x14ac:dyDescent="0.2">
      <c r="B362" s="48"/>
      <c r="C362" s="47"/>
      <c r="Q362" s="30"/>
      <c r="R362" s="45"/>
      <c r="S362" s="33"/>
      <c r="T362" s="30"/>
      <c r="U362" s="124"/>
      <c r="V362" s="166"/>
      <c r="W362" s="122"/>
      <c r="X362" s="102"/>
      <c r="Y362" s="103"/>
      <c r="Z362" s="102"/>
      <c r="AA362" s="102"/>
      <c r="AB362" s="162"/>
      <c r="AC362" s="122"/>
      <c r="AD362" s="122"/>
    </row>
    <row r="363" spans="2:30" ht="12.75" x14ac:dyDescent="0.2">
      <c r="B363" s="48"/>
      <c r="C363" s="47"/>
      <c r="Q363" s="30"/>
      <c r="R363" s="45"/>
      <c r="S363" s="33"/>
      <c r="T363" s="30"/>
      <c r="U363" s="124"/>
      <c r="V363" s="166"/>
      <c r="W363" s="122"/>
      <c r="X363" s="102"/>
      <c r="Y363" s="103"/>
      <c r="Z363" s="102"/>
      <c r="AA363" s="102"/>
      <c r="AB363" s="162"/>
      <c r="AC363" s="122"/>
      <c r="AD363" s="122"/>
    </row>
    <row r="364" spans="2:30" ht="12.75" x14ac:dyDescent="0.2">
      <c r="B364" s="48"/>
      <c r="C364" s="47"/>
      <c r="Q364" s="30"/>
      <c r="R364" s="45"/>
      <c r="S364" s="33"/>
      <c r="T364" s="30"/>
      <c r="U364" s="124"/>
      <c r="V364" s="166"/>
      <c r="W364" s="122"/>
      <c r="X364" s="102"/>
      <c r="Y364" s="103"/>
      <c r="Z364" s="102"/>
      <c r="AA364" s="102"/>
      <c r="AB364" s="162"/>
      <c r="AC364" s="122"/>
      <c r="AD364" s="122"/>
    </row>
    <row r="365" spans="2:30" ht="12.75" x14ac:dyDescent="0.2">
      <c r="B365" s="48"/>
      <c r="C365" s="47"/>
      <c r="Q365" s="30"/>
      <c r="R365" s="45"/>
      <c r="S365" s="33"/>
      <c r="T365" s="30"/>
      <c r="U365" s="124"/>
      <c r="V365" s="166"/>
      <c r="W365" s="122"/>
      <c r="X365" s="102"/>
      <c r="Y365" s="103"/>
      <c r="Z365" s="102"/>
      <c r="AA365" s="102"/>
      <c r="AB365" s="162"/>
      <c r="AC365" s="122"/>
      <c r="AD365" s="122"/>
    </row>
    <row r="366" spans="2:30" ht="12.75" x14ac:dyDescent="0.2">
      <c r="B366" s="48"/>
      <c r="C366" s="47"/>
      <c r="Q366" s="30"/>
      <c r="R366" s="45"/>
      <c r="S366" s="33"/>
      <c r="T366" s="30"/>
      <c r="U366" s="124"/>
      <c r="V366" s="166"/>
      <c r="W366" s="122"/>
      <c r="X366" s="102"/>
      <c r="Y366" s="103"/>
      <c r="Z366" s="102"/>
      <c r="AA366" s="102"/>
      <c r="AB366" s="162"/>
      <c r="AC366" s="122"/>
      <c r="AD366" s="122"/>
    </row>
    <row r="367" spans="2:30" ht="12.75" x14ac:dyDescent="0.2">
      <c r="B367" s="48"/>
      <c r="C367" s="47"/>
      <c r="Q367" s="30"/>
      <c r="R367" s="45"/>
      <c r="S367" s="33"/>
      <c r="T367" s="30"/>
      <c r="U367" s="124"/>
      <c r="V367" s="166"/>
      <c r="W367" s="122"/>
      <c r="X367" s="102"/>
      <c r="Y367" s="103"/>
      <c r="Z367" s="102"/>
      <c r="AA367" s="102"/>
      <c r="AB367" s="162"/>
      <c r="AC367" s="122"/>
      <c r="AD367" s="122"/>
    </row>
    <row r="368" spans="2:30" ht="12.75" x14ac:dyDescent="0.2">
      <c r="B368" s="48"/>
      <c r="C368" s="47"/>
      <c r="Q368" s="30"/>
      <c r="R368" s="45"/>
      <c r="S368" s="33"/>
      <c r="T368" s="30"/>
      <c r="U368" s="124"/>
      <c r="V368" s="166"/>
      <c r="W368" s="122"/>
      <c r="X368" s="102"/>
      <c r="Y368" s="103"/>
      <c r="Z368" s="102"/>
      <c r="AA368" s="102"/>
      <c r="AB368" s="162"/>
      <c r="AC368" s="122"/>
      <c r="AD368" s="122"/>
    </row>
    <row r="369" spans="1:30" ht="12.75" x14ac:dyDescent="0.2">
      <c r="B369" s="48"/>
      <c r="C369" s="47"/>
      <c r="Q369" s="30"/>
      <c r="R369" s="45"/>
      <c r="S369" s="33"/>
      <c r="T369" s="30"/>
      <c r="U369" s="124"/>
      <c r="V369" s="166"/>
      <c r="W369" s="122"/>
      <c r="X369" s="102"/>
      <c r="Y369" s="103"/>
      <c r="Z369" s="102"/>
      <c r="AA369" s="102"/>
      <c r="AB369" s="162"/>
      <c r="AC369" s="122"/>
      <c r="AD369" s="122"/>
    </row>
    <row r="370" spans="1:30" ht="12.75" x14ac:dyDescent="0.2">
      <c r="B370" s="48"/>
      <c r="C370" s="47"/>
      <c r="Q370" s="30"/>
      <c r="R370" s="45"/>
      <c r="S370" s="33"/>
      <c r="T370" s="30"/>
      <c r="U370" s="124"/>
      <c r="V370" s="166"/>
      <c r="W370" s="122"/>
      <c r="X370" s="102"/>
      <c r="Y370" s="103"/>
      <c r="Z370" s="102"/>
      <c r="AA370" s="102"/>
      <c r="AB370" s="162"/>
      <c r="AC370" s="122"/>
      <c r="AD370" s="122"/>
    </row>
    <row r="371" spans="1:30" ht="12.75" x14ac:dyDescent="0.2">
      <c r="B371" s="48"/>
      <c r="C371" s="47"/>
      <c r="Q371" s="30"/>
      <c r="R371" s="45"/>
      <c r="S371" s="33"/>
      <c r="T371" s="30"/>
      <c r="U371" s="124"/>
      <c r="V371" s="166"/>
      <c r="W371" s="122"/>
      <c r="X371" s="102"/>
      <c r="Y371" s="103"/>
      <c r="Z371" s="102"/>
      <c r="AA371" s="102"/>
      <c r="AB371" s="162"/>
      <c r="AC371" s="122"/>
      <c r="AD371" s="122"/>
    </row>
    <row r="372" spans="1:30" ht="12.75" x14ac:dyDescent="0.2">
      <c r="B372" s="48"/>
      <c r="C372" s="47"/>
      <c r="Q372" s="30"/>
      <c r="R372" s="45"/>
      <c r="S372" s="33"/>
      <c r="T372" s="30"/>
      <c r="U372" s="124"/>
      <c r="V372" s="166"/>
      <c r="W372" s="122"/>
      <c r="X372" s="102"/>
      <c r="Y372" s="103"/>
      <c r="Z372" s="102"/>
      <c r="AA372" s="102"/>
      <c r="AB372" s="162"/>
      <c r="AC372" s="122"/>
      <c r="AD372" s="122"/>
    </row>
    <row r="373" spans="1:30" ht="12.75" x14ac:dyDescent="0.2">
      <c r="B373" s="48"/>
      <c r="C373" s="47"/>
      <c r="Q373" s="30"/>
      <c r="R373" s="45"/>
      <c r="S373" s="33"/>
      <c r="T373" s="30"/>
      <c r="U373" s="124"/>
      <c r="V373" s="166"/>
      <c r="W373" s="122"/>
      <c r="X373" s="102"/>
      <c r="Y373" s="103"/>
      <c r="Z373" s="102"/>
      <c r="AA373" s="102"/>
      <c r="AB373" s="162"/>
      <c r="AC373" s="122"/>
      <c r="AD373" s="122"/>
    </row>
    <row r="374" spans="1:30" ht="12.75" x14ac:dyDescent="0.2">
      <c r="B374" s="48"/>
      <c r="C374" s="47"/>
      <c r="Q374" s="30"/>
      <c r="R374" s="45"/>
      <c r="S374" s="33"/>
      <c r="T374" s="30"/>
      <c r="U374" s="124"/>
      <c r="V374" s="166"/>
      <c r="W374" s="122"/>
      <c r="X374" s="102"/>
      <c r="Y374" s="103"/>
      <c r="Z374" s="102"/>
      <c r="AA374" s="102"/>
      <c r="AB374" s="162"/>
      <c r="AC374" s="122"/>
      <c r="AD374" s="122"/>
    </row>
    <row r="375" spans="1:30" ht="12.75" x14ac:dyDescent="0.2">
      <c r="B375" s="48"/>
      <c r="C375" s="47"/>
      <c r="Q375" s="30"/>
      <c r="R375" s="45"/>
      <c r="S375" s="33"/>
      <c r="T375" s="30"/>
      <c r="U375" s="124"/>
      <c r="V375" s="166"/>
      <c r="W375" s="122"/>
      <c r="X375" s="102"/>
      <c r="Y375" s="103"/>
      <c r="Z375" s="102"/>
      <c r="AA375" s="102"/>
      <c r="AB375" s="162"/>
      <c r="AC375" s="122"/>
      <c r="AD375" s="122"/>
    </row>
    <row r="376" spans="1:30" ht="12.75" x14ac:dyDescent="0.2">
      <c r="B376" s="48"/>
      <c r="C376" s="47"/>
      <c r="Q376" s="30"/>
      <c r="R376" s="45"/>
      <c r="S376" s="33"/>
      <c r="T376" s="30"/>
      <c r="U376" s="124"/>
      <c r="V376" s="166"/>
      <c r="W376" s="122"/>
      <c r="X376" s="102"/>
      <c r="Y376" s="103"/>
      <c r="Z376" s="102"/>
      <c r="AA376" s="102"/>
      <c r="AB376" s="162"/>
      <c r="AC376" s="122"/>
      <c r="AD376" s="122"/>
    </row>
    <row r="377" spans="1:30" ht="12.75" x14ac:dyDescent="0.2">
      <c r="B377" s="48"/>
      <c r="C377" s="47"/>
      <c r="Q377" s="30"/>
      <c r="R377" s="45"/>
      <c r="S377" s="33"/>
      <c r="T377" s="30"/>
      <c r="U377" s="124"/>
      <c r="V377" s="166"/>
      <c r="W377" s="122"/>
      <c r="X377" s="102"/>
      <c r="Y377" s="103"/>
      <c r="Z377" s="102"/>
      <c r="AA377" s="102"/>
      <c r="AB377" s="162"/>
      <c r="AC377" s="122"/>
      <c r="AD377" s="122"/>
    </row>
    <row r="378" spans="1:30" ht="12.75" x14ac:dyDescent="0.2">
      <c r="A378" s="48"/>
      <c r="B378" s="48"/>
      <c r="C378" s="47"/>
      <c r="Q378" s="30"/>
      <c r="R378" s="45"/>
      <c r="S378" s="33"/>
      <c r="T378" s="30"/>
      <c r="U378" s="124"/>
      <c r="V378" s="166"/>
      <c r="W378" s="122"/>
      <c r="X378" s="102"/>
      <c r="Y378" s="103"/>
      <c r="Z378" s="102"/>
      <c r="AA378" s="102"/>
      <c r="AB378" s="162"/>
      <c r="AC378" s="122"/>
      <c r="AD378" s="122"/>
    </row>
    <row r="379" spans="1:30" ht="12.75" x14ac:dyDescent="0.2">
      <c r="A379" s="48"/>
      <c r="B379" s="48"/>
      <c r="C379" s="47"/>
      <c r="Q379" s="30"/>
      <c r="R379" s="45"/>
      <c r="S379" s="33"/>
      <c r="T379" s="30"/>
      <c r="U379" s="124"/>
      <c r="V379" s="166"/>
      <c r="W379" s="122"/>
      <c r="X379" s="102"/>
      <c r="Y379" s="103"/>
      <c r="Z379" s="102"/>
      <c r="AA379" s="102"/>
      <c r="AB379" s="162"/>
      <c r="AC379" s="122"/>
      <c r="AD379" s="122"/>
    </row>
    <row r="380" spans="1:30" ht="12.75" x14ac:dyDescent="0.2">
      <c r="A380" s="48"/>
      <c r="B380" s="48"/>
      <c r="C380" s="47"/>
      <c r="Q380" s="30"/>
      <c r="R380" s="45"/>
      <c r="S380" s="33"/>
      <c r="T380" s="30"/>
      <c r="U380" s="124"/>
      <c r="V380" s="166"/>
      <c r="W380" s="122"/>
      <c r="X380" s="102"/>
      <c r="Y380" s="103"/>
      <c r="Z380" s="102"/>
      <c r="AA380" s="102"/>
      <c r="AB380" s="162"/>
      <c r="AC380" s="122"/>
      <c r="AD380" s="122"/>
    </row>
    <row r="381" spans="1:30" ht="12.75" x14ac:dyDescent="0.2">
      <c r="A381" s="48"/>
      <c r="B381" s="48"/>
      <c r="C381" s="47"/>
      <c r="Q381" s="30"/>
      <c r="R381" s="45"/>
      <c r="S381" s="33"/>
      <c r="T381" s="30"/>
      <c r="U381" s="124"/>
      <c r="V381" s="166"/>
      <c r="W381" s="122"/>
      <c r="X381" s="102"/>
      <c r="Y381" s="103"/>
      <c r="Z381" s="102"/>
      <c r="AA381" s="102"/>
      <c r="AB381" s="162"/>
      <c r="AC381" s="122"/>
      <c r="AD381" s="122"/>
    </row>
    <row r="382" spans="1:30" ht="12.75" x14ac:dyDescent="0.2">
      <c r="A382" s="48"/>
      <c r="B382" s="48"/>
      <c r="C382" s="47"/>
      <c r="Q382" s="30"/>
      <c r="R382" s="45"/>
      <c r="S382" s="33"/>
      <c r="T382" s="30"/>
      <c r="U382" s="124"/>
      <c r="V382" s="166"/>
      <c r="W382" s="122"/>
      <c r="X382" s="102"/>
      <c r="Y382" s="103"/>
      <c r="Z382" s="102"/>
      <c r="AA382" s="102"/>
      <c r="AB382" s="162"/>
      <c r="AC382" s="122"/>
      <c r="AD382" s="122"/>
    </row>
    <row r="383" spans="1:30" ht="12.75" x14ac:dyDescent="0.2">
      <c r="A383" s="48"/>
      <c r="B383" s="48"/>
      <c r="C383" s="47"/>
      <c r="Q383" s="30"/>
      <c r="R383" s="45"/>
      <c r="S383" s="33"/>
      <c r="T383" s="30"/>
      <c r="U383" s="124"/>
      <c r="V383" s="166"/>
      <c r="W383" s="122"/>
      <c r="X383" s="102"/>
      <c r="Y383" s="103"/>
      <c r="Z383" s="102"/>
      <c r="AA383" s="102"/>
      <c r="AB383" s="162"/>
      <c r="AC383" s="122"/>
      <c r="AD383" s="122"/>
    </row>
    <row r="384" spans="1:30" ht="12.75" x14ac:dyDescent="0.2">
      <c r="A384" s="48"/>
      <c r="B384" s="48"/>
      <c r="C384" s="47"/>
      <c r="Q384" s="30"/>
      <c r="R384" s="45"/>
      <c r="S384" s="33"/>
      <c r="T384" s="30"/>
      <c r="U384" s="124"/>
      <c r="V384" s="166"/>
      <c r="W384" s="122"/>
      <c r="X384" s="102"/>
      <c r="Y384" s="103"/>
      <c r="Z384" s="102"/>
      <c r="AA384" s="102"/>
      <c r="AB384" s="162"/>
      <c r="AC384" s="122"/>
      <c r="AD384" s="122"/>
    </row>
    <row r="385" spans="1:30" ht="12.75" x14ac:dyDescent="0.2">
      <c r="A385" s="48"/>
      <c r="B385" s="48"/>
      <c r="C385" s="47"/>
      <c r="Q385" s="30"/>
      <c r="R385" s="45"/>
      <c r="S385" s="33"/>
      <c r="T385" s="30"/>
      <c r="U385" s="124"/>
      <c r="V385" s="166"/>
      <c r="W385" s="122"/>
      <c r="X385" s="102"/>
      <c r="Y385" s="103"/>
      <c r="Z385" s="102"/>
      <c r="AA385" s="102"/>
      <c r="AB385" s="162"/>
      <c r="AC385" s="122"/>
      <c r="AD385" s="122"/>
    </row>
    <row r="386" spans="1:30" ht="12.75" x14ac:dyDescent="0.2">
      <c r="A386" s="48"/>
      <c r="B386" s="48"/>
      <c r="C386" s="47"/>
      <c r="Q386" s="30"/>
      <c r="R386" s="45"/>
      <c r="S386" s="33"/>
      <c r="T386" s="30"/>
      <c r="U386" s="124"/>
      <c r="V386" s="166"/>
      <c r="W386" s="122"/>
      <c r="X386" s="102"/>
      <c r="Y386" s="103"/>
      <c r="Z386" s="102"/>
      <c r="AA386" s="102"/>
      <c r="AB386" s="162"/>
      <c r="AC386" s="122"/>
      <c r="AD386" s="122"/>
    </row>
    <row r="387" spans="1:30" ht="12.75" x14ac:dyDescent="0.2">
      <c r="A387" s="48"/>
      <c r="B387" s="48"/>
      <c r="C387" s="47"/>
      <c r="Q387" s="30"/>
      <c r="R387" s="45"/>
      <c r="S387" s="33"/>
      <c r="T387" s="30"/>
      <c r="U387" s="124"/>
      <c r="V387" s="166"/>
      <c r="W387" s="122"/>
      <c r="X387" s="102"/>
      <c r="Y387" s="103"/>
      <c r="Z387" s="102"/>
      <c r="AA387" s="102"/>
      <c r="AB387" s="162"/>
      <c r="AC387" s="122"/>
      <c r="AD387" s="122"/>
    </row>
    <row r="388" spans="1:30" ht="12.75" x14ac:dyDescent="0.2">
      <c r="A388" s="48"/>
      <c r="B388" s="48"/>
      <c r="C388" s="47"/>
      <c r="Q388" s="30"/>
      <c r="R388" s="45"/>
      <c r="S388" s="33"/>
      <c r="T388" s="30"/>
      <c r="U388" s="124"/>
      <c r="V388" s="166"/>
      <c r="W388" s="122"/>
      <c r="X388" s="102"/>
      <c r="Y388" s="103"/>
      <c r="Z388" s="102"/>
      <c r="AA388" s="102"/>
      <c r="AB388" s="162"/>
      <c r="AC388" s="122"/>
      <c r="AD388" s="122"/>
    </row>
    <row r="389" spans="1:30" ht="12.75" x14ac:dyDescent="0.2">
      <c r="A389" s="48"/>
      <c r="B389" s="48"/>
      <c r="C389" s="47"/>
      <c r="Q389" s="30"/>
      <c r="R389" s="45"/>
      <c r="S389" s="33"/>
      <c r="T389" s="30"/>
      <c r="U389" s="124"/>
      <c r="V389" s="166"/>
      <c r="W389" s="122"/>
      <c r="X389" s="102"/>
      <c r="Y389" s="103"/>
      <c r="Z389" s="102"/>
      <c r="AA389" s="102"/>
      <c r="AB389" s="162"/>
      <c r="AC389" s="122"/>
      <c r="AD389" s="122"/>
    </row>
    <row r="390" spans="1:30" ht="12.75" x14ac:dyDescent="0.2">
      <c r="A390" s="48"/>
      <c r="B390" s="48"/>
      <c r="C390" s="47"/>
      <c r="Q390" s="30"/>
      <c r="R390" s="45"/>
      <c r="S390" s="33"/>
      <c r="T390" s="30"/>
      <c r="U390" s="124"/>
      <c r="V390" s="166"/>
      <c r="W390" s="122"/>
      <c r="X390" s="102"/>
      <c r="Y390" s="103"/>
      <c r="Z390" s="102"/>
      <c r="AA390" s="102"/>
      <c r="AB390" s="162"/>
      <c r="AC390" s="122"/>
      <c r="AD390" s="122"/>
    </row>
    <row r="391" spans="1:30" ht="12.75" x14ac:dyDescent="0.2">
      <c r="A391" s="48"/>
      <c r="B391" s="48"/>
      <c r="C391" s="47"/>
      <c r="Q391" s="30"/>
      <c r="R391" s="45"/>
      <c r="S391" s="33"/>
      <c r="T391" s="30"/>
      <c r="U391" s="124"/>
      <c r="V391" s="166"/>
      <c r="W391" s="122"/>
      <c r="X391" s="102"/>
      <c r="Y391" s="103"/>
      <c r="Z391" s="102"/>
      <c r="AA391" s="102"/>
      <c r="AB391" s="162"/>
      <c r="AC391" s="122"/>
      <c r="AD391" s="122"/>
    </row>
    <row r="392" spans="1:30" ht="12.75" x14ac:dyDescent="0.2">
      <c r="A392" s="48"/>
      <c r="B392" s="48"/>
      <c r="C392" s="47"/>
      <c r="Q392" s="30"/>
      <c r="R392" s="45"/>
      <c r="S392" s="33"/>
      <c r="T392" s="30"/>
      <c r="U392" s="124"/>
      <c r="V392" s="166"/>
      <c r="W392" s="122"/>
      <c r="X392" s="102"/>
      <c r="Y392" s="103"/>
      <c r="Z392" s="102"/>
      <c r="AA392" s="102"/>
      <c r="AB392" s="162"/>
      <c r="AC392" s="122"/>
      <c r="AD392" s="122"/>
    </row>
    <row r="393" spans="1:30" ht="12.75" x14ac:dyDescent="0.2">
      <c r="A393" s="48"/>
      <c r="B393" s="48"/>
      <c r="C393" s="47"/>
      <c r="Q393" s="30"/>
      <c r="R393" s="45"/>
      <c r="S393" s="33"/>
      <c r="T393" s="30"/>
      <c r="U393" s="124"/>
      <c r="V393" s="166"/>
      <c r="W393" s="122"/>
      <c r="X393" s="102"/>
      <c r="Y393" s="103"/>
      <c r="Z393" s="102"/>
      <c r="AA393" s="102"/>
      <c r="AB393" s="162"/>
      <c r="AC393" s="122"/>
      <c r="AD393" s="122"/>
    </row>
    <row r="394" spans="1:30" ht="12.75" x14ac:dyDescent="0.2">
      <c r="A394" s="48"/>
      <c r="B394" s="48"/>
      <c r="C394" s="47"/>
      <c r="Q394" s="30"/>
      <c r="R394" s="45"/>
      <c r="S394" s="33"/>
      <c r="T394" s="30"/>
      <c r="U394" s="124"/>
      <c r="V394" s="166"/>
      <c r="W394" s="122"/>
      <c r="X394" s="102"/>
      <c r="Y394" s="103"/>
      <c r="Z394" s="102"/>
      <c r="AA394" s="102"/>
      <c r="AB394" s="162"/>
      <c r="AC394" s="122"/>
      <c r="AD394" s="122"/>
    </row>
    <row r="395" spans="1:30" ht="12.75" x14ac:dyDescent="0.2">
      <c r="A395" s="48"/>
      <c r="B395" s="48"/>
      <c r="C395" s="47"/>
      <c r="Q395" s="30"/>
      <c r="R395" s="45"/>
      <c r="S395" s="33"/>
      <c r="T395" s="30"/>
      <c r="U395" s="124"/>
      <c r="V395" s="166"/>
      <c r="W395" s="122"/>
      <c r="X395" s="102"/>
      <c r="Y395" s="103"/>
      <c r="Z395" s="102"/>
      <c r="AA395" s="102"/>
      <c r="AB395" s="162"/>
      <c r="AC395" s="122"/>
      <c r="AD395" s="122"/>
    </row>
    <row r="396" spans="1:30" ht="12.75" x14ac:dyDescent="0.2">
      <c r="A396" s="48"/>
      <c r="B396" s="48"/>
      <c r="C396" s="47"/>
      <c r="Q396" s="30"/>
      <c r="R396" s="45"/>
      <c r="S396" s="33"/>
      <c r="T396" s="30"/>
      <c r="U396" s="124"/>
      <c r="V396" s="166"/>
      <c r="W396" s="122"/>
      <c r="X396" s="102"/>
      <c r="Y396" s="103"/>
      <c r="Z396" s="102"/>
      <c r="AA396" s="102"/>
      <c r="AB396" s="162"/>
      <c r="AC396" s="122"/>
      <c r="AD396" s="122"/>
    </row>
    <row r="397" spans="1:30" ht="12.75" x14ac:dyDescent="0.2">
      <c r="A397" s="48"/>
      <c r="B397" s="48"/>
      <c r="C397" s="47"/>
      <c r="Q397" s="30"/>
      <c r="R397" s="45"/>
      <c r="S397" s="33"/>
      <c r="T397" s="30"/>
      <c r="U397" s="124"/>
      <c r="V397" s="166"/>
      <c r="W397" s="122"/>
      <c r="X397" s="102"/>
      <c r="Y397" s="103"/>
      <c r="Z397" s="102"/>
      <c r="AA397" s="102"/>
      <c r="AB397" s="162"/>
      <c r="AC397" s="122"/>
      <c r="AD397" s="122"/>
    </row>
    <row r="398" spans="1:30" ht="12.75" x14ac:dyDescent="0.2">
      <c r="A398" s="48"/>
      <c r="B398" s="48"/>
      <c r="C398" s="47"/>
      <c r="Q398" s="30"/>
      <c r="R398" s="45"/>
      <c r="S398" s="33"/>
      <c r="T398" s="30"/>
      <c r="U398" s="124"/>
      <c r="V398" s="166"/>
      <c r="W398" s="122"/>
      <c r="X398" s="102"/>
      <c r="Y398" s="103"/>
      <c r="Z398" s="102"/>
      <c r="AA398" s="102"/>
      <c r="AB398" s="162"/>
      <c r="AC398" s="122"/>
      <c r="AD398" s="122"/>
    </row>
    <row r="399" spans="1:30" ht="12.75" x14ac:dyDescent="0.2">
      <c r="A399" s="48"/>
      <c r="B399" s="48"/>
      <c r="C399" s="47"/>
      <c r="Q399" s="30"/>
      <c r="R399" s="45"/>
      <c r="S399" s="33"/>
      <c r="T399" s="30"/>
      <c r="U399" s="124"/>
      <c r="V399" s="166"/>
      <c r="W399" s="122"/>
      <c r="X399" s="102"/>
      <c r="Y399" s="103"/>
      <c r="Z399" s="102"/>
      <c r="AA399" s="102"/>
      <c r="AB399" s="162"/>
      <c r="AC399" s="122"/>
      <c r="AD399" s="122"/>
    </row>
    <row r="400" spans="1:30" ht="12.75" x14ac:dyDescent="0.2">
      <c r="A400" s="48"/>
      <c r="B400" s="48"/>
      <c r="C400" s="47"/>
      <c r="Q400" s="30"/>
      <c r="R400" s="45"/>
      <c r="S400" s="33"/>
      <c r="T400" s="30"/>
      <c r="U400" s="124"/>
      <c r="V400" s="166"/>
      <c r="W400" s="122"/>
      <c r="X400" s="102"/>
      <c r="Y400" s="103"/>
      <c r="Z400" s="102"/>
      <c r="AA400" s="102"/>
      <c r="AB400" s="162"/>
      <c r="AC400" s="122"/>
      <c r="AD400" s="122"/>
    </row>
    <row r="401" spans="1:30" ht="12.75" x14ac:dyDescent="0.2">
      <c r="A401" s="48"/>
      <c r="B401" s="48"/>
      <c r="C401" s="47"/>
      <c r="Q401" s="30"/>
      <c r="R401" s="45"/>
      <c r="S401" s="33"/>
      <c r="T401" s="30"/>
      <c r="U401" s="124"/>
      <c r="V401" s="166"/>
      <c r="W401" s="122"/>
      <c r="X401" s="102"/>
      <c r="Y401" s="103"/>
      <c r="Z401" s="102"/>
      <c r="AA401" s="102"/>
      <c r="AB401" s="162"/>
      <c r="AC401" s="122"/>
      <c r="AD401" s="122"/>
    </row>
    <row r="402" spans="1:30" ht="12.75" x14ac:dyDescent="0.2">
      <c r="A402" s="48"/>
      <c r="B402" s="48"/>
      <c r="C402" s="47"/>
      <c r="Q402" s="30"/>
      <c r="R402" s="45"/>
      <c r="S402" s="33"/>
      <c r="T402" s="30"/>
      <c r="U402" s="124"/>
      <c r="V402" s="166"/>
      <c r="W402" s="122"/>
      <c r="X402" s="102"/>
      <c r="Y402" s="103"/>
      <c r="Z402" s="102"/>
      <c r="AA402" s="102"/>
      <c r="AB402" s="162"/>
      <c r="AC402" s="122"/>
      <c r="AD402" s="122"/>
    </row>
    <row r="403" spans="1:30" ht="12.75" x14ac:dyDescent="0.2">
      <c r="A403" s="48"/>
      <c r="B403" s="48"/>
      <c r="C403" s="47"/>
      <c r="Q403" s="30"/>
      <c r="R403" s="45"/>
      <c r="S403" s="33"/>
      <c r="T403" s="30"/>
      <c r="U403" s="124"/>
      <c r="V403" s="166"/>
      <c r="W403" s="122"/>
      <c r="X403" s="102"/>
      <c r="Y403" s="103"/>
      <c r="Z403" s="102"/>
      <c r="AA403" s="102"/>
      <c r="AB403" s="162"/>
      <c r="AC403" s="122"/>
      <c r="AD403" s="122"/>
    </row>
    <row r="404" spans="1:30" ht="12.75" x14ac:dyDescent="0.2">
      <c r="A404" s="48"/>
      <c r="B404" s="48"/>
      <c r="C404" s="47"/>
      <c r="Q404" s="30"/>
      <c r="R404" s="45"/>
      <c r="S404" s="33"/>
      <c r="T404" s="30"/>
      <c r="U404" s="124"/>
      <c r="V404" s="166"/>
      <c r="W404" s="122"/>
      <c r="X404" s="102"/>
      <c r="Y404" s="103"/>
      <c r="Z404" s="102"/>
      <c r="AA404" s="102"/>
      <c r="AB404" s="162"/>
      <c r="AC404" s="122"/>
      <c r="AD404" s="122"/>
    </row>
    <row r="405" spans="1:30" ht="12.75" x14ac:dyDescent="0.2">
      <c r="A405" s="48"/>
      <c r="B405" s="48"/>
      <c r="C405" s="47"/>
      <c r="Q405" s="30"/>
      <c r="R405" s="45"/>
      <c r="S405" s="33"/>
      <c r="T405" s="30"/>
      <c r="U405" s="124"/>
      <c r="V405" s="166"/>
      <c r="W405" s="122"/>
      <c r="X405" s="102"/>
      <c r="Y405" s="103"/>
      <c r="Z405" s="102"/>
      <c r="AA405" s="102"/>
      <c r="AB405" s="162"/>
      <c r="AC405" s="122"/>
      <c r="AD405" s="122"/>
    </row>
    <row r="406" spans="1:30" ht="12.75" x14ac:dyDescent="0.2">
      <c r="A406" s="48"/>
      <c r="B406" s="48"/>
      <c r="C406" s="47"/>
      <c r="Q406" s="30"/>
      <c r="R406" s="45"/>
      <c r="S406" s="33"/>
      <c r="T406" s="30"/>
      <c r="U406" s="124"/>
      <c r="V406" s="166"/>
      <c r="W406" s="122"/>
      <c r="X406" s="102"/>
      <c r="Y406" s="103"/>
      <c r="Z406" s="102"/>
      <c r="AA406" s="102"/>
      <c r="AB406" s="162"/>
      <c r="AC406" s="122"/>
      <c r="AD406" s="122"/>
    </row>
    <row r="407" spans="1:30" ht="12.75" x14ac:dyDescent="0.2">
      <c r="A407" s="48"/>
      <c r="B407" s="48"/>
      <c r="C407" s="47"/>
      <c r="Q407" s="30"/>
      <c r="R407" s="45"/>
      <c r="S407" s="33"/>
      <c r="T407" s="30"/>
      <c r="U407" s="124"/>
      <c r="V407" s="166"/>
      <c r="W407" s="122"/>
      <c r="X407" s="102"/>
      <c r="Y407" s="103"/>
      <c r="Z407" s="102"/>
      <c r="AA407" s="102"/>
      <c r="AB407" s="162"/>
      <c r="AC407" s="122"/>
      <c r="AD407" s="122"/>
    </row>
    <row r="408" spans="1:30" ht="12.75" x14ac:dyDescent="0.2">
      <c r="A408" s="48"/>
      <c r="B408" s="48"/>
      <c r="C408" s="47"/>
      <c r="Q408" s="30"/>
      <c r="R408" s="45"/>
      <c r="S408" s="33"/>
      <c r="T408" s="30"/>
      <c r="U408" s="124"/>
      <c r="V408" s="166"/>
      <c r="W408" s="122"/>
      <c r="X408" s="102"/>
      <c r="Y408" s="103"/>
      <c r="Z408" s="102"/>
      <c r="AA408" s="102"/>
      <c r="AB408" s="162"/>
      <c r="AC408" s="122"/>
      <c r="AD408" s="122"/>
    </row>
    <row r="409" spans="1:30" ht="12.75" x14ac:dyDescent="0.2">
      <c r="A409" s="48"/>
      <c r="B409" s="48"/>
      <c r="C409" s="47"/>
      <c r="Q409" s="30"/>
      <c r="R409" s="45"/>
      <c r="S409" s="33"/>
      <c r="T409" s="30"/>
      <c r="U409" s="124"/>
      <c r="V409" s="166"/>
      <c r="W409" s="122"/>
      <c r="X409" s="102"/>
      <c r="Y409" s="103"/>
      <c r="Z409" s="102"/>
      <c r="AA409" s="102"/>
      <c r="AB409" s="162"/>
      <c r="AC409" s="122"/>
      <c r="AD409" s="122"/>
    </row>
    <row r="410" spans="1:30" ht="12.75" x14ac:dyDescent="0.2">
      <c r="A410" s="48"/>
      <c r="B410" s="48"/>
      <c r="C410" s="47"/>
      <c r="Q410" s="30"/>
      <c r="R410" s="45"/>
      <c r="S410" s="33"/>
      <c r="T410" s="30"/>
      <c r="U410" s="124"/>
      <c r="V410" s="166"/>
      <c r="W410" s="122"/>
      <c r="X410" s="102"/>
      <c r="Y410" s="103"/>
      <c r="Z410" s="102"/>
      <c r="AA410" s="102"/>
      <c r="AB410" s="162"/>
      <c r="AC410" s="122"/>
      <c r="AD410" s="122"/>
    </row>
    <row r="411" spans="1:30" ht="12.75" x14ac:dyDescent="0.2">
      <c r="A411" s="48"/>
      <c r="B411" s="48"/>
      <c r="C411" s="47"/>
      <c r="Q411" s="30"/>
      <c r="R411" s="45"/>
      <c r="S411" s="33"/>
      <c r="T411" s="30"/>
      <c r="U411" s="124"/>
      <c r="V411" s="166"/>
      <c r="W411" s="122"/>
      <c r="X411" s="102"/>
      <c r="Y411" s="103"/>
      <c r="Z411" s="102"/>
      <c r="AA411" s="102"/>
      <c r="AB411" s="162"/>
      <c r="AC411" s="122"/>
      <c r="AD411" s="122"/>
    </row>
    <row r="412" spans="1:30" ht="12.75" x14ac:dyDescent="0.2">
      <c r="A412" s="48"/>
      <c r="B412" s="48"/>
      <c r="C412" s="47"/>
      <c r="Q412" s="30"/>
      <c r="R412" s="45"/>
      <c r="S412" s="33"/>
      <c r="T412" s="30"/>
      <c r="U412" s="124"/>
      <c r="V412" s="166"/>
      <c r="W412" s="122"/>
      <c r="X412" s="102"/>
      <c r="Y412" s="103"/>
      <c r="Z412" s="102"/>
      <c r="AA412" s="102"/>
      <c r="AB412" s="162"/>
      <c r="AC412" s="122"/>
      <c r="AD412" s="122"/>
    </row>
    <row r="413" spans="1:30" ht="12.75" x14ac:dyDescent="0.2">
      <c r="A413" s="48"/>
      <c r="B413" s="48"/>
      <c r="C413" s="47"/>
      <c r="Q413" s="30"/>
      <c r="R413" s="45"/>
      <c r="S413" s="33"/>
      <c r="T413" s="30"/>
      <c r="U413" s="124"/>
      <c r="V413" s="166"/>
      <c r="W413" s="122"/>
      <c r="X413" s="102"/>
      <c r="Y413" s="103"/>
      <c r="Z413" s="102"/>
      <c r="AA413" s="102"/>
      <c r="AB413" s="162"/>
      <c r="AC413" s="122"/>
      <c r="AD413" s="122"/>
    </row>
    <row r="414" spans="1:30" ht="12.75" x14ac:dyDescent="0.2">
      <c r="A414" s="48"/>
      <c r="B414" s="48"/>
      <c r="C414" s="47"/>
      <c r="Q414" s="30"/>
      <c r="R414" s="45"/>
      <c r="S414" s="33"/>
      <c r="T414" s="30"/>
      <c r="U414" s="124"/>
      <c r="V414" s="166"/>
      <c r="W414" s="122"/>
      <c r="X414" s="102"/>
      <c r="Y414" s="103"/>
      <c r="Z414" s="102"/>
      <c r="AA414" s="102"/>
      <c r="AB414" s="162"/>
      <c r="AC414" s="122"/>
      <c r="AD414" s="122"/>
    </row>
    <row r="415" spans="1:30" ht="12.75" x14ac:dyDescent="0.2">
      <c r="A415" s="48"/>
      <c r="B415" s="48"/>
      <c r="C415" s="47"/>
      <c r="Q415" s="30"/>
      <c r="R415" s="45"/>
      <c r="S415" s="33"/>
      <c r="T415" s="30"/>
      <c r="U415" s="124"/>
      <c r="V415" s="166"/>
      <c r="W415" s="122"/>
      <c r="X415" s="102"/>
      <c r="Y415" s="103"/>
      <c r="Z415" s="102"/>
      <c r="AA415" s="102"/>
      <c r="AB415" s="162"/>
      <c r="AC415" s="122"/>
      <c r="AD415" s="122"/>
    </row>
    <row r="416" spans="1:30" ht="12.75" x14ac:dyDescent="0.2">
      <c r="A416" s="48"/>
      <c r="B416" s="48"/>
      <c r="C416" s="47"/>
      <c r="Q416" s="30"/>
      <c r="R416" s="45"/>
      <c r="S416" s="33"/>
      <c r="T416" s="30"/>
      <c r="U416" s="124"/>
      <c r="V416" s="166"/>
      <c r="W416" s="122"/>
      <c r="X416" s="102"/>
      <c r="Y416" s="103"/>
      <c r="Z416" s="102"/>
      <c r="AA416" s="102"/>
      <c r="AB416" s="162"/>
      <c r="AC416" s="122"/>
      <c r="AD416" s="122"/>
    </row>
    <row r="417" spans="1:30" ht="12.75" x14ac:dyDescent="0.2">
      <c r="A417" s="48"/>
      <c r="B417" s="48"/>
      <c r="C417" s="47"/>
      <c r="Q417" s="30"/>
      <c r="R417" s="45"/>
      <c r="S417" s="33"/>
      <c r="T417" s="30"/>
      <c r="U417" s="124"/>
      <c r="V417" s="166"/>
      <c r="W417" s="122"/>
      <c r="X417" s="102"/>
      <c r="Y417" s="103"/>
      <c r="Z417" s="102"/>
      <c r="AA417" s="102"/>
      <c r="AB417" s="162"/>
      <c r="AC417" s="122"/>
      <c r="AD417" s="122"/>
    </row>
    <row r="418" spans="1:30" ht="12.75" x14ac:dyDescent="0.2">
      <c r="A418" s="48"/>
      <c r="B418" s="48"/>
      <c r="C418" s="47"/>
      <c r="Q418" s="30"/>
      <c r="R418" s="45"/>
      <c r="S418" s="33"/>
      <c r="T418" s="30"/>
      <c r="U418" s="124"/>
      <c r="V418" s="166"/>
      <c r="W418" s="122"/>
      <c r="X418" s="102"/>
      <c r="Y418" s="103"/>
      <c r="Z418" s="102"/>
      <c r="AA418" s="102"/>
      <c r="AB418" s="162"/>
      <c r="AC418" s="122"/>
      <c r="AD418" s="122"/>
    </row>
    <row r="419" spans="1:30" ht="12.75" x14ac:dyDescent="0.2">
      <c r="A419" s="8"/>
      <c r="B419" s="48"/>
      <c r="C419" s="47"/>
      <c r="Q419" s="30"/>
      <c r="R419" s="45"/>
      <c r="S419" s="33"/>
      <c r="T419" s="30"/>
      <c r="U419" s="124"/>
      <c r="V419" s="166"/>
      <c r="W419" s="122"/>
      <c r="X419" s="102"/>
      <c r="Y419" s="103"/>
      <c r="Z419" s="102"/>
      <c r="AA419" s="102"/>
      <c r="AB419" s="162"/>
      <c r="AC419" s="122"/>
      <c r="AD419" s="122"/>
    </row>
    <row r="420" spans="1:30" ht="12.75" x14ac:dyDescent="0.2">
      <c r="A420" s="48"/>
      <c r="B420" s="48"/>
      <c r="C420" s="47"/>
      <c r="Q420" s="30"/>
      <c r="R420" s="45"/>
      <c r="S420" s="33"/>
      <c r="T420" s="30"/>
      <c r="U420" s="124"/>
      <c r="V420" s="166"/>
      <c r="W420" s="122"/>
      <c r="X420" s="102"/>
      <c r="Y420" s="103"/>
      <c r="Z420" s="102"/>
      <c r="AA420" s="102"/>
      <c r="AB420" s="162"/>
      <c r="AC420" s="122"/>
      <c r="AD420" s="122"/>
    </row>
    <row r="421" spans="1:30" ht="12.75" x14ac:dyDescent="0.2">
      <c r="A421" s="48"/>
      <c r="B421" s="48"/>
      <c r="C421" s="47"/>
      <c r="Q421" s="30"/>
      <c r="R421" s="45"/>
      <c r="S421" s="33"/>
      <c r="T421" s="30"/>
      <c r="U421" s="124"/>
      <c r="V421" s="166"/>
      <c r="W421" s="122"/>
      <c r="X421" s="102"/>
      <c r="Y421" s="103"/>
      <c r="Z421" s="102"/>
      <c r="AA421" s="102"/>
      <c r="AB421" s="162"/>
      <c r="AC421" s="122"/>
      <c r="AD421" s="122"/>
    </row>
    <row r="422" spans="1:30" ht="12.75" x14ac:dyDescent="0.2">
      <c r="A422" s="48"/>
      <c r="B422" s="48"/>
      <c r="C422" s="47"/>
      <c r="Q422" s="30"/>
      <c r="R422" s="45"/>
      <c r="S422" s="33"/>
      <c r="T422" s="30"/>
      <c r="U422" s="124"/>
      <c r="V422" s="166"/>
      <c r="W422" s="122"/>
      <c r="X422" s="102"/>
      <c r="Y422" s="103"/>
      <c r="Z422" s="102"/>
      <c r="AA422" s="102"/>
      <c r="AB422" s="162"/>
      <c r="AC422" s="122"/>
      <c r="AD422" s="122"/>
    </row>
    <row r="423" spans="1:30" ht="12.75" x14ac:dyDescent="0.2">
      <c r="A423" s="48"/>
      <c r="B423" s="48"/>
      <c r="C423" s="47"/>
      <c r="Q423" s="30"/>
      <c r="R423" s="45"/>
      <c r="S423" s="33"/>
      <c r="T423" s="30"/>
      <c r="U423" s="124"/>
      <c r="V423" s="166"/>
      <c r="W423" s="122"/>
      <c r="X423" s="102"/>
      <c r="Y423" s="103"/>
      <c r="Z423" s="102"/>
      <c r="AA423" s="102"/>
      <c r="AB423" s="162"/>
      <c r="AC423" s="122"/>
      <c r="AD423" s="122"/>
    </row>
    <row r="424" spans="1:30" ht="12.75" x14ac:dyDescent="0.2">
      <c r="A424" s="48"/>
      <c r="B424" s="48"/>
      <c r="C424" s="47"/>
      <c r="Q424" s="30"/>
      <c r="R424" s="45"/>
      <c r="S424" s="33"/>
      <c r="T424" s="30"/>
      <c r="U424" s="124"/>
      <c r="V424" s="166"/>
      <c r="W424" s="122"/>
      <c r="X424" s="102"/>
      <c r="Y424" s="103"/>
      <c r="Z424" s="102"/>
      <c r="AA424" s="102"/>
      <c r="AB424" s="162"/>
      <c r="AC424" s="122"/>
      <c r="AD424" s="122"/>
    </row>
    <row r="425" spans="1:30" ht="12.75" x14ac:dyDescent="0.2">
      <c r="A425" s="48"/>
      <c r="B425" s="48"/>
      <c r="C425" s="47"/>
      <c r="Q425" s="30"/>
      <c r="R425" s="45"/>
      <c r="S425" s="33"/>
      <c r="T425" s="30"/>
      <c r="U425" s="124"/>
      <c r="V425" s="166"/>
      <c r="W425" s="122"/>
      <c r="X425" s="102"/>
      <c r="Y425" s="103"/>
      <c r="Z425" s="102"/>
      <c r="AA425" s="102"/>
      <c r="AB425" s="162"/>
      <c r="AC425" s="122"/>
      <c r="AD425" s="122"/>
    </row>
    <row r="426" spans="1:30" ht="12.75" x14ac:dyDescent="0.2">
      <c r="A426" s="48"/>
      <c r="B426" s="48"/>
      <c r="C426" s="47"/>
      <c r="Q426" s="30"/>
      <c r="R426" s="45"/>
      <c r="S426" s="33"/>
      <c r="T426" s="30"/>
      <c r="U426" s="124"/>
      <c r="V426" s="166"/>
      <c r="W426" s="122"/>
      <c r="X426" s="102"/>
      <c r="Y426" s="103"/>
      <c r="Z426" s="102"/>
      <c r="AA426" s="102"/>
      <c r="AB426" s="162"/>
      <c r="AC426" s="122"/>
      <c r="AD426" s="122"/>
    </row>
    <row r="427" spans="1:30" ht="12.75" x14ac:dyDescent="0.2">
      <c r="A427" s="48"/>
      <c r="B427" s="48"/>
      <c r="C427" s="47"/>
      <c r="Q427" s="30"/>
      <c r="R427" s="45"/>
      <c r="S427" s="33"/>
      <c r="T427" s="30"/>
      <c r="U427" s="124"/>
      <c r="V427" s="166"/>
      <c r="W427" s="122"/>
      <c r="X427" s="102"/>
      <c r="Y427" s="103"/>
      <c r="Z427" s="102"/>
      <c r="AA427" s="102"/>
      <c r="AB427" s="162"/>
      <c r="AC427" s="122"/>
      <c r="AD427" s="122"/>
    </row>
    <row r="428" spans="1:30" ht="12.75" x14ac:dyDescent="0.2">
      <c r="A428" s="48"/>
      <c r="B428" s="48"/>
      <c r="C428" s="47"/>
      <c r="Q428" s="30"/>
      <c r="R428" s="45"/>
      <c r="S428" s="33"/>
      <c r="T428" s="30"/>
      <c r="U428" s="124"/>
      <c r="V428" s="166"/>
      <c r="W428" s="122"/>
      <c r="X428" s="102"/>
      <c r="Y428" s="103"/>
      <c r="Z428" s="102"/>
      <c r="AA428" s="102"/>
      <c r="AB428" s="162"/>
      <c r="AC428" s="122"/>
      <c r="AD428" s="122"/>
    </row>
    <row r="429" spans="1:30" ht="12.75" x14ac:dyDescent="0.2">
      <c r="A429" s="48"/>
      <c r="B429" s="48"/>
      <c r="C429" s="47"/>
      <c r="Q429" s="30"/>
      <c r="R429" s="45"/>
      <c r="S429" s="33"/>
      <c r="T429" s="30"/>
      <c r="U429" s="124"/>
      <c r="V429" s="166"/>
      <c r="W429" s="122"/>
      <c r="X429" s="102"/>
      <c r="Y429" s="103"/>
      <c r="Z429" s="102"/>
      <c r="AA429" s="102"/>
      <c r="AB429" s="162"/>
      <c r="AC429" s="122"/>
      <c r="AD429" s="122"/>
    </row>
    <row r="430" spans="1:30" ht="12.75" x14ac:dyDescent="0.2">
      <c r="A430" s="48"/>
      <c r="B430" s="48"/>
      <c r="C430" s="47"/>
      <c r="Q430" s="30"/>
      <c r="R430" s="45"/>
      <c r="S430" s="33"/>
      <c r="T430" s="30"/>
      <c r="U430" s="124"/>
      <c r="V430" s="166"/>
      <c r="W430" s="122"/>
      <c r="X430" s="102"/>
      <c r="Y430" s="103"/>
      <c r="Z430" s="102"/>
      <c r="AA430" s="102"/>
      <c r="AB430" s="162"/>
      <c r="AC430" s="122"/>
      <c r="AD430" s="122"/>
    </row>
    <row r="431" spans="1:30" ht="12.75" x14ac:dyDescent="0.2">
      <c r="A431" s="48"/>
      <c r="B431" s="48"/>
      <c r="C431" s="47"/>
      <c r="Q431" s="30"/>
      <c r="R431" s="45"/>
      <c r="S431" s="33"/>
      <c r="T431" s="30"/>
      <c r="U431" s="124"/>
      <c r="V431" s="166"/>
      <c r="W431" s="122"/>
      <c r="X431" s="102"/>
      <c r="Y431" s="103"/>
      <c r="Z431" s="102"/>
      <c r="AA431" s="102"/>
      <c r="AB431" s="162"/>
      <c r="AC431" s="122"/>
      <c r="AD431" s="122"/>
    </row>
    <row r="432" spans="1:30" ht="12.75" x14ac:dyDescent="0.2">
      <c r="A432" s="48"/>
      <c r="B432" s="48"/>
      <c r="C432" s="47"/>
      <c r="Q432" s="30"/>
      <c r="R432" s="45"/>
      <c r="S432" s="33"/>
      <c r="T432" s="30"/>
      <c r="U432" s="124"/>
      <c r="V432" s="166"/>
      <c r="W432" s="122"/>
      <c r="X432" s="102"/>
      <c r="Y432" s="103"/>
      <c r="Z432" s="102"/>
      <c r="AA432" s="102"/>
      <c r="AB432" s="162"/>
      <c r="AC432" s="122"/>
      <c r="AD432" s="122"/>
    </row>
    <row r="433" spans="1:30" ht="12.75" x14ac:dyDescent="0.2">
      <c r="A433" s="48"/>
      <c r="B433" s="48"/>
      <c r="C433" s="47"/>
      <c r="Q433" s="30"/>
      <c r="R433" s="45"/>
      <c r="S433" s="33"/>
      <c r="T433" s="30"/>
      <c r="U433" s="124"/>
      <c r="V433" s="166"/>
      <c r="W433" s="122"/>
      <c r="X433" s="102"/>
      <c r="Y433" s="103"/>
      <c r="Z433" s="102"/>
      <c r="AA433" s="102"/>
      <c r="AB433" s="162"/>
      <c r="AC433" s="122"/>
      <c r="AD433" s="122"/>
    </row>
    <row r="434" spans="1:30" ht="12.75" x14ac:dyDescent="0.2">
      <c r="A434" s="48"/>
      <c r="B434" s="48"/>
      <c r="C434" s="47"/>
      <c r="Q434" s="30"/>
      <c r="R434" s="45"/>
      <c r="S434" s="33"/>
      <c r="T434" s="30"/>
      <c r="U434" s="124"/>
      <c r="V434" s="166"/>
      <c r="W434" s="122"/>
      <c r="X434" s="102"/>
      <c r="Y434" s="103"/>
      <c r="Z434" s="102"/>
      <c r="AA434" s="102"/>
      <c r="AB434" s="162"/>
      <c r="AC434" s="122"/>
      <c r="AD434" s="122"/>
    </row>
    <row r="435" spans="1:30" ht="12.75" x14ac:dyDescent="0.2">
      <c r="A435" s="48"/>
      <c r="B435" s="48"/>
      <c r="C435" s="47"/>
      <c r="Q435" s="30"/>
      <c r="R435" s="45"/>
      <c r="S435" s="33"/>
      <c r="T435" s="30"/>
      <c r="U435" s="124"/>
      <c r="V435" s="166"/>
      <c r="W435" s="122"/>
      <c r="X435" s="102"/>
      <c r="Y435" s="103"/>
      <c r="Z435" s="102"/>
      <c r="AA435" s="102"/>
      <c r="AB435" s="162"/>
      <c r="AC435" s="122"/>
      <c r="AD435" s="122"/>
    </row>
    <row r="436" spans="1:30" ht="12.75" x14ac:dyDescent="0.2">
      <c r="A436" s="48"/>
      <c r="B436" s="48"/>
      <c r="C436" s="47"/>
      <c r="Q436" s="30"/>
      <c r="R436" s="45"/>
      <c r="S436" s="33"/>
      <c r="T436" s="30"/>
      <c r="U436" s="124"/>
      <c r="V436" s="166"/>
      <c r="W436" s="122"/>
      <c r="X436" s="102"/>
      <c r="Y436" s="103"/>
      <c r="Z436" s="102"/>
      <c r="AA436" s="102"/>
      <c r="AB436" s="162"/>
      <c r="AC436" s="122"/>
      <c r="AD436" s="122"/>
    </row>
    <row r="437" spans="1:30" ht="12.75" x14ac:dyDescent="0.2">
      <c r="A437" s="48"/>
      <c r="B437" s="48"/>
      <c r="C437" s="47"/>
      <c r="Q437" s="30"/>
      <c r="R437" s="45"/>
      <c r="S437" s="33"/>
      <c r="T437" s="30"/>
      <c r="U437" s="124"/>
      <c r="V437" s="166"/>
      <c r="W437" s="122"/>
      <c r="X437" s="102"/>
      <c r="Y437" s="103"/>
      <c r="Z437" s="102"/>
      <c r="AA437" s="102"/>
      <c r="AB437" s="162"/>
      <c r="AC437" s="122"/>
      <c r="AD437" s="122"/>
    </row>
    <row r="438" spans="1:30" ht="12.75" x14ac:dyDescent="0.2">
      <c r="A438" s="48"/>
      <c r="B438" s="48"/>
      <c r="C438" s="47"/>
      <c r="Q438" s="30"/>
      <c r="R438" s="45"/>
      <c r="S438" s="33"/>
      <c r="T438" s="30"/>
      <c r="U438" s="124"/>
      <c r="V438" s="166"/>
      <c r="W438" s="122"/>
      <c r="X438" s="102"/>
      <c r="Y438" s="103"/>
      <c r="Z438" s="102"/>
      <c r="AA438" s="102"/>
      <c r="AB438" s="162"/>
      <c r="AC438" s="122"/>
      <c r="AD438" s="122"/>
    </row>
    <row r="439" spans="1:30" ht="12.75" x14ac:dyDescent="0.2">
      <c r="A439" s="48"/>
      <c r="B439" s="48"/>
      <c r="C439" s="47"/>
      <c r="Q439" s="30"/>
      <c r="R439" s="45"/>
      <c r="S439" s="33"/>
      <c r="T439" s="30"/>
      <c r="U439" s="124"/>
      <c r="V439" s="166"/>
      <c r="W439" s="122"/>
      <c r="X439" s="102"/>
      <c r="Y439" s="103"/>
      <c r="Z439" s="102"/>
      <c r="AA439" s="102"/>
      <c r="AB439" s="162"/>
      <c r="AC439" s="122"/>
      <c r="AD439" s="122"/>
    </row>
    <row r="440" spans="1:30" ht="12.75" x14ac:dyDescent="0.2">
      <c r="A440" s="48"/>
      <c r="B440" s="48"/>
      <c r="C440" s="47"/>
      <c r="Q440" s="30"/>
      <c r="R440" s="45"/>
      <c r="S440" s="33"/>
      <c r="T440" s="30"/>
      <c r="U440" s="124"/>
      <c r="V440" s="166"/>
      <c r="W440" s="122"/>
      <c r="X440" s="102"/>
      <c r="Y440" s="103"/>
      <c r="Z440" s="102"/>
      <c r="AA440" s="102"/>
      <c r="AB440" s="162"/>
      <c r="AC440" s="122"/>
      <c r="AD440" s="122"/>
    </row>
    <row r="441" spans="1:30" ht="12.75" x14ac:dyDescent="0.2">
      <c r="A441" s="48"/>
      <c r="B441" s="48"/>
      <c r="C441" s="47"/>
      <c r="Q441" s="30"/>
      <c r="R441" s="45"/>
      <c r="S441" s="33"/>
      <c r="T441" s="30"/>
      <c r="U441" s="124"/>
      <c r="V441" s="166"/>
      <c r="W441" s="122"/>
      <c r="X441" s="102"/>
      <c r="Y441" s="103"/>
      <c r="Z441" s="102"/>
      <c r="AA441" s="102"/>
      <c r="AB441" s="162"/>
      <c r="AC441" s="122"/>
      <c r="AD441" s="122"/>
    </row>
    <row r="442" spans="1:30" ht="12.75" x14ac:dyDescent="0.2">
      <c r="A442" s="48"/>
      <c r="B442" s="48"/>
      <c r="C442" s="47"/>
      <c r="Q442" s="30"/>
      <c r="R442" s="45"/>
      <c r="S442" s="33"/>
      <c r="T442" s="30"/>
      <c r="U442" s="124"/>
      <c r="V442" s="166"/>
      <c r="W442" s="122"/>
      <c r="X442" s="102"/>
      <c r="Y442" s="103"/>
      <c r="Z442" s="102"/>
      <c r="AA442" s="102"/>
      <c r="AB442" s="162"/>
      <c r="AC442" s="122"/>
      <c r="AD442" s="122"/>
    </row>
    <row r="443" spans="1:30" ht="12.75" x14ac:dyDescent="0.2">
      <c r="A443" s="48"/>
      <c r="B443" s="48"/>
      <c r="C443" s="47"/>
      <c r="Q443" s="30"/>
      <c r="R443" s="45"/>
      <c r="S443" s="33"/>
      <c r="T443" s="30"/>
      <c r="U443" s="124"/>
      <c r="V443" s="166"/>
      <c r="W443" s="122"/>
      <c r="X443" s="102"/>
      <c r="Y443" s="103"/>
      <c r="Z443" s="102"/>
      <c r="AA443" s="102"/>
      <c r="AB443" s="162"/>
      <c r="AC443" s="122"/>
      <c r="AD443" s="122"/>
    </row>
    <row r="444" spans="1:30" ht="12.75" x14ac:dyDescent="0.2">
      <c r="A444" s="48"/>
      <c r="B444" s="48"/>
      <c r="C444" s="47"/>
      <c r="Q444" s="30"/>
      <c r="R444" s="45"/>
      <c r="S444" s="33"/>
      <c r="T444" s="30"/>
      <c r="U444" s="124"/>
      <c r="V444" s="166"/>
      <c r="W444" s="122"/>
      <c r="X444" s="102"/>
      <c r="Y444" s="103"/>
      <c r="Z444" s="102"/>
      <c r="AA444" s="102"/>
      <c r="AB444" s="162"/>
      <c r="AC444" s="122"/>
      <c r="AD444" s="122"/>
    </row>
    <row r="445" spans="1:30" ht="12.75" x14ac:dyDescent="0.2">
      <c r="A445" s="48"/>
      <c r="B445" s="48"/>
      <c r="C445" s="47"/>
      <c r="Q445" s="30"/>
      <c r="R445" s="45"/>
      <c r="S445" s="33"/>
      <c r="T445" s="30"/>
      <c r="U445" s="124"/>
      <c r="V445" s="166"/>
      <c r="W445" s="122"/>
      <c r="X445" s="102"/>
      <c r="Y445" s="103"/>
      <c r="Z445" s="102"/>
      <c r="AA445" s="102"/>
      <c r="AB445" s="162"/>
      <c r="AC445" s="122"/>
      <c r="AD445" s="122"/>
    </row>
    <row r="446" spans="1:30" ht="12.75" x14ac:dyDescent="0.2">
      <c r="A446" s="48"/>
      <c r="B446" s="48"/>
      <c r="C446" s="47"/>
      <c r="Q446" s="30"/>
      <c r="R446" s="45"/>
      <c r="S446" s="33"/>
      <c r="T446" s="30"/>
      <c r="U446" s="124"/>
      <c r="V446" s="166"/>
      <c r="W446" s="122"/>
      <c r="X446" s="102"/>
      <c r="Y446" s="103"/>
      <c r="Z446" s="102"/>
      <c r="AA446" s="102"/>
      <c r="AB446" s="162"/>
      <c r="AC446" s="122"/>
      <c r="AD446" s="122"/>
    </row>
    <row r="447" spans="1:30" ht="12.75" x14ac:dyDescent="0.2">
      <c r="A447" s="48"/>
      <c r="B447" s="48"/>
      <c r="C447" s="47"/>
      <c r="Q447" s="30"/>
      <c r="R447" s="45"/>
      <c r="S447" s="33"/>
      <c r="T447" s="30"/>
      <c r="U447" s="124"/>
      <c r="V447" s="166"/>
      <c r="W447" s="122"/>
      <c r="X447" s="102"/>
      <c r="Y447" s="103"/>
      <c r="Z447" s="102"/>
      <c r="AA447" s="102"/>
      <c r="AB447" s="162"/>
      <c r="AC447" s="122"/>
      <c r="AD447" s="122"/>
    </row>
    <row r="448" spans="1:30" ht="12.75" x14ac:dyDescent="0.2">
      <c r="A448" s="48"/>
      <c r="B448" s="48"/>
      <c r="C448" s="47"/>
      <c r="Q448" s="30"/>
      <c r="R448" s="45"/>
      <c r="S448" s="33"/>
      <c r="T448" s="30"/>
      <c r="U448" s="124"/>
      <c r="V448" s="166"/>
      <c r="W448" s="122"/>
      <c r="X448" s="102"/>
      <c r="Y448" s="103"/>
      <c r="Z448" s="102"/>
      <c r="AA448" s="102"/>
      <c r="AB448" s="162"/>
      <c r="AC448" s="122"/>
      <c r="AD448" s="122"/>
    </row>
    <row r="449" spans="1:30" ht="12.75" x14ac:dyDescent="0.2">
      <c r="A449" s="48"/>
      <c r="B449" s="48"/>
      <c r="C449" s="47"/>
      <c r="Q449" s="30"/>
      <c r="R449" s="45"/>
      <c r="S449" s="33"/>
      <c r="T449" s="30"/>
      <c r="U449" s="124"/>
      <c r="V449" s="166"/>
      <c r="W449" s="122"/>
      <c r="X449" s="102"/>
      <c r="Y449" s="103"/>
      <c r="Z449" s="102"/>
      <c r="AA449" s="102"/>
      <c r="AB449" s="162"/>
      <c r="AC449" s="122"/>
      <c r="AD449" s="122"/>
    </row>
    <row r="450" spans="1:30" ht="12.75" x14ac:dyDescent="0.2">
      <c r="A450" s="48"/>
      <c r="B450" s="48"/>
      <c r="C450" s="47"/>
      <c r="Q450" s="30"/>
      <c r="R450" s="45"/>
      <c r="S450" s="33"/>
      <c r="T450" s="30"/>
      <c r="U450" s="124"/>
      <c r="V450" s="166"/>
      <c r="W450" s="122"/>
      <c r="X450" s="102"/>
      <c r="Y450" s="103"/>
      <c r="Z450" s="102"/>
      <c r="AA450" s="102"/>
      <c r="AB450" s="162"/>
      <c r="AC450" s="122"/>
      <c r="AD450" s="122"/>
    </row>
    <row r="451" spans="1:30" ht="12.75" x14ac:dyDescent="0.2">
      <c r="A451" s="48"/>
      <c r="B451" s="48"/>
      <c r="C451" s="47"/>
      <c r="Q451" s="30"/>
      <c r="R451" s="45"/>
      <c r="S451" s="33"/>
      <c r="T451" s="30"/>
      <c r="U451" s="124"/>
      <c r="V451" s="166"/>
      <c r="W451" s="122"/>
      <c r="X451" s="102"/>
      <c r="Y451" s="103"/>
      <c r="Z451" s="102"/>
      <c r="AA451" s="102"/>
      <c r="AB451" s="162"/>
      <c r="AC451" s="122"/>
      <c r="AD451" s="122"/>
    </row>
    <row r="452" spans="1:30" ht="12.75" x14ac:dyDescent="0.2">
      <c r="A452" s="48"/>
      <c r="B452" s="48"/>
      <c r="C452" s="47"/>
      <c r="Q452" s="30"/>
      <c r="R452" s="45"/>
      <c r="S452" s="33"/>
      <c r="T452" s="30"/>
      <c r="U452" s="124"/>
      <c r="V452" s="166"/>
      <c r="W452" s="122"/>
      <c r="X452" s="102"/>
      <c r="Y452" s="103"/>
      <c r="Z452" s="102"/>
      <c r="AA452" s="102"/>
      <c r="AB452" s="162"/>
      <c r="AC452" s="122"/>
      <c r="AD452" s="122"/>
    </row>
    <row r="453" spans="1:30" ht="12.75" x14ac:dyDescent="0.2">
      <c r="A453" s="48"/>
      <c r="B453" s="48"/>
      <c r="C453" s="47"/>
      <c r="Q453" s="30"/>
      <c r="R453" s="45"/>
      <c r="S453" s="33"/>
      <c r="T453" s="30"/>
      <c r="U453" s="124"/>
      <c r="V453" s="166"/>
      <c r="W453" s="122"/>
      <c r="X453" s="102"/>
      <c r="Y453" s="103"/>
      <c r="Z453" s="102"/>
      <c r="AA453" s="102"/>
      <c r="AB453" s="162"/>
      <c r="AC453" s="122"/>
      <c r="AD453" s="122"/>
    </row>
    <row r="454" spans="1:30" ht="12.75" x14ac:dyDescent="0.2">
      <c r="A454" s="48"/>
      <c r="B454" s="48"/>
      <c r="C454" s="47"/>
      <c r="Q454" s="30"/>
      <c r="R454" s="45"/>
      <c r="S454" s="33"/>
      <c r="T454" s="30"/>
      <c r="U454" s="124"/>
      <c r="V454" s="166"/>
      <c r="W454" s="122"/>
      <c r="X454" s="102"/>
      <c r="Y454" s="103"/>
      <c r="Z454" s="102"/>
      <c r="AA454" s="102"/>
      <c r="AB454" s="162"/>
      <c r="AC454" s="122"/>
      <c r="AD454" s="122"/>
    </row>
    <row r="455" spans="1:30" ht="12.75" x14ac:dyDescent="0.2">
      <c r="A455" s="48"/>
      <c r="B455" s="48"/>
      <c r="C455" s="47"/>
      <c r="Q455" s="30"/>
      <c r="R455" s="45"/>
      <c r="S455" s="33"/>
      <c r="T455" s="30"/>
      <c r="U455" s="124"/>
      <c r="V455" s="166"/>
      <c r="W455" s="122"/>
      <c r="X455" s="102"/>
      <c r="Y455" s="103"/>
      <c r="Z455" s="102"/>
      <c r="AA455" s="102"/>
      <c r="AB455" s="162"/>
      <c r="AC455" s="122"/>
      <c r="AD455" s="122"/>
    </row>
    <row r="456" spans="1:30" ht="12.75" x14ac:dyDescent="0.2">
      <c r="A456" s="48"/>
      <c r="B456" s="48"/>
      <c r="C456" s="47"/>
      <c r="Q456" s="30"/>
      <c r="R456" s="45"/>
      <c r="S456" s="33"/>
      <c r="T456" s="30"/>
      <c r="U456" s="124"/>
      <c r="V456" s="166"/>
      <c r="W456" s="122"/>
      <c r="X456" s="102"/>
      <c r="Y456" s="103"/>
      <c r="Z456" s="102"/>
      <c r="AA456" s="102"/>
      <c r="AB456" s="162"/>
      <c r="AC456" s="122"/>
      <c r="AD456" s="122"/>
    </row>
    <row r="457" spans="1:30" ht="12.75" x14ac:dyDescent="0.2">
      <c r="A457" s="48"/>
      <c r="B457" s="48"/>
      <c r="C457" s="47"/>
      <c r="Q457" s="30"/>
      <c r="R457" s="45"/>
      <c r="S457" s="33"/>
      <c r="T457" s="30"/>
      <c r="U457" s="124"/>
      <c r="V457" s="166"/>
      <c r="W457" s="122"/>
      <c r="X457" s="102"/>
      <c r="Y457" s="103"/>
      <c r="Z457" s="102"/>
      <c r="AA457" s="102"/>
      <c r="AB457" s="162"/>
      <c r="AC457" s="122"/>
      <c r="AD457" s="122"/>
    </row>
    <row r="458" spans="1:30" ht="12.75" x14ac:dyDescent="0.2">
      <c r="A458" s="48"/>
      <c r="B458" s="48"/>
      <c r="C458" s="47"/>
      <c r="Q458" s="30"/>
      <c r="R458" s="45"/>
      <c r="S458" s="33"/>
      <c r="T458" s="30"/>
      <c r="U458" s="124"/>
      <c r="V458" s="166"/>
      <c r="W458" s="122"/>
      <c r="X458" s="102"/>
      <c r="Y458" s="103"/>
      <c r="Z458" s="102"/>
      <c r="AA458" s="102"/>
      <c r="AB458" s="162"/>
      <c r="AC458" s="122"/>
      <c r="AD458" s="122"/>
    </row>
    <row r="459" spans="1:30" ht="12.75" x14ac:dyDescent="0.2">
      <c r="A459" s="48"/>
      <c r="B459" s="48"/>
      <c r="C459" s="47"/>
      <c r="Q459" s="30"/>
      <c r="R459" s="45"/>
      <c r="S459" s="33"/>
      <c r="T459" s="30"/>
      <c r="U459" s="124"/>
      <c r="V459" s="166"/>
      <c r="W459" s="122"/>
      <c r="X459" s="102"/>
      <c r="Y459" s="103"/>
      <c r="Z459" s="102"/>
      <c r="AA459" s="102"/>
      <c r="AB459" s="162"/>
      <c r="AC459" s="122"/>
      <c r="AD459" s="122"/>
    </row>
    <row r="460" spans="1:30" ht="12.75" x14ac:dyDescent="0.2">
      <c r="A460" s="48"/>
      <c r="B460" s="48"/>
      <c r="C460" s="47"/>
      <c r="Q460" s="30"/>
      <c r="R460" s="45"/>
      <c r="S460" s="33"/>
      <c r="T460" s="30"/>
      <c r="U460" s="124"/>
      <c r="V460" s="166"/>
      <c r="W460" s="122"/>
      <c r="X460" s="102"/>
      <c r="Y460" s="103"/>
      <c r="Z460" s="102"/>
      <c r="AA460" s="102"/>
      <c r="AB460" s="162"/>
      <c r="AC460" s="122"/>
      <c r="AD460" s="122"/>
    </row>
    <row r="461" spans="1:30" ht="12.75" x14ac:dyDescent="0.2">
      <c r="A461" s="48"/>
      <c r="B461" s="48"/>
      <c r="C461" s="47"/>
      <c r="Q461" s="30"/>
      <c r="R461" s="45"/>
      <c r="S461" s="33"/>
      <c r="T461" s="30"/>
      <c r="U461" s="124"/>
      <c r="V461" s="166"/>
      <c r="W461" s="122"/>
      <c r="X461" s="102"/>
      <c r="Y461" s="103"/>
      <c r="Z461" s="102"/>
      <c r="AA461" s="102"/>
      <c r="AB461" s="162"/>
      <c r="AC461" s="122"/>
      <c r="AD461" s="122"/>
    </row>
    <row r="462" spans="1:30" ht="12.75" x14ac:dyDescent="0.2">
      <c r="A462" s="48"/>
      <c r="B462" s="48"/>
      <c r="C462" s="47"/>
      <c r="Q462" s="30"/>
      <c r="R462" s="45"/>
      <c r="S462" s="33"/>
      <c r="T462" s="30"/>
      <c r="U462" s="124"/>
      <c r="V462" s="166"/>
      <c r="W462" s="122"/>
      <c r="X462" s="102"/>
      <c r="Y462" s="103"/>
      <c r="Z462" s="102"/>
      <c r="AA462" s="102"/>
      <c r="AB462" s="162"/>
      <c r="AC462" s="122"/>
      <c r="AD462" s="122"/>
    </row>
    <row r="463" spans="1:30" ht="12.75" x14ac:dyDescent="0.2">
      <c r="A463" s="48"/>
      <c r="B463" s="48"/>
      <c r="C463" s="47"/>
      <c r="Q463" s="30"/>
      <c r="R463" s="45"/>
      <c r="S463" s="33"/>
      <c r="T463" s="30"/>
      <c r="U463" s="124"/>
      <c r="V463" s="166"/>
      <c r="W463" s="122"/>
      <c r="X463" s="102"/>
      <c r="Y463" s="103"/>
      <c r="Z463" s="102"/>
      <c r="AA463" s="102"/>
      <c r="AB463" s="162"/>
      <c r="AC463" s="122"/>
      <c r="AD463" s="122"/>
    </row>
    <row r="464" spans="1:30" ht="12.75" x14ac:dyDescent="0.2">
      <c r="A464" s="48"/>
      <c r="B464" s="48"/>
      <c r="C464" s="47"/>
      <c r="Q464" s="30"/>
      <c r="R464" s="45"/>
      <c r="S464" s="33"/>
      <c r="T464" s="30"/>
      <c r="U464" s="124"/>
      <c r="V464" s="166"/>
      <c r="W464" s="122"/>
      <c r="X464" s="102"/>
      <c r="Y464" s="103"/>
      <c r="Z464" s="102"/>
      <c r="AA464" s="102"/>
      <c r="AB464" s="162"/>
      <c r="AC464" s="122"/>
      <c r="AD464" s="122"/>
    </row>
    <row r="465" spans="1:30" ht="12.75" x14ac:dyDescent="0.2">
      <c r="A465" s="48"/>
      <c r="B465" s="48"/>
      <c r="C465" s="47"/>
      <c r="Q465" s="30"/>
      <c r="R465" s="45"/>
      <c r="S465" s="33"/>
      <c r="T465" s="30"/>
      <c r="U465" s="124"/>
      <c r="V465" s="166"/>
      <c r="W465" s="122"/>
      <c r="X465" s="102"/>
      <c r="Y465" s="103"/>
      <c r="Z465" s="102"/>
      <c r="AA465" s="102"/>
      <c r="AB465" s="162"/>
      <c r="AC465" s="122"/>
      <c r="AD465" s="122"/>
    </row>
    <row r="466" spans="1:30" ht="12.75" x14ac:dyDescent="0.2">
      <c r="A466" s="48"/>
      <c r="B466" s="48"/>
      <c r="C466" s="47"/>
      <c r="Q466" s="30"/>
      <c r="R466" s="45"/>
      <c r="S466" s="33"/>
      <c r="T466" s="30"/>
      <c r="U466" s="124"/>
      <c r="V466" s="166"/>
      <c r="W466" s="122"/>
      <c r="X466" s="102"/>
      <c r="Y466" s="103"/>
      <c r="Z466" s="102"/>
      <c r="AA466" s="102"/>
      <c r="AB466" s="162"/>
      <c r="AC466" s="122"/>
      <c r="AD466" s="122"/>
    </row>
    <row r="467" spans="1:30" ht="12.75" x14ac:dyDescent="0.2">
      <c r="A467" s="48"/>
      <c r="B467" s="48"/>
      <c r="C467" s="47"/>
      <c r="Q467" s="30"/>
      <c r="R467" s="45"/>
      <c r="S467" s="33"/>
      <c r="T467" s="30"/>
      <c r="U467" s="124"/>
      <c r="V467" s="166"/>
      <c r="W467" s="122"/>
      <c r="X467" s="102"/>
      <c r="Y467" s="103"/>
      <c r="Z467" s="102"/>
      <c r="AA467" s="102"/>
      <c r="AB467" s="162"/>
      <c r="AC467" s="122"/>
      <c r="AD467" s="122"/>
    </row>
    <row r="468" spans="1:30" ht="12.75" x14ac:dyDescent="0.2">
      <c r="A468" s="48"/>
      <c r="B468" s="48"/>
      <c r="C468" s="47"/>
      <c r="Q468" s="30"/>
      <c r="R468" s="45"/>
      <c r="S468" s="33"/>
      <c r="T468" s="30"/>
      <c r="U468" s="124"/>
      <c r="V468" s="166"/>
      <c r="W468" s="122"/>
      <c r="X468" s="102"/>
      <c r="Y468" s="103"/>
      <c r="Z468" s="102"/>
      <c r="AA468" s="102"/>
      <c r="AB468" s="162"/>
      <c r="AC468" s="122"/>
      <c r="AD468" s="122"/>
    </row>
    <row r="469" spans="1:30" ht="12.75" x14ac:dyDescent="0.2">
      <c r="A469" s="48"/>
      <c r="B469" s="48"/>
      <c r="C469" s="47"/>
      <c r="Q469" s="30"/>
      <c r="R469" s="45"/>
      <c r="S469" s="33"/>
      <c r="T469" s="30"/>
      <c r="U469" s="124"/>
      <c r="V469" s="166"/>
      <c r="W469" s="122"/>
      <c r="X469" s="102"/>
      <c r="Y469" s="103"/>
      <c r="Z469" s="102"/>
      <c r="AA469" s="102"/>
      <c r="AB469" s="162"/>
      <c r="AC469" s="122"/>
      <c r="AD469" s="122"/>
    </row>
    <row r="470" spans="1:30" ht="12.75" x14ac:dyDescent="0.2">
      <c r="A470" s="48"/>
      <c r="B470" s="48"/>
      <c r="C470" s="47"/>
      <c r="Q470" s="30"/>
      <c r="R470" s="45"/>
      <c r="S470" s="33"/>
      <c r="T470" s="30"/>
      <c r="U470" s="124"/>
      <c r="V470" s="166"/>
      <c r="W470" s="122"/>
      <c r="X470" s="102"/>
      <c r="Y470" s="103"/>
      <c r="Z470" s="102"/>
      <c r="AA470" s="102"/>
      <c r="AB470" s="162"/>
      <c r="AC470" s="122"/>
      <c r="AD470" s="122"/>
    </row>
    <row r="471" spans="1:30" ht="12.75" x14ac:dyDescent="0.2">
      <c r="A471" s="48"/>
      <c r="B471" s="48"/>
      <c r="C471" s="47"/>
      <c r="Q471" s="30"/>
      <c r="R471" s="45"/>
      <c r="S471" s="33"/>
      <c r="T471" s="30"/>
      <c r="U471" s="124"/>
      <c r="V471" s="166"/>
      <c r="W471" s="122"/>
      <c r="X471" s="102"/>
      <c r="Y471" s="103"/>
      <c r="Z471" s="102"/>
      <c r="AA471" s="102"/>
      <c r="AB471" s="162"/>
      <c r="AC471" s="122"/>
      <c r="AD471" s="122"/>
    </row>
    <row r="472" spans="1:30" ht="12.75" x14ac:dyDescent="0.2">
      <c r="A472" s="48"/>
      <c r="B472" s="48"/>
      <c r="C472" s="47"/>
      <c r="Q472" s="30"/>
      <c r="R472" s="45"/>
      <c r="S472" s="33"/>
      <c r="T472" s="30"/>
      <c r="U472" s="124"/>
      <c r="V472" s="166"/>
      <c r="W472" s="122"/>
      <c r="X472" s="102"/>
      <c r="Y472" s="103"/>
      <c r="Z472" s="102"/>
      <c r="AA472" s="102"/>
      <c r="AB472" s="162"/>
      <c r="AC472" s="122"/>
      <c r="AD472" s="122"/>
    </row>
    <row r="473" spans="1:30" ht="12.75" x14ac:dyDescent="0.2">
      <c r="A473" s="48"/>
      <c r="B473" s="48"/>
      <c r="C473" s="47"/>
      <c r="Q473" s="30"/>
      <c r="R473" s="45"/>
      <c r="S473" s="33"/>
      <c r="T473" s="30"/>
      <c r="U473" s="124"/>
      <c r="V473" s="166"/>
      <c r="W473" s="122"/>
      <c r="X473" s="102"/>
      <c r="Y473" s="103"/>
      <c r="Z473" s="102"/>
      <c r="AA473" s="102"/>
      <c r="AB473" s="162"/>
      <c r="AC473" s="122"/>
      <c r="AD473" s="122"/>
    </row>
    <row r="474" spans="1:30" ht="12.75" x14ac:dyDescent="0.2">
      <c r="A474" s="48"/>
      <c r="B474" s="48"/>
      <c r="C474" s="47"/>
      <c r="Q474" s="30"/>
      <c r="R474" s="45"/>
      <c r="S474" s="33"/>
      <c r="T474" s="30"/>
      <c r="U474" s="124"/>
      <c r="V474" s="166"/>
      <c r="W474" s="122"/>
      <c r="X474" s="102"/>
      <c r="Y474" s="103"/>
      <c r="Z474" s="102"/>
      <c r="AA474" s="102"/>
      <c r="AB474" s="162"/>
      <c r="AC474" s="122"/>
      <c r="AD474" s="122"/>
    </row>
    <row r="475" spans="1:30" ht="12.75" x14ac:dyDescent="0.2">
      <c r="A475" s="48"/>
      <c r="B475" s="48"/>
      <c r="C475" s="47"/>
      <c r="Q475" s="30"/>
      <c r="R475" s="45"/>
      <c r="S475" s="33"/>
      <c r="T475" s="30"/>
      <c r="U475" s="124"/>
      <c r="V475" s="166"/>
      <c r="W475" s="122"/>
      <c r="X475" s="102"/>
      <c r="Y475" s="103"/>
      <c r="Z475" s="102"/>
      <c r="AA475" s="102"/>
      <c r="AB475" s="162"/>
      <c r="AC475" s="122"/>
      <c r="AD475" s="122"/>
    </row>
    <row r="476" spans="1:30" ht="12.75" x14ac:dyDescent="0.2">
      <c r="A476" s="48"/>
      <c r="B476" s="48"/>
      <c r="C476" s="47"/>
      <c r="Q476" s="30"/>
      <c r="R476" s="45"/>
      <c r="S476" s="33"/>
      <c r="T476" s="30"/>
      <c r="U476" s="124"/>
      <c r="V476" s="166"/>
      <c r="W476" s="122"/>
      <c r="X476" s="102"/>
      <c r="Y476" s="103"/>
      <c r="Z476" s="102"/>
      <c r="AA476" s="102"/>
      <c r="AB476" s="162"/>
      <c r="AC476" s="122"/>
      <c r="AD476" s="122"/>
    </row>
    <row r="477" spans="1:30" ht="12.75" x14ac:dyDescent="0.2">
      <c r="A477" s="48"/>
      <c r="B477" s="48"/>
      <c r="C477" s="47"/>
      <c r="Q477" s="30"/>
      <c r="R477" s="45"/>
      <c r="S477" s="33"/>
      <c r="T477" s="30"/>
      <c r="U477" s="124"/>
      <c r="V477" s="166"/>
      <c r="W477" s="122"/>
      <c r="X477" s="102"/>
      <c r="Y477" s="103"/>
      <c r="Z477" s="102"/>
      <c r="AA477" s="102"/>
      <c r="AB477" s="162"/>
      <c r="AC477" s="122"/>
      <c r="AD477" s="122"/>
    </row>
    <row r="478" spans="1:30" ht="12.75" x14ac:dyDescent="0.2">
      <c r="A478" s="48"/>
      <c r="B478" s="48"/>
      <c r="C478" s="47"/>
      <c r="Q478" s="30"/>
      <c r="R478" s="45"/>
      <c r="S478" s="33"/>
      <c r="T478" s="30"/>
      <c r="U478" s="124"/>
      <c r="V478" s="166"/>
      <c r="W478" s="122"/>
      <c r="X478" s="102"/>
      <c r="Y478" s="103"/>
      <c r="Z478" s="102"/>
      <c r="AA478" s="102"/>
      <c r="AB478" s="162"/>
      <c r="AC478" s="122"/>
      <c r="AD478" s="122"/>
    </row>
    <row r="479" spans="1:30" ht="12.75" x14ac:dyDescent="0.2">
      <c r="A479" s="48"/>
      <c r="B479" s="48"/>
      <c r="C479" s="47"/>
      <c r="Q479" s="30"/>
      <c r="R479" s="45"/>
      <c r="S479" s="33"/>
      <c r="T479" s="30"/>
      <c r="U479" s="124"/>
      <c r="V479" s="166"/>
      <c r="W479" s="122"/>
      <c r="X479" s="102"/>
      <c r="Y479" s="103"/>
      <c r="Z479" s="102"/>
      <c r="AA479" s="102"/>
      <c r="AB479" s="162"/>
      <c r="AC479" s="122"/>
      <c r="AD479" s="122"/>
    </row>
    <row r="480" spans="1:30" ht="12.75" x14ac:dyDescent="0.2">
      <c r="A480" s="48"/>
      <c r="B480" s="48"/>
      <c r="C480" s="47"/>
      <c r="Q480" s="30"/>
      <c r="R480" s="45"/>
      <c r="S480" s="33"/>
      <c r="T480" s="30"/>
      <c r="U480" s="124"/>
      <c r="V480" s="166"/>
      <c r="W480" s="122"/>
      <c r="X480" s="102"/>
      <c r="Y480" s="103"/>
      <c r="Z480" s="102"/>
      <c r="AA480" s="102"/>
      <c r="AB480" s="162"/>
      <c r="AC480" s="122"/>
      <c r="AD480" s="122"/>
    </row>
    <row r="481" spans="1:30" ht="12.75" x14ac:dyDescent="0.2">
      <c r="A481" s="48"/>
      <c r="B481" s="48"/>
      <c r="C481" s="47"/>
      <c r="Q481" s="30"/>
      <c r="R481" s="45"/>
      <c r="S481" s="33"/>
      <c r="T481" s="30"/>
      <c r="U481" s="124"/>
      <c r="V481" s="166"/>
      <c r="W481" s="122"/>
      <c r="X481" s="102"/>
      <c r="Y481" s="103"/>
      <c r="Z481" s="102"/>
      <c r="AA481" s="102"/>
      <c r="AB481" s="162"/>
      <c r="AC481" s="122"/>
      <c r="AD481" s="122"/>
    </row>
    <row r="482" spans="1:30" ht="12.75" x14ac:dyDescent="0.2">
      <c r="A482" s="48"/>
      <c r="B482" s="48"/>
      <c r="C482" s="47"/>
      <c r="Q482" s="30"/>
      <c r="R482" s="45"/>
      <c r="S482" s="33"/>
      <c r="T482" s="30"/>
      <c r="U482" s="124"/>
      <c r="V482" s="166"/>
      <c r="W482" s="122"/>
      <c r="X482" s="102"/>
      <c r="Y482" s="103"/>
      <c r="Z482" s="102"/>
      <c r="AA482" s="102"/>
      <c r="AB482" s="162"/>
      <c r="AC482" s="122"/>
      <c r="AD482" s="122"/>
    </row>
    <row r="483" spans="1:30" ht="12.75" x14ac:dyDescent="0.2">
      <c r="A483" s="48"/>
      <c r="B483" s="48"/>
      <c r="C483" s="47"/>
      <c r="Q483" s="30"/>
      <c r="R483" s="45"/>
      <c r="S483" s="33"/>
      <c r="T483" s="30"/>
      <c r="U483" s="124"/>
      <c r="V483" s="166"/>
      <c r="W483" s="122"/>
      <c r="X483" s="102"/>
      <c r="Y483" s="103"/>
      <c r="Z483" s="102"/>
      <c r="AA483" s="102"/>
      <c r="AB483" s="162"/>
      <c r="AC483" s="122"/>
      <c r="AD483" s="122"/>
    </row>
    <row r="484" spans="1:30" ht="12.75" x14ac:dyDescent="0.2">
      <c r="A484" s="48"/>
      <c r="B484" s="48"/>
      <c r="C484" s="47"/>
      <c r="Q484" s="30"/>
      <c r="R484" s="45"/>
      <c r="S484" s="33"/>
      <c r="T484" s="30"/>
      <c r="U484" s="124"/>
      <c r="V484" s="166"/>
      <c r="W484" s="122"/>
      <c r="X484" s="102"/>
      <c r="Y484" s="103"/>
      <c r="Z484" s="102"/>
      <c r="AA484" s="102"/>
      <c r="AB484" s="162"/>
      <c r="AC484" s="122"/>
      <c r="AD484" s="122"/>
    </row>
    <row r="485" spans="1:30" ht="12.75" x14ac:dyDescent="0.2">
      <c r="A485" s="48"/>
      <c r="B485" s="48"/>
      <c r="C485" s="47"/>
      <c r="Q485" s="30"/>
      <c r="R485" s="45"/>
      <c r="S485" s="33"/>
      <c r="T485" s="30"/>
      <c r="U485" s="124"/>
      <c r="V485" s="166"/>
      <c r="W485" s="122"/>
      <c r="X485" s="102"/>
      <c r="Y485" s="103"/>
      <c r="Z485" s="102"/>
      <c r="AA485" s="102"/>
      <c r="AB485" s="162"/>
      <c r="AC485" s="122"/>
      <c r="AD485" s="122"/>
    </row>
    <row r="486" spans="1:30" ht="12.75" x14ac:dyDescent="0.2">
      <c r="A486" s="48"/>
      <c r="B486" s="48"/>
      <c r="C486" s="47"/>
      <c r="Q486" s="30"/>
      <c r="R486" s="45"/>
      <c r="S486" s="33"/>
      <c r="T486" s="30"/>
      <c r="U486" s="124"/>
      <c r="V486" s="166"/>
      <c r="W486" s="122"/>
      <c r="X486" s="102"/>
      <c r="Y486" s="103"/>
      <c r="Z486" s="102"/>
      <c r="AA486" s="102"/>
      <c r="AB486" s="162"/>
      <c r="AC486" s="122"/>
      <c r="AD486" s="122"/>
    </row>
    <row r="487" spans="1:30" ht="12.75" x14ac:dyDescent="0.2">
      <c r="A487" s="48"/>
      <c r="B487" s="48"/>
      <c r="C487" s="47"/>
      <c r="Q487" s="30"/>
      <c r="R487" s="45"/>
      <c r="S487" s="33"/>
      <c r="T487" s="30"/>
      <c r="U487" s="124"/>
      <c r="V487" s="166"/>
      <c r="W487" s="122"/>
      <c r="X487" s="102"/>
      <c r="Y487" s="103"/>
      <c r="Z487" s="102"/>
      <c r="AA487" s="102"/>
      <c r="AB487" s="162"/>
      <c r="AC487" s="122"/>
      <c r="AD487" s="122"/>
    </row>
    <row r="488" spans="1:30" ht="12.75" x14ac:dyDescent="0.2">
      <c r="A488" s="48"/>
      <c r="B488" s="48"/>
      <c r="C488" s="47"/>
      <c r="Q488" s="30"/>
      <c r="R488" s="45"/>
      <c r="S488" s="33"/>
      <c r="T488" s="30"/>
      <c r="U488" s="124"/>
      <c r="V488" s="166"/>
      <c r="W488" s="122"/>
      <c r="X488" s="102"/>
      <c r="Y488" s="103"/>
      <c r="Z488" s="102"/>
      <c r="AA488" s="102"/>
      <c r="AB488" s="162"/>
      <c r="AC488" s="122"/>
      <c r="AD488" s="122"/>
    </row>
    <row r="489" spans="1:30" ht="12.75" x14ac:dyDescent="0.2">
      <c r="A489" s="48"/>
      <c r="B489" s="48"/>
      <c r="C489" s="47"/>
      <c r="Q489" s="30"/>
      <c r="R489" s="45"/>
      <c r="S489" s="33"/>
      <c r="T489" s="30"/>
      <c r="U489" s="124"/>
      <c r="V489" s="166"/>
      <c r="W489" s="122"/>
      <c r="X489" s="102"/>
      <c r="Y489" s="103"/>
      <c r="Z489" s="102"/>
      <c r="AA489" s="102"/>
      <c r="AB489" s="162"/>
      <c r="AC489" s="122"/>
      <c r="AD489" s="122"/>
    </row>
    <row r="490" spans="1:30" ht="12.75" x14ac:dyDescent="0.2">
      <c r="A490" s="48"/>
      <c r="B490" s="48"/>
      <c r="C490" s="47"/>
      <c r="Q490" s="30"/>
      <c r="R490" s="45"/>
      <c r="S490" s="33"/>
      <c r="T490" s="30"/>
      <c r="U490" s="124"/>
      <c r="V490" s="166"/>
      <c r="W490" s="122"/>
      <c r="X490" s="102"/>
      <c r="Y490" s="103"/>
      <c r="Z490" s="102"/>
      <c r="AA490" s="102"/>
      <c r="AB490" s="162"/>
      <c r="AC490" s="122"/>
      <c r="AD490" s="122"/>
    </row>
    <row r="491" spans="1:30" ht="12.75" x14ac:dyDescent="0.2">
      <c r="A491" s="48"/>
      <c r="B491" s="48"/>
      <c r="C491" s="47"/>
      <c r="Q491" s="30"/>
      <c r="R491" s="45"/>
      <c r="S491" s="33"/>
      <c r="T491" s="30"/>
      <c r="U491" s="124"/>
      <c r="V491" s="166"/>
      <c r="W491" s="122"/>
      <c r="X491" s="102"/>
      <c r="Y491" s="103"/>
      <c r="Z491" s="102"/>
      <c r="AA491" s="102"/>
      <c r="AB491" s="162"/>
      <c r="AC491" s="122"/>
      <c r="AD491" s="122"/>
    </row>
    <row r="492" spans="1:30" ht="12.75" x14ac:dyDescent="0.2">
      <c r="A492" s="48"/>
      <c r="B492" s="48"/>
      <c r="C492" s="47"/>
      <c r="Q492" s="30"/>
      <c r="R492" s="45"/>
      <c r="S492" s="33"/>
      <c r="T492" s="30"/>
      <c r="U492" s="124"/>
      <c r="V492" s="166"/>
      <c r="W492" s="122"/>
      <c r="X492" s="102"/>
      <c r="Y492" s="103"/>
      <c r="Z492" s="102"/>
      <c r="AA492" s="102"/>
      <c r="AB492" s="162"/>
      <c r="AC492" s="122"/>
      <c r="AD492" s="122"/>
    </row>
    <row r="493" spans="1:30" ht="12.75" x14ac:dyDescent="0.2">
      <c r="A493" s="48"/>
      <c r="B493" s="48"/>
      <c r="C493" s="47"/>
      <c r="Q493" s="30"/>
      <c r="R493" s="45"/>
      <c r="S493" s="33"/>
      <c r="T493" s="30"/>
      <c r="U493" s="124"/>
      <c r="V493" s="166"/>
      <c r="W493" s="122"/>
      <c r="X493" s="102"/>
      <c r="Y493" s="103"/>
      <c r="Z493" s="102"/>
      <c r="AA493" s="102"/>
      <c r="AB493" s="162"/>
      <c r="AC493" s="122"/>
      <c r="AD493" s="122"/>
    </row>
    <row r="494" spans="1:30" ht="12.75" x14ac:dyDescent="0.2">
      <c r="A494" s="48"/>
      <c r="B494" s="48"/>
      <c r="C494" s="47"/>
      <c r="Q494" s="30"/>
      <c r="R494" s="45"/>
      <c r="S494" s="33"/>
      <c r="T494" s="30"/>
      <c r="U494" s="124"/>
      <c r="V494" s="166"/>
      <c r="W494" s="122"/>
      <c r="X494" s="102"/>
      <c r="Y494" s="103"/>
      <c r="Z494" s="102"/>
      <c r="AA494" s="102"/>
      <c r="AB494" s="162"/>
      <c r="AC494" s="122"/>
      <c r="AD494" s="122"/>
    </row>
    <row r="495" spans="1:30" ht="12.75" x14ac:dyDescent="0.2">
      <c r="A495" s="48"/>
      <c r="B495" s="48"/>
      <c r="C495" s="47"/>
      <c r="Q495" s="30"/>
      <c r="R495" s="45"/>
      <c r="S495" s="33"/>
      <c r="T495" s="30"/>
      <c r="U495" s="124"/>
      <c r="V495" s="166"/>
      <c r="W495" s="122"/>
      <c r="X495" s="102"/>
      <c r="Y495" s="103"/>
      <c r="Z495" s="102"/>
      <c r="AA495" s="102"/>
      <c r="AB495" s="162"/>
      <c r="AC495" s="122"/>
      <c r="AD495" s="122"/>
    </row>
    <row r="496" spans="1:30" ht="12.75" x14ac:dyDescent="0.2">
      <c r="A496" s="48"/>
      <c r="B496" s="48"/>
      <c r="C496" s="47"/>
      <c r="Q496" s="30"/>
      <c r="R496" s="45"/>
      <c r="S496" s="33"/>
      <c r="T496" s="30"/>
      <c r="U496" s="124"/>
      <c r="V496" s="166"/>
      <c r="W496" s="122"/>
      <c r="X496" s="102"/>
      <c r="Y496" s="103"/>
      <c r="Z496" s="102"/>
      <c r="AA496" s="102"/>
      <c r="AB496" s="162"/>
      <c r="AC496" s="122"/>
      <c r="AD496" s="122"/>
    </row>
    <row r="497" spans="1:30" ht="12.75" x14ac:dyDescent="0.2">
      <c r="A497" s="48"/>
      <c r="B497" s="48"/>
      <c r="C497" s="47"/>
      <c r="Q497" s="30"/>
      <c r="R497" s="45"/>
      <c r="S497" s="33"/>
      <c r="T497" s="30"/>
      <c r="U497" s="124"/>
      <c r="V497" s="166"/>
      <c r="W497" s="122"/>
      <c r="X497" s="102"/>
      <c r="Y497" s="103"/>
      <c r="Z497" s="102"/>
      <c r="AA497" s="102"/>
      <c r="AB497" s="162"/>
      <c r="AC497" s="122"/>
      <c r="AD497" s="122"/>
    </row>
    <row r="498" spans="1:30" ht="12.75" x14ac:dyDescent="0.2">
      <c r="A498" s="48"/>
      <c r="B498" s="48"/>
      <c r="C498" s="47"/>
      <c r="Q498" s="30"/>
      <c r="R498" s="45"/>
      <c r="S498" s="33"/>
      <c r="T498" s="30"/>
      <c r="U498" s="124"/>
      <c r="V498" s="166"/>
      <c r="W498" s="122"/>
      <c r="X498" s="102"/>
      <c r="Y498" s="103"/>
      <c r="Z498" s="102"/>
      <c r="AA498" s="102"/>
      <c r="AB498" s="162"/>
      <c r="AC498" s="122"/>
      <c r="AD498" s="122"/>
    </row>
    <row r="499" spans="1:30" ht="12.75" x14ac:dyDescent="0.2">
      <c r="A499" s="48"/>
      <c r="B499" s="48"/>
      <c r="C499" s="47"/>
      <c r="Q499" s="30"/>
      <c r="R499" s="45"/>
      <c r="S499" s="33"/>
      <c r="T499" s="30"/>
      <c r="U499" s="124"/>
      <c r="V499" s="166"/>
      <c r="W499" s="122"/>
      <c r="X499" s="102"/>
      <c r="Y499" s="103"/>
      <c r="Z499" s="102"/>
      <c r="AA499" s="102"/>
      <c r="AB499" s="162"/>
      <c r="AC499" s="122"/>
      <c r="AD499" s="122"/>
    </row>
    <row r="500" spans="1:30" ht="12.75" x14ac:dyDescent="0.2">
      <c r="A500" s="48"/>
      <c r="B500" s="48"/>
      <c r="C500" s="47"/>
      <c r="Q500" s="30"/>
      <c r="R500" s="45"/>
      <c r="S500" s="33"/>
      <c r="T500" s="30"/>
      <c r="U500" s="124"/>
      <c r="V500" s="166"/>
      <c r="W500" s="122"/>
      <c r="X500" s="102"/>
      <c r="Y500" s="103"/>
      <c r="Z500" s="102"/>
      <c r="AA500" s="102"/>
      <c r="AB500" s="162"/>
      <c r="AC500" s="122"/>
      <c r="AD500" s="122"/>
    </row>
    <row r="501" spans="1:30" ht="12.75" x14ac:dyDescent="0.2">
      <c r="A501" s="48"/>
      <c r="B501" s="48"/>
      <c r="C501" s="47"/>
      <c r="Q501" s="30"/>
      <c r="R501" s="45"/>
      <c r="S501" s="33"/>
      <c r="T501" s="30"/>
      <c r="U501" s="124"/>
      <c r="V501" s="166"/>
      <c r="W501" s="122"/>
      <c r="X501" s="102"/>
      <c r="Y501" s="103"/>
      <c r="Z501" s="102"/>
      <c r="AA501" s="102"/>
      <c r="AB501" s="162"/>
      <c r="AC501" s="122"/>
      <c r="AD501" s="122"/>
    </row>
    <row r="502" spans="1:30" ht="12.75" x14ac:dyDescent="0.2">
      <c r="A502" s="48"/>
      <c r="B502" s="48"/>
      <c r="C502" s="47"/>
      <c r="Q502" s="30"/>
      <c r="R502" s="45"/>
      <c r="S502" s="33"/>
      <c r="T502" s="30"/>
      <c r="U502" s="124"/>
      <c r="V502" s="166"/>
      <c r="W502" s="122"/>
      <c r="X502" s="102"/>
      <c r="Y502" s="103"/>
      <c r="Z502" s="102"/>
      <c r="AA502" s="102"/>
      <c r="AB502" s="162"/>
      <c r="AC502" s="122"/>
      <c r="AD502" s="122"/>
    </row>
    <row r="503" spans="1:30" ht="12.75" x14ac:dyDescent="0.2">
      <c r="A503" s="48"/>
      <c r="B503" s="48"/>
      <c r="C503" s="47"/>
      <c r="Q503" s="30"/>
      <c r="R503" s="45"/>
      <c r="S503" s="33"/>
      <c r="T503" s="30"/>
      <c r="U503" s="124"/>
      <c r="V503" s="166"/>
      <c r="W503" s="122"/>
      <c r="X503" s="102"/>
      <c r="Y503" s="103"/>
      <c r="Z503" s="102"/>
      <c r="AA503" s="102"/>
      <c r="AB503" s="162"/>
      <c r="AC503" s="122"/>
      <c r="AD503" s="122"/>
    </row>
    <row r="504" spans="1:30" ht="12.75" x14ac:dyDescent="0.2">
      <c r="A504" s="48"/>
      <c r="B504" s="48"/>
      <c r="C504" s="47"/>
      <c r="Q504" s="30"/>
      <c r="R504" s="45"/>
      <c r="S504" s="33"/>
      <c r="T504" s="30"/>
      <c r="U504" s="124"/>
      <c r="V504" s="166"/>
      <c r="W504" s="122"/>
      <c r="X504" s="102"/>
      <c r="Y504" s="103"/>
      <c r="Z504" s="102"/>
      <c r="AA504" s="102"/>
      <c r="AB504" s="162"/>
      <c r="AC504" s="122"/>
      <c r="AD504" s="122"/>
    </row>
    <row r="505" spans="1:30" ht="12.75" x14ac:dyDescent="0.2">
      <c r="A505" s="48"/>
      <c r="B505" s="48"/>
      <c r="C505" s="47"/>
      <c r="Q505" s="30"/>
      <c r="R505" s="45"/>
      <c r="S505" s="33"/>
      <c r="T505" s="30"/>
      <c r="U505" s="124"/>
      <c r="V505" s="166"/>
      <c r="W505" s="122"/>
      <c r="X505" s="102"/>
      <c r="Y505" s="103"/>
      <c r="Z505" s="102"/>
      <c r="AA505" s="102"/>
      <c r="AB505" s="162"/>
      <c r="AC505" s="122"/>
      <c r="AD505" s="122"/>
    </row>
    <row r="506" spans="1:30" ht="12.75" x14ac:dyDescent="0.2">
      <c r="A506" s="48"/>
      <c r="B506" s="48"/>
      <c r="C506" s="47"/>
      <c r="Q506" s="30"/>
      <c r="R506" s="45"/>
      <c r="S506" s="33"/>
      <c r="T506" s="30"/>
      <c r="U506" s="124"/>
      <c r="V506" s="166"/>
      <c r="W506" s="122"/>
      <c r="X506" s="102"/>
      <c r="Y506" s="103"/>
      <c r="Z506" s="102"/>
      <c r="AA506" s="102"/>
      <c r="AB506" s="162"/>
      <c r="AC506" s="122"/>
      <c r="AD506" s="122"/>
    </row>
    <row r="507" spans="1:30" ht="12.75" x14ac:dyDescent="0.2">
      <c r="A507" s="48"/>
      <c r="B507" s="48"/>
      <c r="C507" s="47"/>
      <c r="Q507" s="30"/>
      <c r="R507" s="45"/>
      <c r="S507" s="33"/>
      <c r="T507" s="30"/>
      <c r="U507" s="124"/>
      <c r="V507" s="166"/>
      <c r="W507" s="122"/>
      <c r="X507" s="102"/>
      <c r="Y507" s="103"/>
      <c r="Z507" s="102"/>
      <c r="AA507" s="102"/>
      <c r="AB507" s="162"/>
      <c r="AC507" s="122"/>
      <c r="AD507" s="122"/>
    </row>
    <row r="508" spans="1:30" ht="12.75" x14ac:dyDescent="0.2">
      <c r="A508" s="48"/>
      <c r="B508" s="48"/>
      <c r="C508" s="47"/>
      <c r="Q508" s="30"/>
      <c r="R508" s="45"/>
      <c r="S508" s="33"/>
      <c r="T508" s="30"/>
      <c r="U508" s="124"/>
      <c r="V508" s="166"/>
      <c r="W508" s="122"/>
      <c r="X508" s="102"/>
      <c r="Y508" s="103"/>
      <c r="Z508" s="102"/>
      <c r="AA508" s="102"/>
      <c r="AB508" s="162"/>
      <c r="AC508" s="122"/>
      <c r="AD508" s="122"/>
    </row>
    <row r="509" spans="1:30" ht="12.75" x14ac:dyDescent="0.2">
      <c r="A509" s="48"/>
      <c r="B509" s="48"/>
      <c r="C509" s="47"/>
      <c r="Q509" s="30"/>
      <c r="R509" s="45"/>
      <c r="S509" s="33"/>
      <c r="T509" s="30"/>
      <c r="U509" s="124"/>
      <c r="V509" s="166"/>
      <c r="W509" s="122"/>
      <c r="X509" s="102"/>
      <c r="Y509" s="103"/>
      <c r="Z509" s="102"/>
      <c r="AA509" s="102"/>
      <c r="AB509" s="162"/>
      <c r="AC509" s="122"/>
      <c r="AD509" s="122"/>
    </row>
    <row r="510" spans="1:30" ht="12.75" x14ac:dyDescent="0.2">
      <c r="A510" s="48"/>
      <c r="B510" s="48"/>
      <c r="C510" s="47"/>
      <c r="Q510" s="30"/>
      <c r="R510" s="45"/>
      <c r="S510" s="33"/>
      <c r="T510" s="30"/>
      <c r="U510" s="124"/>
      <c r="V510" s="166"/>
      <c r="W510" s="122"/>
      <c r="X510" s="102"/>
      <c r="Y510" s="103"/>
      <c r="Z510" s="102"/>
      <c r="AA510" s="102"/>
      <c r="AB510" s="162"/>
      <c r="AC510" s="122"/>
      <c r="AD510" s="122"/>
    </row>
    <row r="511" spans="1:30" ht="12.75" x14ac:dyDescent="0.2">
      <c r="A511" s="48"/>
      <c r="B511" s="48"/>
      <c r="C511" s="47"/>
      <c r="Q511" s="30"/>
      <c r="R511" s="45"/>
      <c r="S511" s="33"/>
      <c r="T511" s="30"/>
      <c r="U511" s="124"/>
      <c r="V511" s="166"/>
      <c r="W511" s="122"/>
      <c r="X511" s="102"/>
      <c r="Y511" s="103"/>
      <c r="Z511" s="102"/>
      <c r="AA511" s="102"/>
      <c r="AB511" s="162"/>
      <c r="AC511" s="122"/>
      <c r="AD511" s="122"/>
    </row>
    <row r="512" spans="1:30" ht="12.75" x14ac:dyDescent="0.2">
      <c r="A512" s="48"/>
      <c r="B512" s="48"/>
      <c r="C512" s="47"/>
      <c r="Q512" s="30"/>
      <c r="R512" s="45"/>
      <c r="S512" s="33"/>
      <c r="T512" s="30"/>
      <c r="U512" s="124"/>
      <c r="V512" s="166"/>
      <c r="W512" s="122"/>
      <c r="X512" s="102"/>
      <c r="Y512" s="103"/>
      <c r="Z512" s="102"/>
      <c r="AA512" s="102"/>
      <c r="AB512" s="162"/>
      <c r="AC512" s="122"/>
      <c r="AD512" s="122"/>
    </row>
    <row r="513" spans="1:30" ht="12.75" x14ac:dyDescent="0.2">
      <c r="A513" s="48"/>
      <c r="B513" s="48"/>
      <c r="C513" s="47"/>
      <c r="Q513" s="30"/>
      <c r="R513" s="45"/>
      <c r="S513" s="33"/>
      <c r="T513" s="30"/>
      <c r="U513" s="124"/>
      <c r="V513" s="166"/>
      <c r="W513" s="122"/>
      <c r="X513" s="102"/>
      <c r="Y513" s="103"/>
      <c r="Z513" s="102"/>
      <c r="AA513" s="102"/>
      <c r="AB513" s="162"/>
      <c r="AC513" s="122"/>
      <c r="AD513" s="122"/>
    </row>
    <row r="514" spans="1:30" ht="12.75" x14ac:dyDescent="0.2">
      <c r="A514" s="48"/>
      <c r="B514" s="48"/>
      <c r="C514" s="47"/>
      <c r="Q514" s="30"/>
      <c r="R514" s="45"/>
      <c r="S514" s="33"/>
      <c r="T514" s="30"/>
      <c r="U514" s="124"/>
      <c r="V514" s="166"/>
      <c r="W514" s="122"/>
      <c r="X514" s="102"/>
      <c r="Y514" s="103"/>
      <c r="Z514" s="102"/>
      <c r="AA514" s="102"/>
      <c r="AB514" s="162"/>
      <c r="AC514" s="122"/>
      <c r="AD514" s="122"/>
    </row>
    <row r="515" spans="1:30" ht="12.75" x14ac:dyDescent="0.2">
      <c r="A515" s="48"/>
      <c r="B515" s="48"/>
      <c r="C515" s="47"/>
      <c r="Q515" s="30"/>
      <c r="R515" s="45"/>
      <c r="S515" s="33"/>
      <c r="T515" s="30"/>
      <c r="U515" s="124"/>
      <c r="V515" s="166"/>
      <c r="W515" s="122"/>
      <c r="X515" s="102"/>
      <c r="Y515" s="103"/>
      <c r="Z515" s="102"/>
      <c r="AA515" s="102"/>
      <c r="AB515" s="162"/>
      <c r="AC515" s="122"/>
      <c r="AD515" s="122"/>
    </row>
    <row r="516" spans="1:30" ht="12.75" x14ac:dyDescent="0.2">
      <c r="A516" s="48"/>
      <c r="B516" s="48"/>
      <c r="C516" s="47"/>
      <c r="Q516" s="30"/>
      <c r="R516" s="45"/>
      <c r="S516" s="33"/>
      <c r="T516" s="30"/>
      <c r="U516" s="124"/>
      <c r="V516" s="166"/>
      <c r="W516" s="122"/>
      <c r="X516" s="102"/>
      <c r="Y516" s="103"/>
      <c r="Z516" s="102"/>
      <c r="AA516" s="102"/>
      <c r="AB516" s="162"/>
      <c r="AC516" s="122"/>
      <c r="AD516" s="122"/>
    </row>
    <row r="517" spans="1:30" ht="12.75" x14ac:dyDescent="0.2">
      <c r="A517" s="48"/>
      <c r="B517" s="48"/>
      <c r="C517" s="47"/>
      <c r="Q517" s="30"/>
      <c r="R517" s="45"/>
      <c r="S517" s="33"/>
      <c r="T517" s="30"/>
      <c r="U517" s="124"/>
      <c r="V517" s="166"/>
      <c r="W517" s="122"/>
      <c r="X517" s="102"/>
      <c r="Y517" s="103"/>
      <c r="Z517" s="102"/>
      <c r="AA517" s="102"/>
      <c r="AB517" s="162"/>
      <c r="AC517" s="122"/>
      <c r="AD517" s="122"/>
    </row>
    <row r="518" spans="1:30" ht="12.75" x14ac:dyDescent="0.2">
      <c r="A518" s="48"/>
      <c r="B518" s="48"/>
      <c r="C518" s="47"/>
      <c r="Q518" s="30"/>
      <c r="R518" s="45"/>
      <c r="S518" s="33"/>
      <c r="T518" s="30"/>
      <c r="U518" s="124"/>
      <c r="V518" s="166"/>
      <c r="W518" s="122"/>
      <c r="X518" s="102"/>
      <c r="Y518" s="103"/>
      <c r="Z518" s="102"/>
      <c r="AA518" s="102"/>
      <c r="AB518" s="162"/>
      <c r="AC518" s="122"/>
      <c r="AD518" s="122"/>
    </row>
    <row r="519" spans="1:30" x14ac:dyDescent="0.2">
      <c r="A519" s="48"/>
      <c r="B519" s="48"/>
      <c r="C519" s="47"/>
    </row>
    <row r="520" spans="1:30" x14ac:dyDescent="0.2">
      <c r="A520" s="48"/>
      <c r="B520" s="48"/>
      <c r="C520" s="47"/>
    </row>
    <row r="521" spans="1:30" x14ac:dyDescent="0.2">
      <c r="A521" s="48"/>
      <c r="B521" s="48"/>
      <c r="C521" s="47"/>
    </row>
    <row r="522" spans="1:30" x14ac:dyDescent="0.2">
      <c r="A522" s="48"/>
      <c r="B522" s="48"/>
      <c r="C522" s="47"/>
    </row>
    <row r="523" spans="1:30" x14ac:dyDescent="0.2">
      <c r="A523" s="48"/>
      <c r="B523" s="48"/>
      <c r="C523" s="47"/>
    </row>
    <row r="524" spans="1:30" x14ac:dyDescent="0.2">
      <c r="A524" s="48"/>
      <c r="B524" s="48"/>
      <c r="C524" s="47"/>
    </row>
    <row r="525" spans="1:30" x14ac:dyDescent="0.2">
      <c r="A525" s="48"/>
      <c r="B525" s="48"/>
      <c r="C525" s="47"/>
    </row>
    <row r="526" spans="1:30" x14ac:dyDescent="0.2">
      <c r="A526" s="48"/>
      <c r="B526" s="48"/>
      <c r="C526" s="47"/>
    </row>
    <row r="527" spans="1:30" x14ac:dyDescent="0.2">
      <c r="A527" s="48"/>
      <c r="B527" s="48"/>
      <c r="C527" s="47"/>
    </row>
    <row r="528" spans="1:30" x14ac:dyDescent="0.2">
      <c r="A528" s="48"/>
      <c r="B528" s="48"/>
      <c r="C528" s="47"/>
    </row>
    <row r="529" spans="1:3" x14ac:dyDescent="0.2">
      <c r="A529" s="48"/>
      <c r="B529" s="48"/>
      <c r="C529" s="47"/>
    </row>
    <row r="530" spans="1:3" x14ac:dyDescent="0.2">
      <c r="A530" s="48"/>
      <c r="B530" s="48"/>
      <c r="C530" s="47"/>
    </row>
    <row r="531" spans="1:3" x14ac:dyDescent="0.2">
      <c r="A531" s="48"/>
      <c r="B531" s="48"/>
      <c r="C531" s="47"/>
    </row>
    <row r="532" spans="1:3" x14ac:dyDescent="0.2">
      <c r="A532" s="48"/>
      <c r="B532" s="48"/>
      <c r="C532" s="47"/>
    </row>
    <row r="533" spans="1:3" x14ac:dyDescent="0.2">
      <c r="A533" s="48"/>
      <c r="B533" s="48"/>
      <c r="C533" s="47"/>
    </row>
    <row r="534" spans="1:3" x14ac:dyDescent="0.2">
      <c r="A534" s="48"/>
      <c r="B534" s="48"/>
      <c r="C534" s="47"/>
    </row>
    <row r="535" spans="1:3" x14ac:dyDescent="0.2">
      <c r="A535" s="48"/>
      <c r="B535" s="48"/>
      <c r="C535" s="47"/>
    </row>
    <row r="536" spans="1:3" x14ac:dyDescent="0.2">
      <c r="A536" s="48"/>
      <c r="B536" s="48"/>
      <c r="C536" s="47"/>
    </row>
    <row r="537" spans="1:3" x14ac:dyDescent="0.2">
      <c r="A537" s="48"/>
      <c r="B537" s="48"/>
      <c r="C537" s="47"/>
    </row>
    <row r="538" spans="1:3" x14ac:dyDescent="0.2">
      <c r="A538" s="48"/>
      <c r="B538" s="48"/>
      <c r="C538" s="47"/>
    </row>
    <row r="539" spans="1:3" x14ac:dyDescent="0.2">
      <c r="A539" s="48"/>
      <c r="B539" s="48"/>
      <c r="C539" s="47"/>
    </row>
    <row r="540" spans="1:3" x14ac:dyDescent="0.2">
      <c r="A540" s="48"/>
      <c r="B540" s="48"/>
      <c r="C540" s="47"/>
    </row>
    <row r="541" spans="1:3" x14ac:dyDescent="0.2">
      <c r="A541" s="48"/>
      <c r="B541" s="48"/>
      <c r="C541" s="47"/>
    </row>
    <row r="542" spans="1:3" x14ac:dyDescent="0.2">
      <c r="A542" s="48"/>
      <c r="B542" s="48"/>
      <c r="C542" s="47"/>
    </row>
    <row r="543" spans="1:3" x14ac:dyDescent="0.2">
      <c r="A543" s="48"/>
      <c r="B543" s="48"/>
      <c r="C543" s="47"/>
    </row>
    <row r="544" spans="1:3" x14ac:dyDescent="0.2">
      <c r="A544" s="48"/>
      <c r="B544" s="48"/>
      <c r="C544" s="47"/>
    </row>
    <row r="545" spans="1:3" x14ac:dyDescent="0.2">
      <c r="A545" s="48"/>
      <c r="B545" s="48"/>
      <c r="C545" s="47"/>
    </row>
    <row r="546" spans="1:3" x14ac:dyDescent="0.2">
      <c r="A546" s="48"/>
      <c r="B546" s="48"/>
      <c r="C546" s="47"/>
    </row>
    <row r="547" spans="1:3" x14ac:dyDescent="0.2">
      <c r="A547" s="48"/>
      <c r="B547" s="48"/>
      <c r="C547" s="47"/>
    </row>
    <row r="548" spans="1:3" x14ac:dyDescent="0.2">
      <c r="A548" s="48"/>
      <c r="B548" s="48"/>
      <c r="C548" s="47"/>
    </row>
    <row r="549" spans="1:3" x14ac:dyDescent="0.2">
      <c r="A549" s="48"/>
      <c r="B549" s="48"/>
      <c r="C549" s="47"/>
    </row>
    <row r="550" spans="1:3" x14ac:dyDescent="0.2">
      <c r="A550" s="48"/>
      <c r="B550" s="48"/>
      <c r="C550" s="47"/>
    </row>
    <row r="551" spans="1:3" x14ac:dyDescent="0.2">
      <c r="A551" s="48"/>
      <c r="B551" s="48"/>
      <c r="C551" s="47"/>
    </row>
    <row r="552" spans="1:3" x14ac:dyDescent="0.2">
      <c r="A552" s="48"/>
      <c r="B552" s="48"/>
      <c r="C552" s="47"/>
    </row>
    <row r="553" spans="1:3" x14ac:dyDescent="0.2">
      <c r="A553" s="48"/>
      <c r="B553" s="48"/>
      <c r="C553" s="47"/>
    </row>
    <row r="554" spans="1:3" x14ac:dyDescent="0.2">
      <c r="A554" s="48"/>
      <c r="B554" s="48"/>
      <c r="C554" s="47"/>
    </row>
    <row r="555" spans="1:3" x14ac:dyDescent="0.2">
      <c r="A555" s="48"/>
      <c r="B555" s="48"/>
      <c r="C555" s="47"/>
    </row>
    <row r="556" spans="1:3" x14ac:dyDescent="0.2">
      <c r="A556" s="48"/>
      <c r="B556" s="48"/>
      <c r="C556" s="47"/>
    </row>
    <row r="557" spans="1:3" x14ac:dyDescent="0.2">
      <c r="A557" s="48"/>
      <c r="B557" s="48"/>
      <c r="C557" s="47"/>
    </row>
    <row r="558" spans="1:3" x14ac:dyDescent="0.2">
      <c r="A558" s="48"/>
      <c r="B558" s="48"/>
      <c r="C558" s="47"/>
    </row>
    <row r="559" spans="1:3" x14ac:dyDescent="0.2">
      <c r="A559" s="48"/>
      <c r="B559" s="48"/>
      <c r="C559" s="47"/>
    </row>
    <row r="560" spans="1:3" x14ac:dyDescent="0.2">
      <c r="A560" s="48"/>
      <c r="B560" s="48"/>
      <c r="C560" s="47"/>
    </row>
    <row r="561" spans="1:3" x14ac:dyDescent="0.2">
      <c r="A561" s="48"/>
      <c r="B561" s="48"/>
      <c r="C561" s="47"/>
    </row>
    <row r="562" spans="1:3" x14ac:dyDescent="0.2">
      <c r="A562" s="48"/>
      <c r="B562" s="48"/>
      <c r="C562" s="47"/>
    </row>
    <row r="563" spans="1:3" x14ac:dyDescent="0.2">
      <c r="A563" s="48"/>
      <c r="B563" s="48"/>
      <c r="C563" s="47"/>
    </row>
    <row r="564" spans="1:3" x14ac:dyDescent="0.2">
      <c r="A564" s="48"/>
      <c r="B564" s="48"/>
      <c r="C564" s="47"/>
    </row>
    <row r="565" spans="1:3" x14ac:dyDescent="0.2">
      <c r="A565" s="48"/>
      <c r="B565" s="48"/>
      <c r="C565" s="47"/>
    </row>
    <row r="566" spans="1:3" x14ac:dyDescent="0.2">
      <c r="A566" s="48"/>
      <c r="B566" s="48"/>
      <c r="C566" s="47"/>
    </row>
    <row r="567" spans="1:3" x14ac:dyDescent="0.2">
      <c r="A567" s="48"/>
      <c r="B567" s="48"/>
      <c r="C567" s="47"/>
    </row>
    <row r="568" spans="1:3" x14ac:dyDescent="0.2">
      <c r="A568" s="48"/>
      <c r="B568" s="48"/>
      <c r="C568" s="47"/>
    </row>
    <row r="569" spans="1:3" x14ac:dyDescent="0.2">
      <c r="A569" s="48"/>
      <c r="B569" s="48"/>
      <c r="C569" s="47"/>
    </row>
    <row r="570" spans="1:3" x14ac:dyDescent="0.2">
      <c r="A570" s="48"/>
      <c r="B570" s="48"/>
      <c r="C570" s="47"/>
    </row>
    <row r="571" spans="1:3" x14ac:dyDescent="0.2">
      <c r="A571" s="48"/>
      <c r="B571" s="48"/>
      <c r="C571" s="47"/>
    </row>
    <row r="572" spans="1:3" x14ac:dyDescent="0.2">
      <c r="A572" s="48"/>
      <c r="B572" s="48"/>
      <c r="C572" s="47"/>
    </row>
    <row r="573" spans="1:3" x14ac:dyDescent="0.2">
      <c r="A573" s="48"/>
      <c r="B573" s="48"/>
      <c r="C573" s="47"/>
    </row>
    <row r="574" spans="1:3" x14ac:dyDescent="0.2">
      <c r="A574" s="48"/>
      <c r="B574" s="48"/>
      <c r="C574" s="47"/>
    </row>
    <row r="575" spans="1:3" x14ac:dyDescent="0.2">
      <c r="A575" s="48"/>
      <c r="B575" s="48"/>
      <c r="C575" s="47"/>
    </row>
    <row r="576" spans="1:3" x14ac:dyDescent="0.2">
      <c r="A576" s="48"/>
      <c r="B576" s="48"/>
      <c r="C576" s="47"/>
    </row>
    <row r="577" spans="1:16" x14ac:dyDescent="0.2">
      <c r="A577" s="48"/>
      <c r="B577" s="48"/>
      <c r="C577" s="47"/>
    </row>
    <row r="578" spans="1:16" x14ac:dyDescent="0.2">
      <c r="A578" s="48"/>
      <c r="B578" s="48"/>
      <c r="C578" s="47"/>
    </row>
    <row r="579" spans="1:16" x14ac:dyDescent="0.2">
      <c r="A579" s="48"/>
      <c r="B579" s="48"/>
      <c r="C579" s="47"/>
    </row>
    <row r="580" spans="1:16" x14ac:dyDescent="0.2">
      <c r="A580" s="48"/>
      <c r="B580" s="48"/>
      <c r="C580" s="47"/>
    </row>
    <row r="581" spans="1:16" x14ac:dyDescent="0.2">
      <c r="A581" s="48"/>
      <c r="B581" s="48"/>
      <c r="C581" s="47"/>
    </row>
    <row r="582" spans="1:16" x14ac:dyDescent="0.2">
      <c r="A582" s="48"/>
      <c r="B582" s="48"/>
      <c r="C582" s="47"/>
    </row>
    <row r="583" spans="1:16" x14ac:dyDescent="0.2">
      <c r="A583" s="48"/>
      <c r="B583" s="48"/>
      <c r="C583" s="47"/>
    </row>
    <row r="584" spans="1:16" x14ac:dyDescent="0.2">
      <c r="A584" s="48"/>
      <c r="B584" s="48"/>
      <c r="C584" s="47"/>
      <c r="P584" s="1"/>
    </row>
    <row r="585" spans="1:16" x14ac:dyDescent="0.2">
      <c r="A585" s="48"/>
      <c r="B585" s="48"/>
      <c r="C585" s="47"/>
    </row>
    <row r="586" spans="1:16" x14ac:dyDescent="0.2">
      <c r="A586" s="48"/>
      <c r="B586" s="48"/>
      <c r="C586" s="47"/>
    </row>
    <row r="587" spans="1:16" x14ac:dyDescent="0.2">
      <c r="A587" s="48"/>
      <c r="B587" s="48"/>
      <c r="C587" s="47"/>
    </row>
    <row r="588" spans="1:16" x14ac:dyDescent="0.2">
      <c r="A588" s="48"/>
      <c r="B588" s="48"/>
      <c r="C588" s="47"/>
    </row>
    <row r="589" spans="1:16" x14ac:dyDescent="0.2">
      <c r="A589" s="48"/>
      <c r="B589" s="48"/>
      <c r="C589" s="47"/>
    </row>
    <row r="590" spans="1:16" x14ac:dyDescent="0.2">
      <c r="A590" s="48"/>
      <c r="B590" s="48"/>
      <c r="C590" s="47"/>
    </row>
    <row r="591" spans="1:16" x14ac:dyDescent="0.2">
      <c r="A591" s="48"/>
      <c r="B591" s="48"/>
      <c r="C591" s="47"/>
    </row>
    <row r="592" spans="1:16" x14ac:dyDescent="0.2">
      <c r="A592" s="48"/>
      <c r="B592" s="48"/>
      <c r="C592" s="47"/>
    </row>
    <row r="593" spans="1:3" x14ac:dyDescent="0.2">
      <c r="A593" s="48"/>
      <c r="B593" s="48"/>
      <c r="C593" s="47"/>
    </row>
    <row r="594" spans="1:3" x14ac:dyDescent="0.2">
      <c r="A594" s="48"/>
      <c r="B594" s="48"/>
      <c r="C594" s="47"/>
    </row>
    <row r="595" spans="1:3" x14ac:dyDescent="0.2">
      <c r="A595" s="48"/>
      <c r="B595" s="48"/>
      <c r="C595" s="47"/>
    </row>
    <row r="596" spans="1:3" x14ac:dyDescent="0.2">
      <c r="A596" s="48"/>
      <c r="B596" s="48"/>
      <c r="C596" s="47"/>
    </row>
    <row r="597" spans="1:3" x14ac:dyDescent="0.2">
      <c r="A597" s="48"/>
      <c r="B597" s="48"/>
      <c r="C597" s="47"/>
    </row>
    <row r="598" spans="1:3" x14ac:dyDescent="0.2">
      <c r="A598" s="48"/>
      <c r="B598" s="48"/>
      <c r="C598" s="47"/>
    </row>
    <row r="599" spans="1:3" x14ac:dyDescent="0.2">
      <c r="A599" s="48"/>
      <c r="B599" s="48"/>
      <c r="C599" s="47"/>
    </row>
    <row r="600" spans="1:3" x14ac:dyDescent="0.2">
      <c r="A600" s="48"/>
      <c r="B600" s="48"/>
      <c r="C600" s="47"/>
    </row>
    <row r="601" spans="1:3" x14ac:dyDescent="0.2">
      <c r="A601" s="48"/>
      <c r="B601" s="48"/>
      <c r="C601" s="47"/>
    </row>
    <row r="602" spans="1:3" x14ac:dyDescent="0.2">
      <c r="A602" s="48"/>
      <c r="B602" s="48"/>
      <c r="C602" s="47"/>
    </row>
    <row r="603" spans="1:3" x14ac:dyDescent="0.2">
      <c r="A603" s="48"/>
      <c r="B603" s="48"/>
      <c r="C603" s="47"/>
    </row>
    <row r="604" spans="1:3" x14ac:dyDescent="0.2">
      <c r="A604" s="48"/>
      <c r="B604" s="48"/>
      <c r="C604" s="47"/>
    </row>
    <row r="605" spans="1:3" x14ac:dyDescent="0.2">
      <c r="A605" s="48"/>
      <c r="B605" s="48"/>
      <c r="C605" s="47"/>
    </row>
    <row r="606" spans="1:3" x14ac:dyDescent="0.2">
      <c r="A606" s="48"/>
      <c r="B606" s="48"/>
      <c r="C606" s="47"/>
    </row>
    <row r="607" spans="1:3" x14ac:dyDescent="0.2">
      <c r="A607" s="48"/>
      <c r="B607" s="48"/>
      <c r="C607" s="47"/>
    </row>
    <row r="608" spans="1:3" x14ac:dyDescent="0.2">
      <c r="A608" s="48"/>
      <c r="B608" s="48"/>
      <c r="C608" s="47"/>
    </row>
    <row r="609" spans="1:3" x14ac:dyDescent="0.2">
      <c r="A609" s="48"/>
      <c r="B609" s="48"/>
      <c r="C609" s="47"/>
    </row>
    <row r="610" spans="1:3" x14ac:dyDescent="0.2">
      <c r="A610" s="48"/>
      <c r="B610" s="48"/>
      <c r="C610" s="47"/>
    </row>
    <row r="611" spans="1:3" x14ac:dyDescent="0.2">
      <c r="A611" s="48"/>
      <c r="B611" s="48"/>
      <c r="C611" s="47"/>
    </row>
    <row r="612" spans="1:3" x14ac:dyDescent="0.2">
      <c r="A612" s="48"/>
      <c r="B612" s="48"/>
      <c r="C612" s="47"/>
    </row>
    <row r="613" spans="1:3" x14ac:dyDescent="0.2">
      <c r="A613" s="48"/>
      <c r="B613" s="48"/>
      <c r="C613" s="47"/>
    </row>
    <row r="614" spans="1:3" x14ac:dyDescent="0.2">
      <c r="A614" s="48"/>
      <c r="B614" s="48"/>
      <c r="C614" s="47"/>
    </row>
    <row r="615" spans="1:3" x14ac:dyDescent="0.2">
      <c r="A615" s="48"/>
      <c r="B615" s="48"/>
      <c r="C615" s="47"/>
    </row>
    <row r="616" spans="1:3" x14ac:dyDescent="0.2">
      <c r="A616" s="48"/>
      <c r="B616" s="48"/>
      <c r="C616" s="47"/>
    </row>
    <row r="617" spans="1:3" x14ac:dyDescent="0.2">
      <c r="A617" s="48"/>
      <c r="B617" s="48"/>
      <c r="C617" s="47"/>
    </row>
    <row r="618" spans="1:3" x14ac:dyDescent="0.2">
      <c r="A618" s="48"/>
      <c r="B618" s="48"/>
      <c r="C618" s="47"/>
    </row>
    <row r="619" spans="1:3" x14ac:dyDescent="0.2">
      <c r="A619" s="48"/>
      <c r="B619" s="48"/>
      <c r="C619" s="47"/>
    </row>
    <row r="620" spans="1:3" x14ac:dyDescent="0.2">
      <c r="A620" s="48"/>
      <c r="B620" s="48"/>
      <c r="C620" s="47"/>
    </row>
    <row r="621" spans="1:3" x14ac:dyDescent="0.2">
      <c r="A621" s="48"/>
      <c r="B621" s="48"/>
      <c r="C621" s="47"/>
    </row>
    <row r="622" spans="1:3" x14ac:dyDescent="0.2">
      <c r="A622" s="48"/>
      <c r="B622" s="48"/>
      <c r="C622" s="47"/>
    </row>
    <row r="623" spans="1:3" x14ac:dyDescent="0.2">
      <c r="A623" s="48"/>
      <c r="B623" s="48"/>
      <c r="C623" s="47"/>
    </row>
    <row r="624" spans="1:3" x14ac:dyDescent="0.2">
      <c r="A624" s="48"/>
      <c r="B624" s="48"/>
      <c r="C624" s="47"/>
    </row>
    <row r="625" spans="1:30" x14ac:dyDescent="0.2">
      <c r="A625" s="48"/>
      <c r="B625" s="48"/>
      <c r="C625" s="47"/>
    </row>
    <row r="626" spans="1:30" x14ac:dyDescent="0.2">
      <c r="A626" s="48"/>
      <c r="B626" s="48"/>
      <c r="C626" s="47"/>
    </row>
    <row r="627" spans="1:30" x14ac:dyDescent="0.2">
      <c r="A627" s="48"/>
      <c r="B627" s="48"/>
      <c r="C627" s="47"/>
    </row>
    <row r="628" spans="1:30" x14ac:dyDescent="0.2">
      <c r="A628" s="48"/>
      <c r="B628" s="48"/>
      <c r="C628" s="47"/>
    </row>
    <row r="629" spans="1:30" x14ac:dyDescent="0.2">
      <c r="A629" s="48"/>
      <c r="B629" s="48"/>
      <c r="C629" s="47"/>
    </row>
    <row r="630" spans="1:30" x14ac:dyDescent="0.2">
      <c r="A630" s="48"/>
      <c r="B630" s="48"/>
      <c r="C630" s="47"/>
    </row>
    <row r="631" spans="1:30" s="1" customFormat="1" x14ac:dyDescent="0.2">
      <c r="A631" s="48"/>
      <c r="B631" s="48"/>
      <c r="C631" s="47"/>
      <c r="D631" s="53"/>
      <c r="E631" s="13"/>
      <c r="F631" s="13"/>
      <c r="G631" s="13"/>
      <c r="H631" s="21"/>
      <c r="I631" s="13"/>
      <c r="J631" s="50"/>
      <c r="K631" s="97"/>
      <c r="L631" s="50"/>
      <c r="M631" s="50"/>
      <c r="N631" s="50"/>
      <c r="O631" s="6"/>
      <c r="P631" s="21"/>
      <c r="Q631" s="13"/>
      <c r="R631" s="21"/>
      <c r="S631" s="21"/>
      <c r="T631" s="21"/>
      <c r="U631" s="150"/>
      <c r="V631" s="177"/>
      <c r="W631" s="120"/>
      <c r="X631" s="50"/>
      <c r="Y631" s="64"/>
      <c r="Z631" s="50"/>
      <c r="AA631" s="50"/>
      <c r="AB631" s="160"/>
      <c r="AC631" s="120"/>
      <c r="AD631" s="120"/>
    </row>
    <row r="632" spans="1:30" x14ac:dyDescent="0.2">
      <c r="A632" s="48"/>
      <c r="B632" s="48"/>
      <c r="C632" s="47"/>
    </row>
    <row r="633" spans="1:30" x14ac:dyDescent="0.2">
      <c r="A633" s="48"/>
      <c r="B633" s="48"/>
      <c r="C633" s="47"/>
    </row>
    <row r="634" spans="1:30" x14ac:dyDescent="0.2">
      <c r="A634" s="48"/>
      <c r="B634" s="48"/>
      <c r="C634" s="47"/>
    </row>
    <row r="635" spans="1:30" x14ac:dyDescent="0.2">
      <c r="A635" s="48"/>
      <c r="B635" s="48"/>
      <c r="C635" s="47"/>
    </row>
    <row r="636" spans="1:30" x14ac:dyDescent="0.2">
      <c r="A636" s="48"/>
      <c r="B636" s="48"/>
      <c r="C636" s="47"/>
    </row>
    <row r="637" spans="1:30" x14ac:dyDescent="0.2">
      <c r="A637" s="48"/>
      <c r="B637" s="48"/>
      <c r="C637" s="47"/>
    </row>
    <row r="638" spans="1:30" x14ac:dyDescent="0.2">
      <c r="A638" s="48"/>
      <c r="B638" s="48"/>
      <c r="C638" s="47"/>
    </row>
    <row r="639" spans="1:30" x14ac:dyDescent="0.2">
      <c r="A639" s="48"/>
      <c r="B639" s="48"/>
      <c r="C639" s="47"/>
    </row>
    <row r="640" spans="1:30" x14ac:dyDescent="0.2">
      <c r="A640" s="48"/>
      <c r="B640" s="48"/>
      <c r="C640" s="47"/>
    </row>
    <row r="641" spans="1:30" x14ac:dyDescent="0.2">
      <c r="A641" s="48"/>
      <c r="B641" s="48"/>
      <c r="C641" s="47"/>
    </row>
    <row r="642" spans="1:30" x14ac:dyDescent="0.2">
      <c r="A642" s="48"/>
      <c r="B642" s="48"/>
      <c r="C642" s="47"/>
    </row>
    <row r="643" spans="1:30" x14ac:dyDescent="0.2">
      <c r="A643" s="48"/>
      <c r="B643" s="48"/>
      <c r="C643" s="47"/>
    </row>
    <row r="644" spans="1:30" x14ac:dyDescent="0.2">
      <c r="A644" s="48"/>
      <c r="B644" s="48"/>
      <c r="C644" s="47"/>
    </row>
    <row r="645" spans="1:30" x14ac:dyDescent="0.2">
      <c r="A645" s="48"/>
      <c r="B645" s="48"/>
      <c r="C645" s="47"/>
    </row>
    <row r="646" spans="1:30" x14ac:dyDescent="0.2">
      <c r="A646" s="48"/>
      <c r="B646" s="48"/>
      <c r="C646" s="47"/>
    </row>
    <row r="647" spans="1:30" x14ac:dyDescent="0.2">
      <c r="A647" s="48"/>
      <c r="B647" s="48"/>
      <c r="C647" s="47"/>
    </row>
    <row r="648" spans="1:30" x14ac:dyDescent="0.2">
      <c r="A648" s="48"/>
      <c r="B648" s="48"/>
      <c r="C648" s="47"/>
    </row>
    <row r="649" spans="1:30" x14ac:dyDescent="0.2">
      <c r="A649" s="48"/>
      <c r="B649" s="48"/>
      <c r="C649" s="47"/>
      <c r="Q649" s="1"/>
      <c r="R649" s="1"/>
      <c r="S649" s="1"/>
      <c r="T649" s="1"/>
      <c r="U649" s="152"/>
      <c r="V649" s="179"/>
      <c r="W649" s="123"/>
      <c r="X649" s="61"/>
      <c r="Y649" s="65"/>
      <c r="Z649" s="61"/>
      <c r="AA649" s="61"/>
      <c r="AB649" s="163"/>
      <c r="AC649" s="123"/>
      <c r="AD649" s="123"/>
    </row>
    <row r="650" spans="1:30" x14ac:dyDescent="0.2">
      <c r="A650" s="48"/>
      <c r="B650" s="48"/>
      <c r="C650" s="47"/>
    </row>
    <row r="651" spans="1:30" x14ac:dyDescent="0.2">
      <c r="A651" s="48"/>
      <c r="B651" s="48"/>
      <c r="C651" s="47"/>
    </row>
    <row r="652" spans="1:30" x14ac:dyDescent="0.2">
      <c r="A652" s="48"/>
      <c r="B652" s="48"/>
      <c r="C652" s="47"/>
    </row>
    <row r="653" spans="1:30" x14ac:dyDescent="0.2">
      <c r="A653" s="48"/>
      <c r="B653" s="48"/>
      <c r="C653" s="47"/>
    </row>
    <row r="654" spans="1:30" x14ac:dyDescent="0.2">
      <c r="A654" s="48"/>
      <c r="B654" s="48"/>
      <c r="C654" s="47"/>
    </row>
    <row r="655" spans="1:30" x14ac:dyDescent="0.2">
      <c r="A655" s="48"/>
      <c r="B655" s="48"/>
      <c r="C655" s="47"/>
    </row>
    <row r="656" spans="1:30" x14ac:dyDescent="0.2">
      <c r="A656" s="48"/>
      <c r="B656" s="48"/>
      <c r="C656" s="47"/>
    </row>
    <row r="657" spans="1:3" x14ac:dyDescent="0.2">
      <c r="A657" s="48"/>
      <c r="B657" s="48"/>
      <c r="C657" s="47"/>
    </row>
    <row r="658" spans="1:3" x14ac:dyDescent="0.2">
      <c r="A658" s="48"/>
      <c r="B658" s="48"/>
      <c r="C658" s="47"/>
    </row>
    <row r="659" spans="1:3" x14ac:dyDescent="0.2">
      <c r="A659" s="48"/>
      <c r="B659" s="48"/>
      <c r="C659" s="47"/>
    </row>
    <row r="660" spans="1:3" x14ac:dyDescent="0.2">
      <c r="A660" s="48"/>
      <c r="B660" s="48"/>
      <c r="C660" s="47"/>
    </row>
    <row r="661" spans="1:3" x14ac:dyDescent="0.2">
      <c r="A661" s="48"/>
      <c r="B661" s="48"/>
      <c r="C661" s="47"/>
    </row>
    <row r="662" spans="1:3" x14ac:dyDescent="0.2">
      <c r="A662" s="48"/>
      <c r="B662" s="48"/>
      <c r="C662" s="47"/>
    </row>
    <row r="663" spans="1:3" x14ac:dyDescent="0.2">
      <c r="A663" s="48"/>
      <c r="B663" s="48"/>
      <c r="C663" s="47"/>
    </row>
    <row r="664" spans="1:3" x14ac:dyDescent="0.2">
      <c r="A664" s="48"/>
      <c r="B664" s="48"/>
      <c r="C664" s="47"/>
    </row>
    <row r="665" spans="1:3" x14ac:dyDescent="0.2">
      <c r="A665" s="48"/>
      <c r="B665" s="48"/>
      <c r="C665" s="47"/>
    </row>
    <row r="666" spans="1:3" x14ac:dyDescent="0.2">
      <c r="A666" s="48"/>
      <c r="B666" s="48"/>
      <c r="C666" s="47"/>
    </row>
    <row r="667" spans="1:3" x14ac:dyDescent="0.2">
      <c r="A667" s="48"/>
      <c r="B667" s="48"/>
      <c r="C667" s="47"/>
    </row>
    <row r="668" spans="1:3" x14ac:dyDescent="0.2">
      <c r="A668" s="48"/>
      <c r="B668" s="48"/>
      <c r="C668" s="47"/>
    </row>
    <row r="669" spans="1:3" x14ac:dyDescent="0.2">
      <c r="A669" s="48"/>
      <c r="B669" s="48"/>
      <c r="C669" s="47"/>
    </row>
    <row r="670" spans="1:3" x14ac:dyDescent="0.2">
      <c r="A670" s="48"/>
      <c r="B670" s="48"/>
      <c r="C670" s="47"/>
    </row>
    <row r="671" spans="1:3" x14ac:dyDescent="0.2">
      <c r="A671" s="48"/>
      <c r="B671" s="48"/>
      <c r="C671" s="47"/>
    </row>
    <row r="672" spans="1:3" x14ac:dyDescent="0.2">
      <c r="A672" s="48"/>
      <c r="B672" s="48"/>
      <c r="C672" s="47"/>
    </row>
    <row r="673" spans="1:3" x14ac:dyDescent="0.2">
      <c r="A673" s="48"/>
      <c r="B673" s="48"/>
      <c r="C673" s="47"/>
    </row>
    <row r="674" spans="1:3" x14ac:dyDescent="0.2">
      <c r="A674" s="48"/>
      <c r="B674" s="48"/>
      <c r="C674" s="47"/>
    </row>
    <row r="675" spans="1:3" x14ac:dyDescent="0.2">
      <c r="A675" s="48"/>
      <c r="B675" s="48"/>
      <c r="C675" s="47"/>
    </row>
    <row r="676" spans="1:3" x14ac:dyDescent="0.2">
      <c r="A676" s="48"/>
      <c r="B676" s="48"/>
      <c r="C676" s="47"/>
    </row>
    <row r="677" spans="1:3" x14ac:dyDescent="0.2">
      <c r="A677" s="48"/>
      <c r="B677" s="48"/>
      <c r="C677" s="47"/>
    </row>
    <row r="678" spans="1:3" x14ac:dyDescent="0.2">
      <c r="A678" s="48"/>
      <c r="B678" s="48"/>
      <c r="C678" s="47"/>
    </row>
    <row r="679" spans="1:3" x14ac:dyDescent="0.2">
      <c r="A679" s="48"/>
      <c r="B679" s="48"/>
      <c r="C679" s="47"/>
    </row>
    <row r="680" spans="1:3" x14ac:dyDescent="0.2">
      <c r="A680" s="48"/>
      <c r="B680" s="48"/>
      <c r="C680" s="47"/>
    </row>
    <row r="681" spans="1:3" x14ac:dyDescent="0.2">
      <c r="A681" s="48"/>
      <c r="B681" s="48"/>
      <c r="C681" s="47"/>
    </row>
    <row r="682" spans="1:3" x14ac:dyDescent="0.2">
      <c r="A682" s="48"/>
      <c r="B682" s="48"/>
      <c r="C682" s="47"/>
    </row>
    <row r="683" spans="1:3" x14ac:dyDescent="0.2">
      <c r="A683" s="48"/>
      <c r="B683" s="48"/>
      <c r="C683" s="47"/>
    </row>
    <row r="684" spans="1:3" x14ac:dyDescent="0.2">
      <c r="A684" s="48"/>
      <c r="B684" s="48"/>
      <c r="C684" s="47"/>
    </row>
    <row r="685" spans="1:3" x14ac:dyDescent="0.2">
      <c r="A685" s="48"/>
      <c r="B685" s="48"/>
      <c r="C685" s="47"/>
    </row>
    <row r="686" spans="1:3" x14ac:dyDescent="0.2">
      <c r="A686" s="48"/>
      <c r="B686" s="48"/>
      <c r="C686" s="47"/>
    </row>
    <row r="687" spans="1:3" x14ac:dyDescent="0.2">
      <c r="A687" s="48"/>
      <c r="B687" s="48"/>
      <c r="C687" s="47"/>
    </row>
    <row r="688" spans="1:3" x14ac:dyDescent="0.2">
      <c r="A688" s="48"/>
      <c r="B688" s="48"/>
      <c r="C688" s="47"/>
    </row>
    <row r="689" spans="1:3" x14ac:dyDescent="0.2">
      <c r="A689" s="48"/>
      <c r="B689" s="48"/>
      <c r="C689" s="47"/>
    </row>
    <row r="690" spans="1:3" x14ac:dyDescent="0.2">
      <c r="A690" s="48"/>
      <c r="B690" s="48"/>
      <c r="C690" s="47"/>
    </row>
    <row r="691" spans="1:3" x14ac:dyDescent="0.2">
      <c r="A691" s="48"/>
      <c r="B691" s="48"/>
      <c r="C691" s="47"/>
    </row>
    <row r="692" spans="1:3" x14ac:dyDescent="0.2">
      <c r="A692" s="48"/>
      <c r="B692" s="48"/>
      <c r="C692" s="47"/>
    </row>
    <row r="693" spans="1:3" x14ac:dyDescent="0.2">
      <c r="A693" s="48"/>
      <c r="B693" s="48"/>
      <c r="C693" s="47"/>
    </row>
    <row r="694" spans="1:3" x14ac:dyDescent="0.2">
      <c r="A694" s="48"/>
      <c r="B694" s="48"/>
      <c r="C694" s="47"/>
    </row>
    <row r="695" spans="1:3" x14ac:dyDescent="0.2">
      <c r="A695" s="48"/>
      <c r="B695" s="48"/>
      <c r="C695" s="47"/>
    </row>
    <row r="696" spans="1:3" x14ac:dyDescent="0.2">
      <c r="A696" s="48"/>
      <c r="B696" s="48"/>
      <c r="C696" s="47"/>
    </row>
    <row r="697" spans="1:3" x14ac:dyDescent="0.2">
      <c r="A697" s="48"/>
      <c r="B697" s="48"/>
      <c r="C697" s="47"/>
    </row>
    <row r="698" spans="1:3" x14ac:dyDescent="0.2">
      <c r="A698" s="48"/>
      <c r="B698" s="48"/>
      <c r="C698" s="47"/>
    </row>
    <row r="699" spans="1:3" x14ac:dyDescent="0.2">
      <c r="A699" s="48"/>
      <c r="B699" s="48"/>
      <c r="C699" s="47"/>
    </row>
    <row r="700" spans="1:3" x14ac:dyDescent="0.2">
      <c r="A700" s="48"/>
      <c r="B700" s="48"/>
      <c r="C700" s="47"/>
    </row>
    <row r="701" spans="1:3" x14ac:dyDescent="0.2">
      <c r="A701" s="48"/>
      <c r="B701" s="48"/>
      <c r="C701" s="47"/>
    </row>
    <row r="702" spans="1:3" x14ac:dyDescent="0.2">
      <c r="A702" s="48"/>
      <c r="B702" s="48"/>
      <c r="C702" s="47"/>
    </row>
    <row r="703" spans="1:3" x14ac:dyDescent="0.2">
      <c r="A703" s="48"/>
      <c r="B703" s="48"/>
      <c r="C703" s="47"/>
    </row>
    <row r="704" spans="1:3" x14ac:dyDescent="0.2">
      <c r="A704" s="48"/>
      <c r="B704" s="48"/>
      <c r="C704" s="47"/>
    </row>
    <row r="705" spans="1:3" x14ac:dyDescent="0.2">
      <c r="A705" s="48"/>
      <c r="B705" s="48"/>
      <c r="C705" s="47"/>
    </row>
    <row r="706" spans="1:3" x14ac:dyDescent="0.2">
      <c r="A706" s="48"/>
      <c r="B706" s="48"/>
      <c r="C706" s="47"/>
    </row>
    <row r="707" spans="1:3" x14ac:dyDescent="0.2">
      <c r="A707" s="48"/>
      <c r="B707" s="48"/>
      <c r="C707" s="47"/>
    </row>
    <row r="708" spans="1:3" x14ac:dyDescent="0.2">
      <c r="A708" s="48"/>
      <c r="B708" s="48"/>
      <c r="C708" s="47"/>
    </row>
    <row r="709" spans="1:3" x14ac:dyDescent="0.2">
      <c r="A709" s="48"/>
      <c r="B709" s="48"/>
      <c r="C709" s="47"/>
    </row>
    <row r="710" spans="1:3" x14ac:dyDescent="0.2">
      <c r="A710" s="48"/>
      <c r="B710" s="48"/>
      <c r="C710" s="47"/>
    </row>
    <row r="711" spans="1:3" x14ac:dyDescent="0.2">
      <c r="A711" s="48"/>
      <c r="B711" s="48"/>
      <c r="C711" s="47"/>
    </row>
    <row r="712" spans="1:3" x14ac:dyDescent="0.2">
      <c r="A712" s="48"/>
      <c r="B712" s="48"/>
      <c r="C712" s="47"/>
    </row>
    <row r="713" spans="1:3" x14ac:dyDescent="0.2">
      <c r="A713" s="48"/>
      <c r="B713" s="48"/>
      <c r="C713" s="47"/>
    </row>
    <row r="714" spans="1:3" x14ac:dyDescent="0.2">
      <c r="A714" s="48"/>
      <c r="B714" s="48"/>
      <c r="C714" s="47"/>
    </row>
    <row r="715" spans="1:3" x14ac:dyDescent="0.2">
      <c r="A715" s="48"/>
      <c r="B715" s="48"/>
      <c r="C715" s="47"/>
    </row>
    <row r="716" spans="1:3" x14ac:dyDescent="0.2">
      <c r="A716" s="48"/>
      <c r="B716" s="48"/>
      <c r="C716" s="47"/>
    </row>
    <row r="717" spans="1:3" x14ac:dyDescent="0.2">
      <c r="A717" s="48"/>
      <c r="B717" s="48"/>
      <c r="C717" s="47"/>
    </row>
    <row r="718" spans="1:3" x14ac:dyDescent="0.2">
      <c r="A718" s="48"/>
      <c r="B718" s="48"/>
      <c r="C718" s="47"/>
    </row>
    <row r="719" spans="1:3" x14ac:dyDescent="0.2">
      <c r="A719" s="48"/>
      <c r="B719" s="48"/>
      <c r="C719" s="47"/>
    </row>
    <row r="720" spans="1:3" x14ac:dyDescent="0.2">
      <c r="A720" s="48"/>
      <c r="B720" s="48"/>
      <c r="C720" s="47"/>
    </row>
    <row r="721" spans="1:3" x14ac:dyDescent="0.2">
      <c r="A721" s="48"/>
      <c r="B721" s="48"/>
      <c r="C721" s="47"/>
    </row>
    <row r="722" spans="1:3" x14ac:dyDescent="0.2">
      <c r="A722" s="48"/>
      <c r="B722" s="48"/>
      <c r="C722" s="47"/>
    </row>
    <row r="723" spans="1:3" x14ac:dyDescent="0.2">
      <c r="A723" s="48"/>
      <c r="B723" s="48"/>
      <c r="C723" s="47"/>
    </row>
    <row r="724" spans="1:3" x14ac:dyDescent="0.2">
      <c r="A724" s="48"/>
      <c r="B724" s="48"/>
      <c r="C724" s="47"/>
    </row>
    <row r="725" spans="1:3" x14ac:dyDescent="0.2">
      <c r="A725" s="48"/>
      <c r="B725" s="48"/>
      <c r="C725" s="47"/>
    </row>
    <row r="726" spans="1:3" x14ac:dyDescent="0.2">
      <c r="A726" s="48"/>
      <c r="B726" s="48"/>
      <c r="C726" s="47"/>
    </row>
    <row r="727" spans="1:3" x14ac:dyDescent="0.2">
      <c r="A727" s="48"/>
      <c r="B727" s="48"/>
      <c r="C727" s="47"/>
    </row>
    <row r="728" spans="1:3" x14ac:dyDescent="0.2">
      <c r="A728" s="48"/>
      <c r="B728" s="48"/>
      <c r="C728" s="47"/>
    </row>
    <row r="729" spans="1:3" x14ac:dyDescent="0.2">
      <c r="A729" s="48"/>
      <c r="B729" s="48"/>
      <c r="C729" s="47"/>
    </row>
    <row r="730" spans="1:3" x14ac:dyDescent="0.2">
      <c r="A730" s="48"/>
      <c r="B730" s="48"/>
      <c r="C730" s="47"/>
    </row>
    <row r="731" spans="1:3" x14ac:dyDescent="0.2">
      <c r="A731" s="48"/>
      <c r="B731" s="48"/>
      <c r="C731" s="47"/>
    </row>
    <row r="732" spans="1:3" x14ac:dyDescent="0.2">
      <c r="A732" s="48"/>
      <c r="B732" s="48"/>
      <c r="C732" s="47"/>
    </row>
    <row r="733" spans="1:3" x14ac:dyDescent="0.2">
      <c r="A733" s="48"/>
      <c r="B733" s="48"/>
      <c r="C733" s="47"/>
    </row>
    <row r="734" spans="1:3" x14ac:dyDescent="0.2">
      <c r="A734" s="48"/>
      <c r="B734" s="48"/>
      <c r="C734" s="47"/>
    </row>
    <row r="735" spans="1:3" x14ac:dyDescent="0.2">
      <c r="A735" s="48"/>
      <c r="B735" s="48"/>
      <c r="C735" s="47"/>
    </row>
    <row r="736" spans="1:3" x14ac:dyDescent="0.2">
      <c r="A736" s="48"/>
      <c r="B736" s="48"/>
      <c r="C736" s="47"/>
    </row>
    <row r="737" spans="1:3" x14ac:dyDescent="0.2">
      <c r="A737" s="48"/>
      <c r="B737" s="48"/>
      <c r="C737" s="47"/>
    </row>
    <row r="738" spans="1:3" x14ac:dyDescent="0.2">
      <c r="A738" s="48"/>
      <c r="B738" s="48"/>
      <c r="C738" s="47"/>
    </row>
    <row r="739" spans="1:3" x14ac:dyDescent="0.2">
      <c r="A739" s="48"/>
      <c r="B739" s="48"/>
      <c r="C739" s="47"/>
    </row>
    <row r="740" spans="1:3" x14ac:dyDescent="0.2">
      <c r="A740" s="48"/>
      <c r="B740" s="48"/>
      <c r="C740" s="47"/>
    </row>
    <row r="741" spans="1:3" x14ac:dyDescent="0.2">
      <c r="A741" s="48"/>
      <c r="B741" s="48"/>
      <c r="C741" s="47"/>
    </row>
    <row r="742" spans="1:3" x14ac:dyDescent="0.2">
      <c r="A742" s="48"/>
      <c r="B742" s="48"/>
      <c r="C742" s="47"/>
    </row>
    <row r="743" spans="1:3" x14ac:dyDescent="0.2">
      <c r="A743" s="48"/>
      <c r="B743" s="48"/>
      <c r="C743" s="47"/>
    </row>
    <row r="744" spans="1:3" x14ac:dyDescent="0.2">
      <c r="A744" s="48"/>
      <c r="B744" s="48"/>
      <c r="C744" s="47"/>
    </row>
    <row r="745" spans="1:3" x14ac:dyDescent="0.2">
      <c r="A745" s="48"/>
      <c r="B745" s="48"/>
      <c r="C745" s="47"/>
    </row>
    <row r="746" spans="1:3" x14ac:dyDescent="0.2">
      <c r="A746" s="48"/>
      <c r="B746" s="48"/>
      <c r="C746" s="47"/>
    </row>
    <row r="747" spans="1:3" x14ac:dyDescent="0.2">
      <c r="A747" s="48"/>
      <c r="B747" s="48"/>
      <c r="C747" s="47"/>
    </row>
    <row r="748" spans="1:3" x14ac:dyDescent="0.2">
      <c r="A748" s="48"/>
      <c r="B748" s="48"/>
      <c r="C748" s="47"/>
    </row>
    <row r="749" spans="1:3" x14ac:dyDescent="0.2">
      <c r="A749" s="48"/>
      <c r="B749" s="48"/>
      <c r="C749" s="47"/>
    </row>
    <row r="750" spans="1:3" x14ac:dyDescent="0.2">
      <c r="A750" s="48"/>
      <c r="B750" s="48"/>
      <c r="C750" s="47"/>
    </row>
    <row r="751" spans="1:3" x14ac:dyDescent="0.2">
      <c r="A751" s="48"/>
      <c r="B751" s="48"/>
      <c r="C751" s="47"/>
    </row>
    <row r="752" spans="1:3" x14ac:dyDescent="0.2">
      <c r="A752" s="48"/>
      <c r="B752" s="48"/>
      <c r="C752" s="47"/>
    </row>
    <row r="753" spans="1:3" x14ac:dyDescent="0.2">
      <c r="A753" s="48"/>
      <c r="B753" s="48"/>
      <c r="C753" s="47"/>
    </row>
    <row r="754" spans="1:3" x14ac:dyDescent="0.2">
      <c r="A754" s="48"/>
      <c r="B754" s="48"/>
      <c r="C754" s="47"/>
    </row>
    <row r="755" spans="1:3" x14ac:dyDescent="0.2">
      <c r="A755" s="48"/>
      <c r="B755" s="48"/>
      <c r="C755" s="47"/>
    </row>
    <row r="756" spans="1:3" x14ac:dyDescent="0.2">
      <c r="A756" s="48"/>
      <c r="B756" s="48"/>
      <c r="C756" s="47"/>
    </row>
    <row r="757" spans="1:3" x14ac:dyDescent="0.2">
      <c r="A757" s="48"/>
      <c r="B757" s="48"/>
      <c r="C757" s="47"/>
    </row>
    <row r="758" spans="1:3" x14ac:dyDescent="0.2">
      <c r="A758" s="48"/>
      <c r="B758" s="48"/>
      <c r="C758" s="47"/>
    </row>
    <row r="759" spans="1:3" x14ac:dyDescent="0.2">
      <c r="A759" s="48"/>
      <c r="B759" s="48"/>
      <c r="C759" s="47"/>
    </row>
    <row r="760" spans="1:3" x14ac:dyDescent="0.2">
      <c r="A760" s="48"/>
      <c r="B760" s="48"/>
      <c r="C760" s="47"/>
    </row>
    <row r="761" spans="1:3" x14ac:dyDescent="0.2">
      <c r="A761" s="48"/>
      <c r="B761" s="48"/>
      <c r="C761" s="47"/>
    </row>
    <row r="762" spans="1:3" x14ac:dyDescent="0.2">
      <c r="A762" s="48"/>
      <c r="B762" s="48"/>
      <c r="C762" s="47"/>
    </row>
    <row r="763" spans="1:3" x14ac:dyDescent="0.2">
      <c r="A763" s="48"/>
      <c r="B763" s="48"/>
      <c r="C763" s="47"/>
    </row>
    <row r="764" spans="1:3" x14ac:dyDescent="0.2">
      <c r="A764" s="48"/>
      <c r="B764" s="48"/>
      <c r="C764" s="47"/>
    </row>
    <row r="765" spans="1:3" x14ac:dyDescent="0.2">
      <c r="A765" s="48"/>
      <c r="B765" s="48"/>
      <c r="C765" s="47"/>
    </row>
    <row r="766" spans="1:3" x14ac:dyDescent="0.2">
      <c r="A766" s="48"/>
      <c r="B766" s="48"/>
      <c r="C766" s="47"/>
    </row>
    <row r="767" spans="1:3" x14ac:dyDescent="0.2">
      <c r="A767" s="48"/>
      <c r="B767" s="48"/>
      <c r="C767" s="47"/>
    </row>
    <row r="768" spans="1:3" x14ac:dyDescent="0.2">
      <c r="A768" s="48"/>
      <c r="B768" s="48"/>
      <c r="C768" s="47"/>
    </row>
    <row r="769" spans="1:3" x14ac:dyDescent="0.2">
      <c r="A769" s="48"/>
      <c r="B769" s="48"/>
      <c r="C769" s="47"/>
    </row>
    <row r="770" spans="1:3" x14ac:dyDescent="0.2">
      <c r="A770" s="48"/>
      <c r="B770" s="48"/>
      <c r="C770" s="47"/>
    </row>
    <row r="771" spans="1:3" x14ac:dyDescent="0.2">
      <c r="A771" s="48"/>
      <c r="B771" s="48"/>
      <c r="C771" s="47"/>
    </row>
    <row r="772" spans="1:3" x14ac:dyDescent="0.2">
      <c r="A772" s="48"/>
      <c r="B772" s="48"/>
      <c r="C772" s="47"/>
    </row>
    <row r="773" spans="1:3" x14ac:dyDescent="0.2">
      <c r="A773" s="48"/>
      <c r="B773" s="48"/>
      <c r="C773" s="47"/>
    </row>
    <row r="774" spans="1:3" x14ac:dyDescent="0.2">
      <c r="A774" s="48"/>
      <c r="B774" s="48"/>
      <c r="C774" s="47"/>
    </row>
    <row r="775" spans="1:3" x14ac:dyDescent="0.2">
      <c r="A775" s="48"/>
      <c r="B775" s="48"/>
      <c r="C775" s="47"/>
    </row>
    <row r="776" spans="1:3" x14ac:dyDescent="0.2">
      <c r="A776" s="48"/>
      <c r="B776" s="48"/>
      <c r="C776" s="47"/>
    </row>
    <row r="777" spans="1:3" x14ac:dyDescent="0.2">
      <c r="A777" s="48"/>
      <c r="B777" s="48"/>
      <c r="C777" s="47"/>
    </row>
    <row r="778" spans="1:3" x14ac:dyDescent="0.2">
      <c r="A778" s="48"/>
      <c r="B778" s="48"/>
      <c r="C778" s="47"/>
    </row>
    <row r="779" spans="1:3" x14ac:dyDescent="0.2">
      <c r="A779" s="48"/>
      <c r="B779" s="48"/>
      <c r="C779" s="47"/>
    </row>
    <row r="780" spans="1:3" x14ac:dyDescent="0.2">
      <c r="A780" s="48"/>
      <c r="B780" s="48"/>
      <c r="C780" s="47"/>
    </row>
    <row r="781" spans="1:3" x14ac:dyDescent="0.2">
      <c r="A781" s="48"/>
      <c r="B781" s="48"/>
      <c r="C781" s="47"/>
    </row>
    <row r="782" spans="1:3" x14ac:dyDescent="0.2">
      <c r="A782" s="48"/>
      <c r="B782" s="48"/>
      <c r="C782" s="47"/>
    </row>
    <row r="783" spans="1:3" x14ac:dyDescent="0.2">
      <c r="A783" s="48"/>
      <c r="B783" s="48"/>
      <c r="C783" s="47"/>
    </row>
    <row r="784" spans="1:3" x14ac:dyDescent="0.2">
      <c r="A784" s="48"/>
      <c r="B784" s="48"/>
      <c r="C784" s="47"/>
    </row>
    <row r="785" spans="1:3" x14ac:dyDescent="0.2">
      <c r="A785" s="48"/>
      <c r="B785" s="48"/>
      <c r="C785" s="47"/>
    </row>
    <row r="786" spans="1:3" x14ac:dyDescent="0.2">
      <c r="A786" s="48"/>
      <c r="B786" s="48"/>
      <c r="C786" s="47"/>
    </row>
    <row r="787" spans="1:3" x14ac:dyDescent="0.2">
      <c r="A787" s="48"/>
      <c r="B787" s="48"/>
      <c r="C787" s="47"/>
    </row>
    <row r="788" spans="1:3" x14ac:dyDescent="0.2">
      <c r="A788" s="48"/>
      <c r="B788" s="48"/>
      <c r="C788" s="47"/>
    </row>
    <row r="789" spans="1:3" x14ac:dyDescent="0.2">
      <c r="A789" s="48"/>
      <c r="B789" s="48"/>
      <c r="C789" s="47"/>
    </row>
    <row r="790" spans="1:3" x14ac:dyDescent="0.2">
      <c r="A790" s="48"/>
      <c r="B790" s="48"/>
      <c r="C790" s="47"/>
    </row>
    <row r="791" spans="1:3" x14ac:dyDescent="0.2">
      <c r="A791" s="48"/>
      <c r="B791" s="48"/>
      <c r="C791" s="47"/>
    </row>
    <row r="792" spans="1:3" x14ac:dyDescent="0.2">
      <c r="A792" s="48"/>
      <c r="B792" s="48"/>
      <c r="C792" s="47"/>
    </row>
    <row r="793" spans="1:3" x14ac:dyDescent="0.2">
      <c r="A793" s="48"/>
      <c r="B793" s="48"/>
      <c r="C793" s="47"/>
    </row>
    <row r="794" spans="1:3" x14ac:dyDescent="0.2">
      <c r="A794" s="48"/>
      <c r="B794" s="48"/>
      <c r="C794" s="47"/>
    </row>
    <row r="795" spans="1:3" x14ac:dyDescent="0.2">
      <c r="A795" s="48"/>
      <c r="B795" s="48"/>
      <c r="C795" s="47"/>
    </row>
    <row r="796" spans="1:3" x14ac:dyDescent="0.2">
      <c r="A796" s="48"/>
      <c r="B796" s="48"/>
      <c r="C796" s="47"/>
    </row>
    <row r="797" spans="1:3" x14ac:dyDescent="0.2">
      <c r="A797" s="48"/>
      <c r="B797" s="48"/>
      <c r="C797" s="47"/>
    </row>
    <row r="798" spans="1:3" x14ac:dyDescent="0.2">
      <c r="A798" s="48"/>
      <c r="B798" s="48"/>
      <c r="C798" s="47"/>
    </row>
    <row r="799" spans="1:3" x14ac:dyDescent="0.2">
      <c r="A799" s="48"/>
      <c r="B799" s="48"/>
      <c r="C799" s="47"/>
    </row>
    <row r="800" spans="1:3" x14ac:dyDescent="0.2">
      <c r="A800" s="48"/>
      <c r="B800" s="48"/>
      <c r="C800" s="47"/>
    </row>
    <row r="801" spans="1:3" x14ac:dyDescent="0.2">
      <c r="A801" s="48"/>
      <c r="B801" s="48"/>
      <c r="C801" s="47"/>
    </row>
    <row r="802" spans="1:3" x14ac:dyDescent="0.2">
      <c r="A802" s="48"/>
      <c r="B802" s="48"/>
      <c r="C802" s="47"/>
    </row>
    <row r="803" spans="1:3" x14ac:dyDescent="0.2">
      <c r="A803" s="48"/>
      <c r="B803" s="48"/>
      <c r="C803" s="47"/>
    </row>
    <row r="804" spans="1:3" x14ac:dyDescent="0.2">
      <c r="A804" s="48"/>
      <c r="B804" s="48"/>
      <c r="C804" s="47"/>
    </row>
    <row r="805" spans="1:3" x14ac:dyDescent="0.2">
      <c r="A805" s="48"/>
      <c r="B805" s="48"/>
      <c r="C805" s="47"/>
    </row>
    <row r="806" spans="1:3" x14ac:dyDescent="0.2">
      <c r="A806" s="48"/>
      <c r="B806" s="48"/>
      <c r="C806" s="47"/>
    </row>
    <row r="807" spans="1:3" x14ac:dyDescent="0.2">
      <c r="A807" s="48"/>
      <c r="B807" s="48"/>
      <c r="C807" s="47"/>
    </row>
    <row r="808" spans="1:3" x14ac:dyDescent="0.2">
      <c r="A808" s="48"/>
      <c r="B808" s="48"/>
      <c r="C808" s="47"/>
    </row>
    <row r="809" spans="1:3" x14ac:dyDescent="0.2">
      <c r="A809" s="48"/>
      <c r="B809" s="48"/>
      <c r="C809" s="47"/>
    </row>
    <row r="810" spans="1:3" x14ac:dyDescent="0.2">
      <c r="A810" s="48"/>
      <c r="B810" s="48"/>
      <c r="C810" s="47"/>
    </row>
    <row r="811" spans="1:3" x14ac:dyDescent="0.2">
      <c r="A811" s="48"/>
      <c r="B811" s="48"/>
      <c r="C811" s="47"/>
    </row>
    <row r="812" spans="1:3" x14ac:dyDescent="0.2">
      <c r="A812" s="48"/>
      <c r="B812" s="48"/>
      <c r="C812" s="47"/>
    </row>
    <row r="813" spans="1:3" x14ac:dyDescent="0.2">
      <c r="A813" s="48"/>
      <c r="B813" s="48"/>
      <c r="C813" s="47"/>
    </row>
    <row r="814" spans="1:3" x14ac:dyDescent="0.2">
      <c r="A814" s="48"/>
      <c r="B814" s="48"/>
      <c r="C814" s="47"/>
    </row>
    <row r="815" spans="1:3" x14ac:dyDescent="0.2">
      <c r="A815" s="48"/>
      <c r="B815" s="48"/>
      <c r="C815" s="47"/>
    </row>
    <row r="816" spans="1:3" x14ac:dyDescent="0.2">
      <c r="A816" s="48"/>
      <c r="B816" s="48"/>
      <c r="C816" s="47"/>
    </row>
    <row r="817" spans="1:3" x14ac:dyDescent="0.2">
      <c r="A817" s="48"/>
      <c r="B817" s="48"/>
      <c r="C817" s="47"/>
    </row>
    <row r="818" spans="1:3" x14ac:dyDescent="0.2">
      <c r="A818" s="48"/>
      <c r="B818" s="48"/>
      <c r="C818" s="47"/>
    </row>
    <row r="819" spans="1:3" x14ac:dyDescent="0.2">
      <c r="A819" s="48"/>
      <c r="B819" s="48"/>
      <c r="C819" s="47"/>
    </row>
    <row r="820" spans="1:3" x14ac:dyDescent="0.2">
      <c r="A820" s="48"/>
      <c r="B820" s="48"/>
      <c r="C820" s="47"/>
    </row>
    <row r="821" spans="1:3" x14ac:dyDescent="0.2">
      <c r="A821" s="48"/>
      <c r="B821" s="48"/>
      <c r="C821" s="47"/>
    </row>
    <row r="822" spans="1:3" x14ac:dyDescent="0.2">
      <c r="A822" s="48"/>
      <c r="B822" s="48"/>
      <c r="C822" s="47"/>
    </row>
    <row r="823" spans="1:3" x14ac:dyDescent="0.2">
      <c r="A823" s="48"/>
      <c r="B823" s="48"/>
      <c r="C823" s="47"/>
    </row>
    <row r="824" spans="1:3" x14ac:dyDescent="0.2">
      <c r="A824" s="48"/>
      <c r="B824" s="48"/>
      <c r="C824" s="47"/>
    </row>
    <row r="825" spans="1:3" x14ac:dyDescent="0.2">
      <c r="A825" s="48"/>
      <c r="B825" s="48"/>
      <c r="C825" s="47"/>
    </row>
    <row r="826" spans="1:3" x14ac:dyDescent="0.2">
      <c r="A826" s="48"/>
      <c r="B826" s="48"/>
      <c r="C826" s="47"/>
    </row>
    <row r="827" spans="1:3" x14ac:dyDescent="0.2">
      <c r="A827" s="48"/>
      <c r="B827" s="48"/>
      <c r="C827" s="47"/>
    </row>
    <row r="828" spans="1:3" x14ac:dyDescent="0.2">
      <c r="A828" s="48"/>
      <c r="B828" s="48"/>
      <c r="C828" s="47"/>
    </row>
    <row r="829" spans="1:3" x14ac:dyDescent="0.2">
      <c r="A829" s="48"/>
      <c r="B829" s="48"/>
      <c r="C829" s="47"/>
    </row>
    <row r="830" spans="1:3" x14ac:dyDescent="0.2">
      <c r="A830" s="48"/>
      <c r="B830" s="48"/>
      <c r="C830" s="47"/>
    </row>
    <row r="831" spans="1:3" x14ac:dyDescent="0.2">
      <c r="A831" s="48"/>
      <c r="B831" s="48"/>
      <c r="C831" s="47"/>
    </row>
    <row r="832" spans="1:3" x14ac:dyDescent="0.2">
      <c r="A832" s="48"/>
      <c r="B832" s="48"/>
      <c r="C832" s="47"/>
    </row>
    <row r="833" spans="1:3" x14ac:dyDescent="0.2">
      <c r="A833" s="48"/>
      <c r="B833" s="48"/>
      <c r="C833" s="47"/>
    </row>
    <row r="834" spans="1:3" x14ac:dyDescent="0.2">
      <c r="A834" s="48"/>
      <c r="B834" s="48"/>
      <c r="C834" s="47"/>
    </row>
    <row r="835" spans="1:3" x14ac:dyDescent="0.2">
      <c r="A835" s="48"/>
      <c r="B835" s="48"/>
      <c r="C835" s="47"/>
    </row>
    <row r="836" spans="1:3" x14ac:dyDescent="0.2">
      <c r="A836" s="48"/>
      <c r="B836" s="48"/>
      <c r="C836" s="47"/>
    </row>
    <row r="837" spans="1:3" x14ac:dyDescent="0.2">
      <c r="A837" s="48"/>
      <c r="B837" s="48"/>
      <c r="C837" s="47"/>
    </row>
    <row r="838" spans="1:3" x14ac:dyDescent="0.2">
      <c r="A838" s="48"/>
      <c r="B838" s="48"/>
      <c r="C838" s="47"/>
    </row>
    <row r="839" spans="1:3" x14ac:dyDescent="0.2">
      <c r="A839" s="48"/>
      <c r="B839" s="48"/>
      <c r="C839" s="47"/>
    </row>
    <row r="840" spans="1:3" x14ac:dyDescent="0.2">
      <c r="A840" s="48"/>
      <c r="B840" s="48"/>
      <c r="C840" s="47"/>
    </row>
    <row r="841" spans="1:3" x14ac:dyDescent="0.2">
      <c r="A841" s="48"/>
      <c r="B841" s="48"/>
      <c r="C841" s="47"/>
    </row>
    <row r="842" spans="1:3" x14ac:dyDescent="0.2">
      <c r="A842" s="48"/>
      <c r="B842" s="48"/>
      <c r="C842" s="47"/>
    </row>
    <row r="843" spans="1:3" x14ac:dyDescent="0.2">
      <c r="A843" s="48"/>
      <c r="B843" s="48"/>
      <c r="C843" s="47"/>
    </row>
    <row r="844" spans="1:3" x14ac:dyDescent="0.2">
      <c r="A844" s="48"/>
      <c r="B844" s="48"/>
      <c r="C844" s="47"/>
    </row>
    <row r="845" spans="1:3" x14ac:dyDescent="0.2">
      <c r="A845" s="48"/>
      <c r="B845" s="48"/>
      <c r="C845" s="47"/>
    </row>
    <row r="846" spans="1:3" x14ac:dyDescent="0.2">
      <c r="A846" s="48"/>
      <c r="B846" s="48"/>
      <c r="C846" s="47"/>
    </row>
    <row r="847" spans="1:3" x14ac:dyDescent="0.2">
      <c r="A847" s="48"/>
      <c r="B847" s="48"/>
      <c r="C847" s="47"/>
    </row>
    <row r="848" spans="1:3" x14ac:dyDescent="0.2">
      <c r="A848" s="48"/>
      <c r="B848" s="48"/>
      <c r="C848" s="47"/>
    </row>
    <row r="849" spans="1:3" x14ac:dyDescent="0.2">
      <c r="A849" s="48"/>
      <c r="B849" s="48"/>
      <c r="C849" s="47"/>
    </row>
    <row r="850" spans="1:3" x14ac:dyDescent="0.2">
      <c r="A850" s="48"/>
      <c r="B850" s="48"/>
      <c r="C850" s="47"/>
    </row>
    <row r="851" spans="1:3" x14ac:dyDescent="0.2">
      <c r="A851" s="48"/>
      <c r="B851" s="48"/>
      <c r="C851" s="47"/>
    </row>
    <row r="852" spans="1:3" x14ac:dyDescent="0.2">
      <c r="A852" s="48"/>
      <c r="B852" s="48"/>
      <c r="C852" s="47"/>
    </row>
    <row r="853" spans="1:3" x14ac:dyDescent="0.2">
      <c r="A853" s="48"/>
      <c r="B853" s="58"/>
      <c r="C853" s="47"/>
    </row>
    <row r="854" spans="1:3" x14ac:dyDescent="0.2">
      <c r="A854" s="48"/>
      <c r="B854" s="58"/>
      <c r="C854" s="47"/>
    </row>
    <row r="855" spans="1:3" x14ac:dyDescent="0.2">
      <c r="A855" s="48"/>
      <c r="B855" s="58"/>
      <c r="C855" s="47"/>
    </row>
    <row r="856" spans="1:3" x14ac:dyDescent="0.2">
      <c r="A856" s="48"/>
      <c r="B856" s="58"/>
      <c r="C856" s="47"/>
    </row>
    <row r="857" spans="1:3" x14ac:dyDescent="0.2">
      <c r="A857" s="48"/>
      <c r="B857" s="58"/>
      <c r="C857" s="47"/>
    </row>
    <row r="858" spans="1:3" x14ac:dyDescent="0.2">
      <c r="A858" s="48"/>
      <c r="B858" s="58"/>
      <c r="C858" s="47"/>
    </row>
    <row r="859" spans="1:3" x14ac:dyDescent="0.2">
      <c r="A859" s="48"/>
      <c r="B859" s="58"/>
      <c r="C859" s="47"/>
    </row>
    <row r="860" spans="1:3" x14ac:dyDescent="0.2">
      <c r="A860" s="48"/>
      <c r="B860" s="58"/>
      <c r="C860" s="47"/>
    </row>
    <row r="861" spans="1:3" x14ac:dyDescent="0.2">
      <c r="A861" s="48"/>
      <c r="B861" s="58"/>
      <c r="C861" s="47"/>
    </row>
    <row r="862" spans="1:3" x14ac:dyDescent="0.2">
      <c r="A862" s="48"/>
      <c r="B862" s="58"/>
      <c r="C862" s="47"/>
    </row>
    <row r="863" spans="1:3" x14ac:dyDescent="0.2">
      <c r="A863" s="48"/>
      <c r="B863" s="58"/>
      <c r="C863" s="47"/>
    </row>
    <row r="864" spans="1:3" x14ac:dyDescent="0.2">
      <c r="A864" s="48"/>
      <c r="B864" s="58"/>
      <c r="C864" s="47"/>
    </row>
    <row r="865" spans="1:1" x14ac:dyDescent="0.2">
      <c r="A865" s="48"/>
    </row>
    <row r="866" spans="1:1" x14ac:dyDescent="0.2">
      <c r="A866" s="48"/>
    </row>
    <row r="867" spans="1:1" x14ac:dyDescent="0.2">
      <c r="A867" s="48"/>
    </row>
    <row r="868" spans="1:1" x14ac:dyDescent="0.2">
      <c r="A868" s="48"/>
    </row>
    <row r="869" spans="1:1" x14ac:dyDescent="0.2">
      <c r="A869" s="48"/>
    </row>
    <row r="870" spans="1:1" x14ac:dyDescent="0.2">
      <c r="A870" s="48"/>
    </row>
    <row r="871" spans="1:1" x14ac:dyDescent="0.2">
      <c r="A871" s="48"/>
    </row>
    <row r="872" spans="1:1" x14ac:dyDescent="0.2">
      <c r="A872" s="48"/>
    </row>
    <row r="873" spans="1:1" x14ac:dyDescent="0.2">
      <c r="A873" s="48"/>
    </row>
    <row r="874" spans="1:1" x14ac:dyDescent="0.2">
      <c r="A874" s="48"/>
    </row>
    <row r="875" spans="1:1" x14ac:dyDescent="0.2">
      <c r="A875" s="48"/>
    </row>
    <row r="876" spans="1:1" x14ac:dyDescent="0.2">
      <c r="A876" s="48"/>
    </row>
    <row r="877" spans="1:1" x14ac:dyDescent="0.2">
      <c r="A877" s="48"/>
    </row>
    <row r="878" spans="1:1" x14ac:dyDescent="0.2">
      <c r="A878" s="48"/>
    </row>
    <row r="879" spans="1:1" x14ac:dyDescent="0.2">
      <c r="A879" s="48"/>
    </row>
    <row r="880" spans="1:1" x14ac:dyDescent="0.2">
      <c r="A880" s="48"/>
    </row>
    <row r="881" spans="1:1" x14ac:dyDescent="0.2">
      <c r="A881" s="48"/>
    </row>
    <row r="882" spans="1:1" x14ac:dyDescent="0.2">
      <c r="A882" s="48"/>
    </row>
    <row r="883" spans="1:1" x14ac:dyDescent="0.2">
      <c r="A883" s="48"/>
    </row>
    <row r="884" spans="1:1" x14ac:dyDescent="0.2">
      <c r="A884" s="48"/>
    </row>
    <row r="885" spans="1:1" x14ac:dyDescent="0.2">
      <c r="A885" s="48"/>
    </row>
    <row r="886" spans="1:1" x14ac:dyDescent="0.2">
      <c r="A886" s="48"/>
    </row>
    <row r="887" spans="1:1" x14ac:dyDescent="0.2">
      <c r="A887" s="48"/>
    </row>
    <row r="888" spans="1:1" x14ac:dyDescent="0.2">
      <c r="A888" s="48"/>
    </row>
    <row r="889" spans="1:1" x14ac:dyDescent="0.2">
      <c r="A889" s="48"/>
    </row>
    <row r="890" spans="1:1" x14ac:dyDescent="0.2">
      <c r="A890" s="48"/>
    </row>
    <row r="891" spans="1:1" x14ac:dyDescent="0.2">
      <c r="A891" s="48"/>
    </row>
    <row r="892" spans="1:1" x14ac:dyDescent="0.2">
      <c r="A892" s="48"/>
    </row>
    <row r="893" spans="1:1" x14ac:dyDescent="0.2">
      <c r="A893" s="48"/>
    </row>
    <row r="894" spans="1:1" x14ac:dyDescent="0.2">
      <c r="A894" s="48"/>
    </row>
    <row r="895" spans="1:1" x14ac:dyDescent="0.2">
      <c r="A895" s="48"/>
    </row>
    <row r="896" spans="1:1" x14ac:dyDescent="0.2">
      <c r="A896" s="48"/>
    </row>
    <row r="897" spans="1:1" x14ac:dyDescent="0.2">
      <c r="A897" s="48"/>
    </row>
    <row r="898" spans="1:1" x14ac:dyDescent="0.2">
      <c r="A898" s="48"/>
    </row>
    <row r="899" spans="1:1" x14ac:dyDescent="0.2">
      <c r="A899" s="48"/>
    </row>
    <row r="900" spans="1:1" x14ac:dyDescent="0.2">
      <c r="A900" s="48"/>
    </row>
    <row r="901" spans="1:1" x14ac:dyDescent="0.2">
      <c r="A901" s="48"/>
    </row>
    <row r="902" spans="1:1" x14ac:dyDescent="0.2">
      <c r="A902" s="48"/>
    </row>
    <row r="903" spans="1:1" x14ac:dyDescent="0.2">
      <c r="A903" s="48"/>
    </row>
    <row r="904" spans="1:1" x14ac:dyDescent="0.2">
      <c r="A904" s="48"/>
    </row>
    <row r="905" spans="1:1" x14ac:dyDescent="0.2">
      <c r="A905" s="48"/>
    </row>
    <row r="906" spans="1:1" x14ac:dyDescent="0.2">
      <c r="A906" s="48"/>
    </row>
    <row r="907" spans="1:1" x14ac:dyDescent="0.2">
      <c r="A907" s="48"/>
    </row>
    <row r="908" spans="1:1" x14ac:dyDescent="0.2">
      <c r="A908" s="48"/>
    </row>
    <row r="909" spans="1:1" x14ac:dyDescent="0.2">
      <c r="A909" s="48"/>
    </row>
    <row r="910" spans="1:1" x14ac:dyDescent="0.2">
      <c r="A910" s="48"/>
    </row>
    <row r="911" spans="1:1" x14ac:dyDescent="0.2">
      <c r="A911" s="48"/>
    </row>
    <row r="912" spans="1:1" x14ac:dyDescent="0.2">
      <c r="A912" s="48"/>
    </row>
    <row r="913" spans="1:1" x14ac:dyDescent="0.2">
      <c r="A913" s="48"/>
    </row>
    <row r="914" spans="1:1" x14ac:dyDescent="0.2">
      <c r="A914" s="48"/>
    </row>
    <row r="915" spans="1:1" x14ac:dyDescent="0.2">
      <c r="A915" s="48"/>
    </row>
    <row r="916" spans="1:1" x14ac:dyDescent="0.2">
      <c r="A916" s="48"/>
    </row>
    <row r="917" spans="1:1" x14ac:dyDescent="0.2">
      <c r="A917" s="48"/>
    </row>
    <row r="918" spans="1:1" x14ac:dyDescent="0.2">
      <c r="A918" s="48"/>
    </row>
    <row r="919" spans="1:1" x14ac:dyDescent="0.2">
      <c r="A919" s="48"/>
    </row>
    <row r="920" spans="1:1" x14ac:dyDescent="0.2">
      <c r="A920" s="48"/>
    </row>
    <row r="921" spans="1:1" x14ac:dyDescent="0.2">
      <c r="A921" s="48"/>
    </row>
    <row r="922" spans="1:1" x14ac:dyDescent="0.2">
      <c r="A922" s="48"/>
    </row>
    <row r="923" spans="1:1" x14ac:dyDescent="0.2">
      <c r="A923" s="48"/>
    </row>
    <row r="924" spans="1:1" x14ac:dyDescent="0.2">
      <c r="A924" s="48"/>
    </row>
    <row r="925" spans="1:1" x14ac:dyDescent="0.2">
      <c r="A925" s="48"/>
    </row>
    <row r="926" spans="1:1" x14ac:dyDescent="0.2">
      <c r="A926" s="48"/>
    </row>
    <row r="927" spans="1:1" x14ac:dyDescent="0.2">
      <c r="A927" s="48"/>
    </row>
    <row r="928" spans="1:1" x14ac:dyDescent="0.2">
      <c r="A928" s="48"/>
    </row>
    <row r="929" spans="1:1" x14ac:dyDescent="0.2">
      <c r="A929" s="48"/>
    </row>
    <row r="930" spans="1:1" x14ac:dyDescent="0.2">
      <c r="A930" s="48"/>
    </row>
    <row r="931" spans="1:1" x14ac:dyDescent="0.2">
      <c r="A931" s="48"/>
    </row>
    <row r="932" spans="1:1" x14ac:dyDescent="0.2">
      <c r="A932" s="48"/>
    </row>
    <row r="933" spans="1:1" x14ac:dyDescent="0.2">
      <c r="A933" s="48"/>
    </row>
    <row r="934" spans="1:1" x14ac:dyDescent="0.2">
      <c r="A934" s="48"/>
    </row>
    <row r="935" spans="1:1" x14ac:dyDescent="0.2">
      <c r="A935" s="48"/>
    </row>
    <row r="936" spans="1:1" x14ac:dyDescent="0.2">
      <c r="A936" s="48"/>
    </row>
    <row r="937" spans="1:1" x14ac:dyDescent="0.2">
      <c r="A937" s="48"/>
    </row>
    <row r="938" spans="1:1" x14ac:dyDescent="0.2">
      <c r="A938" s="48"/>
    </row>
    <row r="939" spans="1:1" x14ac:dyDescent="0.2">
      <c r="A939" s="48"/>
    </row>
    <row r="940" spans="1:1" x14ac:dyDescent="0.2">
      <c r="A940" s="48"/>
    </row>
    <row r="941" spans="1:1" x14ac:dyDescent="0.2">
      <c r="A941" s="48"/>
    </row>
    <row r="942" spans="1:1" x14ac:dyDescent="0.2">
      <c r="A942" s="48"/>
    </row>
    <row r="943" spans="1:1" x14ac:dyDescent="0.2">
      <c r="A943" s="48"/>
    </row>
    <row r="944" spans="1:1" x14ac:dyDescent="0.2">
      <c r="A944" s="48"/>
    </row>
    <row r="945" spans="1:1" x14ac:dyDescent="0.2">
      <c r="A945" s="48"/>
    </row>
    <row r="946" spans="1:1" x14ac:dyDescent="0.2">
      <c r="A946" s="48"/>
    </row>
    <row r="947" spans="1:1" x14ac:dyDescent="0.2">
      <c r="A947" s="48"/>
    </row>
    <row r="948" spans="1:1" x14ac:dyDescent="0.2">
      <c r="A948" s="48"/>
    </row>
    <row r="949" spans="1:1" x14ac:dyDescent="0.2">
      <c r="A949" s="48"/>
    </row>
    <row r="950" spans="1:1" x14ac:dyDescent="0.2">
      <c r="A950" s="48"/>
    </row>
    <row r="951" spans="1:1" x14ac:dyDescent="0.2">
      <c r="A951" s="48"/>
    </row>
    <row r="952" spans="1:1" x14ac:dyDescent="0.2">
      <c r="A952" s="48"/>
    </row>
    <row r="953" spans="1:1" x14ac:dyDescent="0.2">
      <c r="A953" s="48"/>
    </row>
    <row r="954" spans="1:1" x14ac:dyDescent="0.2">
      <c r="A954" s="48"/>
    </row>
    <row r="955" spans="1:1" x14ac:dyDescent="0.2">
      <c r="A955" s="48"/>
    </row>
    <row r="956" spans="1:1" x14ac:dyDescent="0.2">
      <c r="A956" s="48"/>
    </row>
    <row r="957" spans="1:1" x14ac:dyDescent="0.2">
      <c r="A957" s="48"/>
    </row>
    <row r="958" spans="1:1" x14ac:dyDescent="0.2">
      <c r="A958" s="48"/>
    </row>
    <row r="959" spans="1:1" x14ac:dyDescent="0.2">
      <c r="A959" s="48"/>
    </row>
    <row r="960" spans="1:1" x14ac:dyDescent="0.2">
      <c r="A960" s="48"/>
    </row>
    <row r="961" spans="1:1" x14ac:dyDescent="0.2">
      <c r="A961" s="48"/>
    </row>
    <row r="962" spans="1:1" x14ac:dyDescent="0.2">
      <c r="A962" s="48"/>
    </row>
    <row r="963" spans="1:1" x14ac:dyDescent="0.2">
      <c r="A963" s="48"/>
    </row>
    <row r="964" spans="1:1" x14ac:dyDescent="0.2">
      <c r="A964" s="48"/>
    </row>
    <row r="965" spans="1:1" x14ac:dyDescent="0.2">
      <c r="A965" s="48"/>
    </row>
    <row r="966" spans="1:1" x14ac:dyDescent="0.2">
      <c r="A966" s="48"/>
    </row>
    <row r="967" spans="1:1" x14ac:dyDescent="0.2">
      <c r="A967" s="48"/>
    </row>
    <row r="968" spans="1:1" x14ac:dyDescent="0.2">
      <c r="A968" s="48"/>
    </row>
    <row r="969" spans="1:1" x14ac:dyDescent="0.2">
      <c r="A969" s="48"/>
    </row>
    <row r="970" spans="1:1" x14ac:dyDescent="0.2">
      <c r="A970" s="48"/>
    </row>
    <row r="971" spans="1:1" x14ac:dyDescent="0.2">
      <c r="A971" s="48"/>
    </row>
    <row r="972" spans="1:1" x14ac:dyDescent="0.2">
      <c r="A972" s="48"/>
    </row>
    <row r="973" spans="1:1" x14ac:dyDescent="0.2">
      <c r="A973" s="48"/>
    </row>
    <row r="974" spans="1:1" x14ac:dyDescent="0.2">
      <c r="A974" s="48"/>
    </row>
    <row r="975" spans="1:1" x14ac:dyDescent="0.2">
      <c r="A975" s="48"/>
    </row>
    <row r="976" spans="1:1" x14ac:dyDescent="0.2">
      <c r="A976" s="48"/>
    </row>
    <row r="977" spans="1:1" x14ac:dyDescent="0.2">
      <c r="A977" s="48"/>
    </row>
    <row r="978" spans="1:1" x14ac:dyDescent="0.2">
      <c r="A978" s="48"/>
    </row>
    <row r="979" spans="1:1" x14ac:dyDescent="0.2">
      <c r="A979" s="48"/>
    </row>
    <row r="980" spans="1:1" x14ac:dyDescent="0.2">
      <c r="A980" s="48"/>
    </row>
    <row r="981" spans="1:1" x14ac:dyDescent="0.2">
      <c r="A981" s="48"/>
    </row>
    <row r="982" spans="1:1" x14ac:dyDescent="0.2">
      <c r="A982" s="48"/>
    </row>
    <row r="983" spans="1:1" x14ac:dyDescent="0.2">
      <c r="A983" s="48"/>
    </row>
    <row r="984" spans="1:1" x14ac:dyDescent="0.2">
      <c r="A984" s="48"/>
    </row>
    <row r="985" spans="1:1" x14ac:dyDescent="0.2">
      <c r="A985" s="48"/>
    </row>
    <row r="986" spans="1:1" x14ac:dyDescent="0.2">
      <c r="A986" s="48"/>
    </row>
    <row r="987" spans="1:1" x14ac:dyDescent="0.2">
      <c r="A987" s="48"/>
    </row>
    <row r="988" spans="1:1" x14ac:dyDescent="0.2">
      <c r="A988" s="48"/>
    </row>
    <row r="989" spans="1:1" x14ac:dyDescent="0.2">
      <c r="A989" s="48"/>
    </row>
    <row r="990" spans="1:1" x14ac:dyDescent="0.2">
      <c r="A990" s="48"/>
    </row>
    <row r="991" spans="1:1" x14ac:dyDescent="0.2">
      <c r="A991" s="48"/>
    </row>
    <row r="992" spans="1:1" x14ac:dyDescent="0.2">
      <c r="A992" s="48"/>
    </row>
    <row r="993" spans="1:1" x14ac:dyDescent="0.2">
      <c r="A993" s="48"/>
    </row>
    <row r="994" spans="1:1" x14ac:dyDescent="0.2">
      <c r="A994" s="48"/>
    </row>
    <row r="995" spans="1:1" x14ac:dyDescent="0.2">
      <c r="A995" s="48"/>
    </row>
    <row r="996" spans="1:1" x14ac:dyDescent="0.2">
      <c r="A996" s="48"/>
    </row>
    <row r="997" spans="1:1" x14ac:dyDescent="0.2">
      <c r="A997" s="48"/>
    </row>
    <row r="998" spans="1:1" x14ac:dyDescent="0.2">
      <c r="A998" s="48"/>
    </row>
    <row r="999" spans="1:1" x14ac:dyDescent="0.2">
      <c r="A999" s="48"/>
    </row>
    <row r="1000" spans="1:1" x14ac:dyDescent="0.2">
      <c r="A1000" s="48"/>
    </row>
    <row r="1001" spans="1:1" x14ac:dyDescent="0.2">
      <c r="A1001" s="48"/>
    </row>
    <row r="1002" spans="1:1" x14ac:dyDescent="0.2">
      <c r="A1002" s="48"/>
    </row>
    <row r="1003" spans="1:1" x14ac:dyDescent="0.2">
      <c r="A1003" s="48"/>
    </row>
    <row r="1004" spans="1:1" x14ac:dyDescent="0.2">
      <c r="A1004" s="48"/>
    </row>
    <row r="1005" spans="1:1" x14ac:dyDescent="0.2">
      <c r="A1005" s="48"/>
    </row>
    <row r="1006" spans="1:1" x14ac:dyDescent="0.2">
      <c r="A1006" s="48"/>
    </row>
    <row r="1007" spans="1:1" x14ac:dyDescent="0.2">
      <c r="A1007" s="48"/>
    </row>
    <row r="1008" spans="1:1" x14ac:dyDescent="0.2">
      <c r="A1008" s="48"/>
    </row>
    <row r="1009" spans="1:1" x14ac:dyDescent="0.2">
      <c r="A1009" s="48"/>
    </row>
    <row r="1010" spans="1:1" x14ac:dyDescent="0.2">
      <c r="A1010" s="48"/>
    </row>
    <row r="1011" spans="1:1" x14ac:dyDescent="0.2">
      <c r="A1011" s="48"/>
    </row>
    <row r="1012" spans="1:1" x14ac:dyDescent="0.2">
      <c r="A1012" s="48"/>
    </row>
    <row r="1013" spans="1:1" x14ac:dyDescent="0.2">
      <c r="A1013" s="48"/>
    </row>
    <row r="1014" spans="1:1" x14ac:dyDescent="0.2">
      <c r="A1014" s="48"/>
    </row>
    <row r="1015" spans="1:1" x14ac:dyDescent="0.2">
      <c r="A1015" s="48"/>
    </row>
    <row r="1016" spans="1:1" x14ac:dyDescent="0.2">
      <c r="A1016" s="48"/>
    </row>
    <row r="1017" spans="1:1" x14ac:dyDescent="0.2">
      <c r="A1017" s="48"/>
    </row>
    <row r="1018" spans="1:1" x14ac:dyDescent="0.2">
      <c r="A1018" s="48"/>
    </row>
    <row r="1019" spans="1:1" x14ac:dyDescent="0.2">
      <c r="A1019" s="48"/>
    </row>
    <row r="1020" spans="1:1" x14ac:dyDescent="0.2">
      <c r="A1020" s="48"/>
    </row>
    <row r="1021" spans="1:1" x14ac:dyDescent="0.2">
      <c r="A1021" s="48"/>
    </row>
    <row r="1022" spans="1:1" x14ac:dyDescent="0.2">
      <c r="A1022" s="48"/>
    </row>
    <row r="1023" spans="1:1" x14ac:dyDescent="0.2">
      <c r="A1023" s="48"/>
    </row>
    <row r="1024" spans="1:1" x14ac:dyDescent="0.2">
      <c r="A1024" s="48"/>
    </row>
    <row r="1025" spans="1:1" x14ac:dyDescent="0.2">
      <c r="A1025" s="48"/>
    </row>
    <row r="1026" spans="1:1" x14ac:dyDescent="0.2">
      <c r="A1026" s="48"/>
    </row>
    <row r="1027" spans="1:1" x14ac:dyDescent="0.2">
      <c r="A1027" s="48"/>
    </row>
    <row r="1028" spans="1:1" x14ac:dyDescent="0.2">
      <c r="A1028" s="48"/>
    </row>
    <row r="1029" spans="1:1" x14ac:dyDescent="0.2">
      <c r="A1029" s="48"/>
    </row>
    <row r="1030" spans="1:1" x14ac:dyDescent="0.2">
      <c r="A1030" s="48"/>
    </row>
    <row r="1031" spans="1:1" x14ac:dyDescent="0.2">
      <c r="A1031" s="48"/>
    </row>
    <row r="1032" spans="1:1" x14ac:dyDescent="0.2">
      <c r="A1032" s="48"/>
    </row>
    <row r="1033" spans="1:1" x14ac:dyDescent="0.2">
      <c r="A1033" s="48"/>
    </row>
    <row r="1034" spans="1:1" x14ac:dyDescent="0.2">
      <c r="A1034" s="48"/>
    </row>
    <row r="1035" spans="1:1" x14ac:dyDescent="0.2">
      <c r="A1035" s="48"/>
    </row>
    <row r="1036" spans="1:1" x14ac:dyDescent="0.2">
      <c r="A1036" s="48"/>
    </row>
    <row r="1037" spans="1:1" x14ac:dyDescent="0.2">
      <c r="A1037" s="48"/>
    </row>
    <row r="1038" spans="1:1" x14ac:dyDescent="0.2">
      <c r="A1038" s="48"/>
    </row>
    <row r="1039" spans="1:1" x14ac:dyDescent="0.2">
      <c r="A1039" s="48"/>
    </row>
    <row r="1040" spans="1:1" x14ac:dyDescent="0.2">
      <c r="A1040" s="48"/>
    </row>
    <row r="1041" spans="1:1" x14ac:dyDescent="0.2">
      <c r="A1041" s="48"/>
    </row>
    <row r="1042" spans="1:1" x14ac:dyDescent="0.2">
      <c r="A1042" s="48"/>
    </row>
    <row r="1043" spans="1:1" x14ac:dyDescent="0.2">
      <c r="A1043" s="48"/>
    </row>
    <row r="1044" spans="1:1" x14ac:dyDescent="0.2">
      <c r="A1044" s="48"/>
    </row>
    <row r="1045" spans="1:1" x14ac:dyDescent="0.2">
      <c r="A1045" s="48"/>
    </row>
    <row r="1046" spans="1:1" x14ac:dyDescent="0.2">
      <c r="A1046" s="48"/>
    </row>
    <row r="1047" spans="1:1" x14ac:dyDescent="0.2">
      <c r="A1047" s="48"/>
    </row>
    <row r="1048" spans="1:1" x14ac:dyDescent="0.2">
      <c r="A1048" s="48"/>
    </row>
    <row r="1049" spans="1:1" x14ac:dyDescent="0.2">
      <c r="A1049" s="48"/>
    </row>
    <row r="1050" spans="1:1" x14ac:dyDescent="0.2">
      <c r="A1050" s="48"/>
    </row>
    <row r="1051" spans="1:1" x14ac:dyDescent="0.2">
      <c r="A1051" s="48"/>
    </row>
    <row r="1052" spans="1:1" x14ac:dyDescent="0.2">
      <c r="A1052" s="48"/>
    </row>
    <row r="1053" spans="1:1" x14ac:dyDescent="0.2">
      <c r="A1053" s="48"/>
    </row>
    <row r="1054" spans="1:1" x14ac:dyDescent="0.2">
      <c r="A1054" s="48"/>
    </row>
    <row r="1055" spans="1:1" x14ac:dyDescent="0.2">
      <c r="A1055" s="48"/>
    </row>
    <row r="1056" spans="1:1" x14ac:dyDescent="0.2">
      <c r="A1056" s="48"/>
    </row>
    <row r="1057" spans="1:1" x14ac:dyDescent="0.2">
      <c r="A1057" s="48"/>
    </row>
    <row r="1058" spans="1:1" x14ac:dyDescent="0.2">
      <c r="A1058" s="48"/>
    </row>
    <row r="1059" spans="1:1" x14ac:dyDescent="0.2">
      <c r="A1059" s="48"/>
    </row>
    <row r="1060" spans="1:1" x14ac:dyDescent="0.2">
      <c r="A1060" s="48"/>
    </row>
    <row r="1061" spans="1:1" x14ac:dyDescent="0.2">
      <c r="A1061" s="48"/>
    </row>
    <row r="1062" spans="1:1" x14ac:dyDescent="0.2">
      <c r="A1062" s="48"/>
    </row>
    <row r="1063" spans="1:1" x14ac:dyDescent="0.2">
      <c r="A1063" s="48"/>
    </row>
    <row r="1064" spans="1:1" x14ac:dyDescent="0.2">
      <c r="A1064" s="48"/>
    </row>
    <row r="1065" spans="1:1" x14ac:dyDescent="0.2">
      <c r="A1065" s="48"/>
    </row>
    <row r="1066" spans="1:1" x14ac:dyDescent="0.2">
      <c r="A1066" s="48"/>
    </row>
    <row r="1067" spans="1:1" x14ac:dyDescent="0.2">
      <c r="A1067" s="48"/>
    </row>
    <row r="1068" spans="1:1" x14ac:dyDescent="0.2">
      <c r="A1068" s="48"/>
    </row>
    <row r="1069" spans="1:1" x14ac:dyDescent="0.2">
      <c r="A1069" s="48"/>
    </row>
    <row r="1070" spans="1:1" x14ac:dyDescent="0.2">
      <c r="A1070" s="48"/>
    </row>
    <row r="1071" spans="1:1" x14ac:dyDescent="0.2">
      <c r="A1071" s="48"/>
    </row>
    <row r="1072" spans="1:1" x14ac:dyDescent="0.2">
      <c r="A1072" s="48"/>
    </row>
    <row r="1073" spans="1:1" x14ac:dyDescent="0.2">
      <c r="A1073" s="48"/>
    </row>
    <row r="1074" spans="1:1" x14ac:dyDescent="0.2">
      <c r="A1074" s="48"/>
    </row>
    <row r="1075" spans="1:1" x14ac:dyDescent="0.2">
      <c r="A1075" s="48"/>
    </row>
    <row r="1076" spans="1:1" x14ac:dyDescent="0.2">
      <c r="A1076" s="48"/>
    </row>
    <row r="1077" spans="1:1" x14ac:dyDescent="0.2">
      <c r="A1077" s="48"/>
    </row>
    <row r="1078" spans="1:1" x14ac:dyDescent="0.2">
      <c r="A1078" s="48"/>
    </row>
    <row r="1079" spans="1:1" x14ac:dyDescent="0.2">
      <c r="A1079" s="48"/>
    </row>
    <row r="1080" spans="1:1" x14ac:dyDescent="0.2">
      <c r="A1080" s="48"/>
    </row>
    <row r="1081" spans="1:1" x14ac:dyDescent="0.2">
      <c r="A1081" s="48"/>
    </row>
  </sheetData>
  <mergeCells count="1">
    <mergeCell ref="X4:AA4"/>
  </mergeCells>
  <phoneticPr fontId="0" type="noConversion"/>
  <printOptions gridLines="1"/>
  <pageMargins left="0.75" right="0.75" top="1" bottom="1" header="0" footer="0"/>
  <pageSetup scale="64" fitToHeight="3" orientation="portrait" horizontalDpi="120" verticalDpi="14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7"/>
  <sheetViews>
    <sheetView topLeftCell="U85" workbookViewId="0">
      <selection activeCell="W107" sqref="W107"/>
    </sheetView>
  </sheetViews>
  <sheetFormatPr baseColWidth="10" defaultRowHeight="12.75" outlineLevelCol="1" x14ac:dyDescent="0.2"/>
  <cols>
    <col min="1" max="1" width="6.42578125" style="13" bestFit="1" customWidth="1"/>
    <col min="2" max="2" width="8.1406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2" style="177" bestFit="1" customWidth="1" outlineLevel="1"/>
    <col min="28" max="28" width="3.8554687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74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74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7362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74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6703</v>
      </c>
      <c r="V4" s="67"/>
      <c r="W4" s="67"/>
      <c r="Y4" s="21"/>
      <c r="Z4" s="260"/>
      <c r="AB4" s="74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310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720" t="s">
        <v>6130</v>
      </c>
      <c r="C6" s="655">
        <v>520108</v>
      </c>
      <c r="D6" s="658">
        <v>2593</v>
      </c>
      <c r="E6" s="655" t="s">
        <v>685</v>
      </c>
      <c r="F6" s="539">
        <v>2018</v>
      </c>
      <c r="G6" s="659">
        <v>42990</v>
      </c>
      <c r="H6" s="655" t="s">
        <v>727</v>
      </c>
      <c r="I6" s="655" t="s">
        <v>6334</v>
      </c>
      <c r="J6" s="712"/>
      <c r="K6" s="655" t="s">
        <v>6474</v>
      </c>
      <c r="L6" s="655" t="s">
        <v>6596</v>
      </c>
      <c r="M6" s="660">
        <v>395529.4</v>
      </c>
      <c r="N6" s="660">
        <v>19901.63</v>
      </c>
      <c r="O6" s="660">
        <v>66468.97</v>
      </c>
      <c r="P6" s="660">
        <v>481900</v>
      </c>
      <c r="Q6" s="541"/>
      <c r="R6" s="660">
        <v>342617.49</v>
      </c>
      <c r="S6" s="542">
        <f t="shared" ref="S6:S69" si="0">+P6-R6</f>
        <v>139282.51</v>
      </c>
      <c r="T6" s="113" t="s">
        <v>131</v>
      </c>
      <c r="U6" s="621" t="str">
        <f>+B6</f>
        <v>AA11848</v>
      </c>
      <c r="V6" s="622" t="str">
        <f>+I6</f>
        <v>0043-TCN18</v>
      </c>
      <c r="W6" s="621">
        <f>+C6</f>
        <v>520108</v>
      </c>
      <c r="X6" s="621" t="str">
        <f>+E6</f>
        <v>CAMRY XLE 4 -DOOR</v>
      </c>
      <c r="Y6" s="622">
        <f>+F6</f>
        <v>2018</v>
      </c>
      <c r="Z6" s="623">
        <f>+M6</f>
        <v>395529.4</v>
      </c>
      <c r="AA6" s="624">
        <f>+Z6</f>
        <v>395529.4</v>
      </c>
      <c r="AB6" s="663">
        <v>1</v>
      </c>
      <c r="AC6" s="624">
        <f t="shared" ref="AC6:AC69" si="1">VLOOKUP(Z6,TARIFA,1)</f>
        <v>344993.21</v>
      </c>
      <c r="AD6" s="625">
        <f t="shared" ref="AD6:AD69" si="2">VLOOKUP(Z6,TARIFA,4)</f>
        <v>0.15</v>
      </c>
      <c r="AE6" s="632">
        <f t="shared" ref="AE6:AE69" si="3">VLOOKUP(Z6,TARIFA,3)</f>
        <v>12321.2</v>
      </c>
      <c r="AF6" s="632">
        <f t="shared" ref="AF6:AF24" si="4">IF(Z6&lt;281240.78,(((Z6-AC6)*AD6+AE6)/2),(Z6-AC6)*AD6+AE6)</f>
        <v>19901.628499999999</v>
      </c>
      <c r="AG6" s="632">
        <f>+N6-AF6</f>
        <v>1.5000000021245796E-3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721" t="s">
        <v>6132</v>
      </c>
      <c r="C7" s="655">
        <v>520109</v>
      </c>
      <c r="D7" s="658">
        <v>2593</v>
      </c>
      <c r="E7" s="655" t="s">
        <v>685</v>
      </c>
      <c r="F7" s="546">
        <v>2018</v>
      </c>
      <c r="G7" s="659">
        <v>42993</v>
      </c>
      <c r="H7" s="655" t="s">
        <v>739</v>
      </c>
      <c r="I7" s="655" t="s">
        <v>6336</v>
      </c>
      <c r="J7" s="712"/>
      <c r="K7" s="655" t="s">
        <v>6475</v>
      </c>
      <c r="L7" s="655" t="s">
        <v>6598</v>
      </c>
      <c r="M7" s="660">
        <v>395529.4</v>
      </c>
      <c r="N7" s="660">
        <v>19901.63</v>
      </c>
      <c r="O7" s="660">
        <v>66468.97</v>
      </c>
      <c r="P7" s="660">
        <v>481900</v>
      </c>
      <c r="Q7" s="548"/>
      <c r="R7" s="660">
        <v>342617.49</v>
      </c>
      <c r="S7" s="549">
        <f t="shared" si="0"/>
        <v>139282.51</v>
      </c>
      <c r="T7" s="267" t="s">
        <v>131</v>
      </c>
      <c r="U7" s="626" t="str">
        <f t="shared" ref="U7:U70" si="5">+B7</f>
        <v>AA11882</v>
      </c>
      <c r="V7" s="627" t="str">
        <f t="shared" ref="V7:V70" si="6">+I7</f>
        <v>0050-TCN18</v>
      </c>
      <c r="W7" s="626">
        <f t="shared" ref="W7:W70" si="7">+C7</f>
        <v>520109</v>
      </c>
      <c r="X7" s="626" t="str">
        <f t="shared" ref="X7:Y70" si="8">+E7</f>
        <v>CAMRY XLE 4 -DOOR</v>
      </c>
      <c r="Y7" s="627">
        <f t="shared" si="8"/>
        <v>2018</v>
      </c>
      <c r="Z7" s="628">
        <f t="shared" ref="Z7:Z70" si="9">+M7</f>
        <v>395529.4</v>
      </c>
      <c r="AA7" s="629">
        <f>+Z7</f>
        <v>395529.4</v>
      </c>
      <c r="AB7" s="664">
        <v>1</v>
      </c>
      <c r="AC7" s="629">
        <v>0</v>
      </c>
      <c r="AD7" s="630">
        <v>0</v>
      </c>
      <c r="AE7" s="555">
        <v>0</v>
      </c>
      <c r="AF7" s="555">
        <f>+N7</f>
        <v>19901.63</v>
      </c>
      <c r="AG7" s="555">
        <f t="shared" ref="AG7:AG70" si="10">+N7-AF7</f>
        <v>0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721" t="s">
        <v>6135</v>
      </c>
      <c r="C8" s="655">
        <v>520115</v>
      </c>
      <c r="D8" s="658">
        <v>2620</v>
      </c>
      <c r="E8" s="655" t="s">
        <v>5618</v>
      </c>
      <c r="F8" s="546">
        <v>2018</v>
      </c>
      <c r="G8" s="659">
        <v>42991</v>
      </c>
      <c r="H8" s="655" t="s">
        <v>2216</v>
      </c>
      <c r="I8" s="655" t="s">
        <v>6339</v>
      </c>
      <c r="J8" s="712"/>
      <c r="K8" s="655" t="s">
        <v>6476</v>
      </c>
      <c r="L8" s="655" t="s">
        <v>6601</v>
      </c>
      <c r="M8" s="660">
        <v>371541.4</v>
      </c>
      <c r="N8" s="660">
        <v>16303.43</v>
      </c>
      <c r="O8" s="660">
        <v>62055.17</v>
      </c>
      <c r="P8" s="660">
        <v>449900</v>
      </c>
      <c r="Q8" s="548"/>
      <c r="R8" s="660">
        <v>321987.8</v>
      </c>
      <c r="S8" s="549">
        <f t="shared" si="0"/>
        <v>127912.20000000001</v>
      </c>
      <c r="T8" s="113" t="s">
        <v>131</v>
      </c>
      <c r="U8" s="626" t="str">
        <f t="shared" si="5"/>
        <v>AA11858</v>
      </c>
      <c r="V8" s="627" t="str">
        <f t="shared" si="6"/>
        <v>0047-TCN18</v>
      </c>
      <c r="W8" s="626">
        <f t="shared" si="7"/>
        <v>520115</v>
      </c>
      <c r="X8" s="626" t="str">
        <f t="shared" si="8"/>
        <v>CAMRY 2018 SE</v>
      </c>
      <c r="Y8" s="627">
        <f t="shared" si="8"/>
        <v>2018</v>
      </c>
      <c r="Z8" s="628">
        <f t="shared" si="9"/>
        <v>371541.4</v>
      </c>
      <c r="AA8" s="629"/>
      <c r="AB8" s="664"/>
      <c r="AC8" s="629">
        <f t="shared" si="1"/>
        <v>344993.21</v>
      </c>
      <c r="AD8" s="630">
        <f t="shared" si="2"/>
        <v>0.15</v>
      </c>
      <c r="AE8" s="555">
        <f t="shared" si="3"/>
        <v>12321.2</v>
      </c>
      <c r="AF8" s="555">
        <f t="shared" si="4"/>
        <v>16303.428500000002</v>
      </c>
      <c r="AG8" s="555">
        <f t="shared" si="10"/>
        <v>1.4999999984866008E-3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721" t="s">
        <v>6125</v>
      </c>
      <c r="C9" s="655">
        <v>520115</v>
      </c>
      <c r="D9" s="658">
        <v>2592</v>
      </c>
      <c r="E9" s="655" t="s">
        <v>684</v>
      </c>
      <c r="F9" s="546">
        <v>2018</v>
      </c>
      <c r="G9" s="659">
        <v>43000</v>
      </c>
      <c r="H9" s="655" t="s">
        <v>2214</v>
      </c>
      <c r="I9" s="655" t="s">
        <v>6333</v>
      </c>
      <c r="J9" s="712"/>
      <c r="K9" s="655" t="s">
        <v>6473</v>
      </c>
      <c r="L9" s="655" t="s">
        <v>6595</v>
      </c>
      <c r="M9" s="660">
        <v>341400.15</v>
      </c>
      <c r="N9" s="660">
        <v>11961.92</v>
      </c>
      <c r="O9" s="660">
        <v>56537.93</v>
      </c>
      <c r="P9" s="660">
        <v>409900</v>
      </c>
      <c r="Q9" s="548"/>
      <c r="R9" s="660">
        <v>295929.06</v>
      </c>
      <c r="S9" s="549">
        <f t="shared" si="0"/>
        <v>113970.94</v>
      </c>
      <c r="T9" s="267" t="s">
        <v>131</v>
      </c>
      <c r="U9" s="626" t="str">
        <f t="shared" si="5"/>
        <v>AA11916</v>
      </c>
      <c r="V9" s="627" t="str">
        <f t="shared" si="6"/>
        <v>0054-TCN18</v>
      </c>
      <c r="W9" s="626">
        <f t="shared" si="7"/>
        <v>520115</v>
      </c>
      <c r="X9" s="626" t="str">
        <f t="shared" si="8"/>
        <v>CAMRY LE SEDAN 2.5</v>
      </c>
      <c r="Y9" s="627">
        <f t="shared" si="8"/>
        <v>2018</v>
      </c>
      <c r="Z9" s="628">
        <f t="shared" si="9"/>
        <v>341400.15</v>
      </c>
      <c r="AA9" s="629">
        <f>+Z9+Z8</f>
        <v>712941.55</v>
      </c>
      <c r="AB9" s="664">
        <v>2</v>
      </c>
      <c r="AC9" s="629">
        <f t="shared" si="1"/>
        <v>295708.34000000003</v>
      </c>
      <c r="AD9" s="630">
        <f t="shared" si="2"/>
        <v>0.1</v>
      </c>
      <c r="AE9" s="555">
        <f t="shared" si="3"/>
        <v>7392.74</v>
      </c>
      <c r="AF9" s="555">
        <f t="shared" si="4"/>
        <v>11961.920999999998</v>
      </c>
      <c r="AG9" s="555">
        <f t="shared" si="10"/>
        <v>-9.9999999838473741E-4</v>
      </c>
      <c r="AH9" s="361"/>
      <c r="AI9" s="313"/>
    </row>
    <row r="10" spans="1:45" s="291" customFormat="1" x14ac:dyDescent="0.2">
      <c r="A10" s="423">
        <f t="shared" si="11"/>
        <v>5</v>
      </c>
      <c r="B10" s="721" t="s">
        <v>6055</v>
      </c>
      <c r="C10" s="655">
        <v>520220</v>
      </c>
      <c r="D10" s="658">
        <v>1794</v>
      </c>
      <c r="E10" s="655" t="s">
        <v>687</v>
      </c>
      <c r="F10" s="546">
        <v>2017</v>
      </c>
      <c r="G10" s="659">
        <v>43007</v>
      </c>
      <c r="H10" s="655" t="s">
        <v>788</v>
      </c>
      <c r="I10" s="655" t="s">
        <v>6293</v>
      </c>
      <c r="J10" s="712"/>
      <c r="K10" s="655" t="s">
        <v>6451</v>
      </c>
      <c r="L10" s="655" t="s">
        <v>6555</v>
      </c>
      <c r="M10" s="660">
        <v>256171.42</v>
      </c>
      <c r="N10" s="660">
        <v>2707.89</v>
      </c>
      <c r="O10" s="660">
        <v>41420.69</v>
      </c>
      <c r="P10" s="660">
        <v>300300</v>
      </c>
      <c r="Q10" s="548"/>
      <c r="R10" s="660">
        <v>230840.09</v>
      </c>
      <c r="S10" s="549">
        <f t="shared" si="0"/>
        <v>69459.91</v>
      </c>
      <c r="T10" s="113" t="s">
        <v>131</v>
      </c>
      <c r="U10" s="626" t="str">
        <f t="shared" si="5"/>
        <v>AA11992</v>
      </c>
      <c r="V10" s="627" t="str">
        <f t="shared" si="6"/>
        <v>1074-TCN17</v>
      </c>
      <c r="W10" s="626">
        <f t="shared" si="7"/>
        <v>520220</v>
      </c>
      <c r="X10" s="626" t="str">
        <f t="shared" si="8"/>
        <v>COROLLA LE AT</v>
      </c>
      <c r="Y10" s="627">
        <f t="shared" si="8"/>
        <v>2017</v>
      </c>
      <c r="Z10" s="628">
        <f t="shared" si="9"/>
        <v>256171.42</v>
      </c>
      <c r="AA10" s="629"/>
      <c r="AB10" s="664"/>
      <c r="AC10" s="629">
        <f t="shared" si="1"/>
        <v>246423.66</v>
      </c>
      <c r="AD10" s="630">
        <f t="shared" si="2"/>
        <v>0.05</v>
      </c>
      <c r="AE10" s="555">
        <f t="shared" si="3"/>
        <v>4928.3900000000003</v>
      </c>
      <c r="AF10" s="555">
        <f t="shared" si="4"/>
        <v>2707.8890000000006</v>
      </c>
      <c r="AG10" s="555">
        <f t="shared" si="10"/>
        <v>9.9999999929423211E-4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721" t="s">
        <v>6056</v>
      </c>
      <c r="C11" s="655">
        <v>520220</v>
      </c>
      <c r="D11" s="658">
        <v>1794</v>
      </c>
      <c r="E11" s="655" t="s">
        <v>687</v>
      </c>
      <c r="F11" s="546">
        <v>2017</v>
      </c>
      <c r="G11" s="659">
        <v>43007</v>
      </c>
      <c r="H11" s="655" t="s">
        <v>3694</v>
      </c>
      <c r="I11" s="655" t="s">
        <v>6296</v>
      </c>
      <c r="J11" s="712"/>
      <c r="K11" s="655" t="s">
        <v>6449</v>
      </c>
      <c r="L11" s="655" t="s">
        <v>6558</v>
      </c>
      <c r="M11" s="660">
        <v>256171.42</v>
      </c>
      <c r="N11" s="660">
        <v>2707.89</v>
      </c>
      <c r="O11" s="660">
        <v>41420.69</v>
      </c>
      <c r="P11" s="660">
        <v>300300</v>
      </c>
      <c r="Q11" s="548"/>
      <c r="R11" s="660">
        <v>230484.92</v>
      </c>
      <c r="S11" s="549">
        <f t="shared" si="0"/>
        <v>69815.079999999987</v>
      </c>
      <c r="T11" s="113" t="s">
        <v>131</v>
      </c>
      <c r="U11" s="626" t="str">
        <f t="shared" si="5"/>
        <v>AA11991</v>
      </c>
      <c r="V11" s="627" t="str">
        <f t="shared" si="6"/>
        <v>1178-TCN17</v>
      </c>
      <c r="W11" s="626">
        <f t="shared" si="7"/>
        <v>520220</v>
      </c>
      <c r="X11" s="626" t="str">
        <f t="shared" si="8"/>
        <v>COROLLA LE AT</v>
      </c>
      <c r="Y11" s="627">
        <f t="shared" si="8"/>
        <v>2017</v>
      </c>
      <c r="Z11" s="628">
        <f t="shared" si="9"/>
        <v>256171.42</v>
      </c>
      <c r="AA11" s="629"/>
      <c r="AB11" s="664"/>
      <c r="AC11" s="629">
        <f t="shared" si="1"/>
        <v>246423.66</v>
      </c>
      <c r="AD11" s="630">
        <f t="shared" si="2"/>
        <v>0.05</v>
      </c>
      <c r="AE11" s="555">
        <f t="shared" si="3"/>
        <v>4928.3900000000003</v>
      </c>
      <c r="AF11" s="555">
        <f t="shared" si="4"/>
        <v>2707.8890000000006</v>
      </c>
      <c r="AG11" s="555">
        <f t="shared" si="10"/>
        <v>9.9999999929423211E-4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721" t="s">
        <v>6052</v>
      </c>
      <c r="C12" s="655">
        <v>520220</v>
      </c>
      <c r="D12" s="658">
        <v>1794</v>
      </c>
      <c r="E12" s="655" t="s">
        <v>687</v>
      </c>
      <c r="F12" s="546">
        <v>2017</v>
      </c>
      <c r="G12" s="659">
        <v>42990</v>
      </c>
      <c r="H12" s="655" t="s">
        <v>739</v>
      </c>
      <c r="I12" s="655" t="s">
        <v>6294</v>
      </c>
      <c r="J12" s="712"/>
      <c r="K12" s="655" t="s">
        <v>6450</v>
      </c>
      <c r="L12" s="655" t="s">
        <v>6556</v>
      </c>
      <c r="M12" s="660">
        <v>256171.42</v>
      </c>
      <c r="N12" s="660">
        <v>2707.89</v>
      </c>
      <c r="O12" s="660">
        <v>41420.69</v>
      </c>
      <c r="P12" s="660">
        <v>300300</v>
      </c>
      <c r="Q12" s="548"/>
      <c r="R12" s="660">
        <v>239904.6</v>
      </c>
      <c r="S12" s="549">
        <f t="shared" si="0"/>
        <v>60395.399999999994</v>
      </c>
      <c r="T12" s="113" t="s">
        <v>131</v>
      </c>
      <c r="U12" s="626" t="str">
        <f t="shared" si="5"/>
        <v>AA11845</v>
      </c>
      <c r="V12" s="627" t="str">
        <f t="shared" si="6"/>
        <v>1647-TCN17</v>
      </c>
      <c r="W12" s="626">
        <f t="shared" si="7"/>
        <v>520220</v>
      </c>
      <c r="X12" s="626" t="str">
        <f t="shared" si="8"/>
        <v>COROLLA LE AT</v>
      </c>
      <c r="Y12" s="627">
        <f t="shared" si="8"/>
        <v>2017</v>
      </c>
      <c r="Z12" s="628">
        <f t="shared" si="9"/>
        <v>256171.42</v>
      </c>
      <c r="AA12" s="629"/>
      <c r="AB12" s="664"/>
      <c r="AC12" s="629">
        <f t="shared" si="1"/>
        <v>246423.66</v>
      </c>
      <c r="AD12" s="630">
        <f t="shared" si="2"/>
        <v>0.05</v>
      </c>
      <c r="AE12" s="555">
        <f t="shared" si="3"/>
        <v>4928.3900000000003</v>
      </c>
      <c r="AF12" s="555">
        <f t="shared" si="4"/>
        <v>2707.8890000000006</v>
      </c>
      <c r="AG12" s="555">
        <f t="shared" si="10"/>
        <v>9.9999999929423211E-4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721" t="s">
        <v>6053</v>
      </c>
      <c r="C13" s="655">
        <v>520220</v>
      </c>
      <c r="D13" s="658">
        <v>1794</v>
      </c>
      <c r="E13" s="655" t="s">
        <v>687</v>
      </c>
      <c r="F13" s="546">
        <v>2017</v>
      </c>
      <c r="G13" s="659">
        <v>42993</v>
      </c>
      <c r="H13" s="655" t="s">
        <v>3694</v>
      </c>
      <c r="I13" s="655" t="s">
        <v>6295</v>
      </c>
      <c r="J13" s="712"/>
      <c r="K13" s="655" t="s">
        <v>830</v>
      </c>
      <c r="L13" s="655" t="s">
        <v>6557</v>
      </c>
      <c r="M13" s="660">
        <v>256171.42</v>
      </c>
      <c r="N13" s="660">
        <v>2707.89</v>
      </c>
      <c r="O13" s="660">
        <v>41420.69</v>
      </c>
      <c r="P13" s="660">
        <v>300300</v>
      </c>
      <c r="Q13" s="548"/>
      <c r="R13" s="660">
        <v>239904.6</v>
      </c>
      <c r="S13" s="549">
        <f t="shared" si="0"/>
        <v>60395.399999999994</v>
      </c>
      <c r="T13" s="113" t="s">
        <v>131</v>
      </c>
      <c r="U13" s="626" t="str">
        <f t="shared" si="5"/>
        <v>AA11876</v>
      </c>
      <c r="V13" s="627" t="str">
        <f t="shared" si="6"/>
        <v>1652-TCN17</v>
      </c>
      <c r="W13" s="626">
        <f t="shared" si="7"/>
        <v>520220</v>
      </c>
      <c r="X13" s="626" t="str">
        <f t="shared" si="8"/>
        <v>COROLLA LE AT</v>
      </c>
      <c r="Y13" s="627">
        <f t="shared" si="8"/>
        <v>2017</v>
      </c>
      <c r="Z13" s="628">
        <f t="shared" si="9"/>
        <v>256171.42</v>
      </c>
      <c r="AA13" s="629">
        <f>+Z13+Z12+Z11+Z10</f>
        <v>1024685.68</v>
      </c>
      <c r="AB13" s="664">
        <v>4</v>
      </c>
      <c r="AC13" s="629">
        <f t="shared" si="1"/>
        <v>246423.66</v>
      </c>
      <c r="AD13" s="630">
        <f t="shared" si="2"/>
        <v>0.05</v>
      </c>
      <c r="AE13" s="555">
        <f t="shared" si="3"/>
        <v>4928.3900000000003</v>
      </c>
      <c r="AF13" s="555">
        <f t="shared" si="4"/>
        <v>2707.8890000000006</v>
      </c>
      <c r="AG13" s="555">
        <f t="shared" si="10"/>
        <v>9.9999999929423211E-4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721" t="s">
        <v>6065</v>
      </c>
      <c r="C14" s="655">
        <v>520222</v>
      </c>
      <c r="D14" s="658">
        <v>1797</v>
      </c>
      <c r="E14" s="655" t="s">
        <v>688</v>
      </c>
      <c r="F14" s="546">
        <v>2017</v>
      </c>
      <c r="G14" s="659">
        <v>42984</v>
      </c>
      <c r="H14" s="655" t="s">
        <v>5129</v>
      </c>
      <c r="I14" s="655" t="s">
        <v>6302</v>
      </c>
      <c r="J14" s="712"/>
      <c r="K14" s="655" t="s">
        <v>6453</v>
      </c>
      <c r="L14" s="655" t="s">
        <v>6564</v>
      </c>
      <c r="M14" s="660">
        <v>231034.48</v>
      </c>
      <c r="N14" s="660">
        <v>0</v>
      </c>
      <c r="O14" s="660">
        <v>36965.519999999997</v>
      </c>
      <c r="P14" s="660">
        <v>268000</v>
      </c>
      <c r="Q14" s="548"/>
      <c r="R14" s="660">
        <v>212747.1</v>
      </c>
      <c r="S14" s="549">
        <f t="shared" si="0"/>
        <v>55252.899999999994</v>
      </c>
      <c r="T14" s="267" t="s">
        <v>131</v>
      </c>
      <c r="U14" s="626" t="str">
        <f t="shared" si="5"/>
        <v>AA11809</v>
      </c>
      <c r="V14" s="627" t="str">
        <f t="shared" si="6"/>
        <v>1793-TCN17</v>
      </c>
      <c r="W14" s="626">
        <f t="shared" si="7"/>
        <v>520222</v>
      </c>
      <c r="X14" s="626" t="str">
        <f t="shared" si="8"/>
        <v>COROLLA BASE MANUAL</v>
      </c>
      <c r="Y14" s="627">
        <f t="shared" si="8"/>
        <v>2017</v>
      </c>
      <c r="Z14" s="628">
        <f t="shared" si="9"/>
        <v>231034.48</v>
      </c>
      <c r="AA14" s="629">
        <f>+Z14</f>
        <v>231034.48</v>
      </c>
      <c r="AB14" s="765">
        <v>1</v>
      </c>
      <c r="AC14" s="629">
        <f t="shared" si="1"/>
        <v>0.01</v>
      </c>
      <c r="AD14" s="630">
        <f t="shared" si="2"/>
        <v>0.02</v>
      </c>
      <c r="AE14" s="555">
        <f t="shared" si="3"/>
        <v>0</v>
      </c>
      <c r="AF14" s="555">
        <v>0</v>
      </c>
      <c r="AG14" s="555">
        <f t="shared" si="10"/>
        <v>0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721" t="s">
        <v>6064</v>
      </c>
      <c r="C15" s="655">
        <v>520223</v>
      </c>
      <c r="D15" s="658">
        <v>1796</v>
      </c>
      <c r="E15" s="655" t="s">
        <v>689</v>
      </c>
      <c r="F15" s="546">
        <v>2017</v>
      </c>
      <c r="G15" s="659">
        <v>42999</v>
      </c>
      <c r="H15" s="655" t="s">
        <v>774</v>
      </c>
      <c r="I15" s="655" t="s">
        <v>6301</v>
      </c>
      <c r="J15" s="712"/>
      <c r="K15" s="655" t="s">
        <v>6452</v>
      </c>
      <c r="L15" s="655" t="s">
        <v>6563</v>
      </c>
      <c r="M15" s="660">
        <v>237794.47</v>
      </c>
      <c r="N15" s="660">
        <v>2377.94</v>
      </c>
      <c r="O15" s="660">
        <v>38427.589999999997</v>
      </c>
      <c r="P15" s="660">
        <v>278600</v>
      </c>
      <c r="Q15" s="548"/>
      <c r="R15" s="660">
        <v>220611.38</v>
      </c>
      <c r="S15" s="549">
        <f t="shared" si="0"/>
        <v>57988.619999999995</v>
      </c>
      <c r="T15" s="113" t="s">
        <v>131</v>
      </c>
      <c r="U15" s="626" t="str">
        <f t="shared" si="5"/>
        <v>AA11909</v>
      </c>
      <c r="V15" s="627" t="str">
        <f t="shared" si="6"/>
        <v>1853-TCN17</v>
      </c>
      <c r="W15" s="626">
        <f t="shared" si="7"/>
        <v>520223</v>
      </c>
      <c r="X15" s="626" t="str">
        <f t="shared" si="8"/>
        <v>COROLLA BASE AT</v>
      </c>
      <c r="Y15" s="627">
        <f t="shared" si="8"/>
        <v>2017</v>
      </c>
      <c r="Z15" s="628">
        <f t="shared" si="9"/>
        <v>237794.47</v>
      </c>
      <c r="AA15" s="629">
        <f>+Z15</f>
        <v>237794.47</v>
      </c>
      <c r="AB15" s="664">
        <v>1</v>
      </c>
      <c r="AC15" s="629">
        <f t="shared" si="1"/>
        <v>0.01</v>
      </c>
      <c r="AD15" s="630">
        <f t="shared" si="2"/>
        <v>0.02</v>
      </c>
      <c r="AE15" s="555">
        <f t="shared" si="3"/>
        <v>0</v>
      </c>
      <c r="AF15" s="555">
        <f t="shared" si="4"/>
        <v>2377.9445999999998</v>
      </c>
      <c r="AG15" s="555">
        <f t="shared" si="10"/>
        <v>-4.5999999997548002E-3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721" t="s">
        <v>6042</v>
      </c>
      <c r="C16" s="655">
        <v>520224</v>
      </c>
      <c r="D16" s="658">
        <v>1781</v>
      </c>
      <c r="E16" s="655" t="s">
        <v>690</v>
      </c>
      <c r="F16" s="546">
        <v>2017</v>
      </c>
      <c r="G16" s="659">
        <v>42986</v>
      </c>
      <c r="H16" s="655" t="s">
        <v>2954</v>
      </c>
      <c r="I16" s="655" t="s">
        <v>6286</v>
      </c>
      <c r="J16" s="712"/>
      <c r="K16" s="655" t="s">
        <v>6443</v>
      </c>
      <c r="L16" s="655" t="s">
        <v>6548</v>
      </c>
      <c r="M16" s="660">
        <v>266852.65999999997</v>
      </c>
      <c r="N16" s="660">
        <v>2974.93</v>
      </c>
      <c r="O16" s="660">
        <v>43172.41</v>
      </c>
      <c r="P16" s="660">
        <v>313000</v>
      </c>
      <c r="Q16" s="548"/>
      <c r="R16" s="660">
        <v>247778.87</v>
      </c>
      <c r="S16" s="549">
        <f t="shared" si="0"/>
        <v>65221.130000000005</v>
      </c>
      <c r="T16" s="113" t="s">
        <v>131</v>
      </c>
      <c r="U16" s="626" t="str">
        <f t="shared" si="5"/>
        <v>AA11826</v>
      </c>
      <c r="V16" s="627" t="str">
        <f t="shared" si="6"/>
        <v>1628-TCN17</v>
      </c>
      <c r="W16" s="626">
        <f t="shared" si="7"/>
        <v>520224</v>
      </c>
      <c r="X16" s="626" t="str">
        <f t="shared" si="8"/>
        <v>COROLLA SE MT</v>
      </c>
      <c r="Y16" s="627">
        <f t="shared" si="8"/>
        <v>2017</v>
      </c>
      <c r="Z16" s="628">
        <f t="shared" si="9"/>
        <v>266852.65999999997</v>
      </c>
      <c r="AA16" s="629"/>
      <c r="AB16" s="664"/>
      <c r="AC16" s="629">
        <f t="shared" si="1"/>
        <v>246423.66</v>
      </c>
      <c r="AD16" s="630">
        <f t="shared" si="2"/>
        <v>0.05</v>
      </c>
      <c r="AE16" s="555">
        <f t="shared" si="3"/>
        <v>4928.3900000000003</v>
      </c>
      <c r="AF16" s="555">
        <f t="shared" si="4"/>
        <v>2974.9199999999996</v>
      </c>
      <c r="AG16" s="555">
        <f t="shared" si="10"/>
        <v>1.0000000000218279E-2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721" t="s">
        <v>6043</v>
      </c>
      <c r="C17" s="655">
        <v>520224</v>
      </c>
      <c r="D17" s="658">
        <v>1781</v>
      </c>
      <c r="E17" s="655" t="s">
        <v>690</v>
      </c>
      <c r="F17" s="546">
        <v>2017</v>
      </c>
      <c r="G17" s="659">
        <v>42997</v>
      </c>
      <c r="H17" s="655" t="s">
        <v>788</v>
      </c>
      <c r="I17" s="655" t="s">
        <v>6287</v>
      </c>
      <c r="J17" s="712"/>
      <c r="K17" s="655" t="s">
        <v>6444</v>
      </c>
      <c r="L17" s="655" t="s">
        <v>6549</v>
      </c>
      <c r="M17" s="660">
        <v>266852.65999999997</v>
      </c>
      <c r="N17" s="660">
        <v>2974.93</v>
      </c>
      <c r="O17" s="660">
        <v>43172.41</v>
      </c>
      <c r="P17" s="660">
        <v>313000</v>
      </c>
      <c r="Q17" s="548"/>
      <c r="R17" s="660">
        <v>253253.78</v>
      </c>
      <c r="S17" s="549">
        <f t="shared" si="0"/>
        <v>59746.22</v>
      </c>
      <c r="T17" s="113" t="s">
        <v>131</v>
      </c>
      <c r="U17" s="626" t="str">
        <f t="shared" si="5"/>
        <v>AA11892</v>
      </c>
      <c r="V17" s="627" t="str">
        <f t="shared" si="6"/>
        <v>1855-TCN17</v>
      </c>
      <c r="W17" s="626">
        <f t="shared" si="7"/>
        <v>520224</v>
      </c>
      <c r="X17" s="626" t="str">
        <f t="shared" si="8"/>
        <v>COROLLA SE MT</v>
      </c>
      <c r="Y17" s="627">
        <f t="shared" si="8"/>
        <v>2017</v>
      </c>
      <c r="Z17" s="628">
        <f t="shared" si="9"/>
        <v>266852.65999999997</v>
      </c>
      <c r="AA17" s="629">
        <f>+Z17+Z16</f>
        <v>533705.31999999995</v>
      </c>
      <c r="AB17" s="664">
        <v>2</v>
      </c>
      <c r="AC17" s="629">
        <f t="shared" si="1"/>
        <v>246423.66</v>
      </c>
      <c r="AD17" s="630">
        <f t="shared" si="2"/>
        <v>0.05</v>
      </c>
      <c r="AE17" s="555">
        <f t="shared" si="3"/>
        <v>4928.3900000000003</v>
      </c>
      <c r="AF17" s="555">
        <f>+N17</f>
        <v>2974.93</v>
      </c>
      <c r="AG17" s="555">
        <f t="shared" si="10"/>
        <v>0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721" t="s">
        <v>6049</v>
      </c>
      <c r="C18" s="655">
        <v>520226</v>
      </c>
      <c r="D18" s="658">
        <v>1783</v>
      </c>
      <c r="E18" s="655" t="s">
        <v>692</v>
      </c>
      <c r="F18" s="546">
        <v>2017</v>
      </c>
      <c r="G18" s="659">
        <v>43000</v>
      </c>
      <c r="H18" s="655" t="s">
        <v>2214</v>
      </c>
      <c r="I18" s="655" t="s">
        <v>6291</v>
      </c>
      <c r="J18" s="712"/>
      <c r="K18" s="655" t="s">
        <v>6447</v>
      </c>
      <c r="L18" s="655" t="s">
        <v>6553</v>
      </c>
      <c r="M18" s="660">
        <v>281150.39</v>
      </c>
      <c r="N18" s="660">
        <v>3332.37</v>
      </c>
      <c r="O18" s="660">
        <v>45517.24</v>
      </c>
      <c r="P18" s="660">
        <v>330000</v>
      </c>
      <c r="Q18" s="548"/>
      <c r="R18" s="660">
        <v>264713.14</v>
      </c>
      <c r="S18" s="549">
        <f t="shared" si="0"/>
        <v>65286.859999999986</v>
      </c>
      <c r="T18" s="113" t="s">
        <v>131</v>
      </c>
      <c r="U18" s="626" t="str">
        <f t="shared" si="5"/>
        <v>AA11910</v>
      </c>
      <c r="V18" s="627" t="str">
        <f t="shared" si="6"/>
        <v>0687-TCN17</v>
      </c>
      <c r="W18" s="626">
        <f t="shared" si="7"/>
        <v>520226</v>
      </c>
      <c r="X18" s="626" t="str">
        <f t="shared" si="8"/>
        <v>COROLLA SE  PLUS  AT</v>
      </c>
      <c r="Y18" s="627">
        <f t="shared" si="8"/>
        <v>2017</v>
      </c>
      <c r="Z18" s="628">
        <f t="shared" si="9"/>
        <v>281150.39</v>
      </c>
      <c r="AA18" s="629"/>
      <c r="AB18" s="664"/>
      <c r="AC18" s="629">
        <f t="shared" si="1"/>
        <v>246423.66</v>
      </c>
      <c r="AD18" s="630">
        <f t="shared" si="2"/>
        <v>0.05</v>
      </c>
      <c r="AE18" s="555">
        <f t="shared" si="3"/>
        <v>4928.3900000000003</v>
      </c>
      <c r="AF18" s="555">
        <f t="shared" ref="AF18:AF20" si="12">IF(Z18&lt;281240.78,(((Z18-AC18)*AD18+AE18)/2),(Z18-AC18)*AD18+AE18)</f>
        <v>3332.3632500000003</v>
      </c>
      <c r="AG18" s="555">
        <f t="shared" si="10"/>
        <v>6.7499999995561666E-3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721" t="s">
        <v>6048</v>
      </c>
      <c r="C19" s="655">
        <v>520226</v>
      </c>
      <c r="D19" s="658">
        <v>1783</v>
      </c>
      <c r="E19" s="655" t="s">
        <v>692</v>
      </c>
      <c r="F19" s="546">
        <v>2017</v>
      </c>
      <c r="G19" s="659">
        <v>42992</v>
      </c>
      <c r="H19" s="655" t="s">
        <v>727</v>
      </c>
      <c r="I19" s="655" t="s">
        <v>6290</v>
      </c>
      <c r="J19" s="712"/>
      <c r="K19" s="655" t="s">
        <v>6446</v>
      </c>
      <c r="L19" s="655" t="s">
        <v>6552</v>
      </c>
      <c r="M19" s="660">
        <v>298923.65999999997</v>
      </c>
      <c r="N19" s="660">
        <v>7714.27</v>
      </c>
      <c r="O19" s="660">
        <v>49062.07</v>
      </c>
      <c r="P19" s="660">
        <v>355700</v>
      </c>
      <c r="Q19" s="548"/>
      <c r="R19" s="660">
        <v>274937.82</v>
      </c>
      <c r="S19" s="549">
        <f t="shared" si="0"/>
        <v>80762.179999999993</v>
      </c>
      <c r="T19" s="113" t="s">
        <v>131</v>
      </c>
      <c r="U19" s="626" t="str">
        <f t="shared" si="5"/>
        <v>AA11873</v>
      </c>
      <c r="V19" s="627" t="str">
        <f t="shared" si="6"/>
        <v>1772-TCN17</v>
      </c>
      <c r="W19" s="626">
        <f t="shared" si="7"/>
        <v>520226</v>
      </c>
      <c r="X19" s="626" t="str">
        <f t="shared" si="8"/>
        <v>COROLLA SE  PLUS  AT</v>
      </c>
      <c r="Y19" s="627">
        <f t="shared" si="8"/>
        <v>2017</v>
      </c>
      <c r="Z19" s="628">
        <f t="shared" si="9"/>
        <v>298923.65999999997</v>
      </c>
      <c r="AA19" s="629"/>
      <c r="AB19" s="664"/>
      <c r="AC19" s="629">
        <f t="shared" si="1"/>
        <v>295708.34000000003</v>
      </c>
      <c r="AD19" s="630">
        <f t="shared" si="2"/>
        <v>0.1</v>
      </c>
      <c r="AE19" s="555">
        <f t="shared" si="3"/>
        <v>7392.74</v>
      </c>
      <c r="AF19" s="555">
        <f t="shared" si="12"/>
        <v>7714.2719999999945</v>
      </c>
      <c r="AG19" s="555">
        <f t="shared" si="10"/>
        <v>-1.9999999940409907E-3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721" t="s">
        <v>6047</v>
      </c>
      <c r="C20" s="655">
        <v>520226</v>
      </c>
      <c r="D20" s="658">
        <v>1783</v>
      </c>
      <c r="E20" s="655" t="s">
        <v>692</v>
      </c>
      <c r="F20" s="546">
        <v>2017</v>
      </c>
      <c r="G20" s="659">
        <v>42990</v>
      </c>
      <c r="H20" s="655" t="s">
        <v>817</v>
      </c>
      <c r="I20" s="655" t="s">
        <v>6289</v>
      </c>
      <c r="J20" s="712"/>
      <c r="K20" s="655" t="s">
        <v>6445</v>
      </c>
      <c r="L20" s="655" t="s">
        <v>6551</v>
      </c>
      <c r="M20" s="660">
        <v>298923.65999999997</v>
      </c>
      <c r="N20" s="660">
        <v>7714.27</v>
      </c>
      <c r="O20" s="660">
        <v>49062.07</v>
      </c>
      <c r="P20" s="660">
        <v>355700</v>
      </c>
      <c r="Q20" s="548"/>
      <c r="R20" s="660">
        <v>275293.3</v>
      </c>
      <c r="S20" s="549">
        <f t="shared" si="0"/>
        <v>80406.700000000012</v>
      </c>
      <c r="T20" s="267" t="s">
        <v>131</v>
      </c>
      <c r="U20" s="626" t="str">
        <f t="shared" si="5"/>
        <v>AA11844</v>
      </c>
      <c r="V20" s="627" t="str">
        <f t="shared" si="6"/>
        <v>1802-TCN17</v>
      </c>
      <c r="W20" s="626">
        <f t="shared" si="7"/>
        <v>520226</v>
      </c>
      <c r="X20" s="626" t="str">
        <f t="shared" si="8"/>
        <v>COROLLA SE  PLUS  AT</v>
      </c>
      <c r="Y20" s="627">
        <f t="shared" si="8"/>
        <v>2017</v>
      </c>
      <c r="Z20" s="628">
        <f t="shared" si="9"/>
        <v>298923.65999999997</v>
      </c>
      <c r="AA20" s="629"/>
      <c r="AB20" s="664"/>
      <c r="AC20" s="629">
        <f t="shared" si="1"/>
        <v>295708.34000000003</v>
      </c>
      <c r="AD20" s="630">
        <f t="shared" si="2"/>
        <v>0.1</v>
      </c>
      <c r="AE20" s="555">
        <f t="shared" si="3"/>
        <v>7392.74</v>
      </c>
      <c r="AF20" s="555">
        <f t="shared" si="12"/>
        <v>7714.2719999999945</v>
      </c>
      <c r="AG20" s="555">
        <f t="shared" si="10"/>
        <v>-1.9999999940409907E-3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721" t="s">
        <v>6050</v>
      </c>
      <c r="C21" s="655">
        <v>520226</v>
      </c>
      <c r="D21" s="658">
        <v>1783</v>
      </c>
      <c r="E21" s="655" t="s">
        <v>692</v>
      </c>
      <c r="F21" s="546">
        <v>2017</v>
      </c>
      <c r="G21" s="659">
        <v>43000</v>
      </c>
      <c r="H21" s="655" t="s">
        <v>774</v>
      </c>
      <c r="I21" s="655" t="s">
        <v>6292</v>
      </c>
      <c r="J21" s="712"/>
      <c r="K21" s="655" t="s">
        <v>6448</v>
      </c>
      <c r="L21" s="655" t="s">
        <v>6554</v>
      </c>
      <c r="M21" s="660">
        <v>298923.65999999997</v>
      </c>
      <c r="N21" s="660">
        <v>7714.27</v>
      </c>
      <c r="O21" s="660">
        <v>49062.07</v>
      </c>
      <c r="P21" s="660">
        <v>355700</v>
      </c>
      <c r="Q21" s="548"/>
      <c r="R21" s="660">
        <v>278710.09999999998</v>
      </c>
      <c r="S21" s="549">
        <f t="shared" si="0"/>
        <v>76989.900000000023</v>
      </c>
      <c r="T21" s="113" t="s">
        <v>131</v>
      </c>
      <c r="U21" s="626" t="str">
        <f t="shared" si="5"/>
        <v>AA11915</v>
      </c>
      <c r="V21" s="627" t="str">
        <f t="shared" si="6"/>
        <v>1862-TCN17</v>
      </c>
      <c r="W21" s="626">
        <f t="shared" si="7"/>
        <v>520226</v>
      </c>
      <c r="X21" s="626" t="str">
        <f t="shared" si="8"/>
        <v>COROLLA SE  PLUS  AT</v>
      </c>
      <c r="Y21" s="627">
        <f t="shared" si="8"/>
        <v>2017</v>
      </c>
      <c r="Z21" s="628">
        <f t="shared" si="9"/>
        <v>298923.65999999997</v>
      </c>
      <c r="AA21" s="629">
        <f>+Z21+Z20+Z19+Z18</f>
        <v>1177921.3700000001</v>
      </c>
      <c r="AB21" s="664">
        <v>4</v>
      </c>
      <c r="AC21" s="629">
        <f t="shared" si="1"/>
        <v>295708.34000000003</v>
      </c>
      <c r="AD21" s="630">
        <f t="shared" si="2"/>
        <v>0.1</v>
      </c>
      <c r="AE21" s="555">
        <f t="shared" si="3"/>
        <v>7392.74</v>
      </c>
      <c r="AF21" s="555">
        <f t="shared" si="4"/>
        <v>7714.2719999999945</v>
      </c>
      <c r="AG21" s="555">
        <f t="shared" si="10"/>
        <v>-1.9999999940409907E-3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721" t="s">
        <v>6153</v>
      </c>
      <c r="C22" s="655">
        <v>520504</v>
      </c>
      <c r="D22" s="658">
        <v>5396</v>
      </c>
      <c r="E22" s="655" t="s">
        <v>132</v>
      </c>
      <c r="F22" s="546">
        <v>2017</v>
      </c>
      <c r="G22" s="659">
        <v>43004</v>
      </c>
      <c r="H22" s="655" t="s">
        <v>5129</v>
      </c>
      <c r="I22" s="655" t="s">
        <v>6354</v>
      </c>
      <c r="J22" s="712"/>
      <c r="K22" s="655" t="s">
        <v>6483</v>
      </c>
      <c r="L22" s="655" t="s">
        <v>6615</v>
      </c>
      <c r="M22" s="660">
        <v>459200.49</v>
      </c>
      <c r="N22" s="660">
        <v>29765.03</v>
      </c>
      <c r="O22" s="660">
        <v>78234.48</v>
      </c>
      <c r="P22" s="660">
        <v>567200</v>
      </c>
      <c r="Q22" s="548"/>
      <c r="R22" s="660">
        <v>426248.19</v>
      </c>
      <c r="S22" s="549">
        <f t="shared" si="0"/>
        <v>140951.81</v>
      </c>
      <c r="T22" s="113" t="s">
        <v>131</v>
      </c>
      <c r="U22" s="626" t="str">
        <f t="shared" si="5"/>
        <v>AA11931</v>
      </c>
      <c r="V22" s="627" t="str">
        <f t="shared" si="6"/>
        <v>1851-TCN17</v>
      </c>
      <c r="W22" s="626">
        <f t="shared" si="7"/>
        <v>520504</v>
      </c>
      <c r="X22" s="626" t="str">
        <f t="shared" si="8"/>
        <v>SIENNA XLE</v>
      </c>
      <c r="Y22" s="627">
        <f t="shared" si="8"/>
        <v>2017</v>
      </c>
      <c r="Z22" s="628">
        <f t="shared" si="9"/>
        <v>459200.49</v>
      </c>
      <c r="AA22" s="629">
        <f>+Z22</f>
        <v>459200.49</v>
      </c>
      <c r="AB22" s="664">
        <v>1</v>
      </c>
      <c r="AC22" s="629">
        <f t="shared" si="1"/>
        <v>443562.4</v>
      </c>
      <c r="AD22" s="630">
        <f t="shared" si="2"/>
        <v>0.17</v>
      </c>
      <c r="AE22" s="555">
        <f t="shared" si="3"/>
        <v>27106.55</v>
      </c>
      <c r="AF22" s="555">
        <f>IF(Z22&lt;281240.78,(((Z22-AC22)*AD22+AE22)/2),(Z22-AC22)*AD22+AE22)</f>
        <v>29765.025299999994</v>
      </c>
      <c r="AG22" s="555">
        <f t="shared" si="10"/>
        <v>4.7000000049592927E-3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721" t="s">
        <v>6158</v>
      </c>
      <c r="C23" s="655">
        <v>520514</v>
      </c>
      <c r="D23" s="658">
        <v>5398</v>
      </c>
      <c r="E23" s="655" t="s">
        <v>117</v>
      </c>
      <c r="F23" s="546">
        <v>2017</v>
      </c>
      <c r="G23" s="659">
        <v>42992</v>
      </c>
      <c r="H23" s="655" t="s">
        <v>2215</v>
      </c>
      <c r="I23" s="655" t="s">
        <v>6357</v>
      </c>
      <c r="J23" s="712"/>
      <c r="K23" s="655" t="s">
        <v>3167</v>
      </c>
      <c r="L23" s="655" t="s">
        <v>6618</v>
      </c>
      <c r="M23" s="660">
        <v>505324.86</v>
      </c>
      <c r="N23" s="660">
        <v>37606.17</v>
      </c>
      <c r="O23" s="660">
        <v>86868.97</v>
      </c>
      <c r="P23" s="660">
        <v>629800</v>
      </c>
      <c r="Q23" s="548"/>
      <c r="R23" s="660">
        <v>456016.94</v>
      </c>
      <c r="S23" s="549">
        <f t="shared" si="0"/>
        <v>173783.06</v>
      </c>
      <c r="T23" s="113" t="s">
        <v>131</v>
      </c>
      <c r="U23" s="626" t="str">
        <f t="shared" si="5"/>
        <v>AA11874</v>
      </c>
      <c r="V23" s="627" t="str">
        <f t="shared" si="6"/>
        <v>1182-TCN17</v>
      </c>
      <c r="W23" s="626">
        <f t="shared" si="7"/>
        <v>520514</v>
      </c>
      <c r="X23" s="626" t="str">
        <f t="shared" si="8"/>
        <v>SIENNA XLE PIEL</v>
      </c>
      <c r="Y23" s="627">
        <f t="shared" si="8"/>
        <v>2017</v>
      </c>
      <c r="Z23" s="628">
        <f t="shared" si="9"/>
        <v>505324.86</v>
      </c>
      <c r="AA23" s="629"/>
      <c r="AB23" s="664"/>
      <c r="AC23" s="629">
        <f t="shared" si="1"/>
        <v>443562.4</v>
      </c>
      <c r="AD23" s="630">
        <f t="shared" si="2"/>
        <v>0.17</v>
      </c>
      <c r="AE23" s="555">
        <f t="shared" si="3"/>
        <v>27106.55</v>
      </c>
      <c r="AF23" s="555">
        <f>IF(Z23&lt;281240.78,(((Z23-AC23)*AD23+AE23)/2),(Z23-AC23)*AD23+AE23)</f>
        <v>37606.168199999993</v>
      </c>
      <c r="AG23" s="555">
        <f t="shared" si="10"/>
        <v>1.8000000054598786E-3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721" t="s">
        <v>6156</v>
      </c>
      <c r="C24" s="655">
        <v>520514</v>
      </c>
      <c r="D24" s="658">
        <v>5398</v>
      </c>
      <c r="E24" s="655" t="s">
        <v>117</v>
      </c>
      <c r="F24" s="546">
        <v>2017</v>
      </c>
      <c r="G24" s="659">
        <v>42986</v>
      </c>
      <c r="H24" s="655" t="s">
        <v>1211</v>
      </c>
      <c r="I24" s="655" t="s">
        <v>6355</v>
      </c>
      <c r="J24" s="712"/>
      <c r="K24" s="655" t="s">
        <v>6484</v>
      </c>
      <c r="L24" s="655" t="s">
        <v>6616</v>
      </c>
      <c r="M24" s="660">
        <v>527429.18999999994</v>
      </c>
      <c r="N24" s="660">
        <v>41363.910000000003</v>
      </c>
      <c r="O24" s="660">
        <v>91006.9</v>
      </c>
      <c r="P24" s="660">
        <v>659800</v>
      </c>
      <c r="Q24" s="548"/>
      <c r="R24" s="660">
        <v>466811.42</v>
      </c>
      <c r="S24" s="549">
        <f t="shared" si="0"/>
        <v>192988.58000000002</v>
      </c>
      <c r="T24" s="267" t="s">
        <v>131</v>
      </c>
      <c r="U24" s="626" t="str">
        <f t="shared" si="5"/>
        <v>AA11825</v>
      </c>
      <c r="V24" s="627" t="str">
        <f t="shared" si="6"/>
        <v>1714-TCN17</v>
      </c>
      <c r="W24" s="626">
        <f t="shared" si="7"/>
        <v>520514</v>
      </c>
      <c r="X24" s="626" t="str">
        <f t="shared" si="8"/>
        <v>SIENNA XLE PIEL</v>
      </c>
      <c r="Y24" s="627">
        <f t="shared" si="8"/>
        <v>2017</v>
      </c>
      <c r="Z24" s="628">
        <f t="shared" si="9"/>
        <v>527429.18999999994</v>
      </c>
      <c r="AA24" s="629"/>
      <c r="AB24" s="664"/>
      <c r="AC24" s="629">
        <f t="shared" si="1"/>
        <v>443562.4</v>
      </c>
      <c r="AD24" s="630">
        <f t="shared" si="2"/>
        <v>0.17</v>
      </c>
      <c r="AE24" s="555">
        <f t="shared" si="3"/>
        <v>27106.55</v>
      </c>
      <c r="AF24" s="555">
        <f t="shared" si="4"/>
        <v>41363.904299999987</v>
      </c>
      <c r="AG24" s="555">
        <f t="shared" si="10"/>
        <v>5.7000000160769559E-3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721" t="s">
        <v>6160</v>
      </c>
      <c r="C25" s="655">
        <v>520514</v>
      </c>
      <c r="D25" s="658">
        <v>5398</v>
      </c>
      <c r="E25" s="655" t="s">
        <v>117</v>
      </c>
      <c r="F25" s="546">
        <v>2017</v>
      </c>
      <c r="G25" s="659">
        <v>42993</v>
      </c>
      <c r="H25" s="655" t="s">
        <v>2215</v>
      </c>
      <c r="I25" s="655" t="s">
        <v>6359</v>
      </c>
      <c r="J25" s="712"/>
      <c r="K25" s="655" t="s">
        <v>3167</v>
      </c>
      <c r="L25" s="655" t="s">
        <v>6620</v>
      </c>
      <c r="M25" s="660">
        <v>505324.86</v>
      </c>
      <c r="N25" s="660">
        <v>37606.17</v>
      </c>
      <c r="O25" s="660">
        <v>86868.97</v>
      </c>
      <c r="P25" s="660">
        <v>629800</v>
      </c>
      <c r="Q25" s="548"/>
      <c r="R25" s="660">
        <v>466456.08</v>
      </c>
      <c r="S25" s="549">
        <f t="shared" si="0"/>
        <v>163343.91999999998</v>
      </c>
      <c r="T25" s="267" t="s">
        <v>131</v>
      </c>
      <c r="U25" s="626" t="str">
        <f t="shared" si="5"/>
        <v>AA11878</v>
      </c>
      <c r="V25" s="627" t="str">
        <f t="shared" si="6"/>
        <v>1774-TCN17</v>
      </c>
      <c r="W25" s="626">
        <f t="shared" si="7"/>
        <v>520514</v>
      </c>
      <c r="X25" s="626" t="str">
        <f t="shared" si="8"/>
        <v>SIENNA XLE PIEL</v>
      </c>
      <c r="Y25" s="627">
        <f t="shared" si="8"/>
        <v>2017</v>
      </c>
      <c r="Z25" s="628">
        <f t="shared" si="9"/>
        <v>505324.86</v>
      </c>
      <c r="AA25" s="629"/>
      <c r="AB25" s="664"/>
      <c r="AC25" s="629">
        <f>VLOOKUP(Z25,TARIFA,1)</f>
        <v>443562.4</v>
      </c>
      <c r="AD25" s="630">
        <f>VLOOKUP(Z25,TARIFA,4)</f>
        <v>0.17</v>
      </c>
      <c r="AE25" s="555">
        <f>VLOOKUP(Z25,TARIFA,3)</f>
        <v>27106.55</v>
      </c>
      <c r="AF25" s="555">
        <f>IF(Z25&lt;281240.78,(((Z25-AC25)*AD25+AE25)/2),(Z25-AC25)*AD25+AE25)</f>
        <v>37606.168199999993</v>
      </c>
      <c r="AG25" s="555">
        <f>+N25-AF25</f>
        <v>1.8000000054598786E-3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721" t="s">
        <v>6157</v>
      </c>
      <c r="C26" s="655">
        <v>520514</v>
      </c>
      <c r="D26" s="658">
        <v>5398</v>
      </c>
      <c r="E26" s="655" t="s">
        <v>117</v>
      </c>
      <c r="F26" s="546">
        <v>2017</v>
      </c>
      <c r="G26" s="659">
        <v>42987</v>
      </c>
      <c r="H26" s="655" t="s">
        <v>3694</v>
      </c>
      <c r="I26" s="655" t="s">
        <v>6356</v>
      </c>
      <c r="J26" s="712"/>
      <c r="K26" s="655" t="s">
        <v>6485</v>
      </c>
      <c r="L26" s="655" t="s">
        <v>6617</v>
      </c>
      <c r="M26" s="660">
        <v>505324.86</v>
      </c>
      <c r="N26" s="660">
        <v>37606.17</v>
      </c>
      <c r="O26" s="660">
        <v>86868.97</v>
      </c>
      <c r="P26" s="660">
        <v>629800</v>
      </c>
      <c r="Q26" s="548"/>
      <c r="R26" s="660">
        <v>466837.64</v>
      </c>
      <c r="S26" s="549">
        <f t="shared" si="0"/>
        <v>162962.35999999999</v>
      </c>
      <c r="T26" s="113" t="s">
        <v>131</v>
      </c>
      <c r="U26" s="626" t="str">
        <f t="shared" si="5"/>
        <v>AA11829</v>
      </c>
      <c r="V26" s="627" t="str">
        <f t="shared" si="6"/>
        <v>1788-TCN17</v>
      </c>
      <c r="W26" s="626">
        <f t="shared" si="7"/>
        <v>520514</v>
      </c>
      <c r="X26" s="626" t="str">
        <f t="shared" si="8"/>
        <v>SIENNA XLE PIEL</v>
      </c>
      <c r="Y26" s="627">
        <f t="shared" si="8"/>
        <v>2017</v>
      </c>
      <c r="Z26" s="628">
        <f t="shared" si="9"/>
        <v>505324.86</v>
      </c>
      <c r="AA26" s="629"/>
      <c r="AB26" s="664"/>
      <c r="AC26" s="629">
        <f t="shared" ref="AC26:AC40" si="13">VLOOKUP(Z26,TARIFA,1)</f>
        <v>443562.4</v>
      </c>
      <c r="AD26" s="630">
        <f t="shared" ref="AD26:AD40" si="14">VLOOKUP(Z26,TARIFA,4)</f>
        <v>0.17</v>
      </c>
      <c r="AE26" s="555">
        <f t="shared" ref="AE26:AE40" si="15">VLOOKUP(Z26,TARIFA,3)</f>
        <v>27106.55</v>
      </c>
      <c r="AF26" s="555">
        <f t="shared" ref="AF26:AF29" si="16">IF(Z26&lt;281240.78,(((Z26-AC26)*AD26+AE26)/2),(Z26-AC26)*AD26+AE26)</f>
        <v>37606.168199999993</v>
      </c>
      <c r="AG26" s="555">
        <f t="shared" ref="AG26:AG29" si="17">+N26-AF26</f>
        <v>1.8000000054598786E-3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721" t="s">
        <v>6161</v>
      </c>
      <c r="C27" s="655">
        <v>520514</v>
      </c>
      <c r="D27" s="658">
        <v>5398</v>
      </c>
      <c r="E27" s="655" t="s">
        <v>117</v>
      </c>
      <c r="F27" s="546">
        <v>2017</v>
      </c>
      <c r="G27" s="659">
        <v>42997</v>
      </c>
      <c r="H27" s="655" t="s">
        <v>2215</v>
      </c>
      <c r="I27" s="655" t="s">
        <v>6360</v>
      </c>
      <c r="J27" s="712"/>
      <c r="K27" s="655" t="s">
        <v>6486</v>
      </c>
      <c r="L27" s="655" t="s">
        <v>6621</v>
      </c>
      <c r="M27" s="660">
        <v>505324.86</v>
      </c>
      <c r="N27" s="660">
        <v>37606.17</v>
      </c>
      <c r="O27" s="660">
        <v>86868.97</v>
      </c>
      <c r="P27" s="660">
        <v>629800</v>
      </c>
      <c r="Q27" s="548"/>
      <c r="R27" s="660">
        <v>466837.64</v>
      </c>
      <c r="S27" s="549">
        <f t="shared" si="0"/>
        <v>162962.35999999999</v>
      </c>
      <c r="T27" s="113" t="s">
        <v>131</v>
      </c>
      <c r="U27" s="626" t="str">
        <f t="shared" si="5"/>
        <v>AA11890</v>
      </c>
      <c r="V27" s="627" t="str">
        <f t="shared" si="6"/>
        <v>1789-TCN17</v>
      </c>
      <c r="W27" s="626">
        <f t="shared" si="7"/>
        <v>520514</v>
      </c>
      <c r="X27" s="626" t="str">
        <f t="shared" si="8"/>
        <v>SIENNA XLE PIEL</v>
      </c>
      <c r="Y27" s="627">
        <f t="shared" si="8"/>
        <v>2017</v>
      </c>
      <c r="Z27" s="628">
        <f t="shared" si="9"/>
        <v>505324.86</v>
      </c>
      <c r="AA27" s="629"/>
      <c r="AB27" s="664"/>
      <c r="AC27" s="629">
        <f t="shared" si="13"/>
        <v>443562.4</v>
      </c>
      <c r="AD27" s="630">
        <f t="shared" si="14"/>
        <v>0.17</v>
      </c>
      <c r="AE27" s="555">
        <f t="shared" si="15"/>
        <v>27106.55</v>
      </c>
      <c r="AF27" s="555">
        <f t="shared" si="16"/>
        <v>37606.168199999993</v>
      </c>
      <c r="AG27" s="555">
        <f t="shared" si="17"/>
        <v>1.8000000054598786E-3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721" t="s">
        <v>6159</v>
      </c>
      <c r="C28" s="655">
        <v>520514</v>
      </c>
      <c r="D28" s="658">
        <v>5398</v>
      </c>
      <c r="E28" s="655" t="s">
        <v>117</v>
      </c>
      <c r="F28" s="546">
        <v>2017</v>
      </c>
      <c r="G28" s="659">
        <v>42992</v>
      </c>
      <c r="H28" s="655" t="s">
        <v>2215</v>
      </c>
      <c r="I28" s="655" t="s">
        <v>6358</v>
      </c>
      <c r="J28" s="712"/>
      <c r="K28" s="655" t="s">
        <v>3167</v>
      </c>
      <c r="L28" s="655" t="s">
        <v>6619</v>
      </c>
      <c r="M28" s="660">
        <v>505324.86</v>
      </c>
      <c r="N28" s="660">
        <v>37606.17</v>
      </c>
      <c r="O28" s="660">
        <v>86868.97</v>
      </c>
      <c r="P28" s="660">
        <v>629800</v>
      </c>
      <c r="Q28" s="548"/>
      <c r="R28" s="660">
        <v>466456.08</v>
      </c>
      <c r="S28" s="549">
        <f t="shared" si="0"/>
        <v>163343.91999999998</v>
      </c>
      <c r="T28" s="267" t="s">
        <v>131</v>
      </c>
      <c r="U28" s="626" t="str">
        <f t="shared" si="5"/>
        <v>AA11869</v>
      </c>
      <c r="V28" s="627" t="str">
        <f t="shared" si="6"/>
        <v>1796-TCN17</v>
      </c>
      <c r="W28" s="626">
        <f t="shared" si="7"/>
        <v>520514</v>
      </c>
      <c r="X28" s="626" t="str">
        <f t="shared" si="8"/>
        <v>SIENNA XLE PIEL</v>
      </c>
      <c r="Y28" s="627">
        <f t="shared" si="8"/>
        <v>2017</v>
      </c>
      <c r="Z28" s="628">
        <f t="shared" si="9"/>
        <v>505324.86</v>
      </c>
      <c r="AA28" s="629"/>
      <c r="AB28" s="664"/>
      <c r="AC28" s="629">
        <f t="shared" si="13"/>
        <v>443562.4</v>
      </c>
      <c r="AD28" s="630">
        <f t="shared" si="14"/>
        <v>0.17</v>
      </c>
      <c r="AE28" s="555">
        <f t="shared" si="15"/>
        <v>27106.55</v>
      </c>
      <c r="AF28" s="555">
        <f t="shared" si="16"/>
        <v>37606.168199999993</v>
      </c>
      <c r="AG28" s="555">
        <f t="shared" si="17"/>
        <v>1.8000000054598786E-3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721" t="s">
        <v>6165</v>
      </c>
      <c r="C29" s="655">
        <v>520514</v>
      </c>
      <c r="D29" s="658">
        <v>5398</v>
      </c>
      <c r="E29" s="655" t="s">
        <v>117</v>
      </c>
      <c r="F29" s="546">
        <v>2017</v>
      </c>
      <c r="G29" s="659">
        <v>43007</v>
      </c>
      <c r="H29" s="655" t="s">
        <v>2215</v>
      </c>
      <c r="I29" s="655" t="s">
        <v>6364</v>
      </c>
      <c r="J29" s="712"/>
      <c r="K29" s="655" t="s">
        <v>6488</v>
      </c>
      <c r="L29" s="655" t="s">
        <v>6625</v>
      </c>
      <c r="M29" s="660">
        <v>505324.86</v>
      </c>
      <c r="N29" s="660">
        <v>37606.17</v>
      </c>
      <c r="O29" s="660">
        <v>86868.97</v>
      </c>
      <c r="P29" s="660">
        <v>629800</v>
      </c>
      <c r="Q29" s="548"/>
      <c r="R29" s="660">
        <v>466837.64</v>
      </c>
      <c r="S29" s="549">
        <f t="shared" si="0"/>
        <v>162962.35999999999</v>
      </c>
      <c r="T29" s="113" t="s">
        <v>131</v>
      </c>
      <c r="U29" s="626" t="str">
        <f t="shared" si="5"/>
        <v>AA11984</v>
      </c>
      <c r="V29" s="627" t="str">
        <f t="shared" si="6"/>
        <v>1852-TCN17</v>
      </c>
      <c r="W29" s="626">
        <f t="shared" si="7"/>
        <v>520514</v>
      </c>
      <c r="X29" s="626" t="str">
        <f t="shared" si="8"/>
        <v>SIENNA XLE PIEL</v>
      </c>
      <c r="Y29" s="627">
        <f t="shared" si="8"/>
        <v>2017</v>
      </c>
      <c r="Z29" s="628">
        <f t="shared" si="9"/>
        <v>505324.86</v>
      </c>
      <c r="AA29" s="629"/>
      <c r="AB29" s="664"/>
      <c r="AC29" s="629">
        <f t="shared" si="13"/>
        <v>443562.4</v>
      </c>
      <c r="AD29" s="630">
        <f t="shared" si="14"/>
        <v>0.17</v>
      </c>
      <c r="AE29" s="555">
        <f t="shared" si="15"/>
        <v>27106.55</v>
      </c>
      <c r="AF29" s="555">
        <f t="shared" si="16"/>
        <v>37606.168199999993</v>
      </c>
      <c r="AG29" s="555">
        <f t="shared" si="17"/>
        <v>1.8000000054598786E-3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721" t="s">
        <v>6166</v>
      </c>
      <c r="C30" s="655">
        <v>520514</v>
      </c>
      <c r="D30" s="658">
        <v>5398</v>
      </c>
      <c r="E30" s="655" t="s">
        <v>117</v>
      </c>
      <c r="F30" s="546">
        <v>2017</v>
      </c>
      <c r="G30" s="659">
        <v>43007</v>
      </c>
      <c r="H30" s="655" t="s">
        <v>2215</v>
      </c>
      <c r="I30" s="655" t="s">
        <v>6365</v>
      </c>
      <c r="J30" s="712"/>
      <c r="K30" s="655" t="s">
        <v>6488</v>
      </c>
      <c r="L30" s="655" t="s">
        <v>6626</v>
      </c>
      <c r="M30" s="660">
        <v>505324.86</v>
      </c>
      <c r="N30" s="660">
        <v>37606.17</v>
      </c>
      <c r="O30" s="660">
        <v>86868.97</v>
      </c>
      <c r="P30" s="660">
        <v>629800</v>
      </c>
      <c r="Q30" s="548"/>
      <c r="R30" s="660">
        <v>466837.64</v>
      </c>
      <c r="S30" s="549">
        <f t="shared" si="0"/>
        <v>162962.35999999999</v>
      </c>
      <c r="T30" s="113" t="s">
        <v>131</v>
      </c>
      <c r="U30" s="626" t="str">
        <f t="shared" si="5"/>
        <v>AA11985</v>
      </c>
      <c r="V30" s="627" t="str">
        <f t="shared" si="6"/>
        <v>1871-TCN17</v>
      </c>
      <c r="W30" s="626">
        <f t="shared" si="7"/>
        <v>520514</v>
      </c>
      <c r="X30" s="626" t="str">
        <f t="shared" si="8"/>
        <v>SIENNA XLE PIEL</v>
      </c>
      <c r="Y30" s="627">
        <f t="shared" si="8"/>
        <v>2017</v>
      </c>
      <c r="Z30" s="628">
        <f t="shared" si="9"/>
        <v>505324.86</v>
      </c>
      <c r="AA30" s="629"/>
      <c r="AB30" s="755"/>
      <c r="AC30" s="629">
        <f t="shared" ref="AC30:AC33" si="18">VLOOKUP(Z30,TARIFA,1)</f>
        <v>443562.4</v>
      </c>
      <c r="AD30" s="630">
        <f t="shared" ref="AD30:AD33" si="19">VLOOKUP(Z30,TARIFA,4)</f>
        <v>0.17</v>
      </c>
      <c r="AE30" s="555">
        <f t="shared" ref="AE30:AE33" si="20">VLOOKUP(Z30,TARIFA,3)</f>
        <v>27106.55</v>
      </c>
      <c r="AF30" s="555">
        <f t="shared" ref="AF30:AF33" si="21">IF(Z30&lt;281240.78,(((Z30-AC30)*AD30+AE30)/2),(Z30-AC30)*AD30+AE30)</f>
        <v>37606.168199999993</v>
      </c>
      <c r="AG30" s="555">
        <f t="shared" si="10"/>
        <v>1.8000000054598786E-3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721" t="s">
        <v>6164</v>
      </c>
      <c r="C31" s="655">
        <v>520514</v>
      </c>
      <c r="D31" s="658">
        <v>5398</v>
      </c>
      <c r="E31" s="655" t="s">
        <v>117</v>
      </c>
      <c r="F31" s="546">
        <v>2017</v>
      </c>
      <c r="G31" s="659">
        <v>43005</v>
      </c>
      <c r="H31" s="655" t="s">
        <v>764</v>
      </c>
      <c r="I31" s="655" t="s">
        <v>6363</v>
      </c>
      <c r="J31" s="712"/>
      <c r="K31" s="655" t="s">
        <v>6487</v>
      </c>
      <c r="L31" s="655" t="s">
        <v>6624</v>
      </c>
      <c r="M31" s="660">
        <v>505324.86</v>
      </c>
      <c r="N31" s="660">
        <v>37606.17</v>
      </c>
      <c r="O31" s="660">
        <v>86868.97</v>
      </c>
      <c r="P31" s="660">
        <v>629800</v>
      </c>
      <c r="Q31" s="548"/>
      <c r="R31" s="660">
        <v>467192.12</v>
      </c>
      <c r="S31" s="549">
        <f t="shared" si="0"/>
        <v>162607.88</v>
      </c>
      <c r="T31" s="113" t="s">
        <v>131</v>
      </c>
      <c r="U31" s="626" t="str">
        <f t="shared" si="5"/>
        <v>AA11961</v>
      </c>
      <c r="V31" s="627" t="str">
        <f t="shared" si="6"/>
        <v>1885-TCN17</v>
      </c>
      <c r="W31" s="626">
        <f t="shared" si="7"/>
        <v>520514</v>
      </c>
      <c r="X31" s="626" t="str">
        <f t="shared" si="8"/>
        <v>SIENNA XLE PIEL</v>
      </c>
      <c r="Y31" s="627">
        <f t="shared" si="8"/>
        <v>2017</v>
      </c>
      <c r="Z31" s="628">
        <f t="shared" si="9"/>
        <v>505324.86</v>
      </c>
      <c r="AA31" s="629">
        <f>+Z31+Z30+Z29+Z28+Z27+Z26+Z25+Z24+Z23</f>
        <v>4570028.0699999994</v>
      </c>
      <c r="AB31" s="755">
        <v>9</v>
      </c>
      <c r="AC31" s="629">
        <f t="shared" si="18"/>
        <v>443562.4</v>
      </c>
      <c r="AD31" s="630">
        <f t="shared" si="19"/>
        <v>0.17</v>
      </c>
      <c r="AE31" s="555">
        <f t="shared" si="20"/>
        <v>27106.55</v>
      </c>
      <c r="AF31" s="555">
        <f t="shared" si="21"/>
        <v>37606.168199999993</v>
      </c>
      <c r="AG31" s="555">
        <f>+N31-AF31</f>
        <v>1.8000000054598786E-3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721" t="s">
        <v>6147</v>
      </c>
      <c r="C32" s="655">
        <v>520809</v>
      </c>
      <c r="D32" s="658">
        <v>4493</v>
      </c>
      <c r="E32" s="655" t="s">
        <v>693</v>
      </c>
      <c r="F32" s="546">
        <v>2017</v>
      </c>
      <c r="G32" s="659">
        <v>43004</v>
      </c>
      <c r="H32" s="655" t="s">
        <v>817</v>
      </c>
      <c r="I32" s="655" t="s">
        <v>6348</v>
      </c>
      <c r="J32" s="712"/>
      <c r="K32" s="655" t="s">
        <v>6482</v>
      </c>
      <c r="L32" s="655" t="s">
        <v>6610</v>
      </c>
      <c r="M32" s="660">
        <v>315616.45</v>
      </c>
      <c r="N32" s="660">
        <v>9383.5499999999993</v>
      </c>
      <c r="O32" s="660">
        <v>52000</v>
      </c>
      <c r="P32" s="660">
        <v>377000</v>
      </c>
      <c r="Q32" s="548"/>
      <c r="R32" s="660">
        <v>276646.12</v>
      </c>
      <c r="S32" s="549">
        <f t="shared" si="0"/>
        <v>100353.88</v>
      </c>
      <c r="T32" s="113" t="s">
        <v>131</v>
      </c>
      <c r="U32" s="626" t="str">
        <f t="shared" si="5"/>
        <v>AA11941</v>
      </c>
      <c r="V32" s="627" t="str">
        <f t="shared" si="6"/>
        <v>1850-TCN17</v>
      </c>
      <c r="W32" s="626">
        <f t="shared" si="7"/>
        <v>520809</v>
      </c>
      <c r="X32" s="626" t="str">
        <f t="shared" si="8"/>
        <v>RAV4 4X2  SUV  LE</v>
      </c>
      <c r="Y32" s="627">
        <f t="shared" si="8"/>
        <v>2017</v>
      </c>
      <c r="Z32" s="628">
        <f t="shared" si="9"/>
        <v>315616.45</v>
      </c>
      <c r="AA32" s="629">
        <f>+Z32</f>
        <v>315616.45</v>
      </c>
      <c r="AB32" s="755">
        <v>1</v>
      </c>
      <c r="AC32" s="629">
        <f t="shared" si="18"/>
        <v>295708.34000000003</v>
      </c>
      <c r="AD32" s="630">
        <f t="shared" si="19"/>
        <v>0.1</v>
      </c>
      <c r="AE32" s="555">
        <f t="shared" si="20"/>
        <v>7392.74</v>
      </c>
      <c r="AF32" s="555">
        <f t="shared" si="21"/>
        <v>9383.5509999999995</v>
      </c>
      <c r="AG32" s="555">
        <f t="shared" si="10"/>
        <v>-1.0000000002037268E-3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721" t="s">
        <v>6697</v>
      </c>
      <c r="C33" s="655">
        <v>520814</v>
      </c>
      <c r="D33" s="658">
        <v>4493</v>
      </c>
      <c r="E33" s="655" t="s">
        <v>693</v>
      </c>
      <c r="F33" s="546">
        <v>2017</v>
      </c>
      <c r="G33" s="659">
        <v>42990</v>
      </c>
      <c r="H33" s="655" t="s">
        <v>751</v>
      </c>
      <c r="I33" s="655" t="s">
        <v>6347</v>
      </c>
      <c r="J33" s="712"/>
      <c r="K33" s="655" t="s">
        <v>6481</v>
      </c>
      <c r="L33" s="655" t="s">
        <v>6609</v>
      </c>
      <c r="M33" s="660">
        <v>273775.87</v>
      </c>
      <c r="N33" s="660">
        <v>3148.01</v>
      </c>
      <c r="O33" s="660">
        <v>44307.82</v>
      </c>
      <c r="P33" s="660">
        <v>321231.7</v>
      </c>
      <c r="Q33" s="548"/>
      <c r="R33" s="660">
        <v>276923.88</v>
      </c>
      <c r="S33" s="549">
        <f t="shared" si="0"/>
        <v>44307.820000000007</v>
      </c>
      <c r="T33" s="113" t="s">
        <v>131</v>
      </c>
      <c r="U33" s="626" t="str">
        <f t="shared" si="5"/>
        <v>AA11849</v>
      </c>
      <c r="V33" s="627" t="str">
        <f t="shared" si="6"/>
        <v>1814-TCN17</v>
      </c>
      <c r="W33" s="626">
        <f t="shared" si="7"/>
        <v>520814</v>
      </c>
      <c r="X33" s="626" t="str">
        <f t="shared" si="8"/>
        <v>RAV4 4X2  SUV  LE</v>
      </c>
      <c r="Y33" s="627">
        <f t="shared" si="8"/>
        <v>2017</v>
      </c>
      <c r="Z33" s="628">
        <f t="shared" si="9"/>
        <v>273775.87</v>
      </c>
      <c r="AA33" s="629"/>
      <c r="AB33" s="755"/>
      <c r="AC33" s="629">
        <f t="shared" si="18"/>
        <v>246423.66</v>
      </c>
      <c r="AD33" s="630">
        <f t="shared" si="19"/>
        <v>0.05</v>
      </c>
      <c r="AE33" s="555">
        <f t="shared" si="20"/>
        <v>4928.3900000000003</v>
      </c>
      <c r="AF33" s="555">
        <f t="shared" si="21"/>
        <v>3148.0002500000001</v>
      </c>
      <c r="AG33" s="555">
        <f t="shared" si="10"/>
        <v>9.750000000167347E-3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721" t="s">
        <v>6146</v>
      </c>
      <c r="C34" s="655">
        <v>520814</v>
      </c>
      <c r="D34" s="658">
        <v>4493</v>
      </c>
      <c r="E34" s="655" t="s">
        <v>693</v>
      </c>
      <c r="F34" s="546">
        <v>2017</v>
      </c>
      <c r="G34" s="659">
        <v>43000</v>
      </c>
      <c r="H34" s="655" t="s">
        <v>5129</v>
      </c>
      <c r="I34" s="655" t="s">
        <v>5706</v>
      </c>
      <c r="J34" s="712"/>
      <c r="K34" s="655" t="s">
        <v>5826</v>
      </c>
      <c r="L34" s="655" t="s">
        <v>5955</v>
      </c>
      <c r="M34" s="660">
        <v>-315616.45</v>
      </c>
      <c r="N34" s="660">
        <v>-9383.5499999999993</v>
      </c>
      <c r="O34" s="660">
        <v>-52000</v>
      </c>
      <c r="P34" s="660">
        <v>-377000</v>
      </c>
      <c r="Q34" s="548"/>
      <c r="R34" s="660">
        <v>-277001.46999999997</v>
      </c>
      <c r="S34" s="549">
        <f t="shared" si="0"/>
        <v>-99998.530000000028</v>
      </c>
      <c r="T34" s="267" t="s">
        <v>6702</v>
      </c>
      <c r="U34" s="626" t="str">
        <f t="shared" si="5"/>
        <v>ZA04307</v>
      </c>
      <c r="V34" s="627" t="str">
        <f t="shared" si="6"/>
        <v>1683-TCN17</v>
      </c>
      <c r="W34" s="626">
        <f t="shared" si="7"/>
        <v>520814</v>
      </c>
      <c r="X34" s="626" t="str">
        <f t="shared" si="8"/>
        <v>RAV4 4X2  SUV  LE</v>
      </c>
      <c r="Y34" s="627">
        <f t="shared" si="8"/>
        <v>2017</v>
      </c>
      <c r="Z34" s="628">
        <f t="shared" si="9"/>
        <v>-315616.45</v>
      </c>
      <c r="AA34" s="629"/>
      <c r="AB34" s="755"/>
      <c r="AC34" s="629"/>
      <c r="AD34" s="630"/>
      <c r="AE34" s="555"/>
      <c r="AF34" s="555">
        <f>+N34</f>
        <v>-9383.5499999999993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721" t="s">
        <v>6138</v>
      </c>
      <c r="C35" s="655">
        <v>520815</v>
      </c>
      <c r="D35" s="658">
        <v>4492</v>
      </c>
      <c r="E35" s="655" t="s">
        <v>694</v>
      </c>
      <c r="F35" s="546">
        <v>2017</v>
      </c>
      <c r="G35" s="659">
        <v>42992</v>
      </c>
      <c r="H35" s="655" t="s">
        <v>727</v>
      </c>
      <c r="I35" s="655" t="s">
        <v>6342</v>
      </c>
      <c r="J35" s="712"/>
      <c r="K35" s="655" t="s">
        <v>6477</v>
      </c>
      <c r="L35" s="655" t="s">
        <v>6604</v>
      </c>
      <c r="M35" s="660">
        <v>346054.14</v>
      </c>
      <c r="N35" s="660">
        <v>12480.34</v>
      </c>
      <c r="O35" s="660">
        <v>57365.52</v>
      </c>
      <c r="P35" s="660">
        <v>415900</v>
      </c>
      <c r="Q35" s="548"/>
      <c r="R35" s="660">
        <v>303453</v>
      </c>
      <c r="S35" s="549">
        <f t="shared" si="0"/>
        <v>112447</v>
      </c>
      <c r="T35" s="267" t="s">
        <v>131</v>
      </c>
      <c r="U35" s="626" t="str">
        <f t="shared" si="5"/>
        <v>AA11870</v>
      </c>
      <c r="V35" s="627" t="str">
        <f t="shared" si="6"/>
        <v>1244-TCN17</v>
      </c>
      <c r="W35" s="626">
        <f t="shared" si="7"/>
        <v>520815</v>
      </c>
      <c r="X35" s="626" t="str">
        <f t="shared" si="8"/>
        <v>RAV4 L4 AWD XLE</v>
      </c>
      <c r="Y35" s="627">
        <f t="shared" si="8"/>
        <v>2017</v>
      </c>
      <c r="Z35" s="628">
        <f t="shared" si="9"/>
        <v>346054.14</v>
      </c>
      <c r="AA35" s="629"/>
      <c r="AB35" s="755"/>
      <c r="AC35" s="629">
        <f t="shared" ref="AC35:AC38" si="22">VLOOKUP(Z35,TARIFA,1)</f>
        <v>344993.21</v>
      </c>
      <c r="AD35" s="630">
        <f t="shared" ref="AD35:AD38" si="23">VLOOKUP(Z35,TARIFA,4)</f>
        <v>0.15</v>
      </c>
      <c r="AE35" s="555">
        <f t="shared" ref="AE35:AE38" si="24">VLOOKUP(Z35,TARIFA,3)</f>
        <v>12321.2</v>
      </c>
      <c r="AF35" s="555">
        <f t="shared" ref="AF35:AF38" si="25">IF(Z35&lt;281240.78,(((Z35-AC35)*AD35+AE35)/2),(Z35-AC35)*AD35+AE35)</f>
        <v>12480.3395</v>
      </c>
      <c r="AG35" s="555">
        <f t="shared" si="10"/>
        <v>5.0000000010186341E-4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721" t="s">
        <v>6140</v>
      </c>
      <c r="C36" s="655">
        <v>520815</v>
      </c>
      <c r="D36" s="658">
        <v>4492</v>
      </c>
      <c r="E36" s="655" t="s">
        <v>694</v>
      </c>
      <c r="F36" s="546">
        <v>2017</v>
      </c>
      <c r="G36" s="659">
        <v>42993</v>
      </c>
      <c r="H36" s="655" t="s">
        <v>2215</v>
      </c>
      <c r="I36" s="655" t="s">
        <v>6344</v>
      </c>
      <c r="J36" s="712"/>
      <c r="K36" s="655" t="s">
        <v>6478</v>
      </c>
      <c r="L36" s="655" t="s">
        <v>6606</v>
      </c>
      <c r="M36" s="660">
        <v>346054.14</v>
      </c>
      <c r="N36" s="660">
        <v>12480.34</v>
      </c>
      <c r="O36" s="660">
        <v>57365.52</v>
      </c>
      <c r="P36" s="660">
        <v>415900</v>
      </c>
      <c r="Q36" s="548"/>
      <c r="R36" s="660">
        <v>311605.18</v>
      </c>
      <c r="S36" s="549">
        <f t="shared" si="0"/>
        <v>104294.82</v>
      </c>
      <c r="T36" s="113" t="s">
        <v>131</v>
      </c>
      <c r="U36" s="626" t="str">
        <f t="shared" si="5"/>
        <v>AA11877</v>
      </c>
      <c r="V36" s="627" t="str">
        <f t="shared" si="6"/>
        <v>1637-TCN17</v>
      </c>
      <c r="W36" s="626">
        <f t="shared" si="7"/>
        <v>520815</v>
      </c>
      <c r="X36" s="626" t="str">
        <f t="shared" si="8"/>
        <v>RAV4 L4 AWD XLE</v>
      </c>
      <c r="Y36" s="627">
        <f t="shared" si="8"/>
        <v>2017</v>
      </c>
      <c r="Z36" s="628">
        <f t="shared" si="9"/>
        <v>346054.14</v>
      </c>
      <c r="AA36" s="629"/>
      <c r="AB36" s="755"/>
      <c r="AC36" s="629">
        <f t="shared" si="22"/>
        <v>344993.21</v>
      </c>
      <c r="AD36" s="630">
        <f t="shared" si="23"/>
        <v>0.15</v>
      </c>
      <c r="AE36" s="555">
        <f t="shared" si="24"/>
        <v>12321.2</v>
      </c>
      <c r="AF36" s="555">
        <f t="shared" si="25"/>
        <v>12480.3395</v>
      </c>
      <c r="AG36" s="555">
        <f t="shared" si="10"/>
        <v>5.0000000010186341E-4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721" t="s">
        <v>6145</v>
      </c>
      <c r="C37" s="655">
        <v>520815</v>
      </c>
      <c r="D37" s="658">
        <v>4492</v>
      </c>
      <c r="E37" s="655" t="s">
        <v>694</v>
      </c>
      <c r="F37" s="546">
        <v>2017</v>
      </c>
      <c r="G37" s="659">
        <v>43004</v>
      </c>
      <c r="H37" s="655" t="s">
        <v>788</v>
      </c>
      <c r="I37" s="655" t="s">
        <v>6346</v>
      </c>
      <c r="J37" s="712"/>
      <c r="K37" s="655" t="s">
        <v>6480</v>
      </c>
      <c r="L37" s="655" t="s">
        <v>6608</v>
      </c>
      <c r="M37" s="660">
        <v>346054.14</v>
      </c>
      <c r="N37" s="660">
        <v>12480.34</v>
      </c>
      <c r="O37" s="660">
        <v>57365.52</v>
      </c>
      <c r="P37" s="660">
        <v>415900</v>
      </c>
      <c r="Q37" s="548"/>
      <c r="R37" s="660">
        <v>311959.65999999997</v>
      </c>
      <c r="S37" s="549">
        <f t="shared" si="0"/>
        <v>103940.34000000003</v>
      </c>
      <c r="T37" s="113" t="s">
        <v>131</v>
      </c>
      <c r="U37" s="626" t="str">
        <f t="shared" si="5"/>
        <v>AA11940</v>
      </c>
      <c r="V37" s="627" t="str">
        <f t="shared" si="6"/>
        <v>1856-TCN17</v>
      </c>
      <c r="W37" s="626">
        <f t="shared" si="7"/>
        <v>520815</v>
      </c>
      <c r="X37" s="626" t="str">
        <f t="shared" si="8"/>
        <v>RAV4 L4 AWD XLE</v>
      </c>
      <c r="Y37" s="627">
        <f t="shared" si="8"/>
        <v>2017</v>
      </c>
      <c r="Z37" s="628">
        <f t="shared" si="9"/>
        <v>346054.14</v>
      </c>
      <c r="AA37" s="629">
        <f>+Z37+Z36+Z35+Z34+Z33</f>
        <v>996321.84</v>
      </c>
      <c r="AB37" s="755">
        <v>3</v>
      </c>
      <c r="AC37" s="629">
        <f t="shared" si="22"/>
        <v>344993.21</v>
      </c>
      <c r="AD37" s="630">
        <f t="shared" si="23"/>
        <v>0.15</v>
      </c>
      <c r="AE37" s="555">
        <f t="shared" si="24"/>
        <v>12321.2</v>
      </c>
      <c r="AF37" s="555">
        <f t="shared" si="25"/>
        <v>12480.3395</v>
      </c>
      <c r="AG37" s="555">
        <f t="shared" si="10"/>
        <v>5.0000000010186341E-4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721" t="s">
        <v>6150</v>
      </c>
      <c r="C38" s="655">
        <v>520816</v>
      </c>
      <c r="D38" s="658">
        <v>4497</v>
      </c>
      <c r="E38" s="655" t="s">
        <v>695</v>
      </c>
      <c r="F38" s="546">
        <v>2017</v>
      </c>
      <c r="G38" s="659">
        <v>43006</v>
      </c>
      <c r="H38" s="655" t="s">
        <v>2215</v>
      </c>
      <c r="I38" s="655" t="s">
        <v>6351</v>
      </c>
      <c r="J38" s="712"/>
      <c r="K38" s="655" t="s">
        <v>830</v>
      </c>
      <c r="L38" s="655" t="s">
        <v>6613</v>
      </c>
      <c r="M38" s="660">
        <v>389607.37</v>
      </c>
      <c r="N38" s="660">
        <v>19013.32</v>
      </c>
      <c r="O38" s="660">
        <v>65379.31</v>
      </c>
      <c r="P38" s="660">
        <v>474000</v>
      </c>
      <c r="Q38" s="548"/>
      <c r="R38" s="660">
        <v>366387.79</v>
      </c>
      <c r="S38" s="549">
        <f t="shared" si="0"/>
        <v>107612.21000000002</v>
      </c>
      <c r="T38" s="113" t="s">
        <v>131</v>
      </c>
      <c r="U38" s="626" t="str">
        <f t="shared" si="5"/>
        <v>AA11980</v>
      </c>
      <c r="V38" s="627" t="str">
        <f t="shared" si="6"/>
        <v>0968-TCN17</v>
      </c>
      <c r="W38" s="626">
        <f t="shared" si="7"/>
        <v>520816</v>
      </c>
      <c r="X38" s="626" t="str">
        <f t="shared" si="8"/>
        <v>RAV4 L4 AWD LIMITED</v>
      </c>
      <c r="Y38" s="627">
        <f t="shared" si="8"/>
        <v>2017</v>
      </c>
      <c r="Z38" s="628">
        <f t="shared" si="9"/>
        <v>389607.37</v>
      </c>
      <c r="AA38" s="629">
        <f>+Z38</f>
        <v>389607.37</v>
      </c>
      <c r="AB38" s="755">
        <v>1</v>
      </c>
      <c r="AC38" s="629">
        <f t="shared" si="22"/>
        <v>344993.21</v>
      </c>
      <c r="AD38" s="630">
        <f t="shared" si="23"/>
        <v>0.15</v>
      </c>
      <c r="AE38" s="555">
        <f t="shared" si="24"/>
        <v>12321.2</v>
      </c>
      <c r="AF38" s="555">
        <f t="shared" si="25"/>
        <v>19013.323999999997</v>
      </c>
      <c r="AG38" s="555">
        <f t="shared" si="10"/>
        <v>-3.9999999971769284E-3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721" t="s">
        <v>6093</v>
      </c>
      <c r="C39" s="655">
        <v>520909</v>
      </c>
      <c r="D39" s="658">
        <v>2009</v>
      </c>
      <c r="E39" s="655" t="s">
        <v>698</v>
      </c>
      <c r="F39" s="546">
        <v>2017</v>
      </c>
      <c r="G39" s="659">
        <v>43004</v>
      </c>
      <c r="H39" s="655" t="s">
        <v>819</v>
      </c>
      <c r="I39" s="655" t="s">
        <v>6319</v>
      </c>
      <c r="J39" s="712"/>
      <c r="K39" s="655" t="s">
        <v>6465</v>
      </c>
      <c r="L39" s="655" t="s">
        <v>6581</v>
      </c>
      <c r="M39" s="660">
        <v>219310.34</v>
      </c>
      <c r="N39" s="660">
        <v>0</v>
      </c>
      <c r="O39" s="660">
        <v>35089.660000000003</v>
      </c>
      <c r="P39" s="660">
        <v>254400</v>
      </c>
      <c r="Q39" s="548"/>
      <c r="R39" s="660">
        <v>201322.01</v>
      </c>
      <c r="S39" s="549">
        <f t="shared" si="0"/>
        <v>53077.989999999991</v>
      </c>
      <c r="T39" s="267" t="s">
        <v>131</v>
      </c>
      <c r="U39" s="626" t="str">
        <f t="shared" si="5"/>
        <v>AA11930</v>
      </c>
      <c r="V39" s="627" t="str">
        <f t="shared" si="6"/>
        <v>1605-TCN17</v>
      </c>
      <c r="W39" s="626">
        <f t="shared" si="7"/>
        <v>520909</v>
      </c>
      <c r="X39" s="626" t="str">
        <f t="shared" si="8"/>
        <v>YARIS HB S CVT</v>
      </c>
      <c r="Y39" s="627">
        <f t="shared" si="8"/>
        <v>2017</v>
      </c>
      <c r="Z39" s="628">
        <f t="shared" si="9"/>
        <v>219310.34</v>
      </c>
      <c r="AA39" s="629"/>
      <c r="AB39" s="755"/>
      <c r="AC39" s="629">
        <f t="shared" si="13"/>
        <v>0.01</v>
      </c>
      <c r="AD39" s="630">
        <f t="shared" si="14"/>
        <v>0.02</v>
      </c>
      <c r="AE39" s="555">
        <f t="shared" si="15"/>
        <v>0</v>
      </c>
      <c r="AF39" s="555"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721" t="s">
        <v>6092</v>
      </c>
      <c r="C40" s="655">
        <v>520909</v>
      </c>
      <c r="D40" s="658">
        <v>2009</v>
      </c>
      <c r="E40" s="655" t="s">
        <v>698</v>
      </c>
      <c r="F40" s="546">
        <v>2017</v>
      </c>
      <c r="G40" s="659">
        <v>43003</v>
      </c>
      <c r="H40" s="655" t="s">
        <v>5622</v>
      </c>
      <c r="I40" s="655" t="s">
        <v>6318</v>
      </c>
      <c r="J40" s="712"/>
      <c r="K40" s="655" t="s">
        <v>6464</v>
      </c>
      <c r="L40" s="655" t="s">
        <v>6580</v>
      </c>
      <c r="M40" s="660">
        <v>219310.34</v>
      </c>
      <c r="N40" s="660">
        <v>0</v>
      </c>
      <c r="O40" s="660">
        <v>35089.660000000003</v>
      </c>
      <c r="P40" s="660">
        <v>254400</v>
      </c>
      <c r="Q40" s="548"/>
      <c r="R40" s="660">
        <v>201677.35</v>
      </c>
      <c r="S40" s="549">
        <f t="shared" si="0"/>
        <v>52722.649999999994</v>
      </c>
      <c r="T40" s="445" t="s">
        <v>131</v>
      </c>
      <c r="U40" s="626" t="str">
        <f t="shared" si="5"/>
        <v>AA11926</v>
      </c>
      <c r="V40" s="627" t="str">
        <f t="shared" si="6"/>
        <v>1630-TCN17</v>
      </c>
      <c r="W40" s="626">
        <f t="shared" si="7"/>
        <v>520909</v>
      </c>
      <c r="X40" s="626" t="str">
        <f t="shared" si="8"/>
        <v>YARIS HB S CVT</v>
      </c>
      <c r="Y40" s="627">
        <f t="shared" si="8"/>
        <v>2017</v>
      </c>
      <c r="Z40" s="628">
        <f t="shared" si="9"/>
        <v>219310.34</v>
      </c>
      <c r="AA40" s="629">
        <f>+Z40+Z39</f>
        <v>438620.68</v>
      </c>
      <c r="AB40" s="763">
        <v>2</v>
      </c>
      <c r="AC40" s="629">
        <f t="shared" si="13"/>
        <v>0.01</v>
      </c>
      <c r="AD40" s="630">
        <f t="shared" si="14"/>
        <v>0.02</v>
      </c>
      <c r="AE40" s="555">
        <f t="shared" si="15"/>
        <v>0</v>
      </c>
      <c r="AF40" s="555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721" t="s">
        <v>6038</v>
      </c>
      <c r="C41" s="655">
        <v>521101</v>
      </c>
      <c r="D41" s="658">
        <v>1251</v>
      </c>
      <c r="E41" s="655" t="s">
        <v>700</v>
      </c>
      <c r="F41" s="546">
        <v>2017</v>
      </c>
      <c r="G41" s="659">
        <v>43004</v>
      </c>
      <c r="H41" s="655" t="s">
        <v>764</v>
      </c>
      <c r="I41" s="655" t="s">
        <v>6283</v>
      </c>
      <c r="J41" s="712"/>
      <c r="K41" s="655" t="s">
        <v>830</v>
      </c>
      <c r="L41" s="655" t="s">
        <v>6545</v>
      </c>
      <c r="M41" s="660">
        <v>323620.69</v>
      </c>
      <c r="N41" s="660">
        <v>0</v>
      </c>
      <c r="O41" s="660">
        <v>51779.31</v>
      </c>
      <c r="P41" s="660">
        <v>375400</v>
      </c>
      <c r="Q41" s="548"/>
      <c r="R41" s="660">
        <v>283666.84000000003</v>
      </c>
      <c r="S41" s="549">
        <f t="shared" si="0"/>
        <v>91733.159999999974</v>
      </c>
      <c r="T41" s="113" t="s">
        <v>131</v>
      </c>
      <c r="U41" s="626" t="str">
        <f t="shared" si="5"/>
        <v>AA11936</v>
      </c>
      <c r="V41" s="627" t="str">
        <f t="shared" si="6"/>
        <v>1169-TCN17</v>
      </c>
      <c r="W41" s="626">
        <f t="shared" si="7"/>
        <v>521101</v>
      </c>
      <c r="X41" s="626" t="str">
        <f t="shared" si="8"/>
        <v>PRIUS HYBRID BASE</v>
      </c>
      <c r="Y41" s="627">
        <f t="shared" si="8"/>
        <v>2017</v>
      </c>
      <c r="Z41" s="628">
        <f t="shared" si="9"/>
        <v>323620.69</v>
      </c>
      <c r="AA41" s="629"/>
      <c r="AB41" s="755"/>
      <c r="AC41" s="629">
        <f t="shared" si="1"/>
        <v>295708.34000000003</v>
      </c>
      <c r="AD41" s="630">
        <f t="shared" si="2"/>
        <v>0.1</v>
      </c>
      <c r="AE41" s="555">
        <f t="shared" si="3"/>
        <v>7392.74</v>
      </c>
      <c r="AF41" s="555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721" t="s">
        <v>6033</v>
      </c>
      <c r="C42" s="655">
        <v>521101</v>
      </c>
      <c r="D42" s="658">
        <v>1251</v>
      </c>
      <c r="E42" s="655" t="s">
        <v>700</v>
      </c>
      <c r="F42" s="546">
        <v>2017</v>
      </c>
      <c r="G42" s="659">
        <v>42983</v>
      </c>
      <c r="H42" s="655" t="s">
        <v>788</v>
      </c>
      <c r="I42" s="655" t="s">
        <v>6280</v>
      </c>
      <c r="J42" s="712"/>
      <c r="K42" s="655" t="s">
        <v>6439</v>
      </c>
      <c r="L42" s="655" t="s">
        <v>6542</v>
      </c>
      <c r="M42" s="660">
        <v>317586.21000000002</v>
      </c>
      <c r="N42" s="660">
        <v>0</v>
      </c>
      <c r="O42" s="660">
        <v>50813.79</v>
      </c>
      <c r="P42" s="660">
        <v>368400</v>
      </c>
      <c r="Q42" s="548"/>
      <c r="R42" s="660">
        <v>300037.53000000003</v>
      </c>
      <c r="S42" s="549">
        <f t="shared" si="0"/>
        <v>68362.469999999972</v>
      </c>
      <c r="T42" s="113" t="s">
        <v>131</v>
      </c>
      <c r="U42" s="626" t="str">
        <f t="shared" si="5"/>
        <v>AA11799</v>
      </c>
      <c r="V42" s="627" t="str">
        <f t="shared" si="6"/>
        <v>1769-TCN17</v>
      </c>
      <c r="W42" s="626">
        <f t="shared" si="7"/>
        <v>521101</v>
      </c>
      <c r="X42" s="626" t="str">
        <f t="shared" si="8"/>
        <v>PRIUS HYBRID BASE</v>
      </c>
      <c r="Y42" s="627">
        <f t="shared" si="8"/>
        <v>2017</v>
      </c>
      <c r="Z42" s="628">
        <f t="shared" si="9"/>
        <v>317586.21000000002</v>
      </c>
      <c r="AA42" s="629"/>
      <c r="AB42" s="755"/>
      <c r="AC42" s="629">
        <f t="shared" si="1"/>
        <v>295708.34000000003</v>
      </c>
      <c r="AD42" s="630">
        <f t="shared" si="2"/>
        <v>0.1</v>
      </c>
      <c r="AE42" s="555">
        <f t="shared" si="3"/>
        <v>7392.74</v>
      </c>
      <c r="AF42" s="555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721" t="s">
        <v>6035</v>
      </c>
      <c r="C43" s="655">
        <v>521101</v>
      </c>
      <c r="D43" s="658">
        <v>1251</v>
      </c>
      <c r="E43" s="655" t="s">
        <v>700</v>
      </c>
      <c r="F43" s="546">
        <v>2017</v>
      </c>
      <c r="G43" s="659">
        <v>42998</v>
      </c>
      <c r="H43" s="655" t="s">
        <v>5622</v>
      </c>
      <c r="I43" s="655" t="s">
        <v>6282</v>
      </c>
      <c r="J43" s="712"/>
      <c r="K43" s="655" t="s">
        <v>6440</v>
      </c>
      <c r="L43" s="655" t="s">
        <v>6544</v>
      </c>
      <c r="M43" s="660">
        <v>323620.69</v>
      </c>
      <c r="N43" s="660">
        <v>0</v>
      </c>
      <c r="O43" s="660">
        <v>51779.31</v>
      </c>
      <c r="P43" s="660">
        <v>375400</v>
      </c>
      <c r="Q43" s="548"/>
      <c r="R43" s="660">
        <v>300393</v>
      </c>
      <c r="S43" s="549">
        <f t="shared" si="0"/>
        <v>75007</v>
      </c>
      <c r="T43" s="113" t="s">
        <v>131</v>
      </c>
      <c r="U43" s="626" t="str">
        <f t="shared" si="5"/>
        <v>AA11899</v>
      </c>
      <c r="V43" s="627" t="str">
        <f t="shared" si="6"/>
        <v>1857-TCN17</v>
      </c>
      <c r="W43" s="626">
        <f t="shared" si="7"/>
        <v>521101</v>
      </c>
      <c r="X43" s="626" t="str">
        <f t="shared" si="8"/>
        <v>PRIUS HYBRID BASE</v>
      </c>
      <c r="Y43" s="627">
        <f t="shared" si="8"/>
        <v>2017</v>
      </c>
      <c r="Z43" s="628">
        <f t="shared" si="9"/>
        <v>323620.69</v>
      </c>
      <c r="AA43" s="629">
        <f>+Z43+Z42+Z41</f>
        <v>964827.59000000008</v>
      </c>
      <c r="AB43" s="764">
        <v>3</v>
      </c>
      <c r="AC43" s="629">
        <f t="shared" si="1"/>
        <v>295708.34000000003</v>
      </c>
      <c r="AD43" s="630">
        <f t="shared" si="2"/>
        <v>0.1</v>
      </c>
      <c r="AE43" s="555">
        <f t="shared" si="3"/>
        <v>7392.74</v>
      </c>
      <c r="AF43" s="555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721" t="s">
        <v>6174</v>
      </c>
      <c r="C44" s="655">
        <v>521502</v>
      </c>
      <c r="D44" s="658">
        <v>5611</v>
      </c>
      <c r="E44" s="655" t="s">
        <v>225</v>
      </c>
      <c r="F44" s="546">
        <v>2018</v>
      </c>
      <c r="G44" s="659">
        <v>42989</v>
      </c>
      <c r="H44" s="655" t="s">
        <v>727</v>
      </c>
      <c r="I44" s="655" t="s">
        <v>6373</v>
      </c>
      <c r="J44" s="712"/>
      <c r="K44" s="655" t="s">
        <v>6491</v>
      </c>
      <c r="L44" s="655" t="s">
        <v>6634</v>
      </c>
      <c r="M44" s="660">
        <v>394255.04</v>
      </c>
      <c r="N44" s="660">
        <v>19710.48</v>
      </c>
      <c r="O44" s="660">
        <v>66234.48</v>
      </c>
      <c r="P44" s="660">
        <v>480200</v>
      </c>
      <c r="Q44" s="548"/>
      <c r="R44" s="660">
        <v>349547.89</v>
      </c>
      <c r="S44" s="549">
        <f t="shared" si="0"/>
        <v>130652.10999999999</v>
      </c>
      <c r="T44" s="113" t="s">
        <v>131</v>
      </c>
      <c r="U44" s="626" t="str">
        <f t="shared" si="5"/>
        <v>AA11837</v>
      </c>
      <c r="V44" s="627" t="str">
        <f t="shared" si="6"/>
        <v>0040-TCN18</v>
      </c>
      <c r="W44" s="626">
        <f t="shared" si="7"/>
        <v>521502</v>
      </c>
      <c r="X44" s="626" t="str">
        <f t="shared" si="8"/>
        <v>HIACE PANEL 15 PASAJ AC</v>
      </c>
      <c r="Y44" s="627">
        <f t="shared" si="8"/>
        <v>2018</v>
      </c>
      <c r="Z44" s="628">
        <f t="shared" si="9"/>
        <v>394255.04</v>
      </c>
      <c r="AA44" s="629"/>
      <c r="AB44" s="755"/>
      <c r="AC44" s="629">
        <f t="shared" si="1"/>
        <v>344993.21</v>
      </c>
      <c r="AD44" s="630">
        <f t="shared" si="2"/>
        <v>0.15</v>
      </c>
      <c r="AE44" s="555">
        <f t="shared" si="3"/>
        <v>12321.2</v>
      </c>
      <c r="AF44" s="555">
        <f t="shared" ref="AF44:AF49" si="26">IF(Z44&lt;281240.78,(((Z44-AC44)*AD44+AE44)/2),(Z44-AC44)*AD44+AE44)</f>
        <v>19710.474499999993</v>
      </c>
      <c r="AG44" s="555">
        <f t="shared" si="10"/>
        <v>5.5000000065774657E-3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721" t="s">
        <v>6175</v>
      </c>
      <c r="C45" s="655">
        <v>521502</v>
      </c>
      <c r="D45" s="658">
        <v>5611</v>
      </c>
      <c r="E45" s="655" t="s">
        <v>225</v>
      </c>
      <c r="F45" s="546">
        <v>2018</v>
      </c>
      <c r="G45" s="659">
        <v>42992</v>
      </c>
      <c r="H45" s="655" t="s">
        <v>788</v>
      </c>
      <c r="I45" s="655" t="s">
        <v>6374</v>
      </c>
      <c r="J45" s="712"/>
      <c r="K45" s="655" t="s">
        <v>6492</v>
      </c>
      <c r="L45" s="655" t="s">
        <v>6635</v>
      </c>
      <c r="M45" s="660">
        <v>394255.04</v>
      </c>
      <c r="N45" s="660">
        <v>19710.48</v>
      </c>
      <c r="O45" s="660">
        <v>66234.48</v>
      </c>
      <c r="P45" s="660">
        <v>480200</v>
      </c>
      <c r="Q45" s="548"/>
      <c r="R45" s="660">
        <v>349548.89</v>
      </c>
      <c r="S45" s="549">
        <f t="shared" si="0"/>
        <v>130651.10999999999</v>
      </c>
      <c r="T45" s="113" t="s">
        <v>131</v>
      </c>
      <c r="U45" s="626" t="str">
        <f t="shared" si="5"/>
        <v>AA11865</v>
      </c>
      <c r="V45" s="627" t="str">
        <f t="shared" si="6"/>
        <v>0048-TCN18</v>
      </c>
      <c r="W45" s="626">
        <f t="shared" si="7"/>
        <v>521502</v>
      </c>
      <c r="X45" s="626" t="str">
        <f t="shared" si="8"/>
        <v>HIACE PANEL 15 PASAJ AC</v>
      </c>
      <c r="Y45" s="627">
        <f t="shared" si="8"/>
        <v>2018</v>
      </c>
      <c r="Z45" s="628">
        <f t="shared" si="9"/>
        <v>394255.04</v>
      </c>
      <c r="AA45" s="629"/>
      <c r="AB45" s="755"/>
      <c r="AC45" s="629">
        <f t="shared" si="1"/>
        <v>344993.21</v>
      </c>
      <c r="AD45" s="630">
        <f t="shared" si="2"/>
        <v>0.15</v>
      </c>
      <c r="AE45" s="555">
        <f t="shared" si="3"/>
        <v>12321.2</v>
      </c>
      <c r="AF45" s="555">
        <f t="shared" si="26"/>
        <v>19710.474499999993</v>
      </c>
      <c r="AG45" s="555">
        <f t="shared" si="10"/>
        <v>5.5000000065774657E-3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721" t="s">
        <v>6176</v>
      </c>
      <c r="C46" s="655">
        <v>521502</v>
      </c>
      <c r="D46" s="658">
        <v>5611</v>
      </c>
      <c r="E46" s="655" t="s">
        <v>225</v>
      </c>
      <c r="F46" s="546">
        <v>2018</v>
      </c>
      <c r="G46" s="659">
        <v>42996</v>
      </c>
      <c r="H46" s="655" t="s">
        <v>2213</v>
      </c>
      <c r="I46" s="655" t="s">
        <v>6375</v>
      </c>
      <c r="J46" s="712"/>
      <c r="K46" s="655" t="s">
        <v>6493</v>
      </c>
      <c r="L46" s="655" t="s">
        <v>6636</v>
      </c>
      <c r="M46" s="660">
        <v>394255.04</v>
      </c>
      <c r="N46" s="660">
        <v>19710.48</v>
      </c>
      <c r="O46" s="660">
        <v>66234.48</v>
      </c>
      <c r="P46" s="660">
        <v>480200</v>
      </c>
      <c r="Q46" s="548"/>
      <c r="R46" s="660">
        <v>349548.9</v>
      </c>
      <c r="S46" s="549">
        <f t="shared" si="0"/>
        <v>130651.09999999998</v>
      </c>
      <c r="T46" s="113" t="s">
        <v>131</v>
      </c>
      <c r="U46" s="626" t="str">
        <f t="shared" si="5"/>
        <v>AA11885</v>
      </c>
      <c r="V46" s="627" t="str">
        <f t="shared" si="6"/>
        <v>0057-TCN18</v>
      </c>
      <c r="W46" s="626">
        <f t="shared" si="7"/>
        <v>521502</v>
      </c>
      <c r="X46" s="626" t="str">
        <f t="shared" si="8"/>
        <v>HIACE PANEL 15 PASAJ AC</v>
      </c>
      <c r="Y46" s="627">
        <f t="shared" si="8"/>
        <v>2018</v>
      </c>
      <c r="Z46" s="628">
        <f t="shared" si="9"/>
        <v>394255.04</v>
      </c>
      <c r="AA46" s="629"/>
      <c r="AB46" s="755"/>
      <c r="AC46" s="629">
        <f t="shared" si="1"/>
        <v>344993.21</v>
      </c>
      <c r="AD46" s="630">
        <f t="shared" si="2"/>
        <v>0.15</v>
      </c>
      <c r="AE46" s="555">
        <f t="shared" si="3"/>
        <v>12321.2</v>
      </c>
      <c r="AF46" s="555">
        <f t="shared" si="26"/>
        <v>19710.474499999993</v>
      </c>
      <c r="AG46" s="555">
        <f t="shared" si="10"/>
        <v>5.5000000065774657E-3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721" t="s">
        <v>6177</v>
      </c>
      <c r="C47" s="655">
        <v>521502</v>
      </c>
      <c r="D47" s="658">
        <v>5611</v>
      </c>
      <c r="E47" s="655" t="s">
        <v>225</v>
      </c>
      <c r="F47" s="546">
        <v>2018</v>
      </c>
      <c r="G47" s="659">
        <v>43003</v>
      </c>
      <c r="H47" s="655" t="s">
        <v>2213</v>
      </c>
      <c r="I47" s="655" t="s">
        <v>6376</v>
      </c>
      <c r="J47" s="712"/>
      <c r="K47" s="655" t="s">
        <v>6494</v>
      </c>
      <c r="L47" s="655" t="s">
        <v>6637</v>
      </c>
      <c r="M47" s="660">
        <v>394255.04</v>
      </c>
      <c r="N47" s="660">
        <v>19710.48</v>
      </c>
      <c r="O47" s="660">
        <v>66234.48</v>
      </c>
      <c r="P47" s="660">
        <v>480200</v>
      </c>
      <c r="Q47" s="548"/>
      <c r="R47" s="660">
        <v>349548.76</v>
      </c>
      <c r="S47" s="549">
        <f t="shared" si="0"/>
        <v>130651.23999999999</v>
      </c>
      <c r="T47" s="267" t="s">
        <v>131</v>
      </c>
      <c r="U47" s="626" t="str">
        <f t="shared" si="5"/>
        <v>AA11924</v>
      </c>
      <c r="V47" s="627" t="str">
        <f t="shared" si="6"/>
        <v>0058-TCN18</v>
      </c>
      <c r="W47" s="626">
        <f t="shared" si="7"/>
        <v>521502</v>
      </c>
      <c r="X47" s="626" t="str">
        <f t="shared" si="8"/>
        <v>HIACE PANEL 15 PASAJ AC</v>
      </c>
      <c r="Y47" s="627">
        <f t="shared" si="8"/>
        <v>2018</v>
      </c>
      <c r="Z47" s="628">
        <f t="shared" si="9"/>
        <v>394255.04</v>
      </c>
      <c r="AA47" s="629"/>
      <c r="AB47" s="755"/>
      <c r="AC47" s="629">
        <f t="shared" si="1"/>
        <v>344993.21</v>
      </c>
      <c r="AD47" s="630">
        <f t="shared" si="2"/>
        <v>0.15</v>
      </c>
      <c r="AE47" s="555">
        <f t="shared" si="3"/>
        <v>12321.2</v>
      </c>
      <c r="AF47" s="555">
        <f t="shared" si="26"/>
        <v>19710.474499999993</v>
      </c>
      <c r="AG47" s="555">
        <f t="shared" si="10"/>
        <v>5.5000000065774657E-3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721" t="s">
        <v>6183</v>
      </c>
      <c r="C48" s="655">
        <v>521502</v>
      </c>
      <c r="D48" s="658">
        <v>5611</v>
      </c>
      <c r="E48" s="655" t="s">
        <v>225</v>
      </c>
      <c r="F48" s="546">
        <v>2018</v>
      </c>
      <c r="G48" s="659">
        <v>43006</v>
      </c>
      <c r="H48" s="655" t="s">
        <v>817</v>
      </c>
      <c r="I48" s="655" t="s">
        <v>6377</v>
      </c>
      <c r="J48" s="712"/>
      <c r="K48" s="655" t="s">
        <v>6495</v>
      </c>
      <c r="L48" s="655" t="s">
        <v>6638</v>
      </c>
      <c r="M48" s="660">
        <v>394255.04</v>
      </c>
      <c r="N48" s="660">
        <v>19710.48</v>
      </c>
      <c r="O48" s="660">
        <v>66234.48</v>
      </c>
      <c r="P48" s="660">
        <v>480200</v>
      </c>
      <c r="Q48" s="548"/>
      <c r="R48" s="660">
        <v>349547.89</v>
      </c>
      <c r="S48" s="549">
        <f t="shared" si="0"/>
        <v>130652.10999999999</v>
      </c>
      <c r="T48" s="113" t="s">
        <v>131</v>
      </c>
      <c r="U48" s="626" t="str">
        <f t="shared" si="5"/>
        <v>AA11978</v>
      </c>
      <c r="V48" s="627" t="str">
        <f t="shared" si="6"/>
        <v>0067-TCN18</v>
      </c>
      <c r="W48" s="626">
        <f t="shared" si="7"/>
        <v>521502</v>
      </c>
      <c r="X48" s="626" t="str">
        <f t="shared" si="8"/>
        <v>HIACE PANEL 15 PASAJ AC</v>
      </c>
      <c r="Y48" s="627">
        <f t="shared" si="8"/>
        <v>2018</v>
      </c>
      <c r="Z48" s="628">
        <f t="shared" si="9"/>
        <v>394255.04</v>
      </c>
      <c r="AA48" s="629"/>
      <c r="AB48" s="755"/>
      <c r="AC48" s="629">
        <f t="shared" si="1"/>
        <v>344993.21</v>
      </c>
      <c r="AD48" s="630">
        <f t="shared" si="2"/>
        <v>0.15</v>
      </c>
      <c r="AE48" s="555">
        <f t="shared" si="3"/>
        <v>12321.2</v>
      </c>
      <c r="AF48" s="555">
        <f t="shared" si="26"/>
        <v>19710.474499999993</v>
      </c>
      <c r="AG48" s="555">
        <f t="shared" si="10"/>
        <v>5.5000000065774657E-3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721" t="s">
        <v>6181</v>
      </c>
      <c r="C49" s="655">
        <v>521502</v>
      </c>
      <c r="D49" s="658">
        <v>5611</v>
      </c>
      <c r="E49" s="655" t="s">
        <v>225</v>
      </c>
      <c r="F49" s="546">
        <v>2018</v>
      </c>
      <c r="G49" s="659">
        <v>43005</v>
      </c>
      <c r="H49" s="655" t="s">
        <v>727</v>
      </c>
      <c r="I49" s="655" t="s">
        <v>6378</v>
      </c>
      <c r="J49" s="712"/>
      <c r="K49" s="655" t="s">
        <v>6491</v>
      </c>
      <c r="L49" s="655" t="s">
        <v>6639</v>
      </c>
      <c r="M49" s="660">
        <v>394255.04</v>
      </c>
      <c r="N49" s="660">
        <v>19710.48</v>
      </c>
      <c r="O49" s="660">
        <v>66234.48</v>
      </c>
      <c r="P49" s="660">
        <v>480200</v>
      </c>
      <c r="Q49" s="548"/>
      <c r="R49" s="660">
        <v>349192.54</v>
      </c>
      <c r="S49" s="549">
        <f t="shared" si="0"/>
        <v>131007.46000000002</v>
      </c>
      <c r="T49" s="113" t="s">
        <v>131</v>
      </c>
      <c r="U49" s="626" t="str">
        <f t="shared" si="5"/>
        <v>AA11958</v>
      </c>
      <c r="V49" s="627" t="str">
        <f t="shared" si="6"/>
        <v>0068-TCN18</v>
      </c>
      <c r="W49" s="626">
        <f t="shared" si="7"/>
        <v>521502</v>
      </c>
      <c r="X49" s="626" t="str">
        <f t="shared" si="8"/>
        <v>HIACE PANEL 15 PASAJ AC</v>
      </c>
      <c r="Y49" s="627">
        <f t="shared" si="8"/>
        <v>2018</v>
      </c>
      <c r="Z49" s="628">
        <f t="shared" si="9"/>
        <v>394255.04</v>
      </c>
      <c r="AA49" s="629">
        <f>+Z49+Z48+Z47+Z46+Z45+Z44</f>
        <v>2365530.2399999998</v>
      </c>
      <c r="AB49" s="755">
        <v>6</v>
      </c>
      <c r="AC49" s="629">
        <f t="shared" si="1"/>
        <v>344993.21</v>
      </c>
      <c r="AD49" s="630">
        <f t="shared" si="2"/>
        <v>0.15</v>
      </c>
      <c r="AE49" s="555">
        <f t="shared" si="3"/>
        <v>12321.2</v>
      </c>
      <c r="AF49" s="555">
        <f t="shared" si="26"/>
        <v>19710.474499999993</v>
      </c>
      <c r="AG49" s="555">
        <f t="shared" si="10"/>
        <v>5.5000000065774657E-3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721" t="s">
        <v>6077</v>
      </c>
      <c r="C50" s="655">
        <v>521702</v>
      </c>
      <c r="D50" s="658">
        <v>2005</v>
      </c>
      <c r="E50" s="655" t="s">
        <v>701</v>
      </c>
      <c r="F50" s="546">
        <v>2017</v>
      </c>
      <c r="G50" s="659">
        <v>43006</v>
      </c>
      <c r="H50" s="655" t="s">
        <v>739</v>
      </c>
      <c r="I50" s="655" t="s">
        <v>6312</v>
      </c>
      <c r="J50" s="712"/>
      <c r="K50" s="655" t="s">
        <v>6458</v>
      </c>
      <c r="L50" s="655" t="s">
        <v>6574</v>
      </c>
      <c r="M50" s="660">
        <v>185344.83</v>
      </c>
      <c r="N50" s="660">
        <v>0</v>
      </c>
      <c r="O50" s="660">
        <v>29655.17</v>
      </c>
      <c r="P50" s="660">
        <v>215000</v>
      </c>
      <c r="Q50" s="548"/>
      <c r="R50" s="660">
        <v>166862.53</v>
      </c>
      <c r="S50" s="549">
        <f t="shared" si="0"/>
        <v>48137.47</v>
      </c>
      <c r="T50" s="444" t="s">
        <v>131</v>
      </c>
      <c r="U50" s="626" t="str">
        <f t="shared" si="5"/>
        <v>AA11973</v>
      </c>
      <c r="V50" s="627" t="str">
        <f t="shared" si="6"/>
        <v>1717-TCN17</v>
      </c>
      <c r="W50" s="626">
        <f t="shared" si="7"/>
        <v>521702</v>
      </c>
      <c r="X50" s="626" t="str">
        <f t="shared" si="8"/>
        <v>YARIS CORE MT, SEDAN</v>
      </c>
      <c r="Y50" s="627">
        <f t="shared" si="8"/>
        <v>2017</v>
      </c>
      <c r="Z50" s="628">
        <f t="shared" si="9"/>
        <v>185344.83</v>
      </c>
      <c r="AA50" s="629"/>
      <c r="AB50" s="755"/>
      <c r="AC50" s="629">
        <f t="shared" si="1"/>
        <v>0.01</v>
      </c>
      <c r="AD50" s="630">
        <f t="shared" si="2"/>
        <v>0.02</v>
      </c>
      <c r="AE50" s="555">
        <f t="shared" si="3"/>
        <v>0</v>
      </c>
      <c r="AF50" s="555"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721" t="s">
        <v>6072</v>
      </c>
      <c r="C51" s="655">
        <v>521702</v>
      </c>
      <c r="D51" s="658">
        <v>2005</v>
      </c>
      <c r="E51" s="655" t="s">
        <v>701</v>
      </c>
      <c r="F51" s="546">
        <v>2017</v>
      </c>
      <c r="G51" s="659">
        <v>42998</v>
      </c>
      <c r="H51" s="655" t="s">
        <v>819</v>
      </c>
      <c r="I51" s="655" t="s">
        <v>6307</v>
      </c>
      <c r="J51" s="712"/>
      <c r="K51" s="655" t="s">
        <v>6456</v>
      </c>
      <c r="L51" s="655" t="s">
        <v>6569</v>
      </c>
      <c r="M51" s="660">
        <v>185344.83</v>
      </c>
      <c r="N51" s="660">
        <v>0</v>
      </c>
      <c r="O51" s="660">
        <v>29655.17</v>
      </c>
      <c r="P51" s="660">
        <v>215000</v>
      </c>
      <c r="Q51" s="548"/>
      <c r="R51" s="660">
        <v>166508.04</v>
      </c>
      <c r="S51" s="549">
        <f t="shared" si="0"/>
        <v>48491.959999999992</v>
      </c>
      <c r="T51" s="113" t="s">
        <v>131</v>
      </c>
      <c r="U51" s="626" t="str">
        <f t="shared" si="5"/>
        <v>AA11902</v>
      </c>
      <c r="V51" s="627" t="str">
        <f t="shared" si="6"/>
        <v>1719-TCN17</v>
      </c>
      <c r="W51" s="626">
        <f t="shared" si="7"/>
        <v>521702</v>
      </c>
      <c r="X51" s="626" t="str">
        <f t="shared" si="8"/>
        <v>YARIS CORE MT, SEDAN</v>
      </c>
      <c r="Y51" s="627">
        <f t="shared" si="8"/>
        <v>2017</v>
      </c>
      <c r="Z51" s="628">
        <f t="shared" si="9"/>
        <v>185344.83</v>
      </c>
      <c r="AA51" s="629"/>
      <c r="AB51" s="755"/>
      <c r="AC51" s="629">
        <f t="shared" si="1"/>
        <v>0.01</v>
      </c>
      <c r="AD51" s="630">
        <f t="shared" si="2"/>
        <v>0.02</v>
      </c>
      <c r="AE51" s="555">
        <f t="shared" si="3"/>
        <v>0</v>
      </c>
      <c r="AF51" s="555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721" t="s">
        <v>6067</v>
      </c>
      <c r="C52" s="655">
        <v>521702</v>
      </c>
      <c r="D52" s="658">
        <v>2005</v>
      </c>
      <c r="E52" s="655" t="s">
        <v>701</v>
      </c>
      <c r="F52" s="546">
        <v>2017</v>
      </c>
      <c r="G52" s="659">
        <v>42979</v>
      </c>
      <c r="H52" s="655" t="s">
        <v>792</v>
      </c>
      <c r="I52" s="655" t="s">
        <v>6304</v>
      </c>
      <c r="J52" s="712"/>
      <c r="K52" s="655" t="s">
        <v>6454</v>
      </c>
      <c r="L52" s="655" t="s">
        <v>6566</v>
      </c>
      <c r="M52" s="660">
        <v>185344.83</v>
      </c>
      <c r="N52" s="660">
        <v>0</v>
      </c>
      <c r="O52" s="660">
        <v>29655.17</v>
      </c>
      <c r="P52" s="660">
        <v>215000</v>
      </c>
      <c r="Q52" s="548"/>
      <c r="R52" s="660">
        <v>166508.04</v>
      </c>
      <c r="S52" s="549">
        <f t="shared" si="0"/>
        <v>48491.959999999992</v>
      </c>
      <c r="T52" s="267" t="s">
        <v>131</v>
      </c>
      <c r="U52" s="626" t="str">
        <f t="shared" si="5"/>
        <v>AA11795</v>
      </c>
      <c r="V52" s="627" t="str">
        <f t="shared" si="6"/>
        <v>1736-TCN17</v>
      </c>
      <c r="W52" s="626">
        <f t="shared" si="7"/>
        <v>521702</v>
      </c>
      <c r="X52" s="626" t="str">
        <f t="shared" si="8"/>
        <v>YARIS CORE MT, SEDAN</v>
      </c>
      <c r="Y52" s="627">
        <f t="shared" si="8"/>
        <v>2017</v>
      </c>
      <c r="Z52" s="628">
        <f t="shared" si="9"/>
        <v>185344.83</v>
      </c>
      <c r="AA52" s="629"/>
      <c r="AB52" s="755"/>
      <c r="AC52" s="629">
        <f t="shared" si="1"/>
        <v>0.01</v>
      </c>
      <c r="AD52" s="630">
        <f t="shared" si="2"/>
        <v>0.02</v>
      </c>
      <c r="AE52" s="555">
        <f t="shared" si="3"/>
        <v>0</v>
      </c>
      <c r="AF52" s="555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721" t="s">
        <v>6068</v>
      </c>
      <c r="C53" s="655">
        <v>521702</v>
      </c>
      <c r="D53" s="658">
        <v>2005</v>
      </c>
      <c r="E53" s="655" t="s">
        <v>701</v>
      </c>
      <c r="F53" s="546">
        <v>2017</v>
      </c>
      <c r="G53" s="659">
        <v>42997</v>
      </c>
      <c r="H53" s="655" t="s">
        <v>2215</v>
      </c>
      <c r="I53" s="655" t="s">
        <v>6305</v>
      </c>
      <c r="J53" s="712"/>
      <c r="K53" s="655" t="s">
        <v>6455</v>
      </c>
      <c r="L53" s="655" t="s">
        <v>6567</v>
      </c>
      <c r="M53" s="660">
        <v>185344.83</v>
      </c>
      <c r="N53" s="660">
        <v>0</v>
      </c>
      <c r="O53" s="660">
        <v>29655.17</v>
      </c>
      <c r="P53" s="660">
        <v>215000</v>
      </c>
      <c r="Q53" s="548"/>
      <c r="R53" s="660">
        <v>168114.24</v>
      </c>
      <c r="S53" s="549">
        <f t="shared" si="0"/>
        <v>46885.760000000009</v>
      </c>
      <c r="T53" s="113" t="s">
        <v>131</v>
      </c>
      <c r="U53" s="626" t="str">
        <f t="shared" si="5"/>
        <v>AA11888</v>
      </c>
      <c r="V53" s="627" t="str">
        <f t="shared" si="6"/>
        <v>1836-TCN17</v>
      </c>
      <c r="W53" s="626">
        <f t="shared" si="7"/>
        <v>521702</v>
      </c>
      <c r="X53" s="626" t="str">
        <f t="shared" si="8"/>
        <v>YARIS CORE MT, SEDAN</v>
      </c>
      <c r="Y53" s="627">
        <f t="shared" si="8"/>
        <v>2017</v>
      </c>
      <c r="Z53" s="628">
        <f t="shared" si="9"/>
        <v>185344.83</v>
      </c>
      <c r="AA53" s="629"/>
      <c r="AB53" s="755"/>
      <c r="AC53" s="629">
        <f t="shared" si="1"/>
        <v>0.01</v>
      </c>
      <c r="AD53" s="630">
        <f t="shared" si="2"/>
        <v>0.02</v>
      </c>
      <c r="AE53" s="555">
        <f t="shared" si="3"/>
        <v>0</v>
      </c>
      <c r="AF53" s="555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721" t="s">
        <v>6076</v>
      </c>
      <c r="C54" s="655">
        <v>521702</v>
      </c>
      <c r="D54" s="658">
        <v>2005</v>
      </c>
      <c r="E54" s="655" t="s">
        <v>701</v>
      </c>
      <c r="F54" s="546">
        <v>2017</v>
      </c>
      <c r="G54" s="659">
        <v>43004</v>
      </c>
      <c r="H54" s="655" t="s">
        <v>819</v>
      </c>
      <c r="I54" s="655" t="s">
        <v>6311</v>
      </c>
      <c r="J54" s="712"/>
      <c r="K54" s="655" t="s">
        <v>6457</v>
      </c>
      <c r="L54" s="655" t="s">
        <v>6573</v>
      </c>
      <c r="M54" s="660">
        <v>185344.83</v>
      </c>
      <c r="N54" s="660">
        <v>0</v>
      </c>
      <c r="O54" s="660">
        <v>29655.17</v>
      </c>
      <c r="P54" s="660">
        <v>215000</v>
      </c>
      <c r="Q54" s="548"/>
      <c r="R54" s="660">
        <v>168114.24</v>
      </c>
      <c r="S54" s="549">
        <f t="shared" si="0"/>
        <v>46885.760000000009</v>
      </c>
      <c r="T54" s="113" t="s">
        <v>131</v>
      </c>
      <c r="U54" s="626" t="str">
        <f t="shared" si="5"/>
        <v>AA11949</v>
      </c>
      <c r="V54" s="627" t="str">
        <f t="shared" si="6"/>
        <v>1840-TCN17</v>
      </c>
      <c r="W54" s="626">
        <f t="shared" si="7"/>
        <v>521702</v>
      </c>
      <c r="X54" s="626" t="str">
        <f t="shared" si="8"/>
        <v>YARIS CORE MT, SEDAN</v>
      </c>
      <c r="Y54" s="627">
        <f t="shared" si="8"/>
        <v>2017</v>
      </c>
      <c r="Z54" s="628">
        <f t="shared" si="9"/>
        <v>185344.83</v>
      </c>
      <c r="AA54" s="629"/>
      <c r="AB54" s="755"/>
      <c r="AC54" s="629">
        <f t="shared" si="1"/>
        <v>0.01</v>
      </c>
      <c r="AD54" s="630">
        <f t="shared" si="2"/>
        <v>0.02</v>
      </c>
      <c r="AE54" s="555">
        <f t="shared" si="3"/>
        <v>0</v>
      </c>
      <c r="AF54" s="555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721" t="s">
        <v>6078</v>
      </c>
      <c r="C55" s="655">
        <v>521702</v>
      </c>
      <c r="D55" s="658">
        <v>2005</v>
      </c>
      <c r="E55" s="655" t="s">
        <v>701</v>
      </c>
      <c r="F55" s="546">
        <v>2017</v>
      </c>
      <c r="G55" s="659">
        <v>43006</v>
      </c>
      <c r="H55" s="655" t="s">
        <v>792</v>
      </c>
      <c r="I55" s="655" t="s">
        <v>6313</v>
      </c>
      <c r="J55" s="712"/>
      <c r="K55" s="655" t="s">
        <v>6459</v>
      </c>
      <c r="L55" s="655" t="s">
        <v>6575</v>
      </c>
      <c r="M55" s="660">
        <v>185344.83</v>
      </c>
      <c r="N55" s="660">
        <v>0</v>
      </c>
      <c r="O55" s="660">
        <v>29655.17</v>
      </c>
      <c r="P55" s="660">
        <v>215000</v>
      </c>
      <c r="Q55" s="548"/>
      <c r="R55" s="660">
        <v>168114.24</v>
      </c>
      <c r="S55" s="549">
        <f t="shared" si="0"/>
        <v>46885.760000000009</v>
      </c>
      <c r="T55" s="113" t="s">
        <v>131</v>
      </c>
      <c r="U55" s="626" t="str">
        <f t="shared" si="5"/>
        <v>AA11975</v>
      </c>
      <c r="V55" s="627" t="str">
        <f t="shared" si="6"/>
        <v>1867-TCN17</v>
      </c>
      <c r="W55" s="626">
        <f t="shared" si="7"/>
        <v>521702</v>
      </c>
      <c r="X55" s="626" t="str">
        <f t="shared" si="8"/>
        <v>YARIS CORE MT, SEDAN</v>
      </c>
      <c r="Y55" s="627">
        <f t="shared" si="8"/>
        <v>2017</v>
      </c>
      <c r="Z55" s="628">
        <f t="shared" si="9"/>
        <v>185344.83</v>
      </c>
      <c r="AA55" s="629"/>
      <c r="AB55" s="755"/>
      <c r="AC55" s="629">
        <f t="shared" si="1"/>
        <v>0.01</v>
      </c>
      <c r="AD55" s="630">
        <f t="shared" si="2"/>
        <v>0.02</v>
      </c>
      <c r="AE55" s="555">
        <f t="shared" si="3"/>
        <v>0</v>
      </c>
      <c r="AF55" s="555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721" t="s">
        <v>6079</v>
      </c>
      <c r="C56" s="655">
        <v>521702</v>
      </c>
      <c r="D56" s="658">
        <v>2005</v>
      </c>
      <c r="E56" s="655" t="s">
        <v>701</v>
      </c>
      <c r="F56" s="546">
        <v>2017</v>
      </c>
      <c r="G56" s="659">
        <v>43006</v>
      </c>
      <c r="H56" s="655" t="s">
        <v>2215</v>
      </c>
      <c r="I56" s="655" t="s">
        <v>6314</v>
      </c>
      <c r="J56" s="712"/>
      <c r="K56" s="655" t="s">
        <v>6460</v>
      </c>
      <c r="L56" s="655" t="s">
        <v>6576</v>
      </c>
      <c r="M56" s="660">
        <v>185344.83</v>
      </c>
      <c r="N56" s="660">
        <v>0</v>
      </c>
      <c r="O56" s="660">
        <v>29655.17</v>
      </c>
      <c r="P56" s="660">
        <v>215000</v>
      </c>
      <c r="Q56" s="548"/>
      <c r="R56" s="660">
        <v>168114.24</v>
      </c>
      <c r="S56" s="549">
        <f t="shared" si="0"/>
        <v>46885.760000000009</v>
      </c>
      <c r="T56" s="113" t="s">
        <v>131</v>
      </c>
      <c r="U56" s="626" t="str">
        <f t="shared" si="5"/>
        <v>AA11974</v>
      </c>
      <c r="V56" s="627" t="str">
        <f t="shared" si="6"/>
        <v>1868-TCN17</v>
      </c>
      <c r="W56" s="626">
        <f t="shared" si="7"/>
        <v>521702</v>
      </c>
      <c r="X56" s="626" t="str">
        <f t="shared" si="8"/>
        <v>YARIS CORE MT, SEDAN</v>
      </c>
      <c r="Y56" s="627">
        <f t="shared" si="8"/>
        <v>2017</v>
      </c>
      <c r="Z56" s="628">
        <f t="shared" si="9"/>
        <v>185344.83</v>
      </c>
      <c r="AA56" s="629">
        <f>+SUM(Z50:Z56)</f>
        <v>1297413.81</v>
      </c>
      <c r="AB56" s="763">
        <v>7</v>
      </c>
      <c r="AC56" s="629">
        <f t="shared" si="1"/>
        <v>0.01</v>
      </c>
      <c r="AD56" s="630">
        <f t="shared" si="2"/>
        <v>0.02</v>
      </c>
      <c r="AE56" s="555">
        <f t="shared" si="3"/>
        <v>0</v>
      </c>
      <c r="AF56" s="555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721" t="s">
        <v>6084</v>
      </c>
      <c r="C57" s="655">
        <v>521707</v>
      </c>
      <c r="D57" s="658">
        <v>2006</v>
      </c>
      <c r="E57" s="655" t="s">
        <v>702</v>
      </c>
      <c r="F57" s="546">
        <v>2017</v>
      </c>
      <c r="G57" s="659">
        <v>42991</v>
      </c>
      <c r="H57" s="655" t="s">
        <v>817</v>
      </c>
      <c r="I57" s="655" t="s">
        <v>6315</v>
      </c>
      <c r="J57" s="712"/>
      <c r="K57" s="655" t="s">
        <v>6462</v>
      </c>
      <c r="L57" s="655" t="s">
        <v>6577</v>
      </c>
      <c r="M57" s="660">
        <v>189655.17</v>
      </c>
      <c r="N57" s="660">
        <v>0</v>
      </c>
      <c r="O57" s="660">
        <v>30344.83</v>
      </c>
      <c r="P57" s="660">
        <v>220000</v>
      </c>
      <c r="Q57" s="548"/>
      <c r="R57" s="660">
        <v>176916.14</v>
      </c>
      <c r="S57" s="549">
        <f t="shared" si="0"/>
        <v>43083.859999999986</v>
      </c>
      <c r="T57" s="267" t="s">
        <v>131</v>
      </c>
      <c r="U57" s="626" t="str">
        <f t="shared" si="5"/>
        <v>AA11861</v>
      </c>
      <c r="V57" s="627" t="str">
        <f t="shared" si="6"/>
        <v>1128-TCN17</v>
      </c>
      <c r="W57" s="626">
        <f t="shared" si="7"/>
        <v>521707</v>
      </c>
      <c r="X57" s="626" t="str">
        <f t="shared" si="8"/>
        <v>YARIS CORE,SEDAN CVT.</v>
      </c>
      <c r="Y57" s="627">
        <f t="shared" si="8"/>
        <v>2017</v>
      </c>
      <c r="Z57" s="628">
        <f t="shared" si="9"/>
        <v>189655.17</v>
      </c>
      <c r="AA57" s="629"/>
      <c r="AB57" s="755"/>
      <c r="AC57" s="629">
        <f>VLOOKUP(Z57,TARIFA,1)</f>
        <v>0.01</v>
      </c>
      <c r="AD57" s="630">
        <f>VLOOKUP(Z57,TARIFA,4)</f>
        <v>0.02</v>
      </c>
      <c r="AE57" s="555">
        <f>VLOOKUP(Z57,TARIFA,3)</f>
        <v>0</v>
      </c>
      <c r="AF57" s="555">
        <f>+N57</f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721" t="s">
        <v>6083</v>
      </c>
      <c r="C58" s="655">
        <v>521707</v>
      </c>
      <c r="D58" s="658">
        <v>2006</v>
      </c>
      <c r="E58" s="655" t="s">
        <v>702</v>
      </c>
      <c r="F58" s="546">
        <v>2017</v>
      </c>
      <c r="G58" s="659">
        <v>42989</v>
      </c>
      <c r="H58" s="655" t="s">
        <v>2213</v>
      </c>
      <c r="I58" s="655" t="s">
        <v>5667</v>
      </c>
      <c r="J58" s="712"/>
      <c r="K58" s="655" t="s">
        <v>6461</v>
      </c>
      <c r="L58" s="655" t="s">
        <v>5916</v>
      </c>
      <c r="M58" s="660">
        <v>202586.21</v>
      </c>
      <c r="N58" s="660">
        <v>0</v>
      </c>
      <c r="O58" s="660">
        <v>32413.79</v>
      </c>
      <c r="P58" s="660">
        <v>235000</v>
      </c>
      <c r="Q58" s="548"/>
      <c r="R58" s="660">
        <v>183052.26</v>
      </c>
      <c r="S58" s="549">
        <f t="shared" si="0"/>
        <v>51947.739999999991</v>
      </c>
      <c r="T58" s="113" t="s">
        <v>131</v>
      </c>
      <c r="U58" s="626" t="str">
        <f t="shared" si="5"/>
        <v>AA11831</v>
      </c>
      <c r="V58" s="627" t="str">
        <f t="shared" si="6"/>
        <v>1315-TCN17</v>
      </c>
      <c r="W58" s="626">
        <f t="shared" si="7"/>
        <v>521707</v>
      </c>
      <c r="X58" s="626" t="str">
        <f t="shared" si="8"/>
        <v>YARIS CORE,SEDAN CVT.</v>
      </c>
      <c r="Y58" s="627">
        <f t="shared" si="8"/>
        <v>2017</v>
      </c>
      <c r="Z58" s="628">
        <f t="shared" si="9"/>
        <v>202586.21</v>
      </c>
      <c r="AA58" s="629"/>
      <c r="AB58" s="755"/>
      <c r="AC58" s="629">
        <f t="shared" si="1"/>
        <v>0.01</v>
      </c>
      <c r="AD58" s="630">
        <f t="shared" si="2"/>
        <v>0.02</v>
      </c>
      <c r="AE58" s="555">
        <f t="shared" si="3"/>
        <v>0</v>
      </c>
      <c r="AF58" s="555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721" t="s">
        <v>6087</v>
      </c>
      <c r="C59" s="655">
        <v>521707</v>
      </c>
      <c r="D59" s="658">
        <v>2006</v>
      </c>
      <c r="E59" s="655" t="s">
        <v>702</v>
      </c>
      <c r="F59" s="546">
        <v>2017</v>
      </c>
      <c r="G59" s="659">
        <v>43007</v>
      </c>
      <c r="H59" s="655" t="s">
        <v>1207</v>
      </c>
      <c r="I59" s="655" t="s">
        <v>6316</v>
      </c>
      <c r="J59" s="712"/>
      <c r="K59" s="655" t="s">
        <v>6463</v>
      </c>
      <c r="L59" s="655" t="s">
        <v>6578</v>
      </c>
      <c r="M59" s="660">
        <v>202586.21</v>
      </c>
      <c r="N59" s="660">
        <v>0</v>
      </c>
      <c r="O59" s="660">
        <v>32413.79</v>
      </c>
      <c r="P59" s="660">
        <v>235000</v>
      </c>
      <c r="Q59" s="548"/>
      <c r="R59" s="660">
        <v>183052.26</v>
      </c>
      <c r="S59" s="549">
        <f t="shared" si="0"/>
        <v>51947.739999999991</v>
      </c>
      <c r="T59" s="113" t="s">
        <v>131</v>
      </c>
      <c r="U59" s="626" t="str">
        <f t="shared" si="5"/>
        <v>AA11990</v>
      </c>
      <c r="V59" s="627" t="str">
        <f t="shared" si="6"/>
        <v>1470-TCN17</v>
      </c>
      <c r="W59" s="626">
        <f t="shared" si="7"/>
        <v>521707</v>
      </c>
      <c r="X59" s="626" t="str">
        <f t="shared" si="8"/>
        <v>YARIS CORE,SEDAN CVT.</v>
      </c>
      <c r="Y59" s="627">
        <f t="shared" si="8"/>
        <v>2017</v>
      </c>
      <c r="Z59" s="628">
        <f t="shared" si="9"/>
        <v>202586.21</v>
      </c>
      <c r="AA59" s="629"/>
      <c r="AB59" s="755"/>
      <c r="AC59" s="629">
        <f>VLOOKUP(Z59,TARIFA,1)</f>
        <v>0.01</v>
      </c>
      <c r="AD59" s="630">
        <f>VLOOKUP(Z59,TARIFA,4)</f>
        <v>0.02</v>
      </c>
      <c r="AE59" s="555">
        <f>VLOOKUP(Z59,TARIFA,3)</f>
        <v>0</v>
      </c>
      <c r="AF59" s="555">
        <f>+N59</f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721" t="s">
        <v>6080</v>
      </c>
      <c r="C60" s="655">
        <v>521707</v>
      </c>
      <c r="D60" s="658">
        <v>2006</v>
      </c>
      <c r="E60" s="655" t="s">
        <v>702</v>
      </c>
      <c r="F60" s="546">
        <v>2017</v>
      </c>
      <c r="G60" s="659">
        <v>42987</v>
      </c>
      <c r="H60" s="655" t="s">
        <v>819</v>
      </c>
      <c r="I60" s="655" t="s">
        <v>5667</v>
      </c>
      <c r="J60" s="712"/>
      <c r="K60" s="655" t="s">
        <v>5805</v>
      </c>
      <c r="L60" s="655" t="s">
        <v>5916</v>
      </c>
      <c r="M60" s="660">
        <v>-201982.76</v>
      </c>
      <c r="N60" s="660">
        <v>0</v>
      </c>
      <c r="O60" s="660">
        <v>-32317.24</v>
      </c>
      <c r="P60" s="660">
        <v>-234300</v>
      </c>
      <c r="Q60" s="548"/>
      <c r="R60" s="660">
        <v>-183052.26</v>
      </c>
      <c r="S60" s="549">
        <f t="shared" si="0"/>
        <v>-51247.739999999991</v>
      </c>
      <c r="T60" s="267" t="s">
        <v>6702</v>
      </c>
      <c r="U60" s="626" t="str">
        <f t="shared" si="5"/>
        <v>ZA04286</v>
      </c>
      <c r="V60" s="627" t="str">
        <f t="shared" si="6"/>
        <v>1315-TCN17</v>
      </c>
      <c r="W60" s="626">
        <f t="shared" si="7"/>
        <v>521707</v>
      </c>
      <c r="X60" s="626" t="str">
        <f t="shared" si="8"/>
        <v>YARIS CORE,SEDAN CVT.</v>
      </c>
      <c r="Y60" s="627">
        <f t="shared" si="8"/>
        <v>2017</v>
      </c>
      <c r="Z60" s="628">
        <f t="shared" si="9"/>
        <v>-201982.76</v>
      </c>
      <c r="AA60" s="629">
        <f>+Z60+Z59+Z58+Z57</f>
        <v>392844.82999999996</v>
      </c>
      <c r="AB60" s="763">
        <v>2</v>
      </c>
      <c r="AC60" s="629" t="e">
        <f>VLOOKUP(Z60,TARIFA,1)</f>
        <v>#N/A</v>
      </c>
      <c r="AD60" s="630" t="e">
        <f>VLOOKUP(Z60,TARIFA,4)</f>
        <v>#N/A</v>
      </c>
      <c r="AE60" s="555" t="e">
        <f>VLOOKUP(Z60,TARIFA,3)</f>
        <v>#N/A</v>
      </c>
      <c r="AF60" s="555">
        <f>+N60</f>
        <v>0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721" t="s">
        <v>6099</v>
      </c>
      <c r="C61" s="655">
        <v>521801</v>
      </c>
      <c r="D61" s="658">
        <v>2201</v>
      </c>
      <c r="E61" s="655" t="s">
        <v>704</v>
      </c>
      <c r="F61" s="546">
        <v>2017</v>
      </c>
      <c r="G61" s="659">
        <v>43008</v>
      </c>
      <c r="H61" s="655" t="s">
        <v>817</v>
      </c>
      <c r="I61" s="655" t="s">
        <v>6323</v>
      </c>
      <c r="J61" s="712"/>
      <c r="K61" s="655" t="s">
        <v>6467</v>
      </c>
      <c r="L61" s="655" t="s">
        <v>6585</v>
      </c>
      <c r="M61" s="660">
        <v>195948.28</v>
      </c>
      <c r="N61" s="660">
        <v>0</v>
      </c>
      <c r="O61" s="660">
        <v>31351.72</v>
      </c>
      <c r="P61" s="660">
        <v>227300</v>
      </c>
      <c r="Q61" s="548"/>
      <c r="R61" s="660">
        <v>185980.79</v>
      </c>
      <c r="S61" s="549">
        <f t="shared" si="0"/>
        <v>41319.209999999992</v>
      </c>
      <c r="T61" s="113" t="s">
        <v>131</v>
      </c>
      <c r="U61" s="626" t="str">
        <f t="shared" si="5"/>
        <v>AA11994</v>
      </c>
      <c r="V61" s="627" t="str">
        <f t="shared" si="6"/>
        <v>1822-TCN17</v>
      </c>
      <c r="W61" s="626">
        <f t="shared" si="7"/>
        <v>521801</v>
      </c>
      <c r="X61" s="626" t="str">
        <f t="shared" si="8"/>
        <v>AVANZA HI 5MT</v>
      </c>
      <c r="Y61" s="627">
        <f t="shared" si="8"/>
        <v>2017</v>
      </c>
      <c r="Z61" s="628">
        <f t="shared" si="9"/>
        <v>195948.28</v>
      </c>
      <c r="AA61" s="629"/>
      <c r="AB61" s="755"/>
      <c r="AC61" s="629">
        <f>VLOOKUP(Z61,TARIFA,1)</f>
        <v>0.01</v>
      </c>
      <c r="AD61" s="630">
        <f>VLOOKUP(Z61,TARIFA,4)</f>
        <v>0.02</v>
      </c>
      <c r="AE61" s="555">
        <f>VLOOKUP(Z61,TARIFA,3)</f>
        <v>0</v>
      </c>
      <c r="AF61" s="555">
        <f>+N61</f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721" t="s">
        <v>6098</v>
      </c>
      <c r="C62" s="655">
        <v>521801</v>
      </c>
      <c r="D62" s="658">
        <v>2201</v>
      </c>
      <c r="E62" s="655" t="s">
        <v>704</v>
      </c>
      <c r="F62" s="546">
        <v>2017</v>
      </c>
      <c r="G62" s="659">
        <v>43007</v>
      </c>
      <c r="H62" s="655" t="s">
        <v>5622</v>
      </c>
      <c r="I62" s="655" t="s">
        <v>6322</v>
      </c>
      <c r="J62" s="712"/>
      <c r="K62" s="655" t="s">
        <v>6466</v>
      </c>
      <c r="L62" s="655" t="s">
        <v>6584</v>
      </c>
      <c r="M62" s="660">
        <v>195948.28</v>
      </c>
      <c r="N62" s="660">
        <v>0</v>
      </c>
      <c r="O62" s="660">
        <v>31351.72</v>
      </c>
      <c r="P62" s="660">
        <v>227300</v>
      </c>
      <c r="Q62" s="548"/>
      <c r="R62" s="660">
        <v>185979.79</v>
      </c>
      <c r="S62" s="549">
        <f t="shared" si="0"/>
        <v>41320.209999999992</v>
      </c>
      <c r="T62" s="113" t="s">
        <v>131</v>
      </c>
      <c r="U62" s="626" t="str">
        <f t="shared" si="5"/>
        <v>AA11981</v>
      </c>
      <c r="V62" s="627" t="str">
        <f t="shared" si="6"/>
        <v>1860-TCN17</v>
      </c>
      <c r="W62" s="626">
        <f t="shared" si="7"/>
        <v>521801</v>
      </c>
      <c r="X62" s="626" t="str">
        <f t="shared" si="8"/>
        <v>AVANZA HI 5MT</v>
      </c>
      <c r="Y62" s="627">
        <f t="shared" si="8"/>
        <v>2017</v>
      </c>
      <c r="Z62" s="628">
        <f t="shared" si="9"/>
        <v>195948.28</v>
      </c>
      <c r="AA62" s="629"/>
      <c r="AB62" s="755"/>
      <c r="AC62" s="629">
        <f>VLOOKUP(Z62,TARIFA,1)</f>
        <v>0.01</v>
      </c>
      <c r="AD62" s="630">
        <f>VLOOKUP(Z62,TARIFA,4)</f>
        <v>0.02</v>
      </c>
      <c r="AE62" s="555">
        <f>VLOOKUP(Z62,TARIFA,3)</f>
        <v>0</v>
      </c>
      <c r="AF62" s="555">
        <f>+N62</f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721" t="s">
        <v>6100</v>
      </c>
      <c r="C63" s="655">
        <v>521801</v>
      </c>
      <c r="D63" s="658">
        <v>2201</v>
      </c>
      <c r="E63" s="655" t="s">
        <v>704</v>
      </c>
      <c r="F63" s="546">
        <v>2017</v>
      </c>
      <c r="G63" s="659">
        <v>43008</v>
      </c>
      <c r="H63" s="655" t="s">
        <v>727</v>
      </c>
      <c r="I63" s="655" t="s">
        <v>6324</v>
      </c>
      <c r="J63" s="712"/>
      <c r="K63" s="655" t="s">
        <v>6468</v>
      </c>
      <c r="L63" s="655" t="s">
        <v>6586</v>
      </c>
      <c r="M63" s="660">
        <v>195948.28</v>
      </c>
      <c r="N63" s="660">
        <v>0</v>
      </c>
      <c r="O63" s="660">
        <v>31351.72</v>
      </c>
      <c r="P63" s="660">
        <v>227300</v>
      </c>
      <c r="Q63" s="548"/>
      <c r="R63" s="660">
        <v>185980.79</v>
      </c>
      <c r="S63" s="549">
        <f t="shared" si="0"/>
        <v>41319.209999999992</v>
      </c>
      <c r="T63" s="113" t="s">
        <v>131</v>
      </c>
      <c r="U63" s="626" t="str">
        <f t="shared" si="5"/>
        <v>AA11995</v>
      </c>
      <c r="V63" s="627" t="str">
        <f t="shared" si="6"/>
        <v>1893-TCN17</v>
      </c>
      <c r="W63" s="626">
        <f t="shared" si="7"/>
        <v>521801</v>
      </c>
      <c r="X63" s="626" t="str">
        <f t="shared" si="8"/>
        <v>AVANZA HI 5MT</v>
      </c>
      <c r="Y63" s="627">
        <f t="shared" si="8"/>
        <v>2017</v>
      </c>
      <c r="Z63" s="628">
        <f t="shared" si="9"/>
        <v>195948.28</v>
      </c>
      <c r="AA63" s="629">
        <f>+Z63+Z62+Z61</f>
        <v>587844.84</v>
      </c>
      <c r="AB63" s="763">
        <v>3</v>
      </c>
      <c r="AC63" s="629">
        <f>VLOOKUP(Z63,TARIFA,1)</f>
        <v>0.01</v>
      </c>
      <c r="AD63" s="630">
        <f>VLOOKUP(Z63,TARIFA,4)</f>
        <v>0.02</v>
      </c>
      <c r="AE63" s="555">
        <f>VLOOKUP(Z63,TARIFA,3)</f>
        <v>0</v>
      </c>
      <c r="AF63" s="555">
        <f>+N63</f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721" t="s">
        <v>6118</v>
      </c>
      <c r="C64" s="655">
        <v>521802</v>
      </c>
      <c r="D64" s="658">
        <v>2202</v>
      </c>
      <c r="E64" s="655" t="s">
        <v>703</v>
      </c>
      <c r="F64" s="546">
        <v>2017</v>
      </c>
      <c r="G64" s="659">
        <v>43003</v>
      </c>
      <c r="H64" s="655" t="s">
        <v>3694</v>
      </c>
      <c r="I64" s="655" t="s">
        <v>4831</v>
      </c>
      <c r="J64" s="712"/>
      <c r="K64" s="655" t="s">
        <v>2460</v>
      </c>
      <c r="L64" s="655" t="s">
        <v>5345</v>
      </c>
      <c r="M64" s="660">
        <v>196551.72</v>
      </c>
      <c r="N64" s="660">
        <v>0</v>
      </c>
      <c r="O64" s="660">
        <v>31448.28</v>
      </c>
      <c r="P64" s="660">
        <v>228000</v>
      </c>
      <c r="Q64" s="548"/>
      <c r="R64" s="660">
        <v>182856.5</v>
      </c>
      <c r="S64" s="549">
        <f t="shared" si="0"/>
        <v>45143.5</v>
      </c>
      <c r="T64" s="267" t="s">
        <v>131</v>
      </c>
      <c r="U64" s="626" t="str">
        <f t="shared" si="5"/>
        <v>AA11922</v>
      </c>
      <c r="V64" s="627" t="str">
        <f t="shared" si="6"/>
        <v>0749-TCN17</v>
      </c>
      <c r="W64" s="626">
        <f t="shared" si="7"/>
        <v>521802</v>
      </c>
      <c r="X64" s="626" t="str">
        <f t="shared" si="8"/>
        <v>AVANZA HI 4AT</v>
      </c>
      <c r="Y64" s="627">
        <f t="shared" si="8"/>
        <v>2017</v>
      </c>
      <c r="Z64" s="628">
        <f t="shared" si="9"/>
        <v>196551.72</v>
      </c>
      <c r="AA64" s="629"/>
      <c r="AB64" s="755"/>
      <c r="AC64" s="629">
        <f t="shared" si="1"/>
        <v>0.01</v>
      </c>
      <c r="AD64" s="630">
        <f t="shared" si="2"/>
        <v>0.02</v>
      </c>
      <c r="AE64" s="555">
        <f t="shared" si="3"/>
        <v>0</v>
      </c>
      <c r="AF64" s="555">
        <f t="shared" ref="AF64:AF97" si="27">+N64</f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721" t="s">
        <v>6116</v>
      </c>
      <c r="C65" s="655">
        <v>521802</v>
      </c>
      <c r="D65" s="658">
        <v>2202</v>
      </c>
      <c r="E65" s="655" t="s">
        <v>703</v>
      </c>
      <c r="F65" s="546">
        <v>2017</v>
      </c>
      <c r="G65" s="659">
        <v>43000</v>
      </c>
      <c r="H65" s="655" t="s">
        <v>817</v>
      </c>
      <c r="I65" s="655" t="s">
        <v>2274</v>
      </c>
      <c r="J65" s="712"/>
      <c r="K65" s="655" t="s">
        <v>6472</v>
      </c>
      <c r="L65" s="655" t="s">
        <v>2572</v>
      </c>
      <c r="M65" s="660">
        <v>198275.86</v>
      </c>
      <c r="N65" s="660">
        <v>0</v>
      </c>
      <c r="O65" s="660">
        <v>31724.14</v>
      </c>
      <c r="P65" s="660">
        <v>230000</v>
      </c>
      <c r="Q65" s="548"/>
      <c r="R65" s="660">
        <v>182856.49</v>
      </c>
      <c r="S65" s="549">
        <f t="shared" si="0"/>
        <v>47143.510000000009</v>
      </c>
      <c r="T65" s="267" t="s">
        <v>131</v>
      </c>
      <c r="U65" s="626" t="str">
        <f t="shared" si="5"/>
        <v>AA11913</v>
      </c>
      <c r="V65" s="627" t="str">
        <f t="shared" si="6"/>
        <v>0974-TCN17</v>
      </c>
      <c r="W65" s="626">
        <f t="shared" si="7"/>
        <v>521802</v>
      </c>
      <c r="X65" s="626" t="str">
        <f t="shared" si="8"/>
        <v>AVANZA HI 4AT</v>
      </c>
      <c r="Y65" s="627">
        <f t="shared" si="8"/>
        <v>2017</v>
      </c>
      <c r="Z65" s="628">
        <f t="shared" si="9"/>
        <v>198275.86</v>
      </c>
      <c r="AA65" s="629"/>
      <c r="AB65" s="755"/>
      <c r="AC65" s="629">
        <f t="shared" si="1"/>
        <v>0.01</v>
      </c>
      <c r="AD65" s="630">
        <f t="shared" si="2"/>
        <v>0.02</v>
      </c>
      <c r="AE65" s="555">
        <f t="shared" si="3"/>
        <v>0</v>
      </c>
      <c r="AF65" s="555">
        <f t="shared" si="27"/>
        <v>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721" t="s">
        <v>6104</v>
      </c>
      <c r="C66" s="655">
        <v>521802</v>
      </c>
      <c r="D66" s="658">
        <v>2202</v>
      </c>
      <c r="E66" s="655" t="s">
        <v>703</v>
      </c>
      <c r="F66" s="546">
        <v>2017</v>
      </c>
      <c r="G66" s="659">
        <v>42985</v>
      </c>
      <c r="H66" s="655" t="s">
        <v>2215</v>
      </c>
      <c r="I66" s="655" t="s">
        <v>5692</v>
      </c>
      <c r="J66" s="712"/>
      <c r="K66" s="655" t="s">
        <v>6469</v>
      </c>
      <c r="L66" s="655" t="s">
        <v>5941</v>
      </c>
      <c r="M66" s="660">
        <v>200431.03</v>
      </c>
      <c r="N66" s="660">
        <v>0</v>
      </c>
      <c r="O66" s="660">
        <v>32068.97</v>
      </c>
      <c r="P66" s="660">
        <v>232500</v>
      </c>
      <c r="Q66" s="548"/>
      <c r="R66" s="660">
        <v>188021.32</v>
      </c>
      <c r="S66" s="549">
        <f t="shared" si="0"/>
        <v>44478.679999999993</v>
      </c>
      <c r="T66" s="113" t="s">
        <v>131</v>
      </c>
      <c r="U66" s="626" t="str">
        <f t="shared" si="5"/>
        <v>AA11815</v>
      </c>
      <c r="V66" s="627" t="str">
        <f t="shared" si="6"/>
        <v>1644-TCN17</v>
      </c>
      <c r="W66" s="626">
        <f t="shared" si="7"/>
        <v>521802</v>
      </c>
      <c r="X66" s="626" t="str">
        <f t="shared" si="8"/>
        <v>AVANZA HI 4AT</v>
      </c>
      <c r="Y66" s="627">
        <f t="shared" si="8"/>
        <v>2017</v>
      </c>
      <c r="Z66" s="628">
        <f t="shared" si="9"/>
        <v>200431.03</v>
      </c>
      <c r="AA66" s="629"/>
      <c r="AB66" s="755"/>
      <c r="AC66" s="629">
        <f t="shared" si="1"/>
        <v>0.01</v>
      </c>
      <c r="AD66" s="630">
        <f t="shared" si="2"/>
        <v>0.02</v>
      </c>
      <c r="AE66" s="555">
        <f t="shared" si="3"/>
        <v>0</v>
      </c>
      <c r="AF66" s="555">
        <f t="shared" si="27"/>
        <v>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721" t="s">
        <v>6102</v>
      </c>
      <c r="C67" s="655">
        <v>521802</v>
      </c>
      <c r="D67" s="658">
        <v>2202</v>
      </c>
      <c r="E67" s="655" t="s">
        <v>703</v>
      </c>
      <c r="F67" s="546">
        <v>2017</v>
      </c>
      <c r="G67" s="659">
        <v>42979</v>
      </c>
      <c r="H67" s="655" t="s">
        <v>2215</v>
      </c>
      <c r="I67" s="655" t="s">
        <v>5694</v>
      </c>
      <c r="J67" s="712"/>
      <c r="K67" s="655" t="s">
        <v>5819</v>
      </c>
      <c r="L67" s="655" t="s">
        <v>5943</v>
      </c>
      <c r="M67" s="660">
        <v>202155.17</v>
      </c>
      <c r="N67" s="660">
        <v>0</v>
      </c>
      <c r="O67" s="660">
        <v>32344.83</v>
      </c>
      <c r="P67" s="660">
        <v>234500</v>
      </c>
      <c r="Q67" s="548"/>
      <c r="R67" s="660">
        <v>187666.84</v>
      </c>
      <c r="S67" s="549">
        <f t="shared" si="0"/>
        <v>46833.16</v>
      </c>
      <c r="T67" s="267" t="s">
        <v>131</v>
      </c>
      <c r="U67" s="626" t="str">
        <f t="shared" si="5"/>
        <v>AA11794</v>
      </c>
      <c r="V67" s="627" t="str">
        <f t="shared" si="6"/>
        <v>1764-TCN17</v>
      </c>
      <c r="W67" s="626">
        <f t="shared" si="7"/>
        <v>521802</v>
      </c>
      <c r="X67" s="626" t="str">
        <f t="shared" si="8"/>
        <v>AVANZA HI 4AT</v>
      </c>
      <c r="Y67" s="627">
        <f t="shared" si="8"/>
        <v>2017</v>
      </c>
      <c r="Z67" s="628">
        <f t="shared" si="9"/>
        <v>202155.17</v>
      </c>
      <c r="AA67" s="629"/>
      <c r="AB67" s="755"/>
      <c r="AC67" s="629">
        <f t="shared" si="1"/>
        <v>0.01</v>
      </c>
      <c r="AD67" s="630">
        <f t="shared" si="2"/>
        <v>0.02</v>
      </c>
      <c r="AE67" s="555">
        <f t="shared" si="3"/>
        <v>0</v>
      </c>
      <c r="AF67" s="555">
        <f t="shared" si="27"/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721" t="s">
        <v>6112</v>
      </c>
      <c r="C68" s="655">
        <v>521802</v>
      </c>
      <c r="D68" s="658">
        <v>2202</v>
      </c>
      <c r="E68" s="655" t="s">
        <v>703</v>
      </c>
      <c r="F68" s="546">
        <v>2017</v>
      </c>
      <c r="G68" s="659">
        <v>42992</v>
      </c>
      <c r="H68" s="655" t="s">
        <v>5129</v>
      </c>
      <c r="I68" s="655" t="s">
        <v>6325</v>
      </c>
      <c r="J68" s="712"/>
      <c r="K68" s="655" t="s">
        <v>6470</v>
      </c>
      <c r="L68" s="655" t="s">
        <v>6587</v>
      </c>
      <c r="M68" s="660">
        <v>200431.03</v>
      </c>
      <c r="N68" s="660">
        <v>0</v>
      </c>
      <c r="O68" s="660">
        <v>32068.97</v>
      </c>
      <c r="P68" s="660">
        <v>232500</v>
      </c>
      <c r="Q68" s="548"/>
      <c r="R68" s="660">
        <v>188021.32</v>
      </c>
      <c r="S68" s="549">
        <f t="shared" si="0"/>
        <v>44478.679999999993</v>
      </c>
      <c r="T68" s="113" t="s">
        <v>131</v>
      </c>
      <c r="U68" s="626" t="str">
        <f t="shared" si="5"/>
        <v>AA11868</v>
      </c>
      <c r="V68" s="627" t="str">
        <f t="shared" si="6"/>
        <v>1804-TCN17</v>
      </c>
      <c r="W68" s="626">
        <f t="shared" si="7"/>
        <v>521802</v>
      </c>
      <c r="X68" s="626" t="str">
        <f t="shared" si="8"/>
        <v>AVANZA HI 4AT</v>
      </c>
      <c r="Y68" s="627">
        <f t="shared" si="8"/>
        <v>2017</v>
      </c>
      <c r="Z68" s="628">
        <f t="shared" si="9"/>
        <v>200431.03</v>
      </c>
      <c r="AA68" s="629"/>
      <c r="AB68" s="755"/>
      <c r="AC68" s="629">
        <f t="shared" si="1"/>
        <v>0.01</v>
      </c>
      <c r="AD68" s="630">
        <f t="shared" si="2"/>
        <v>0.02</v>
      </c>
      <c r="AE68" s="555">
        <f t="shared" si="3"/>
        <v>0</v>
      </c>
      <c r="AF68" s="555">
        <f t="shared" si="27"/>
        <v>0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721" t="s">
        <v>6113</v>
      </c>
      <c r="C69" s="655">
        <v>521802</v>
      </c>
      <c r="D69" s="658">
        <v>2202</v>
      </c>
      <c r="E69" s="655" t="s">
        <v>703</v>
      </c>
      <c r="F69" s="546">
        <v>2017</v>
      </c>
      <c r="G69" s="659">
        <v>42997</v>
      </c>
      <c r="H69" s="655" t="s">
        <v>727</v>
      </c>
      <c r="I69" s="655" t="s">
        <v>6328</v>
      </c>
      <c r="J69" s="712"/>
      <c r="K69" s="655" t="s">
        <v>6471</v>
      </c>
      <c r="L69" s="655" t="s">
        <v>6590</v>
      </c>
      <c r="M69" s="660">
        <v>200431.03</v>
      </c>
      <c r="N69" s="660">
        <v>0</v>
      </c>
      <c r="O69" s="660">
        <v>32068.97</v>
      </c>
      <c r="P69" s="660">
        <v>232500</v>
      </c>
      <c r="Q69" s="548"/>
      <c r="R69" s="660">
        <v>190093.02</v>
      </c>
      <c r="S69" s="549">
        <f t="shared" si="0"/>
        <v>42406.98000000001</v>
      </c>
      <c r="T69" s="113" t="s">
        <v>131</v>
      </c>
      <c r="U69" s="626" t="str">
        <f t="shared" si="5"/>
        <v>AA11891</v>
      </c>
      <c r="V69" s="627" t="str">
        <f t="shared" si="6"/>
        <v>1854-TCN17</v>
      </c>
      <c r="W69" s="626">
        <f t="shared" si="7"/>
        <v>521802</v>
      </c>
      <c r="X69" s="626" t="str">
        <f t="shared" si="8"/>
        <v>AVANZA HI 4AT</v>
      </c>
      <c r="Y69" s="627">
        <f t="shared" si="8"/>
        <v>2017</v>
      </c>
      <c r="Z69" s="628">
        <f t="shared" si="9"/>
        <v>200431.03</v>
      </c>
      <c r="AA69" s="629"/>
      <c r="AB69" s="755"/>
      <c r="AC69" s="629">
        <f t="shared" si="1"/>
        <v>0.01</v>
      </c>
      <c r="AD69" s="630">
        <f t="shared" si="2"/>
        <v>0.02</v>
      </c>
      <c r="AE69" s="555">
        <f t="shared" si="3"/>
        <v>0</v>
      </c>
      <c r="AF69" s="555">
        <f t="shared" si="27"/>
        <v>0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721" t="s">
        <v>6103</v>
      </c>
      <c r="C70" s="655">
        <v>521802</v>
      </c>
      <c r="D70" s="658">
        <v>2202</v>
      </c>
      <c r="E70" s="655" t="s">
        <v>703</v>
      </c>
      <c r="F70" s="546">
        <v>2017</v>
      </c>
      <c r="G70" s="659">
        <v>42985</v>
      </c>
      <c r="H70" s="655" t="s">
        <v>2215</v>
      </c>
      <c r="I70" s="655" t="s">
        <v>5692</v>
      </c>
      <c r="J70" s="712"/>
      <c r="K70" s="655" t="s">
        <v>5818</v>
      </c>
      <c r="L70" s="655" t="s">
        <v>5941</v>
      </c>
      <c r="M70" s="660">
        <v>-202155.17</v>
      </c>
      <c r="N70" s="660">
        <v>0</v>
      </c>
      <c r="O70" s="660">
        <v>-32344.83</v>
      </c>
      <c r="P70" s="660">
        <v>-234500</v>
      </c>
      <c r="Q70" s="548"/>
      <c r="R70" s="660">
        <v>-188021.32</v>
      </c>
      <c r="S70" s="549">
        <f t="shared" ref="S70:S133" si="28">+P70-R70</f>
        <v>-46478.679999999993</v>
      </c>
      <c r="T70" s="113" t="s">
        <v>6702</v>
      </c>
      <c r="U70" s="626" t="str">
        <f t="shared" si="5"/>
        <v>ZA04281</v>
      </c>
      <c r="V70" s="627" t="str">
        <f t="shared" si="6"/>
        <v>1644-TCN17</v>
      </c>
      <c r="W70" s="626">
        <f t="shared" si="7"/>
        <v>521802</v>
      </c>
      <c r="X70" s="626" t="str">
        <f t="shared" si="8"/>
        <v>AVANZA HI 4AT</v>
      </c>
      <c r="Y70" s="627">
        <f t="shared" si="8"/>
        <v>2017</v>
      </c>
      <c r="Z70" s="628">
        <f t="shared" si="9"/>
        <v>-202155.17</v>
      </c>
      <c r="AA70" s="629"/>
      <c r="AB70" s="755"/>
      <c r="AC70" s="629" t="e">
        <f t="shared" ref="AC70:AC97" si="29">VLOOKUP(Z70,TARIFA,1)</f>
        <v>#N/A</v>
      </c>
      <c r="AD70" s="630" t="e">
        <f t="shared" ref="AD70:AD97" si="30">VLOOKUP(Z70,TARIFA,4)</f>
        <v>#N/A</v>
      </c>
      <c r="AE70" s="555" t="e">
        <f t="shared" ref="AE70:AE97" si="31">VLOOKUP(Z70,TARIFA,3)</f>
        <v>#N/A</v>
      </c>
      <c r="AF70" s="555">
        <f t="shared" si="27"/>
        <v>0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721" t="s">
        <v>6101</v>
      </c>
      <c r="C71" s="655">
        <v>521802</v>
      </c>
      <c r="D71" s="658">
        <v>2202</v>
      </c>
      <c r="E71" s="655" t="s">
        <v>703</v>
      </c>
      <c r="F71" s="546">
        <v>2017</v>
      </c>
      <c r="G71" s="659">
        <v>42979</v>
      </c>
      <c r="H71" s="655" t="s">
        <v>2215</v>
      </c>
      <c r="I71" s="655" t="s">
        <v>5694</v>
      </c>
      <c r="J71" s="712"/>
      <c r="K71" s="655" t="s">
        <v>5819</v>
      </c>
      <c r="L71" s="655" t="s">
        <v>5943</v>
      </c>
      <c r="M71" s="660">
        <v>-207327.59</v>
      </c>
      <c r="N71" s="660">
        <v>0</v>
      </c>
      <c r="O71" s="660">
        <v>-33172.410000000003</v>
      </c>
      <c r="P71" s="660">
        <v>-240500</v>
      </c>
      <c r="Q71" s="548"/>
      <c r="R71" s="660">
        <v>-187666.84</v>
      </c>
      <c r="S71" s="549">
        <f t="shared" si="28"/>
        <v>-52833.16</v>
      </c>
      <c r="T71" s="113" t="s">
        <v>6702</v>
      </c>
      <c r="U71" s="626" t="str">
        <f t="shared" ref="U71:U97" si="32">+B71</f>
        <v>ZA04277</v>
      </c>
      <c r="V71" s="627" t="str">
        <f t="shared" ref="V71:V97" si="33">+I71</f>
        <v>1764-TCN17</v>
      </c>
      <c r="W71" s="626">
        <f t="shared" ref="W71:W97" si="34">+C71</f>
        <v>521802</v>
      </c>
      <c r="X71" s="626" t="str">
        <f t="shared" ref="X71:Y86" si="35">+E71</f>
        <v>AVANZA HI 4AT</v>
      </c>
      <c r="Y71" s="627">
        <f t="shared" si="35"/>
        <v>2017</v>
      </c>
      <c r="Z71" s="628">
        <f t="shared" ref="Z71:Z97" si="36">+M71</f>
        <v>-207327.59</v>
      </c>
      <c r="AA71" s="629">
        <f>+SUM(Z64:Z71)</f>
        <v>788793.08000000007</v>
      </c>
      <c r="AB71" s="763">
        <v>8</v>
      </c>
      <c r="AC71" s="629" t="e">
        <f t="shared" si="29"/>
        <v>#N/A</v>
      </c>
      <c r="AD71" s="630" t="e">
        <f t="shared" si="30"/>
        <v>#N/A</v>
      </c>
      <c r="AE71" s="555" t="e">
        <f t="shared" si="31"/>
        <v>#N/A</v>
      </c>
      <c r="AF71" s="555">
        <f t="shared" si="27"/>
        <v>0</v>
      </c>
      <c r="AG71" s="555">
        <f t="shared" ref="AG71:AG97" si="37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38">+A71+1</f>
        <v>67</v>
      </c>
      <c r="B72" s="721" t="s">
        <v>6185</v>
      </c>
      <c r="C72" s="655">
        <v>521907</v>
      </c>
      <c r="D72" s="658">
        <v>6981</v>
      </c>
      <c r="E72" s="655" t="s">
        <v>2952</v>
      </c>
      <c r="F72" s="546">
        <v>2017</v>
      </c>
      <c r="G72" s="659">
        <v>42984</v>
      </c>
      <c r="H72" s="655" t="s">
        <v>4241</v>
      </c>
      <c r="I72" s="655" t="s">
        <v>6380</v>
      </c>
      <c r="J72" s="712"/>
      <c r="K72" s="655" t="s">
        <v>6496</v>
      </c>
      <c r="L72" s="655" t="s">
        <v>6641</v>
      </c>
      <c r="M72" s="660">
        <v>457505.83</v>
      </c>
      <c r="N72" s="660">
        <v>29476.93</v>
      </c>
      <c r="O72" s="660">
        <v>77917.240000000005</v>
      </c>
      <c r="P72" s="660">
        <v>564900</v>
      </c>
      <c r="Q72" s="548"/>
      <c r="R72" s="660">
        <v>405472.51</v>
      </c>
      <c r="S72" s="549">
        <f t="shared" si="28"/>
        <v>159427.49</v>
      </c>
      <c r="T72" s="267" t="s">
        <v>131</v>
      </c>
      <c r="U72" s="626" t="str">
        <f t="shared" si="32"/>
        <v>AA11813</v>
      </c>
      <c r="V72" s="627" t="str">
        <f t="shared" si="33"/>
        <v>1797-TCN17</v>
      </c>
      <c r="W72" s="626">
        <f t="shared" si="34"/>
        <v>521907</v>
      </c>
      <c r="X72" s="626" t="str">
        <f t="shared" si="35"/>
        <v>HIGHLANDER LE</v>
      </c>
      <c r="Y72" s="627">
        <f t="shared" si="35"/>
        <v>2017</v>
      </c>
      <c r="Z72" s="628">
        <f t="shared" si="36"/>
        <v>457505.83</v>
      </c>
      <c r="AA72" s="629">
        <f t="shared" ref="AA72:AA77" si="39">+Z72</f>
        <v>457505.83</v>
      </c>
      <c r="AB72" s="755">
        <v>1</v>
      </c>
      <c r="AC72" s="629">
        <f t="shared" si="29"/>
        <v>443562.4</v>
      </c>
      <c r="AD72" s="630">
        <f t="shared" si="30"/>
        <v>0.17</v>
      </c>
      <c r="AE72" s="555">
        <f t="shared" si="31"/>
        <v>27106.55</v>
      </c>
      <c r="AF72" s="555">
        <f t="shared" ref="AF72:AF75" si="40">IF(Z72&lt;281240.78,(((Z72-AC72)*AD72+AE72)/2),(Z72-AC72)*AD72+AE72)</f>
        <v>29476.933099999998</v>
      </c>
      <c r="AG72" s="555">
        <f t="shared" si="37"/>
        <v>-3.099999998084968E-3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38"/>
        <v>68</v>
      </c>
      <c r="B73" s="721" t="s">
        <v>6184</v>
      </c>
      <c r="C73" s="655">
        <v>521908</v>
      </c>
      <c r="D73" s="658">
        <v>6980</v>
      </c>
      <c r="E73" s="655" t="s">
        <v>706</v>
      </c>
      <c r="F73" s="546">
        <v>2017</v>
      </c>
      <c r="G73" s="659">
        <v>43004</v>
      </c>
      <c r="H73" s="655" t="s">
        <v>3694</v>
      </c>
      <c r="I73" s="655" t="s">
        <v>6379</v>
      </c>
      <c r="J73" s="712"/>
      <c r="K73" s="655" t="s">
        <v>5169</v>
      </c>
      <c r="L73" s="655" t="s">
        <v>6640</v>
      </c>
      <c r="M73" s="660">
        <v>475999.78</v>
      </c>
      <c r="N73" s="660">
        <v>32620.91</v>
      </c>
      <c r="O73" s="660">
        <v>81379.31</v>
      </c>
      <c r="P73" s="660">
        <v>590000</v>
      </c>
      <c r="Q73" s="548"/>
      <c r="R73" s="660">
        <v>439486.16</v>
      </c>
      <c r="S73" s="549">
        <f t="shared" si="28"/>
        <v>150513.84000000003</v>
      </c>
      <c r="T73" s="267" t="s">
        <v>131</v>
      </c>
      <c r="U73" s="626" t="str">
        <f t="shared" si="32"/>
        <v>AA11942</v>
      </c>
      <c r="V73" s="627" t="str">
        <f t="shared" si="33"/>
        <v>0691-TCN17</v>
      </c>
      <c r="W73" s="626">
        <f t="shared" si="34"/>
        <v>521908</v>
      </c>
      <c r="X73" s="626" t="str">
        <f t="shared" si="35"/>
        <v>HIGHLANDER  XLE</v>
      </c>
      <c r="Y73" s="627">
        <f t="shared" si="35"/>
        <v>2017</v>
      </c>
      <c r="Z73" s="628">
        <f t="shared" si="36"/>
        <v>475999.78</v>
      </c>
      <c r="AA73" s="629">
        <f t="shared" si="39"/>
        <v>475999.78</v>
      </c>
      <c r="AB73" s="755">
        <v>1</v>
      </c>
      <c r="AC73" s="629">
        <f t="shared" si="29"/>
        <v>443562.4</v>
      </c>
      <c r="AD73" s="630">
        <f t="shared" si="30"/>
        <v>0.17</v>
      </c>
      <c r="AE73" s="555">
        <f t="shared" si="31"/>
        <v>27106.55</v>
      </c>
      <c r="AF73" s="555">
        <f t="shared" si="40"/>
        <v>32620.904600000002</v>
      </c>
      <c r="AG73" s="555">
        <f t="shared" si="37"/>
        <v>5.3999999981897417E-3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38"/>
        <v>69</v>
      </c>
      <c r="B74" s="721" t="s">
        <v>6188</v>
      </c>
      <c r="C74" s="655">
        <v>521909</v>
      </c>
      <c r="D74" s="658">
        <v>6986</v>
      </c>
      <c r="E74" s="655" t="s">
        <v>707</v>
      </c>
      <c r="F74" s="546">
        <v>2017</v>
      </c>
      <c r="G74" s="659">
        <v>42990</v>
      </c>
      <c r="H74" s="655" t="s">
        <v>727</v>
      </c>
      <c r="I74" s="655" t="s">
        <v>6381</v>
      </c>
      <c r="J74" s="712"/>
      <c r="K74" s="655" t="s">
        <v>6497</v>
      </c>
      <c r="L74" s="655" t="s">
        <v>6642</v>
      </c>
      <c r="M74" s="660">
        <v>583795.25</v>
      </c>
      <c r="N74" s="660">
        <v>50946.13</v>
      </c>
      <c r="O74" s="660">
        <v>101558.62</v>
      </c>
      <c r="P74" s="660">
        <v>736300</v>
      </c>
      <c r="Q74" s="548"/>
      <c r="R74" s="660">
        <v>516608.06</v>
      </c>
      <c r="S74" s="549">
        <f t="shared" si="28"/>
        <v>219691.94</v>
      </c>
      <c r="T74" s="267" t="s">
        <v>131</v>
      </c>
      <c r="U74" s="626" t="str">
        <f t="shared" si="32"/>
        <v>AA11846</v>
      </c>
      <c r="V74" s="627" t="str">
        <f t="shared" si="33"/>
        <v>1782-TCN17</v>
      </c>
      <c r="W74" s="626">
        <f t="shared" si="34"/>
        <v>521909</v>
      </c>
      <c r="X74" s="626" t="str">
        <f t="shared" si="35"/>
        <v>HIGHLANDER LIMITED BLUE- RAY</v>
      </c>
      <c r="Y74" s="627">
        <f t="shared" si="35"/>
        <v>2017</v>
      </c>
      <c r="Z74" s="628">
        <f t="shared" si="36"/>
        <v>583795.25</v>
      </c>
      <c r="AA74" s="629">
        <f t="shared" si="39"/>
        <v>583795.25</v>
      </c>
      <c r="AB74" s="755">
        <v>1</v>
      </c>
      <c r="AC74" s="629">
        <f t="shared" si="29"/>
        <v>443562.4</v>
      </c>
      <c r="AD74" s="630">
        <f t="shared" si="30"/>
        <v>0.17</v>
      </c>
      <c r="AE74" s="555">
        <f t="shared" si="31"/>
        <v>27106.55</v>
      </c>
      <c r="AF74" s="555">
        <f t="shared" si="40"/>
        <v>50946.1345</v>
      </c>
      <c r="AG74" s="555">
        <f t="shared" si="37"/>
        <v>-4.5000000027357601E-3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38"/>
        <v>70</v>
      </c>
      <c r="B75" s="721" t="s">
        <v>6031</v>
      </c>
      <c r="C75" s="655">
        <v>522401</v>
      </c>
      <c r="D75" s="658">
        <v>1062</v>
      </c>
      <c r="E75" s="655" t="s">
        <v>709</v>
      </c>
      <c r="F75" s="546">
        <v>2018</v>
      </c>
      <c r="G75" s="659">
        <v>42993</v>
      </c>
      <c r="H75" s="655" t="s">
        <v>819</v>
      </c>
      <c r="I75" s="655" t="s">
        <v>6279</v>
      </c>
      <c r="J75" s="712"/>
      <c r="K75" s="655" t="s">
        <v>6438</v>
      </c>
      <c r="L75" s="655" t="s">
        <v>6541</v>
      </c>
      <c r="M75" s="660">
        <v>234892.46</v>
      </c>
      <c r="N75" s="660">
        <v>2348.92</v>
      </c>
      <c r="O75" s="660">
        <v>37958.620000000003</v>
      </c>
      <c r="P75" s="660">
        <v>275200</v>
      </c>
      <c r="Q75" s="548"/>
      <c r="R75" s="660">
        <v>212490.67</v>
      </c>
      <c r="S75" s="549">
        <f t="shared" si="28"/>
        <v>62709.329999999987</v>
      </c>
      <c r="T75" s="113" t="s">
        <v>131</v>
      </c>
      <c r="U75" s="626" t="str">
        <f t="shared" si="32"/>
        <v>AA11881</v>
      </c>
      <c r="V75" s="627" t="str">
        <f t="shared" si="33"/>
        <v>0045-TCN18</v>
      </c>
      <c r="W75" s="626">
        <f t="shared" si="34"/>
        <v>522401</v>
      </c>
      <c r="X75" s="626" t="str">
        <f t="shared" si="35"/>
        <v>YARIS XLE R AT</v>
      </c>
      <c r="Y75" s="627">
        <f t="shared" si="35"/>
        <v>2018</v>
      </c>
      <c r="Z75" s="628">
        <f t="shared" si="36"/>
        <v>234892.46</v>
      </c>
      <c r="AA75" s="629">
        <f t="shared" si="39"/>
        <v>234892.46</v>
      </c>
      <c r="AB75" s="755">
        <v>1</v>
      </c>
      <c r="AC75" s="629">
        <f t="shared" si="29"/>
        <v>0.01</v>
      </c>
      <c r="AD75" s="630">
        <f t="shared" si="30"/>
        <v>0.02</v>
      </c>
      <c r="AE75" s="555">
        <f t="shared" si="31"/>
        <v>0</v>
      </c>
      <c r="AF75" s="555">
        <f t="shared" si="40"/>
        <v>2348.9245000000001</v>
      </c>
      <c r="AG75" s="555">
        <f t="shared" si="37"/>
        <v>-4.500000000007276E-3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38"/>
        <v>71</v>
      </c>
      <c r="B76" s="721" t="s">
        <v>6204</v>
      </c>
      <c r="C76" s="655">
        <v>1520104</v>
      </c>
      <c r="D76" s="658">
        <v>7493</v>
      </c>
      <c r="E76" s="655" t="s">
        <v>711</v>
      </c>
      <c r="F76" s="546">
        <v>2017</v>
      </c>
      <c r="G76" s="659">
        <v>43004</v>
      </c>
      <c r="H76" s="655" t="s">
        <v>774</v>
      </c>
      <c r="I76" s="655" t="s">
        <v>6393</v>
      </c>
      <c r="J76" s="712"/>
      <c r="K76" s="655" t="s">
        <v>6503</v>
      </c>
      <c r="L76" s="655" t="s">
        <v>6654</v>
      </c>
      <c r="M76" s="660">
        <v>241789.82</v>
      </c>
      <c r="N76" s="660">
        <v>12089.49</v>
      </c>
      <c r="O76" s="660">
        <v>40620.69</v>
      </c>
      <c r="P76" s="660">
        <v>294500</v>
      </c>
      <c r="Q76" s="548"/>
      <c r="R76" s="660">
        <v>229061.05</v>
      </c>
      <c r="S76" s="549">
        <f t="shared" si="28"/>
        <v>65438.950000000012</v>
      </c>
      <c r="T76" s="113" t="s">
        <v>131</v>
      </c>
      <c r="U76" s="626" t="str">
        <f t="shared" si="32"/>
        <v>AA11952</v>
      </c>
      <c r="V76" s="627" t="str">
        <f t="shared" si="33"/>
        <v>1344-TCN17</v>
      </c>
      <c r="W76" s="626">
        <f t="shared" si="34"/>
        <v>1520104</v>
      </c>
      <c r="X76" s="626" t="str">
        <f t="shared" si="35"/>
        <v>HILUX PICK UP BASIC CAB L4 16V AC</v>
      </c>
      <c r="Y76" s="627">
        <f t="shared" si="35"/>
        <v>2017</v>
      </c>
      <c r="Z76" s="628">
        <f t="shared" si="36"/>
        <v>241789.82</v>
      </c>
      <c r="AA76" s="629">
        <f t="shared" si="39"/>
        <v>241789.82</v>
      </c>
      <c r="AB76" s="762">
        <v>1</v>
      </c>
      <c r="AC76" s="629">
        <f t="shared" ref="AC76:AC77" si="41">VLOOKUP(Z76,TARIFA,1)</f>
        <v>0.01</v>
      </c>
      <c r="AD76" s="630">
        <f t="shared" ref="AD76:AD77" si="42">VLOOKUP(Z76,TARIFA,4)</f>
        <v>0.02</v>
      </c>
      <c r="AE76" s="555">
        <f t="shared" ref="AE76:AE77" si="43">VLOOKUP(Z76,TARIFA,3)</f>
        <v>0</v>
      </c>
      <c r="AF76" s="555">
        <f t="shared" ref="AF76:AF77" si="44">+N76</f>
        <v>12089.49</v>
      </c>
      <c r="AG76" s="555">
        <f t="shared" si="37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38"/>
        <v>72</v>
      </c>
      <c r="B77" s="721" t="s">
        <v>6206</v>
      </c>
      <c r="C77" s="655">
        <v>1520105</v>
      </c>
      <c r="D77" s="658">
        <v>7494</v>
      </c>
      <c r="E77" s="655" t="s">
        <v>712</v>
      </c>
      <c r="F77" s="546">
        <v>2017</v>
      </c>
      <c r="G77" s="659">
        <v>42984</v>
      </c>
      <c r="H77" s="655" t="s">
        <v>2216</v>
      </c>
      <c r="I77" s="655" t="s">
        <v>6395</v>
      </c>
      <c r="J77" s="712"/>
      <c r="K77" s="655" t="s">
        <v>6504</v>
      </c>
      <c r="L77" s="655" t="s">
        <v>6656</v>
      </c>
      <c r="M77" s="660">
        <v>235139.57</v>
      </c>
      <c r="N77" s="660">
        <v>11756.98</v>
      </c>
      <c r="O77" s="660">
        <v>39503.449999999997</v>
      </c>
      <c r="P77" s="660">
        <v>286400</v>
      </c>
      <c r="Q77" s="548"/>
      <c r="R77" s="660">
        <v>215515.28</v>
      </c>
      <c r="S77" s="549">
        <f t="shared" si="28"/>
        <v>70884.72</v>
      </c>
      <c r="T77" s="113" t="s">
        <v>131</v>
      </c>
      <c r="U77" s="626" t="str">
        <f t="shared" si="32"/>
        <v>AA11812</v>
      </c>
      <c r="V77" s="627" t="str">
        <f t="shared" si="33"/>
        <v>1786-TCN17</v>
      </c>
      <c r="W77" s="626">
        <f t="shared" si="34"/>
        <v>1520105</v>
      </c>
      <c r="X77" s="626" t="str">
        <f t="shared" si="35"/>
        <v>HILUX PICK UP CHASSIS CAB</v>
      </c>
      <c r="Y77" s="627">
        <f t="shared" si="35"/>
        <v>2017</v>
      </c>
      <c r="Z77" s="628">
        <f t="shared" si="36"/>
        <v>235139.57</v>
      </c>
      <c r="AA77" s="629">
        <f t="shared" si="39"/>
        <v>235139.57</v>
      </c>
      <c r="AB77" s="762">
        <v>1</v>
      </c>
      <c r="AC77" s="629">
        <f t="shared" si="41"/>
        <v>0.01</v>
      </c>
      <c r="AD77" s="630">
        <f t="shared" si="42"/>
        <v>0.02</v>
      </c>
      <c r="AE77" s="555">
        <f t="shared" si="43"/>
        <v>0</v>
      </c>
      <c r="AF77" s="555">
        <f t="shared" si="44"/>
        <v>11756.98</v>
      </c>
      <c r="AG77" s="555">
        <f t="shared" si="37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38"/>
        <v>73</v>
      </c>
      <c r="B78" s="721" t="s">
        <v>6195</v>
      </c>
      <c r="C78" s="655">
        <v>1520302</v>
      </c>
      <c r="D78" s="658">
        <v>7441</v>
      </c>
      <c r="E78" s="655" t="s">
        <v>715</v>
      </c>
      <c r="F78" s="546">
        <v>2017</v>
      </c>
      <c r="G78" s="659">
        <v>42983</v>
      </c>
      <c r="H78" s="655" t="s">
        <v>792</v>
      </c>
      <c r="I78" s="655" t="s">
        <v>6384</v>
      </c>
      <c r="J78" s="712"/>
      <c r="K78" s="655" t="s">
        <v>6499</v>
      </c>
      <c r="L78" s="655" t="s">
        <v>6645</v>
      </c>
      <c r="M78" s="660">
        <v>532019.69999999995</v>
      </c>
      <c r="N78" s="660">
        <v>26600.99</v>
      </c>
      <c r="O78" s="660">
        <v>89379.31</v>
      </c>
      <c r="P78" s="660">
        <v>648000</v>
      </c>
      <c r="Q78" s="548"/>
      <c r="R78" s="660">
        <v>470877.28</v>
      </c>
      <c r="S78" s="549">
        <f t="shared" si="28"/>
        <v>177122.71999999997</v>
      </c>
      <c r="T78" s="267" t="s">
        <v>131</v>
      </c>
      <c r="U78" s="626" t="str">
        <f t="shared" si="32"/>
        <v>AA11801</v>
      </c>
      <c r="V78" s="627" t="str">
        <f t="shared" si="33"/>
        <v>1791-TCN17</v>
      </c>
      <c r="W78" s="626">
        <f t="shared" si="34"/>
        <v>1520302</v>
      </c>
      <c r="X78" s="626" t="str">
        <f t="shared" si="35"/>
        <v>TACOMA 4X4</v>
      </c>
      <c r="Y78" s="627">
        <f t="shared" si="35"/>
        <v>2017</v>
      </c>
      <c r="Z78" s="628">
        <f t="shared" si="36"/>
        <v>532019.69999999995</v>
      </c>
      <c r="AA78" s="629"/>
      <c r="AB78" s="755"/>
      <c r="AC78" s="629">
        <f t="shared" si="29"/>
        <v>443562.4</v>
      </c>
      <c r="AD78" s="630">
        <f t="shared" si="30"/>
        <v>0.17</v>
      </c>
      <c r="AE78" s="555">
        <f t="shared" si="31"/>
        <v>27106.55</v>
      </c>
      <c r="AF78" s="555">
        <f t="shared" si="27"/>
        <v>26600.99</v>
      </c>
      <c r="AG78" s="555">
        <f t="shared" si="37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38"/>
        <v>74</v>
      </c>
      <c r="B79" s="721" t="s">
        <v>6199</v>
      </c>
      <c r="C79" s="655">
        <v>1520302</v>
      </c>
      <c r="D79" s="658">
        <v>7441</v>
      </c>
      <c r="E79" s="655" t="s">
        <v>715</v>
      </c>
      <c r="F79" s="546">
        <v>2017</v>
      </c>
      <c r="G79" s="659">
        <v>42993</v>
      </c>
      <c r="H79" s="655" t="s">
        <v>727</v>
      </c>
      <c r="I79" s="655" t="s">
        <v>6386</v>
      </c>
      <c r="J79" s="712"/>
      <c r="K79" s="655" t="s">
        <v>6501</v>
      </c>
      <c r="L79" s="655" t="s">
        <v>6647</v>
      </c>
      <c r="M79" s="660">
        <v>532019.69999999995</v>
      </c>
      <c r="N79" s="660">
        <v>26600.99</v>
      </c>
      <c r="O79" s="660">
        <v>89379.31</v>
      </c>
      <c r="P79" s="660">
        <v>648000</v>
      </c>
      <c r="Q79" s="548"/>
      <c r="R79" s="660">
        <v>471232.63</v>
      </c>
      <c r="S79" s="549">
        <f t="shared" si="28"/>
        <v>176767.37</v>
      </c>
      <c r="T79" s="113" t="s">
        <v>131</v>
      </c>
      <c r="U79" s="626" t="str">
        <f t="shared" si="32"/>
        <v>AA11880</v>
      </c>
      <c r="V79" s="627" t="str">
        <f t="shared" si="33"/>
        <v>1825-TCN17</v>
      </c>
      <c r="W79" s="626">
        <f t="shared" si="34"/>
        <v>1520302</v>
      </c>
      <c r="X79" s="626" t="str">
        <f t="shared" si="35"/>
        <v>TACOMA 4X4</v>
      </c>
      <c r="Y79" s="627">
        <f t="shared" si="35"/>
        <v>2017</v>
      </c>
      <c r="Z79" s="628">
        <f t="shared" si="36"/>
        <v>532019.69999999995</v>
      </c>
      <c r="AA79" s="629"/>
      <c r="AB79" s="755"/>
      <c r="AC79" s="629">
        <f t="shared" si="29"/>
        <v>443562.4</v>
      </c>
      <c r="AD79" s="630">
        <f t="shared" si="30"/>
        <v>0.17</v>
      </c>
      <c r="AE79" s="555">
        <f t="shared" si="31"/>
        <v>27106.55</v>
      </c>
      <c r="AF79" s="555">
        <f t="shared" si="27"/>
        <v>26600.99</v>
      </c>
      <c r="AG79" s="555">
        <f t="shared" si="37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38"/>
        <v>75</v>
      </c>
      <c r="B80" s="721" t="s">
        <v>6191</v>
      </c>
      <c r="C80" s="655">
        <v>1520302</v>
      </c>
      <c r="D80" s="658">
        <v>7401</v>
      </c>
      <c r="E80" s="655" t="s">
        <v>714</v>
      </c>
      <c r="F80" s="546">
        <v>2017</v>
      </c>
      <c r="G80" s="659">
        <v>43001</v>
      </c>
      <c r="H80" s="655" t="s">
        <v>2213</v>
      </c>
      <c r="I80" s="655" t="s">
        <v>6382</v>
      </c>
      <c r="J80" s="712"/>
      <c r="K80" s="655" t="s">
        <v>6498</v>
      </c>
      <c r="L80" s="655" t="s">
        <v>6643</v>
      </c>
      <c r="M80" s="660">
        <v>489408.87</v>
      </c>
      <c r="N80" s="660">
        <v>24470.44</v>
      </c>
      <c r="O80" s="660">
        <v>82220.69</v>
      </c>
      <c r="P80" s="660">
        <v>596100</v>
      </c>
      <c r="Q80" s="548"/>
      <c r="R80" s="660">
        <v>433379.74</v>
      </c>
      <c r="S80" s="549">
        <f t="shared" si="28"/>
        <v>162720.26</v>
      </c>
      <c r="T80" s="113" t="s">
        <v>131</v>
      </c>
      <c r="U80" s="626" t="str">
        <f t="shared" si="32"/>
        <v>AA11917</v>
      </c>
      <c r="V80" s="627" t="str">
        <f t="shared" si="33"/>
        <v>1848-TCN17</v>
      </c>
      <c r="W80" s="626">
        <f t="shared" si="34"/>
        <v>1520302</v>
      </c>
      <c r="X80" s="626" t="str">
        <f t="shared" si="35"/>
        <v>TACOMA DOB CAB TRD SPORT</v>
      </c>
      <c r="Y80" s="627">
        <f t="shared" si="35"/>
        <v>2017</v>
      </c>
      <c r="Z80" s="628">
        <f t="shared" si="36"/>
        <v>489408.87</v>
      </c>
      <c r="AA80" s="629"/>
      <c r="AB80" s="755"/>
      <c r="AC80" s="629">
        <f t="shared" si="29"/>
        <v>443562.4</v>
      </c>
      <c r="AD80" s="630">
        <f t="shared" si="30"/>
        <v>0.17</v>
      </c>
      <c r="AE80" s="555">
        <f t="shared" si="31"/>
        <v>27106.55</v>
      </c>
      <c r="AF80" s="555">
        <f t="shared" si="27"/>
        <v>24470.44</v>
      </c>
      <c r="AG80" s="555">
        <f t="shared" si="37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38"/>
        <v>76</v>
      </c>
      <c r="B81" s="721" t="s">
        <v>6200</v>
      </c>
      <c r="C81" s="655">
        <v>1520302</v>
      </c>
      <c r="D81" s="658">
        <v>7441</v>
      </c>
      <c r="E81" s="655" t="s">
        <v>715</v>
      </c>
      <c r="F81" s="546">
        <v>2017</v>
      </c>
      <c r="G81" s="659">
        <v>43001</v>
      </c>
      <c r="H81" s="655" t="s">
        <v>727</v>
      </c>
      <c r="I81" s="655" t="s">
        <v>6387</v>
      </c>
      <c r="J81" s="712"/>
      <c r="K81" s="655" t="s">
        <v>5829</v>
      </c>
      <c r="L81" s="655" t="s">
        <v>6648</v>
      </c>
      <c r="M81" s="660">
        <v>532019.69999999995</v>
      </c>
      <c r="N81" s="660">
        <v>26600.99</v>
      </c>
      <c r="O81" s="660">
        <v>89379.31</v>
      </c>
      <c r="P81" s="660">
        <v>648000</v>
      </c>
      <c r="Q81" s="548"/>
      <c r="R81" s="660">
        <v>471232.63</v>
      </c>
      <c r="S81" s="549">
        <f t="shared" si="28"/>
        <v>176767.37</v>
      </c>
      <c r="T81" s="113" t="s">
        <v>131</v>
      </c>
      <c r="U81" s="722" t="str">
        <f t="shared" si="32"/>
        <v>AA11918</v>
      </c>
      <c r="V81" s="723" t="str">
        <f t="shared" si="33"/>
        <v>1863-TCN17</v>
      </c>
      <c r="W81" s="722">
        <f t="shared" si="34"/>
        <v>1520302</v>
      </c>
      <c r="X81" s="722" t="str">
        <f t="shared" si="35"/>
        <v>TACOMA 4X4</v>
      </c>
      <c r="Y81" s="723">
        <f t="shared" si="35"/>
        <v>2017</v>
      </c>
      <c r="Z81" s="724">
        <f t="shared" si="36"/>
        <v>532019.69999999995</v>
      </c>
      <c r="AA81" s="725"/>
      <c r="AB81" s="756"/>
      <c r="AC81" s="725">
        <f t="shared" si="29"/>
        <v>443562.4</v>
      </c>
      <c r="AD81" s="726">
        <f t="shared" si="30"/>
        <v>0.17</v>
      </c>
      <c r="AE81" s="727">
        <f t="shared" si="31"/>
        <v>27106.55</v>
      </c>
      <c r="AF81" s="727">
        <f t="shared" si="27"/>
        <v>26600.99</v>
      </c>
      <c r="AG81" s="727">
        <f t="shared" si="37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38"/>
        <v>77</v>
      </c>
      <c r="B82" s="721" t="s">
        <v>6699</v>
      </c>
      <c r="C82" s="655">
        <v>1520302</v>
      </c>
      <c r="D82" s="658">
        <v>7441</v>
      </c>
      <c r="E82" s="655" t="s">
        <v>715</v>
      </c>
      <c r="F82" s="546">
        <v>2017</v>
      </c>
      <c r="G82" s="659">
        <v>43003</v>
      </c>
      <c r="H82" s="655" t="s">
        <v>727</v>
      </c>
      <c r="I82" s="655" t="s">
        <v>6388</v>
      </c>
      <c r="J82" s="712"/>
      <c r="K82" s="655" t="s">
        <v>1731</v>
      </c>
      <c r="L82" s="655" t="s">
        <v>6649</v>
      </c>
      <c r="M82" s="660">
        <v>532019.69999999995</v>
      </c>
      <c r="N82" s="660">
        <v>26600.99</v>
      </c>
      <c r="O82" s="660">
        <v>89379.31</v>
      </c>
      <c r="P82" s="660">
        <v>648000</v>
      </c>
      <c r="Q82" s="548"/>
      <c r="R82" s="660">
        <v>471232.63</v>
      </c>
      <c r="S82" s="549">
        <f t="shared" si="28"/>
        <v>176767.37</v>
      </c>
      <c r="T82" s="113" t="s">
        <v>131</v>
      </c>
      <c r="U82" s="722" t="str">
        <f t="shared" si="32"/>
        <v>AA11929</v>
      </c>
      <c r="V82" s="723" t="str">
        <f t="shared" si="33"/>
        <v>1864-TCN17</v>
      </c>
      <c r="W82" s="722">
        <f t="shared" si="34"/>
        <v>1520302</v>
      </c>
      <c r="X82" s="722" t="str">
        <f t="shared" si="35"/>
        <v>TACOMA 4X4</v>
      </c>
      <c r="Y82" s="723">
        <f t="shared" si="35"/>
        <v>2017</v>
      </c>
      <c r="Z82" s="724">
        <f t="shared" si="36"/>
        <v>532019.69999999995</v>
      </c>
      <c r="AA82" s="725"/>
      <c r="AB82" s="756"/>
      <c r="AC82" s="725">
        <f t="shared" si="29"/>
        <v>443562.4</v>
      </c>
      <c r="AD82" s="726">
        <f t="shared" si="30"/>
        <v>0.17</v>
      </c>
      <c r="AE82" s="727">
        <f t="shared" si="31"/>
        <v>27106.55</v>
      </c>
      <c r="AF82" s="727">
        <f t="shared" si="27"/>
        <v>26600.99</v>
      </c>
      <c r="AG82" s="727">
        <f t="shared" si="37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3">
        <f t="shared" si="38"/>
        <v>78</v>
      </c>
      <c r="B83" s="721" t="s">
        <v>6700</v>
      </c>
      <c r="C83" s="655">
        <v>1520302</v>
      </c>
      <c r="D83" s="658">
        <v>7441</v>
      </c>
      <c r="E83" s="655" t="s">
        <v>715</v>
      </c>
      <c r="F83" s="546">
        <v>2017</v>
      </c>
      <c r="G83" s="659">
        <v>43004</v>
      </c>
      <c r="H83" s="655" t="s">
        <v>2214</v>
      </c>
      <c r="I83" s="655" t="s">
        <v>6389</v>
      </c>
      <c r="J83" s="712"/>
      <c r="K83" s="655" t="s">
        <v>6502</v>
      </c>
      <c r="L83" s="655" t="s">
        <v>6650</v>
      </c>
      <c r="M83" s="660">
        <v>532019.69999999995</v>
      </c>
      <c r="N83" s="660">
        <v>26600.99</v>
      </c>
      <c r="O83" s="660">
        <v>89379.31</v>
      </c>
      <c r="P83" s="660">
        <v>648000</v>
      </c>
      <c r="Q83" s="548"/>
      <c r="R83" s="660">
        <v>471232.63</v>
      </c>
      <c r="S83" s="549">
        <f t="shared" si="28"/>
        <v>176767.37</v>
      </c>
      <c r="T83" s="113" t="s">
        <v>131</v>
      </c>
      <c r="U83" s="722" t="str">
        <f t="shared" si="32"/>
        <v>AA11951</v>
      </c>
      <c r="V83" s="723" t="str">
        <f t="shared" si="33"/>
        <v>1865-TCN17</v>
      </c>
      <c r="W83" s="722">
        <f t="shared" si="34"/>
        <v>1520302</v>
      </c>
      <c r="X83" s="722" t="str">
        <f t="shared" si="35"/>
        <v>TACOMA 4X4</v>
      </c>
      <c r="Y83" s="723">
        <f t="shared" si="35"/>
        <v>2017</v>
      </c>
      <c r="Z83" s="724">
        <f t="shared" si="36"/>
        <v>532019.69999999995</v>
      </c>
      <c r="AA83" s="725">
        <f>+SUM(Z78:Z83)</f>
        <v>3149507.37</v>
      </c>
      <c r="AB83" s="761">
        <v>6</v>
      </c>
      <c r="AC83" s="725">
        <f t="shared" si="29"/>
        <v>443562.4</v>
      </c>
      <c r="AD83" s="726">
        <f t="shared" si="30"/>
        <v>0.17</v>
      </c>
      <c r="AE83" s="727">
        <f t="shared" si="31"/>
        <v>27106.55</v>
      </c>
      <c r="AF83" s="727">
        <f t="shared" si="27"/>
        <v>26600.99</v>
      </c>
      <c r="AG83" s="727">
        <f t="shared" si="37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x14ac:dyDescent="0.2">
      <c r="A84" s="423">
        <f t="shared" si="38"/>
        <v>79</v>
      </c>
      <c r="B84" s="721" t="s">
        <v>6198</v>
      </c>
      <c r="C84" s="655">
        <v>1520306</v>
      </c>
      <c r="D84" s="658">
        <v>7441</v>
      </c>
      <c r="E84" s="655" t="s">
        <v>715</v>
      </c>
      <c r="F84" s="546">
        <v>2017</v>
      </c>
      <c r="G84" s="659">
        <v>42992</v>
      </c>
      <c r="H84" s="655" t="s">
        <v>817</v>
      </c>
      <c r="I84" s="655" t="s">
        <v>6385</v>
      </c>
      <c r="J84" s="712"/>
      <c r="K84" s="655" t="s">
        <v>6500</v>
      </c>
      <c r="L84" s="655" t="s">
        <v>6646</v>
      </c>
      <c r="M84" s="660">
        <v>532019.69999999995</v>
      </c>
      <c r="N84" s="660">
        <v>26600.99</v>
      </c>
      <c r="O84" s="660">
        <v>89379.31</v>
      </c>
      <c r="P84" s="660">
        <v>648000</v>
      </c>
      <c r="Q84" s="548"/>
      <c r="R84" s="660">
        <v>471232.62</v>
      </c>
      <c r="S84" s="549">
        <f t="shared" si="28"/>
        <v>176767.38</v>
      </c>
      <c r="T84" s="113" t="s">
        <v>131</v>
      </c>
      <c r="U84" s="722" t="str">
        <f t="shared" si="32"/>
        <v>AA11867</v>
      </c>
      <c r="V84" s="723" t="str">
        <f t="shared" si="33"/>
        <v>1823-TCN17</v>
      </c>
      <c r="W84" s="722">
        <f t="shared" si="34"/>
        <v>1520306</v>
      </c>
      <c r="X84" s="722" t="str">
        <f t="shared" si="35"/>
        <v>TACOMA 4X4</v>
      </c>
      <c r="Y84" s="723">
        <f t="shared" si="35"/>
        <v>2017</v>
      </c>
      <c r="Z84" s="724">
        <f t="shared" si="36"/>
        <v>532019.69999999995</v>
      </c>
      <c r="AA84" s="725">
        <f>+Z84</f>
        <v>532019.69999999995</v>
      </c>
      <c r="AB84" s="761">
        <v>1</v>
      </c>
      <c r="AC84" s="725">
        <f t="shared" si="29"/>
        <v>443562.4</v>
      </c>
      <c r="AD84" s="726">
        <f t="shared" si="30"/>
        <v>0.17</v>
      </c>
      <c r="AE84" s="727">
        <f t="shared" si="31"/>
        <v>27106.55</v>
      </c>
      <c r="AF84" s="727">
        <f t="shared" si="27"/>
        <v>26600.99</v>
      </c>
      <c r="AG84" s="727">
        <f t="shared" si="37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x14ac:dyDescent="0.2">
      <c r="A85" s="423">
        <f t="shared" si="38"/>
        <v>80</v>
      </c>
      <c r="B85" s="721" t="s">
        <v>6230</v>
      </c>
      <c r="C85" s="655">
        <v>1520504</v>
      </c>
      <c r="D85" s="658">
        <v>8125</v>
      </c>
      <c r="E85" s="655" t="s">
        <v>6276</v>
      </c>
      <c r="F85" s="546">
        <v>2018</v>
      </c>
      <c r="G85" s="659">
        <v>43005</v>
      </c>
      <c r="H85" s="655" t="s">
        <v>2216</v>
      </c>
      <c r="I85" s="655" t="s">
        <v>6412</v>
      </c>
      <c r="J85" s="712"/>
      <c r="K85" s="655" t="s">
        <v>6515</v>
      </c>
      <c r="L85" s="655" t="s">
        <v>6673</v>
      </c>
      <c r="M85" s="660">
        <v>737931.04</v>
      </c>
      <c r="N85" s="660">
        <v>36896.550000000003</v>
      </c>
      <c r="O85" s="660">
        <v>123972.41</v>
      </c>
      <c r="P85" s="660">
        <v>898800</v>
      </c>
      <c r="Q85" s="548"/>
      <c r="R85" s="660">
        <v>655691.75</v>
      </c>
      <c r="S85" s="549">
        <f t="shared" si="28"/>
        <v>243108.25</v>
      </c>
      <c r="T85" s="267" t="s">
        <v>131</v>
      </c>
      <c r="U85" s="722" t="str">
        <f t="shared" si="32"/>
        <v>AA11960</v>
      </c>
      <c r="V85" s="723" t="str">
        <f t="shared" si="33"/>
        <v>0066-TCN18</v>
      </c>
      <c r="W85" s="722">
        <f t="shared" si="34"/>
        <v>1520504</v>
      </c>
      <c r="X85" s="722" t="str">
        <f t="shared" si="35"/>
        <v>PICKUP TUNDRA 4X4 1794</v>
      </c>
      <c r="Y85" s="723">
        <f t="shared" si="35"/>
        <v>2018</v>
      </c>
      <c r="Z85" s="724">
        <f t="shared" si="36"/>
        <v>737931.04</v>
      </c>
      <c r="AA85" s="725">
        <f>+Z85</f>
        <v>737931.04</v>
      </c>
      <c r="AB85" s="761">
        <v>1</v>
      </c>
      <c r="AC85" s="725">
        <f t="shared" si="29"/>
        <v>443562.4</v>
      </c>
      <c r="AD85" s="726">
        <f t="shared" si="30"/>
        <v>0.17</v>
      </c>
      <c r="AE85" s="727">
        <f t="shared" si="31"/>
        <v>27106.55</v>
      </c>
      <c r="AF85" s="727">
        <f t="shared" si="27"/>
        <v>36896.550000000003</v>
      </c>
      <c r="AG85" s="727">
        <f t="shared" si="37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x14ac:dyDescent="0.2">
      <c r="A86" s="423">
        <f t="shared" si="38"/>
        <v>81</v>
      </c>
      <c r="B86" s="721" t="s">
        <v>6225</v>
      </c>
      <c r="C86" s="655">
        <v>1520603</v>
      </c>
      <c r="D86" s="658">
        <v>7497</v>
      </c>
      <c r="E86" s="655" t="s">
        <v>5619</v>
      </c>
      <c r="F86" s="546">
        <v>2017</v>
      </c>
      <c r="G86" s="659">
        <v>42992</v>
      </c>
      <c r="H86" s="655" t="s">
        <v>739</v>
      </c>
      <c r="I86" s="655" t="s">
        <v>6409</v>
      </c>
      <c r="J86" s="712"/>
      <c r="K86" s="655" t="s">
        <v>6513</v>
      </c>
      <c r="L86" s="655" t="s">
        <v>6670</v>
      </c>
      <c r="M86" s="660">
        <v>261083.74</v>
      </c>
      <c r="N86" s="660">
        <v>13054.19</v>
      </c>
      <c r="O86" s="660">
        <v>43862.07</v>
      </c>
      <c r="P86" s="660">
        <v>318000</v>
      </c>
      <c r="Q86" s="548"/>
      <c r="R86" s="660">
        <v>247285.57</v>
      </c>
      <c r="S86" s="549">
        <f t="shared" si="28"/>
        <v>70714.429999999993</v>
      </c>
      <c r="T86" s="113" t="s">
        <v>131</v>
      </c>
      <c r="U86" s="722" t="str">
        <f t="shared" si="32"/>
        <v>AA11866</v>
      </c>
      <c r="V86" s="723" t="str">
        <f t="shared" si="33"/>
        <v>0946-TCN17</v>
      </c>
      <c r="W86" s="722">
        <f t="shared" si="34"/>
        <v>1520603</v>
      </c>
      <c r="X86" s="722" t="str">
        <f t="shared" si="35"/>
        <v>HILUX 4X2 DOBLE CABINA BASE</v>
      </c>
      <c r="Y86" s="723">
        <f t="shared" si="35"/>
        <v>2017</v>
      </c>
      <c r="Z86" s="724">
        <f t="shared" si="36"/>
        <v>261083.74</v>
      </c>
      <c r="AA86" s="725"/>
      <c r="AB86" s="756"/>
      <c r="AC86" s="725">
        <f t="shared" si="29"/>
        <v>246423.66</v>
      </c>
      <c r="AD86" s="726">
        <f t="shared" si="30"/>
        <v>0.05</v>
      </c>
      <c r="AE86" s="727">
        <f t="shared" si="31"/>
        <v>4928.3900000000003</v>
      </c>
      <c r="AF86" s="727">
        <f t="shared" si="27"/>
        <v>13054.19</v>
      </c>
      <c r="AG86" s="727">
        <f t="shared" si="37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x14ac:dyDescent="0.2">
      <c r="A87" s="423">
        <f t="shared" si="38"/>
        <v>82</v>
      </c>
      <c r="B87" s="721" t="s">
        <v>6223</v>
      </c>
      <c r="C87" s="655">
        <v>1520603</v>
      </c>
      <c r="D87" s="658">
        <v>7497</v>
      </c>
      <c r="E87" s="655" t="s">
        <v>5619</v>
      </c>
      <c r="F87" s="546">
        <v>2017</v>
      </c>
      <c r="G87" s="659">
        <v>42991</v>
      </c>
      <c r="H87" s="655" t="s">
        <v>727</v>
      </c>
      <c r="I87" s="655" t="s">
        <v>6408</v>
      </c>
      <c r="J87" s="712"/>
      <c r="K87" s="655" t="s">
        <v>6442</v>
      </c>
      <c r="L87" s="655" t="s">
        <v>6669</v>
      </c>
      <c r="M87" s="660">
        <v>276190.48</v>
      </c>
      <c r="N87" s="660">
        <v>13809.52</v>
      </c>
      <c r="O87" s="660">
        <v>46400</v>
      </c>
      <c r="P87" s="660">
        <v>336400</v>
      </c>
      <c r="Q87" s="548"/>
      <c r="R87" s="660">
        <v>256833.09</v>
      </c>
      <c r="S87" s="549">
        <f t="shared" si="28"/>
        <v>79566.91</v>
      </c>
      <c r="T87" s="113" t="s">
        <v>131</v>
      </c>
      <c r="U87" s="722" t="str">
        <f t="shared" si="32"/>
        <v>AA11856</v>
      </c>
      <c r="V87" s="723" t="str">
        <f t="shared" si="33"/>
        <v>1331-TCN17</v>
      </c>
      <c r="W87" s="722">
        <f t="shared" si="34"/>
        <v>1520603</v>
      </c>
      <c r="X87" s="722" t="str">
        <f t="shared" ref="X87:Y97" si="45">+E87</f>
        <v>HILUX 4X2 DOBLE CABINA BASE</v>
      </c>
      <c r="Y87" s="723">
        <f t="shared" si="45"/>
        <v>2017</v>
      </c>
      <c r="Z87" s="724">
        <f t="shared" si="36"/>
        <v>276190.48</v>
      </c>
      <c r="AA87" s="725"/>
      <c r="AB87" s="756"/>
      <c r="AC87" s="725">
        <f t="shared" si="29"/>
        <v>246423.66</v>
      </c>
      <c r="AD87" s="726">
        <f t="shared" si="30"/>
        <v>0.05</v>
      </c>
      <c r="AE87" s="727">
        <f t="shared" si="31"/>
        <v>4928.3900000000003</v>
      </c>
      <c r="AF87" s="727">
        <f t="shared" si="27"/>
        <v>13809.52</v>
      </c>
      <c r="AG87" s="727">
        <f t="shared" si="37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x14ac:dyDescent="0.2">
      <c r="A88" s="423">
        <f t="shared" si="38"/>
        <v>83</v>
      </c>
      <c r="B88" s="721" t="s">
        <v>6226</v>
      </c>
      <c r="C88" s="655">
        <v>1520603</v>
      </c>
      <c r="D88" s="658">
        <v>7497</v>
      </c>
      <c r="E88" s="655" t="s">
        <v>5619</v>
      </c>
      <c r="F88" s="546">
        <v>2017</v>
      </c>
      <c r="G88" s="659">
        <v>43004</v>
      </c>
      <c r="H88" s="655" t="s">
        <v>739</v>
      </c>
      <c r="I88" s="655" t="s">
        <v>6410</v>
      </c>
      <c r="J88" s="712"/>
      <c r="K88" s="655" t="s">
        <v>6441</v>
      </c>
      <c r="L88" s="655" t="s">
        <v>6671</v>
      </c>
      <c r="M88" s="660">
        <v>268801.31</v>
      </c>
      <c r="N88" s="660">
        <v>13440.07</v>
      </c>
      <c r="O88" s="660">
        <v>45158.62</v>
      </c>
      <c r="P88" s="660">
        <v>327400</v>
      </c>
      <c r="Q88" s="548"/>
      <c r="R88" s="660">
        <v>257188.43</v>
      </c>
      <c r="S88" s="549">
        <f t="shared" si="28"/>
        <v>70211.570000000007</v>
      </c>
      <c r="T88" s="113" t="s">
        <v>131</v>
      </c>
      <c r="U88" s="722" t="str">
        <f t="shared" si="32"/>
        <v>AA11950</v>
      </c>
      <c r="V88" s="723" t="str">
        <f t="shared" si="33"/>
        <v>1887-TCN17</v>
      </c>
      <c r="W88" s="722">
        <f t="shared" si="34"/>
        <v>1520603</v>
      </c>
      <c r="X88" s="722" t="str">
        <f t="shared" si="45"/>
        <v>HILUX 4X2 DOBLE CABINA BASE</v>
      </c>
      <c r="Y88" s="723">
        <f t="shared" si="45"/>
        <v>2017</v>
      </c>
      <c r="Z88" s="724">
        <f t="shared" si="36"/>
        <v>268801.31</v>
      </c>
      <c r="AA88" s="725"/>
      <c r="AB88" s="756"/>
      <c r="AC88" s="725">
        <f t="shared" si="29"/>
        <v>246423.66</v>
      </c>
      <c r="AD88" s="726">
        <f t="shared" si="30"/>
        <v>0.05</v>
      </c>
      <c r="AE88" s="727">
        <f t="shared" si="31"/>
        <v>4928.3900000000003</v>
      </c>
      <c r="AF88" s="727">
        <f t="shared" si="27"/>
        <v>13440.07</v>
      </c>
      <c r="AG88" s="727">
        <f t="shared" si="37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x14ac:dyDescent="0.2">
      <c r="A89" s="423">
        <f t="shared" si="38"/>
        <v>84</v>
      </c>
      <c r="B89" s="721" t="s">
        <v>6227</v>
      </c>
      <c r="C89" s="655">
        <v>1520603</v>
      </c>
      <c r="D89" s="658">
        <v>7497</v>
      </c>
      <c r="E89" s="655" t="s">
        <v>5619</v>
      </c>
      <c r="F89" s="546">
        <v>2017</v>
      </c>
      <c r="G89" s="659">
        <v>43005</v>
      </c>
      <c r="H89" s="655" t="s">
        <v>2213</v>
      </c>
      <c r="I89" s="655" t="s">
        <v>6411</v>
      </c>
      <c r="J89" s="712"/>
      <c r="K89" s="655" t="s">
        <v>6514</v>
      </c>
      <c r="L89" s="655" t="s">
        <v>6672</v>
      </c>
      <c r="M89" s="660">
        <v>276190.48</v>
      </c>
      <c r="N89" s="660">
        <v>13809.52</v>
      </c>
      <c r="O89" s="660">
        <v>46400</v>
      </c>
      <c r="P89" s="660">
        <v>336400</v>
      </c>
      <c r="Q89" s="548"/>
      <c r="R89" s="660">
        <v>257188.43</v>
      </c>
      <c r="S89" s="549">
        <f t="shared" si="28"/>
        <v>79211.570000000007</v>
      </c>
      <c r="T89" s="113" t="s">
        <v>131</v>
      </c>
      <c r="U89" s="722" t="str">
        <f t="shared" si="32"/>
        <v>AA11962</v>
      </c>
      <c r="V89" s="723" t="str">
        <f t="shared" si="33"/>
        <v>1889-TCN17</v>
      </c>
      <c r="W89" s="722">
        <f t="shared" si="34"/>
        <v>1520603</v>
      </c>
      <c r="X89" s="722" t="str">
        <f t="shared" si="45"/>
        <v>HILUX 4X2 DOBLE CABINA BASE</v>
      </c>
      <c r="Y89" s="723">
        <f t="shared" si="45"/>
        <v>2017</v>
      </c>
      <c r="Z89" s="724">
        <f t="shared" si="36"/>
        <v>276190.48</v>
      </c>
      <c r="AA89" s="725">
        <f>+SUM(Z86:Z89)</f>
        <v>1082266.01</v>
      </c>
      <c r="AB89" s="761">
        <v>4</v>
      </c>
      <c r="AC89" s="725">
        <f t="shared" si="29"/>
        <v>246423.66</v>
      </c>
      <c r="AD89" s="726">
        <f t="shared" si="30"/>
        <v>0.05</v>
      </c>
      <c r="AE89" s="727">
        <f t="shared" si="31"/>
        <v>4928.3900000000003</v>
      </c>
      <c r="AF89" s="727">
        <f t="shared" si="27"/>
        <v>13809.52</v>
      </c>
      <c r="AG89" s="727">
        <f t="shared" si="37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x14ac:dyDescent="0.2">
      <c r="A90" s="423">
        <f t="shared" si="38"/>
        <v>85</v>
      </c>
      <c r="B90" s="721" t="s">
        <v>6213</v>
      </c>
      <c r="C90" s="655">
        <v>1520604</v>
      </c>
      <c r="D90" s="658">
        <v>7495</v>
      </c>
      <c r="E90" s="655" t="s">
        <v>718</v>
      </c>
      <c r="F90" s="546">
        <v>2017</v>
      </c>
      <c r="G90" s="659">
        <v>42998</v>
      </c>
      <c r="H90" s="655" t="s">
        <v>792</v>
      </c>
      <c r="I90" s="655" t="s">
        <v>6403</v>
      </c>
      <c r="J90" s="712"/>
      <c r="K90" s="655" t="s">
        <v>6508</v>
      </c>
      <c r="L90" s="655" t="s">
        <v>6664</v>
      </c>
      <c r="M90" s="660">
        <v>270935.96000000002</v>
      </c>
      <c r="N90" s="660">
        <v>13546.8</v>
      </c>
      <c r="O90" s="660">
        <v>45517.24</v>
      </c>
      <c r="P90" s="660">
        <v>330000</v>
      </c>
      <c r="Q90" s="548"/>
      <c r="R90" s="660">
        <v>262450.93</v>
      </c>
      <c r="S90" s="549">
        <f t="shared" si="28"/>
        <v>67549.070000000007</v>
      </c>
      <c r="T90" s="113" t="s">
        <v>131</v>
      </c>
      <c r="U90" s="722" t="str">
        <f t="shared" si="32"/>
        <v>AA11894</v>
      </c>
      <c r="V90" s="723" t="str">
        <f t="shared" si="33"/>
        <v>1412-TCN17</v>
      </c>
      <c r="W90" s="722">
        <f t="shared" si="34"/>
        <v>1520604</v>
      </c>
      <c r="X90" s="722" t="str">
        <f t="shared" si="45"/>
        <v>HILUX PICK UP D CAB SR A/C</v>
      </c>
      <c r="Y90" s="723">
        <f t="shared" si="45"/>
        <v>2017</v>
      </c>
      <c r="Z90" s="724">
        <f t="shared" si="36"/>
        <v>270935.96000000002</v>
      </c>
      <c r="AA90" s="725"/>
      <c r="AB90" s="756"/>
      <c r="AC90" s="725">
        <f t="shared" si="29"/>
        <v>246423.66</v>
      </c>
      <c r="AD90" s="726">
        <f t="shared" si="30"/>
        <v>0.05</v>
      </c>
      <c r="AE90" s="727">
        <f t="shared" si="31"/>
        <v>4928.3900000000003</v>
      </c>
      <c r="AF90" s="727">
        <f t="shared" si="27"/>
        <v>13546.8</v>
      </c>
      <c r="AG90" s="727">
        <f t="shared" si="37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38"/>
        <v>86</v>
      </c>
      <c r="B91" s="721" t="s">
        <v>6216</v>
      </c>
      <c r="C91" s="655">
        <v>1520604</v>
      </c>
      <c r="D91" s="658">
        <v>7495</v>
      </c>
      <c r="E91" s="655" t="s">
        <v>718</v>
      </c>
      <c r="F91" s="546">
        <v>2017</v>
      </c>
      <c r="G91" s="659">
        <v>43006</v>
      </c>
      <c r="H91" s="655" t="s">
        <v>819</v>
      </c>
      <c r="I91" s="655" t="s">
        <v>6406</v>
      </c>
      <c r="J91" s="712"/>
      <c r="K91" s="655" t="s">
        <v>6511</v>
      </c>
      <c r="L91" s="655" t="s">
        <v>6667</v>
      </c>
      <c r="M91" s="660">
        <v>296880.13</v>
      </c>
      <c r="N91" s="660">
        <v>14844.01</v>
      </c>
      <c r="O91" s="660">
        <v>49875.86</v>
      </c>
      <c r="P91" s="660">
        <v>361600</v>
      </c>
      <c r="Q91" s="548"/>
      <c r="R91" s="660">
        <v>262450.93</v>
      </c>
      <c r="S91" s="549">
        <f t="shared" si="28"/>
        <v>99149.07</v>
      </c>
      <c r="T91" s="113" t="s">
        <v>131</v>
      </c>
      <c r="U91" s="722" t="str">
        <f t="shared" si="32"/>
        <v>AA11972</v>
      </c>
      <c r="V91" s="723" t="str">
        <f t="shared" si="33"/>
        <v>1415-TCN17</v>
      </c>
      <c r="W91" s="722">
        <f t="shared" si="34"/>
        <v>1520604</v>
      </c>
      <c r="X91" s="722" t="str">
        <f t="shared" si="45"/>
        <v>HILUX PICK UP D CAB SR A/C</v>
      </c>
      <c r="Y91" s="723">
        <f t="shared" si="45"/>
        <v>2017</v>
      </c>
      <c r="Z91" s="724">
        <f t="shared" si="36"/>
        <v>296880.13</v>
      </c>
      <c r="AA91" s="725"/>
      <c r="AB91" s="756"/>
      <c r="AC91" s="725">
        <f t="shared" si="29"/>
        <v>295708.34000000003</v>
      </c>
      <c r="AD91" s="726">
        <f t="shared" si="30"/>
        <v>0.1</v>
      </c>
      <c r="AE91" s="727">
        <f t="shared" si="31"/>
        <v>7392.74</v>
      </c>
      <c r="AF91" s="727">
        <f t="shared" si="27"/>
        <v>14844.01</v>
      </c>
      <c r="AG91" s="727">
        <f t="shared" si="37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38"/>
        <v>87</v>
      </c>
      <c r="B92" s="721" t="s">
        <v>6212</v>
      </c>
      <c r="C92" s="655">
        <v>1520604</v>
      </c>
      <c r="D92" s="658">
        <v>7495</v>
      </c>
      <c r="E92" s="655" t="s">
        <v>718</v>
      </c>
      <c r="F92" s="546">
        <v>2017</v>
      </c>
      <c r="G92" s="659">
        <v>42991</v>
      </c>
      <c r="H92" s="655" t="s">
        <v>2954</v>
      </c>
      <c r="I92" s="655" t="s">
        <v>6402</v>
      </c>
      <c r="J92" s="712"/>
      <c r="K92" s="655" t="s">
        <v>6507</v>
      </c>
      <c r="L92" s="655" t="s">
        <v>6663</v>
      </c>
      <c r="M92" s="660">
        <v>296880.13</v>
      </c>
      <c r="N92" s="660">
        <v>14844.01</v>
      </c>
      <c r="O92" s="660">
        <v>49875.86</v>
      </c>
      <c r="P92" s="660">
        <v>361600</v>
      </c>
      <c r="Q92" s="548"/>
      <c r="R92" s="660">
        <v>262450.93</v>
      </c>
      <c r="S92" s="549">
        <f t="shared" si="28"/>
        <v>99149.07</v>
      </c>
      <c r="T92" s="113" t="s">
        <v>131</v>
      </c>
      <c r="U92" s="722" t="str">
        <f t="shared" si="32"/>
        <v>AA11862</v>
      </c>
      <c r="V92" s="723" t="str">
        <f t="shared" si="33"/>
        <v>1418-TCN17</v>
      </c>
      <c r="W92" s="722">
        <f t="shared" si="34"/>
        <v>1520604</v>
      </c>
      <c r="X92" s="722" t="str">
        <f t="shared" si="45"/>
        <v>HILUX PICK UP D CAB SR A/C</v>
      </c>
      <c r="Y92" s="723">
        <f t="shared" si="45"/>
        <v>2017</v>
      </c>
      <c r="Z92" s="724">
        <f t="shared" si="36"/>
        <v>296880.13</v>
      </c>
      <c r="AA92" s="725"/>
      <c r="AB92" s="756"/>
      <c r="AC92" s="725">
        <f t="shared" si="29"/>
        <v>295708.34000000003</v>
      </c>
      <c r="AD92" s="726">
        <f t="shared" si="30"/>
        <v>0.1</v>
      </c>
      <c r="AE92" s="727">
        <f t="shared" si="31"/>
        <v>7392.74</v>
      </c>
      <c r="AF92" s="727">
        <f t="shared" si="27"/>
        <v>14844.01</v>
      </c>
      <c r="AG92" s="727">
        <f t="shared" si="37"/>
        <v>0</v>
      </c>
      <c r="AH92" s="361"/>
      <c r="AI92" s="740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3">
        <f t="shared" si="38"/>
        <v>88</v>
      </c>
      <c r="B93" s="721" t="s">
        <v>6214</v>
      </c>
      <c r="C93" s="655">
        <v>1520604</v>
      </c>
      <c r="D93" s="658">
        <v>7495</v>
      </c>
      <c r="E93" s="655" t="s">
        <v>718</v>
      </c>
      <c r="F93" s="546">
        <v>2017</v>
      </c>
      <c r="G93" s="659">
        <v>42998</v>
      </c>
      <c r="H93" s="655" t="s">
        <v>810</v>
      </c>
      <c r="I93" s="655" t="s">
        <v>6404</v>
      </c>
      <c r="J93" s="712"/>
      <c r="K93" s="655" t="s">
        <v>6509</v>
      </c>
      <c r="L93" s="655" t="s">
        <v>6665</v>
      </c>
      <c r="M93" s="660">
        <v>296880.13</v>
      </c>
      <c r="N93" s="660">
        <v>14844.01</v>
      </c>
      <c r="O93" s="660">
        <v>49875.86</v>
      </c>
      <c r="P93" s="660">
        <v>361600</v>
      </c>
      <c r="Q93" s="548"/>
      <c r="R93" s="660">
        <v>262450.96999999997</v>
      </c>
      <c r="S93" s="549">
        <f t="shared" si="28"/>
        <v>99149.030000000028</v>
      </c>
      <c r="T93" s="113" t="s">
        <v>131</v>
      </c>
      <c r="U93" s="722" t="str">
        <f t="shared" si="32"/>
        <v>AA11895</v>
      </c>
      <c r="V93" s="723" t="str">
        <f t="shared" si="33"/>
        <v>1481-TCN17</v>
      </c>
      <c r="W93" s="722">
        <f t="shared" si="34"/>
        <v>1520604</v>
      </c>
      <c r="X93" s="722" t="str">
        <f t="shared" si="45"/>
        <v>HILUX PICK UP D CAB SR A/C</v>
      </c>
      <c r="Y93" s="723">
        <f t="shared" si="45"/>
        <v>2017</v>
      </c>
      <c r="Z93" s="724">
        <f t="shared" si="36"/>
        <v>296880.13</v>
      </c>
      <c r="AA93" s="725"/>
      <c r="AB93" s="756"/>
      <c r="AC93" s="725">
        <f t="shared" si="29"/>
        <v>295708.34000000003</v>
      </c>
      <c r="AD93" s="726">
        <f t="shared" si="30"/>
        <v>0.1</v>
      </c>
      <c r="AE93" s="727">
        <f t="shared" si="31"/>
        <v>7392.74</v>
      </c>
      <c r="AF93" s="727">
        <f t="shared" si="27"/>
        <v>14844.01</v>
      </c>
      <c r="AG93" s="727">
        <f t="shared" si="37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3">
        <f t="shared" si="38"/>
        <v>89</v>
      </c>
      <c r="B94" s="721" t="s">
        <v>6209</v>
      </c>
      <c r="C94" s="655">
        <v>1520604</v>
      </c>
      <c r="D94" s="658">
        <v>7495</v>
      </c>
      <c r="E94" s="655" t="s">
        <v>718</v>
      </c>
      <c r="F94" s="546">
        <v>2017</v>
      </c>
      <c r="G94" s="659">
        <v>42983</v>
      </c>
      <c r="H94" s="655" t="s">
        <v>2214</v>
      </c>
      <c r="I94" s="655" t="s">
        <v>6398</v>
      </c>
      <c r="J94" s="712"/>
      <c r="K94" s="655" t="s">
        <v>6506</v>
      </c>
      <c r="L94" s="655" t="s">
        <v>6659</v>
      </c>
      <c r="M94" s="660">
        <v>296880.13</v>
      </c>
      <c r="N94" s="660">
        <v>14844.01</v>
      </c>
      <c r="O94" s="660">
        <v>49875.86</v>
      </c>
      <c r="P94" s="660">
        <v>361600</v>
      </c>
      <c r="Q94" s="548"/>
      <c r="R94" s="660">
        <v>262805.40999999997</v>
      </c>
      <c r="S94" s="549">
        <f t="shared" si="28"/>
        <v>98794.590000000026</v>
      </c>
      <c r="T94" s="267" t="s">
        <v>131</v>
      </c>
      <c r="U94" s="722" t="str">
        <f t="shared" si="32"/>
        <v>AA11802</v>
      </c>
      <c r="V94" s="723" t="str">
        <f t="shared" si="33"/>
        <v>1792-TCN17</v>
      </c>
      <c r="W94" s="722">
        <f t="shared" si="34"/>
        <v>1520604</v>
      </c>
      <c r="X94" s="722" t="str">
        <f t="shared" si="45"/>
        <v>HILUX PICK UP D CAB SR A/C</v>
      </c>
      <c r="Y94" s="723">
        <f t="shared" si="45"/>
        <v>2017</v>
      </c>
      <c r="Z94" s="724">
        <f t="shared" si="36"/>
        <v>296880.13</v>
      </c>
      <c r="AA94" s="725"/>
      <c r="AB94" s="756"/>
      <c r="AC94" s="725">
        <f t="shared" si="29"/>
        <v>295708.34000000003</v>
      </c>
      <c r="AD94" s="726">
        <f t="shared" si="30"/>
        <v>0.1</v>
      </c>
      <c r="AE94" s="727">
        <f t="shared" si="31"/>
        <v>7392.74</v>
      </c>
      <c r="AF94" s="727">
        <f t="shared" si="27"/>
        <v>14844.01</v>
      </c>
      <c r="AG94" s="727">
        <f t="shared" si="37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38"/>
        <v>90</v>
      </c>
      <c r="B95" s="721" t="s">
        <v>6701</v>
      </c>
      <c r="C95" s="655">
        <v>1520604</v>
      </c>
      <c r="D95" s="658">
        <v>7495</v>
      </c>
      <c r="E95" s="655" t="s">
        <v>718</v>
      </c>
      <c r="F95" s="546">
        <v>2017</v>
      </c>
      <c r="G95" s="659">
        <v>42990</v>
      </c>
      <c r="H95" s="655" t="s">
        <v>751</v>
      </c>
      <c r="I95" s="655" t="s">
        <v>6401</v>
      </c>
      <c r="J95" s="712"/>
      <c r="K95" s="655" t="s">
        <v>6481</v>
      </c>
      <c r="L95" s="655" t="s">
        <v>6662</v>
      </c>
      <c r="M95" s="660">
        <v>250291.63</v>
      </c>
      <c r="N95" s="660">
        <v>12514.58</v>
      </c>
      <c r="O95" s="660">
        <v>42048.99</v>
      </c>
      <c r="P95" s="660">
        <v>304855.2</v>
      </c>
      <c r="Q95" s="548"/>
      <c r="R95" s="660">
        <v>262806.27</v>
      </c>
      <c r="S95" s="549">
        <f t="shared" si="28"/>
        <v>42048.929999999993</v>
      </c>
      <c r="T95" s="113" t="s">
        <v>131</v>
      </c>
      <c r="U95" s="722" t="str">
        <f t="shared" si="32"/>
        <v>AA11850</v>
      </c>
      <c r="V95" s="723" t="str">
        <f t="shared" si="33"/>
        <v>1815-TCN17</v>
      </c>
      <c r="W95" s="722">
        <f t="shared" si="34"/>
        <v>1520604</v>
      </c>
      <c r="X95" s="722" t="str">
        <f t="shared" si="45"/>
        <v>HILUX PICK UP D CAB SR A/C</v>
      </c>
      <c r="Y95" s="723">
        <f t="shared" si="45"/>
        <v>2017</v>
      </c>
      <c r="Z95" s="724">
        <f t="shared" si="36"/>
        <v>250291.63</v>
      </c>
      <c r="AA95" s="725"/>
      <c r="AB95" s="756"/>
      <c r="AC95" s="725">
        <f t="shared" si="29"/>
        <v>246423.66</v>
      </c>
      <c r="AD95" s="726">
        <f t="shared" si="30"/>
        <v>0.05</v>
      </c>
      <c r="AE95" s="727">
        <f t="shared" si="31"/>
        <v>4928.3900000000003</v>
      </c>
      <c r="AF95" s="727">
        <f t="shared" si="27"/>
        <v>12514.58</v>
      </c>
      <c r="AG95" s="727">
        <f t="shared" si="37"/>
        <v>0</v>
      </c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38"/>
        <v>91</v>
      </c>
      <c r="B96" s="721" t="s">
        <v>6215</v>
      </c>
      <c r="C96" s="655">
        <v>1520604</v>
      </c>
      <c r="D96" s="658">
        <v>7495</v>
      </c>
      <c r="E96" s="655" t="s">
        <v>718</v>
      </c>
      <c r="F96" s="546">
        <v>2017</v>
      </c>
      <c r="G96" s="659">
        <v>42999</v>
      </c>
      <c r="H96" s="655" t="s">
        <v>1211</v>
      </c>
      <c r="I96" s="655" t="s">
        <v>6405</v>
      </c>
      <c r="J96" s="712"/>
      <c r="K96" s="655" t="s">
        <v>6510</v>
      </c>
      <c r="L96" s="655" t="s">
        <v>6666</v>
      </c>
      <c r="M96" s="660">
        <v>296880.13</v>
      </c>
      <c r="N96" s="660">
        <v>14844.01</v>
      </c>
      <c r="O96" s="660">
        <v>49875.86</v>
      </c>
      <c r="P96" s="660">
        <v>361600</v>
      </c>
      <c r="Q96" s="548"/>
      <c r="R96" s="660">
        <v>262450.93</v>
      </c>
      <c r="S96" s="549">
        <f t="shared" si="28"/>
        <v>99149.07</v>
      </c>
      <c r="T96" s="113" t="s">
        <v>131</v>
      </c>
      <c r="U96" s="722" t="str">
        <f t="shared" si="32"/>
        <v>AA11903</v>
      </c>
      <c r="V96" s="723" t="str">
        <f t="shared" si="33"/>
        <v>1819-TCN17</v>
      </c>
      <c r="W96" s="722">
        <f t="shared" si="34"/>
        <v>1520604</v>
      </c>
      <c r="X96" s="722" t="str">
        <f t="shared" si="45"/>
        <v>HILUX PICK UP D CAB SR A/C</v>
      </c>
      <c r="Y96" s="723">
        <f t="shared" si="45"/>
        <v>2017</v>
      </c>
      <c r="Z96" s="724">
        <f t="shared" si="36"/>
        <v>296880.13</v>
      </c>
      <c r="AA96" s="725"/>
      <c r="AB96" s="756"/>
      <c r="AC96" s="725">
        <f t="shared" si="29"/>
        <v>295708.34000000003</v>
      </c>
      <c r="AD96" s="726">
        <f t="shared" si="30"/>
        <v>0.1</v>
      </c>
      <c r="AE96" s="727">
        <f t="shared" si="31"/>
        <v>7392.74</v>
      </c>
      <c r="AF96" s="727">
        <f t="shared" si="27"/>
        <v>14844.01</v>
      </c>
      <c r="AG96" s="727">
        <f t="shared" si="37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38"/>
        <v>92</v>
      </c>
      <c r="B97" s="721" t="s">
        <v>6217</v>
      </c>
      <c r="C97" s="655">
        <v>1520604</v>
      </c>
      <c r="D97" s="658">
        <v>7495</v>
      </c>
      <c r="E97" s="655" t="s">
        <v>718</v>
      </c>
      <c r="F97" s="546">
        <v>2017</v>
      </c>
      <c r="G97" s="659">
        <v>43006</v>
      </c>
      <c r="H97" s="655" t="s">
        <v>774</v>
      </c>
      <c r="I97" s="655" t="s">
        <v>6407</v>
      </c>
      <c r="J97" s="712"/>
      <c r="K97" s="655" t="s">
        <v>6512</v>
      </c>
      <c r="L97" s="655" t="s">
        <v>6668</v>
      </c>
      <c r="M97" s="660">
        <v>296880.13</v>
      </c>
      <c r="N97" s="660">
        <v>14844.01</v>
      </c>
      <c r="O97" s="660">
        <v>49875.86</v>
      </c>
      <c r="P97" s="660">
        <v>361600</v>
      </c>
      <c r="Q97" s="548"/>
      <c r="R97" s="660">
        <v>262450.93</v>
      </c>
      <c r="S97" s="549">
        <f t="shared" si="28"/>
        <v>99149.07</v>
      </c>
      <c r="T97" s="113" t="s">
        <v>131</v>
      </c>
      <c r="U97" s="626" t="str">
        <f t="shared" si="32"/>
        <v>AA11979</v>
      </c>
      <c r="V97" s="627" t="str">
        <f t="shared" si="33"/>
        <v>1881-TCN17</v>
      </c>
      <c r="W97" s="626">
        <f t="shared" si="34"/>
        <v>1520604</v>
      </c>
      <c r="X97" s="626" t="str">
        <f t="shared" si="45"/>
        <v>HILUX PICK UP D CAB SR A/C</v>
      </c>
      <c r="Y97" s="627">
        <f t="shared" si="45"/>
        <v>2017</v>
      </c>
      <c r="Z97" s="628">
        <f t="shared" si="36"/>
        <v>296880.13</v>
      </c>
      <c r="AA97" s="629">
        <f>+SUM(Z90:Z97)</f>
        <v>2302508.3699999996</v>
      </c>
      <c r="AB97" s="760">
        <v>8</v>
      </c>
      <c r="AC97" s="629">
        <f t="shared" si="29"/>
        <v>295708.34000000003</v>
      </c>
      <c r="AD97" s="630">
        <f t="shared" si="30"/>
        <v>0.1</v>
      </c>
      <c r="AE97" s="555">
        <f t="shared" si="31"/>
        <v>7392.74</v>
      </c>
      <c r="AF97" s="555">
        <f t="shared" si="27"/>
        <v>14844.01</v>
      </c>
      <c r="AG97" s="555">
        <f t="shared" si="37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38"/>
        <v>93</v>
      </c>
      <c r="B98" s="721" t="s">
        <v>6126</v>
      </c>
      <c r="C98" s="655">
        <v>520108</v>
      </c>
      <c r="D98" s="658">
        <v>2593</v>
      </c>
      <c r="E98" s="655" t="s">
        <v>685</v>
      </c>
      <c r="F98" s="546">
        <v>2018</v>
      </c>
      <c r="G98" s="659">
        <v>42989</v>
      </c>
      <c r="H98" s="655" t="s">
        <v>727</v>
      </c>
      <c r="I98" s="655" t="s">
        <v>6334</v>
      </c>
      <c r="J98" s="712"/>
      <c r="K98" s="655" t="s">
        <v>6474</v>
      </c>
      <c r="L98" s="655" t="s">
        <v>6596</v>
      </c>
      <c r="M98" s="660">
        <v>395529.4</v>
      </c>
      <c r="N98" s="660">
        <v>19901.63</v>
      </c>
      <c r="O98" s="660">
        <v>66468.97</v>
      </c>
      <c r="P98" s="660">
        <v>481900</v>
      </c>
      <c r="Q98" s="548"/>
      <c r="R98" s="660">
        <v>342617.49</v>
      </c>
      <c r="S98" s="549">
        <f t="shared" si="28"/>
        <v>139282.51</v>
      </c>
      <c r="T98" s="267" t="s">
        <v>1268</v>
      </c>
      <c r="U98" s="267"/>
      <c r="V98" s="93"/>
      <c r="W98" s="267"/>
      <c r="X98" s="267"/>
      <c r="Y98" s="93"/>
      <c r="Z98" s="618"/>
      <c r="AA98" s="424"/>
      <c r="AB98" s="715"/>
      <c r="AC98" s="424"/>
      <c r="AD98" s="425"/>
      <c r="AE98" s="424"/>
      <c r="AF98" s="424"/>
      <c r="AG98" s="396"/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3">
        <f t="shared" si="38"/>
        <v>94</v>
      </c>
      <c r="B99" s="721" t="s">
        <v>6127</v>
      </c>
      <c r="C99" s="655">
        <v>520108</v>
      </c>
      <c r="D99" s="658">
        <v>2593</v>
      </c>
      <c r="E99" s="655" t="s">
        <v>685</v>
      </c>
      <c r="F99" s="546">
        <v>2018</v>
      </c>
      <c r="G99" s="659">
        <v>42990</v>
      </c>
      <c r="H99" s="655" t="s">
        <v>727</v>
      </c>
      <c r="I99" s="655" t="s">
        <v>6334</v>
      </c>
      <c r="J99" s="712"/>
      <c r="K99" s="655" t="s">
        <v>6474</v>
      </c>
      <c r="L99" s="655" t="s">
        <v>6596</v>
      </c>
      <c r="M99" s="660">
        <v>-395529.4</v>
      </c>
      <c r="N99" s="660">
        <v>-19901.63</v>
      </c>
      <c r="O99" s="660">
        <v>-66468.97</v>
      </c>
      <c r="P99" s="660">
        <v>-481900</v>
      </c>
      <c r="Q99" s="548"/>
      <c r="R99" s="660">
        <v>-342617.49</v>
      </c>
      <c r="S99" s="549">
        <f t="shared" si="28"/>
        <v>-139282.51</v>
      </c>
      <c r="T99" s="113" t="s">
        <v>1268</v>
      </c>
      <c r="U99" s="267"/>
      <c r="V99" s="93"/>
      <c r="W99" s="267"/>
      <c r="X99" s="267"/>
      <c r="Y99" s="93"/>
      <c r="Z99" s="618"/>
      <c r="AA99" s="424"/>
      <c r="AB99" s="716"/>
      <c r="AC99" s="424"/>
      <c r="AD99" s="425"/>
      <c r="AE99" s="424"/>
      <c r="AF99" s="424"/>
      <c r="AG99" s="396"/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3">
        <f t="shared" si="38"/>
        <v>95</v>
      </c>
      <c r="B100" s="721" t="s">
        <v>6128</v>
      </c>
      <c r="C100" s="655">
        <v>520108</v>
      </c>
      <c r="D100" s="658">
        <v>2593</v>
      </c>
      <c r="E100" s="655" t="s">
        <v>685</v>
      </c>
      <c r="F100" s="546">
        <v>2018</v>
      </c>
      <c r="G100" s="659">
        <v>42990</v>
      </c>
      <c r="H100" s="655" t="s">
        <v>727</v>
      </c>
      <c r="I100" s="655" t="s">
        <v>6334</v>
      </c>
      <c r="J100" s="712"/>
      <c r="K100" s="655" t="s">
        <v>6474</v>
      </c>
      <c r="L100" s="655" t="s">
        <v>6596</v>
      </c>
      <c r="M100" s="660">
        <v>-395529.4</v>
      </c>
      <c r="N100" s="660">
        <v>-19901.63</v>
      </c>
      <c r="O100" s="660">
        <v>-66468.97</v>
      </c>
      <c r="P100" s="660">
        <v>-481900</v>
      </c>
      <c r="Q100" s="548"/>
      <c r="R100" s="660">
        <v>-342617.49</v>
      </c>
      <c r="S100" s="549">
        <f t="shared" si="28"/>
        <v>-139282.51</v>
      </c>
      <c r="T100" s="267" t="s">
        <v>1268</v>
      </c>
      <c r="U100" s="267"/>
      <c r="V100" s="93"/>
      <c r="W100" s="267"/>
      <c r="X100" s="267"/>
      <c r="Y100" s="93"/>
      <c r="Z100" s="618"/>
      <c r="AA100" s="424"/>
      <c r="AB100" s="715"/>
      <c r="AC100" s="424"/>
      <c r="AD100" s="425"/>
      <c r="AE100" s="424"/>
      <c r="AF100" s="424"/>
      <c r="AG100" s="396"/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3">
        <f t="shared" si="38"/>
        <v>96</v>
      </c>
      <c r="B101" s="721" t="s">
        <v>6129</v>
      </c>
      <c r="C101" s="655">
        <v>520108</v>
      </c>
      <c r="D101" s="658">
        <v>2593</v>
      </c>
      <c r="E101" s="655" t="s">
        <v>685</v>
      </c>
      <c r="F101" s="546">
        <v>2018</v>
      </c>
      <c r="G101" s="659">
        <v>42990</v>
      </c>
      <c r="H101" s="655" t="s">
        <v>727</v>
      </c>
      <c r="I101" s="655" t="s">
        <v>6334</v>
      </c>
      <c r="J101" s="712"/>
      <c r="K101" s="655" t="s">
        <v>6474</v>
      </c>
      <c r="L101" s="655" t="s">
        <v>6596</v>
      </c>
      <c r="M101" s="660">
        <v>395529.4</v>
      </c>
      <c r="N101" s="660">
        <v>19901.63</v>
      </c>
      <c r="O101" s="660">
        <v>66468.97</v>
      </c>
      <c r="P101" s="660">
        <v>481900</v>
      </c>
      <c r="Q101" s="548"/>
      <c r="R101" s="660">
        <v>342617.49</v>
      </c>
      <c r="S101" s="549">
        <f t="shared" si="28"/>
        <v>139282.51</v>
      </c>
      <c r="T101" s="113" t="s">
        <v>1268</v>
      </c>
      <c r="U101" s="267"/>
      <c r="V101" s="93"/>
      <c r="W101" s="267"/>
      <c r="X101" s="267"/>
      <c r="Y101" s="93"/>
      <c r="Z101" s="618"/>
      <c r="AA101" s="424"/>
      <c r="AB101" s="715"/>
      <c r="AC101" s="424"/>
      <c r="AD101" s="425"/>
      <c r="AE101" s="424"/>
      <c r="AF101" s="424"/>
      <c r="AG101" s="396"/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38"/>
        <v>97</v>
      </c>
      <c r="B102" s="721" t="s">
        <v>6228</v>
      </c>
      <c r="C102" s="655">
        <v>1520504</v>
      </c>
      <c r="D102" s="658">
        <v>8125</v>
      </c>
      <c r="E102" s="655" t="s">
        <v>6276</v>
      </c>
      <c r="F102" s="546">
        <v>2018</v>
      </c>
      <c r="G102" s="659">
        <v>43005</v>
      </c>
      <c r="H102" s="655" t="s">
        <v>2216</v>
      </c>
      <c r="I102" s="655" t="s">
        <v>6412</v>
      </c>
      <c r="J102" s="712"/>
      <c r="K102" s="655" t="s">
        <v>6515</v>
      </c>
      <c r="L102" s="655" t="s">
        <v>6673</v>
      </c>
      <c r="M102" s="660">
        <v>-737931.04</v>
      </c>
      <c r="N102" s="660">
        <v>-36896.550000000003</v>
      </c>
      <c r="O102" s="660">
        <v>-123972.41</v>
      </c>
      <c r="P102" s="660">
        <v>-898800</v>
      </c>
      <c r="Q102" s="548"/>
      <c r="R102" s="660">
        <v>-655691.75</v>
      </c>
      <c r="S102" s="549">
        <f t="shared" si="28"/>
        <v>-243108.25</v>
      </c>
      <c r="T102" s="113" t="s">
        <v>1268</v>
      </c>
      <c r="U102" s="267"/>
      <c r="V102" s="93"/>
      <c r="W102" s="267"/>
      <c r="X102" s="267"/>
      <c r="Y102" s="93"/>
      <c r="Z102" s="618"/>
      <c r="AA102" s="424"/>
      <c r="AB102" s="715"/>
      <c r="AC102" s="424"/>
      <c r="AD102" s="425"/>
      <c r="AE102" s="424"/>
      <c r="AF102" s="424"/>
      <c r="AG102" s="396"/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3.5" thickBot="1" x14ac:dyDescent="0.25">
      <c r="A103" s="423">
        <f t="shared" si="38"/>
        <v>98</v>
      </c>
      <c r="B103" s="721" t="s">
        <v>6229</v>
      </c>
      <c r="C103" s="655">
        <v>1520504</v>
      </c>
      <c r="D103" s="658">
        <v>8125</v>
      </c>
      <c r="E103" s="655" t="s">
        <v>6276</v>
      </c>
      <c r="F103" s="546">
        <v>2018</v>
      </c>
      <c r="G103" s="659">
        <v>43005</v>
      </c>
      <c r="H103" s="655" t="s">
        <v>2216</v>
      </c>
      <c r="I103" s="655" t="s">
        <v>6412</v>
      </c>
      <c r="J103" s="712"/>
      <c r="K103" s="655" t="s">
        <v>6515</v>
      </c>
      <c r="L103" s="655" t="s">
        <v>6673</v>
      </c>
      <c r="M103" s="660">
        <v>737931.04</v>
      </c>
      <c r="N103" s="660">
        <v>36896.550000000003</v>
      </c>
      <c r="O103" s="660">
        <v>123972.41</v>
      </c>
      <c r="P103" s="660">
        <v>898800</v>
      </c>
      <c r="Q103" s="548"/>
      <c r="R103" s="660">
        <v>655691.75</v>
      </c>
      <c r="S103" s="549">
        <f t="shared" si="28"/>
        <v>243108.25</v>
      </c>
      <c r="T103" s="113" t="s">
        <v>1268</v>
      </c>
      <c r="U103" s="267"/>
      <c r="V103" s="93"/>
      <c r="W103" s="267"/>
      <c r="X103" s="267"/>
      <c r="Y103" s="93"/>
      <c r="Z103" s="618"/>
      <c r="AA103" s="424"/>
      <c r="AB103" s="715"/>
      <c r="AC103" s="424"/>
      <c r="AD103" s="425"/>
      <c r="AE103" s="424"/>
      <c r="AF103" s="424"/>
      <c r="AG103" s="396"/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3.5" thickBot="1" x14ac:dyDescent="0.25">
      <c r="A104" s="423">
        <f t="shared" si="38"/>
        <v>99</v>
      </c>
      <c r="B104" s="721" t="s">
        <v>6178</v>
      </c>
      <c r="C104" s="655">
        <v>521502</v>
      </c>
      <c r="D104" s="658">
        <v>5611</v>
      </c>
      <c r="E104" s="655" t="s">
        <v>225</v>
      </c>
      <c r="F104" s="546">
        <v>2018</v>
      </c>
      <c r="G104" s="659">
        <v>43005</v>
      </c>
      <c r="H104" s="655" t="s">
        <v>817</v>
      </c>
      <c r="I104" s="655" t="s">
        <v>6377</v>
      </c>
      <c r="J104" s="712"/>
      <c r="K104" s="655" t="s">
        <v>830</v>
      </c>
      <c r="L104" s="655" t="s">
        <v>6638</v>
      </c>
      <c r="M104" s="660">
        <v>-394255.04</v>
      </c>
      <c r="N104" s="660">
        <v>-19710.48</v>
      </c>
      <c r="O104" s="660">
        <v>-66234.48</v>
      </c>
      <c r="P104" s="660">
        <v>-480200</v>
      </c>
      <c r="Q104" s="548"/>
      <c r="R104" s="660">
        <v>-349547.89</v>
      </c>
      <c r="S104" s="549">
        <f t="shared" si="28"/>
        <v>-130652.10999999999</v>
      </c>
      <c r="T104" s="113" t="s">
        <v>1268</v>
      </c>
      <c r="U104" s="267"/>
      <c r="V104" s="423"/>
      <c r="W104" s="362"/>
      <c r="X104" s="362"/>
      <c r="Y104" s="619"/>
      <c r="Z104" s="620">
        <f>+SUM(Z6:Z101)</f>
        <v>28309146.159999989</v>
      </c>
      <c r="AA104" s="620">
        <f>+SUM(AA6:AA101)</f>
        <v>28309146.160000004</v>
      </c>
      <c r="AB104" s="739">
        <f>+SUM(AB6:AB99)</f>
        <v>88</v>
      </c>
      <c r="AC104" s="620"/>
      <c r="AD104" s="620"/>
      <c r="AE104" s="620"/>
      <c r="AF104" s="737">
        <f>+SUM(AF6:AF99)</f>
        <v>1192997.6405000002</v>
      </c>
      <c r="AG104" s="379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3.5" thickTop="1" x14ac:dyDescent="0.2">
      <c r="A105" s="423">
        <f t="shared" si="38"/>
        <v>100</v>
      </c>
      <c r="B105" s="721" t="s">
        <v>6179</v>
      </c>
      <c r="C105" s="655">
        <v>521502</v>
      </c>
      <c r="D105" s="658">
        <v>5611</v>
      </c>
      <c r="E105" s="655" t="s">
        <v>225</v>
      </c>
      <c r="F105" s="546">
        <v>2018</v>
      </c>
      <c r="G105" s="659">
        <v>43005</v>
      </c>
      <c r="H105" s="655" t="s">
        <v>817</v>
      </c>
      <c r="I105" s="655" t="s">
        <v>6377</v>
      </c>
      <c r="J105" s="712"/>
      <c r="K105" s="655" t="s">
        <v>830</v>
      </c>
      <c r="L105" s="655" t="s">
        <v>6638</v>
      </c>
      <c r="M105" s="660">
        <v>394255.04</v>
      </c>
      <c r="N105" s="660">
        <v>19710.48</v>
      </c>
      <c r="O105" s="660">
        <v>66234.48</v>
      </c>
      <c r="P105" s="660">
        <v>480200</v>
      </c>
      <c r="Q105" s="548"/>
      <c r="R105" s="660">
        <v>349547.89</v>
      </c>
      <c r="S105" s="549">
        <f t="shared" si="28"/>
        <v>130652.10999999999</v>
      </c>
      <c r="T105" s="267" t="s">
        <v>1268</v>
      </c>
      <c r="U105" s="267"/>
      <c r="V105" s="427"/>
      <c r="W105" s="428"/>
      <c r="X105" s="428"/>
      <c r="Y105" s="93"/>
      <c r="Z105" s="260"/>
      <c r="AA105" s="431"/>
      <c r="AB105" s="715"/>
      <c r="AC105" s="431"/>
      <c r="AD105" s="436"/>
      <c r="AE105" s="431"/>
      <c r="AF105" s="431">
        <f>+N264</f>
        <v>1192997.71</v>
      </c>
      <c r="AG105" s="440"/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3">
        <f t="shared" si="38"/>
        <v>101</v>
      </c>
      <c r="B106" s="721" t="s">
        <v>6180</v>
      </c>
      <c r="C106" s="655">
        <v>521502</v>
      </c>
      <c r="D106" s="658">
        <v>5611</v>
      </c>
      <c r="E106" s="655" t="s">
        <v>225</v>
      </c>
      <c r="F106" s="546">
        <v>2018</v>
      </c>
      <c r="G106" s="659">
        <v>43005</v>
      </c>
      <c r="H106" s="655" t="s">
        <v>817</v>
      </c>
      <c r="I106" s="655" t="s">
        <v>6377</v>
      </c>
      <c r="J106" s="712"/>
      <c r="K106" s="655" t="s">
        <v>830</v>
      </c>
      <c r="L106" s="655" t="s">
        <v>6638</v>
      </c>
      <c r="M106" s="660">
        <v>390506.91</v>
      </c>
      <c r="N106" s="660">
        <v>19148.259999999998</v>
      </c>
      <c r="O106" s="660">
        <v>65544.83</v>
      </c>
      <c r="P106" s="660">
        <v>475200</v>
      </c>
      <c r="Q106" s="548"/>
      <c r="R106" s="660">
        <v>349547.89</v>
      </c>
      <c r="S106" s="549">
        <f t="shared" si="28"/>
        <v>125652.10999999999</v>
      </c>
      <c r="T106" s="113" t="s">
        <v>1268</v>
      </c>
      <c r="U106" s="267"/>
      <c r="V106" s="93"/>
      <c r="W106" s="267"/>
      <c r="X106" s="271"/>
      <c r="Y106" s="469"/>
      <c r="Z106" s="470"/>
      <c r="AA106" s="431"/>
      <c r="AB106" s="715"/>
      <c r="AC106" s="396"/>
      <c r="AD106" s="425"/>
      <c r="AE106" s="395"/>
      <c r="AF106" s="738"/>
      <c r="AG106" s="395"/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3">
        <f t="shared" si="38"/>
        <v>102</v>
      </c>
      <c r="B107" s="721" t="s">
        <v>6182</v>
      </c>
      <c r="C107" s="655">
        <v>521502</v>
      </c>
      <c r="D107" s="658">
        <v>5611</v>
      </c>
      <c r="E107" s="655" t="s">
        <v>225</v>
      </c>
      <c r="F107" s="546">
        <v>2018</v>
      </c>
      <c r="G107" s="659">
        <v>43006</v>
      </c>
      <c r="H107" s="655" t="s">
        <v>817</v>
      </c>
      <c r="I107" s="655" t="s">
        <v>6377</v>
      </c>
      <c r="J107" s="712"/>
      <c r="K107" s="655" t="s">
        <v>830</v>
      </c>
      <c r="L107" s="655" t="s">
        <v>6638</v>
      </c>
      <c r="M107" s="660">
        <v>-390506.91</v>
      </c>
      <c r="N107" s="660">
        <v>-19148.259999999998</v>
      </c>
      <c r="O107" s="660">
        <v>-65544.83</v>
      </c>
      <c r="P107" s="660">
        <v>-475200</v>
      </c>
      <c r="Q107" s="548"/>
      <c r="R107" s="660">
        <v>-349547.89</v>
      </c>
      <c r="S107" s="549">
        <f t="shared" si="28"/>
        <v>-125652.10999999999</v>
      </c>
      <c r="T107" s="267" t="s">
        <v>1268</v>
      </c>
      <c r="U107" s="267"/>
      <c r="V107" s="298" t="s">
        <v>6705</v>
      </c>
      <c r="W107" s="437" t="s">
        <v>6219</v>
      </c>
      <c r="X107" s="382"/>
      <c r="Y107" s="441"/>
      <c r="Z107" s="438"/>
      <c r="AA107" s="439"/>
      <c r="AB107" s="715"/>
      <c r="AC107" s="396"/>
      <c r="AD107" s="425"/>
      <c r="AE107" s="440"/>
      <c r="AF107" s="439">
        <f>+AF104-AF105</f>
        <v>-6.949999975040555E-2</v>
      </c>
      <c r="AG107" s="424">
        <f>SUM(AG6:AG106)</f>
        <v>6.9500000121934136E-2</v>
      </c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3">
        <f t="shared" si="38"/>
        <v>103</v>
      </c>
      <c r="B108" s="721" t="s">
        <v>6107</v>
      </c>
      <c r="C108" s="655">
        <v>521802</v>
      </c>
      <c r="D108" s="658">
        <v>2202</v>
      </c>
      <c r="E108" s="655" t="s">
        <v>703</v>
      </c>
      <c r="F108" s="546">
        <v>2017</v>
      </c>
      <c r="G108" s="659">
        <v>42991</v>
      </c>
      <c r="H108" s="655" t="s">
        <v>3694</v>
      </c>
      <c r="I108" s="655" t="s">
        <v>4831</v>
      </c>
      <c r="J108" s="712"/>
      <c r="K108" s="655" t="s">
        <v>2460</v>
      </c>
      <c r="L108" s="655" t="s">
        <v>5345</v>
      </c>
      <c r="M108" s="660">
        <v>200431.03</v>
      </c>
      <c r="N108" s="660">
        <v>0</v>
      </c>
      <c r="O108" s="660">
        <v>32068.97</v>
      </c>
      <c r="P108" s="660">
        <v>232500</v>
      </c>
      <c r="Q108" s="548"/>
      <c r="R108" s="660">
        <v>182856.5</v>
      </c>
      <c r="S108" s="549">
        <f t="shared" si="28"/>
        <v>49643.5</v>
      </c>
      <c r="T108" s="267" t="s">
        <v>1268</v>
      </c>
      <c r="U108" s="267"/>
      <c r="V108" s="298" t="s">
        <v>6704</v>
      </c>
      <c r="W108" s="437" t="s">
        <v>6100</v>
      </c>
      <c r="X108" s="271"/>
      <c r="Y108" s="441"/>
      <c r="Z108" s="471">
        <f>+AB97+AB89+AB85+AB84+AB83+AB77+AB76</f>
        <v>22</v>
      </c>
      <c r="AA108" s="472">
        <f>+AA97+AA89+AA85+AA84+AA83+AA77+AA76</f>
        <v>8281161.8800000008</v>
      </c>
      <c r="AB108" s="473"/>
      <c r="AC108" s="741" t="s">
        <v>1269</v>
      </c>
      <c r="AD108" s="436"/>
      <c r="AE108" s="431"/>
      <c r="AF108" s="431"/>
      <c r="AG108" s="440"/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38"/>
        <v>104</v>
      </c>
      <c r="B109" s="721" t="s">
        <v>6114</v>
      </c>
      <c r="C109" s="655">
        <v>521802</v>
      </c>
      <c r="D109" s="658">
        <v>2202</v>
      </c>
      <c r="E109" s="655" t="s">
        <v>703</v>
      </c>
      <c r="F109" s="546">
        <v>2017</v>
      </c>
      <c r="G109" s="659">
        <v>42998</v>
      </c>
      <c r="H109" s="655" t="s">
        <v>3694</v>
      </c>
      <c r="I109" s="655" t="s">
        <v>4831</v>
      </c>
      <c r="J109" s="712"/>
      <c r="K109" s="655" t="s">
        <v>2460</v>
      </c>
      <c r="L109" s="655" t="s">
        <v>5345</v>
      </c>
      <c r="M109" s="660">
        <v>-200431.03</v>
      </c>
      <c r="N109" s="660">
        <v>0</v>
      </c>
      <c r="O109" s="660">
        <v>-32068.97</v>
      </c>
      <c r="P109" s="660">
        <v>-232500</v>
      </c>
      <c r="Q109" s="548"/>
      <c r="R109" s="660">
        <v>-182856.5</v>
      </c>
      <c r="S109" s="549">
        <f t="shared" si="28"/>
        <v>-49643.5</v>
      </c>
      <c r="T109" s="444" t="s">
        <v>1268</v>
      </c>
      <c r="U109" s="267"/>
      <c r="V109" s="93"/>
      <c r="W109" s="267"/>
      <c r="X109" s="271" t="s">
        <v>6028</v>
      </c>
      <c r="Y109" s="94"/>
      <c r="Z109" s="475">
        <f>+AB14+AB40+AB56+AB60+AB63+AB71</f>
        <v>23</v>
      </c>
      <c r="AA109" s="472">
        <f>+AA71+AA63+AA60+AA56+AA40+AA14</f>
        <v>3736551.72</v>
      </c>
      <c r="AB109" s="473"/>
      <c r="AC109" s="741" t="s">
        <v>1270</v>
      </c>
      <c r="AD109" s="425"/>
      <c r="AE109" s="424"/>
      <c r="AF109" s="424"/>
      <c r="AG109" s="346"/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38"/>
        <v>105</v>
      </c>
      <c r="B110" s="721" t="s">
        <v>6115</v>
      </c>
      <c r="C110" s="655">
        <v>521802</v>
      </c>
      <c r="D110" s="658">
        <v>2202</v>
      </c>
      <c r="E110" s="655" t="s">
        <v>703</v>
      </c>
      <c r="F110" s="546">
        <v>2017</v>
      </c>
      <c r="G110" s="659">
        <v>42998</v>
      </c>
      <c r="H110" s="655" t="s">
        <v>3694</v>
      </c>
      <c r="I110" s="655" t="s">
        <v>4831</v>
      </c>
      <c r="J110" s="712"/>
      <c r="K110" s="655" t="s">
        <v>2460</v>
      </c>
      <c r="L110" s="655" t="s">
        <v>5345</v>
      </c>
      <c r="M110" s="660">
        <v>200431.03</v>
      </c>
      <c r="N110" s="660">
        <v>0</v>
      </c>
      <c r="O110" s="660">
        <v>32068.97</v>
      </c>
      <c r="P110" s="660">
        <v>232500</v>
      </c>
      <c r="Q110" s="548"/>
      <c r="R110" s="660">
        <v>182856.5</v>
      </c>
      <c r="S110" s="549">
        <f t="shared" si="28"/>
        <v>49643.5</v>
      </c>
      <c r="T110" s="267" t="s">
        <v>1268</v>
      </c>
      <c r="U110" s="267"/>
      <c r="V110" s="429"/>
      <c r="W110" s="426"/>
      <c r="X110" s="382"/>
      <c r="Y110" s="442"/>
      <c r="Z110" s="476">
        <f>+AB75+AB74+AB73+AB49+AB38+AB37+AB32+AB31+AB22+AB21+AB17+AB15+AB13+AB9+AB6+AB7+AB72</f>
        <v>40</v>
      </c>
      <c r="AA110" s="472">
        <f>+AA75+AA74+AA73+AA72+AA49+AA38+AA37+AA32+AA31+AA22+AA21+AA17+AA15+AA13+AA9+AA7+AA6</f>
        <v>15326604.970000001</v>
      </c>
      <c r="AB110" s="473"/>
      <c r="AC110" s="741" t="s">
        <v>1271</v>
      </c>
      <c r="AD110" s="443"/>
      <c r="AE110" s="439"/>
      <c r="AF110" s="439"/>
      <c r="AH110" s="361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3.5" thickBot="1" x14ac:dyDescent="0.25">
      <c r="A111" s="423">
        <f t="shared" si="38"/>
        <v>106</v>
      </c>
      <c r="B111" s="721" t="s">
        <v>6117</v>
      </c>
      <c r="C111" s="655">
        <v>521802</v>
      </c>
      <c r="D111" s="658">
        <v>2202</v>
      </c>
      <c r="E111" s="655" t="s">
        <v>703</v>
      </c>
      <c r="F111" s="546">
        <v>2017</v>
      </c>
      <c r="G111" s="659">
        <v>43003</v>
      </c>
      <c r="H111" s="655" t="s">
        <v>3694</v>
      </c>
      <c r="I111" s="655" t="s">
        <v>4831</v>
      </c>
      <c r="J111" s="712"/>
      <c r="K111" s="655" t="s">
        <v>2460</v>
      </c>
      <c r="L111" s="655" t="s">
        <v>5345</v>
      </c>
      <c r="M111" s="660">
        <v>-200431.03</v>
      </c>
      <c r="N111" s="660">
        <v>0</v>
      </c>
      <c r="O111" s="660">
        <v>-32068.97</v>
      </c>
      <c r="P111" s="660">
        <v>-232500</v>
      </c>
      <c r="Q111" s="548"/>
      <c r="R111" s="660">
        <v>-182856.5</v>
      </c>
      <c r="S111" s="549">
        <f t="shared" si="28"/>
        <v>-49643.5</v>
      </c>
      <c r="T111" s="267" t="s">
        <v>1268</v>
      </c>
      <c r="U111" s="267"/>
      <c r="V111" s="351"/>
      <c r="W111" s="351"/>
      <c r="X111" s="351"/>
      <c r="Y111" s="352"/>
      <c r="Z111" s="477">
        <f>+AB43</f>
        <v>3</v>
      </c>
      <c r="AA111" s="478">
        <f>+AA43</f>
        <v>964827.59000000008</v>
      </c>
      <c r="AB111" s="473"/>
      <c r="AC111" s="741" t="s">
        <v>1272</v>
      </c>
      <c r="AD111" s="351"/>
      <c r="AE111" s="351"/>
      <c r="AF111" s="351"/>
      <c r="AG111" s="351"/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3.5" thickTop="1" x14ac:dyDescent="0.2">
      <c r="A112" s="423">
        <f t="shared" si="38"/>
        <v>107</v>
      </c>
      <c r="B112" s="721" t="s">
        <v>6221</v>
      </c>
      <c r="C112" s="655">
        <v>1520603</v>
      </c>
      <c r="D112" s="658">
        <v>7497</v>
      </c>
      <c r="E112" s="655" t="s">
        <v>5619</v>
      </c>
      <c r="F112" s="546">
        <v>2017</v>
      </c>
      <c r="G112" s="659">
        <v>42991</v>
      </c>
      <c r="H112" s="655" t="s">
        <v>739</v>
      </c>
      <c r="I112" s="655" t="s">
        <v>6409</v>
      </c>
      <c r="J112" s="712"/>
      <c r="K112" s="655" t="s">
        <v>6513</v>
      </c>
      <c r="L112" s="655" t="s">
        <v>6670</v>
      </c>
      <c r="M112" s="660">
        <v>261083.74</v>
      </c>
      <c r="N112" s="660">
        <v>13054.19</v>
      </c>
      <c r="O112" s="660">
        <v>43862.07</v>
      </c>
      <c r="P112" s="660">
        <v>318000</v>
      </c>
      <c r="Q112" s="548"/>
      <c r="R112" s="660">
        <v>247285.57</v>
      </c>
      <c r="S112" s="549">
        <f t="shared" si="28"/>
        <v>70714.429999999993</v>
      </c>
      <c r="T112" s="267" t="s">
        <v>1268</v>
      </c>
      <c r="U112" s="267"/>
      <c r="V112" s="348"/>
      <c r="W112" s="348"/>
      <c r="X112" s="348"/>
      <c r="Y112" s="348"/>
      <c r="Z112" s="479">
        <f>+SUM(Z108:Z111)</f>
        <v>88</v>
      </c>
      <c r="AA112" s="480">
        <f>SUM(AA108:AA111)</f>
        <v>28309146.16</v>
      </c>
      <c r="AB112" s="473"/>
      <c r="AC112" s="472"/>
      <c r="AD112" s="348"/>
      <c r="AE112" s="348"/>
      <c r="AF112" s="348"/>
      <c r="AG112" s="348"/>
      <c r="AH112" s="361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3">
        <f t="shared" si="38"/>
        <v>108</v>
      </c>
      <c r="B113" s="721" t="s">
        <v>6224</v>
      </c>
      <c r="C113" s="655">
        <v>1520603</v>
      </c>
      <c r="D113" s="658">
        <v>7497</v>
      </c>
      <c r="E113" s="655" t="s">
        <v>5619</v>
      </c>
      <c r="F113" s="546">
        <v>2017</v>
      </c>
      <c r="G113" s="659">
        <v>42992</v>
      </c>
      <c r="H113" s="655" t="s">
        <v>739</v>
      </c>
      <c r="I113" s="655" t="s">
        <v>6409</v>
      </c>
      <c r="J113" s="712"/>
      <c r="K113" s="655" t="s">
        <v>6513</v>
      </c>
      <c r="L113" s="655" t="s">
        <v>6670</v>
      </c>
      <c r="M113" s="660">
        <v>-261083.74</v>
      </c>
      <c r="N113" s="660">
        <v>-13054.19</v>
      </c>
      <c r="O113" s="660">
        <v>-43862.07</v>
      </c>
      <c r="P113" s="660">
        <v>-318000</v>
      </c>
      <c r="Q113" s="548"/>
      <c r="R113" s="660">
        <v>-247285.57</v>
      </c>
      <c r="S113" s="549">
        <f t="shared" si="28"/>
        <v>-70714.429999999993</v>
      </c>
      <c r="T113" s="113" t="s">
        <v>1268</v>
      </c>
      <c r="U113" s="351"/>
      <c r="AB113" s="422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3">
        <f t="shared" si="38"/>
        <v>109</v>
      </c>
      <c r="B114" s="721" t="s">
        <v>6051</v>
      </c>
      <c r="C114" s="655">
        <v>520220</v>
      </c>
      <c r="D114" s="658">
        <v>1794</v>
      </c>
      <c r="E114" s="655" t="s">
        <v>687</v>
      </c>
      <c r="F114" s="546">
        <v>2017</v>
      </c>
      <c r="G114" s="659">
        <v>42983</v>
      </c>
      <c r="H114" s="655" t="s">
        <v>3694</v>
      </c>
      <c r="I114" s="655" t="s">
        <v>6293</v>
      </c>
      <c r="J114" s="712"/>
      <c r="K114" s="655" t="s">
        <v>6449</v>
      </c>
      <c r="L114" s="655" t="s">
        <v>6555</v>
      </c>
      <c r="M114" s="660">
        <v>256171.42</v>
      </c>
      <c r="N114" s="660">
        <v>2707.89</v>
      </c>
      <c r="O114" s="660">
        <v>41420.69</v>
      </c>
      <c r="P114" s="660">
        <v>300300</v>
      </c>
      <c r="Q114" s="548"/>
      <c r="R114" s="660">
        <v>230840.09</v>
      </c>
      <c r="S114" s="549">
        <f t="shared" si="28"/>
        <v>69459.91</v>
      </c>
      <c r="T114" s="113" t="s">
        <v>1268</v>
      </c>
      <c r="U114" s="348"/>
      <c r="AB114" s="422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38"/>
        <v>110</v>
      </c>
      <c r="B115" s="721" t="s">
        <v>6054</v>
      </c>
      <c r="C115" s="655">
        <v>520220</v>
      </c>
      <c r="D115" s="658">
        <v>1794</v>
      </c>
      <c r="E115" s="655" t="s">
        <v>687</v>
      </c>
      <c r="F115" s="546">
        <v>2017</v>
      </c>
      <c r="G115" s="659">
        <v>43007</v>
      </c>
      <c r="H115" s="655" t="s">
        <v>3694</v>
      </c>
      <c r="I115" s="655" t="s">
        <v>6293</v>
      </c>
      <c r="J115" s="712"/>
      <c r="K115" s="655" t="s">
        <v>6449</v>
      </c>
      <c r="L115" s="655" t="s">
        <v>6555</v>
      </c>
      <c r="M115" s="660">
        <v>-256171.42</v>
      </c>
      <c r="N115" s="660">
        <v>-2707.89</v>
      </c>
      <c r="O115" s="660">
        <v>-41420.69</v>
      </c>
      <c r="P115" s="660">
        <v>-300300</v>
      </c>
      <c r="Q115" s="548"/>
      <c r="R115" s="660">
        <v>-230840.09</v>
      </c>
      <c r="S115" s="549">
        <f t="shared" si="28"/>
        <v>-69459.91</v>
      </c>
      <c r="T115" s="267" t="s">
        <v>1268</v>
      </c>
      <c r="U115" s="267"/>
      <c r="V115" s="93"/>
      <c r="W115" s="267"/>
      <c r="X115" s="267"/>
      <c r="Y115" s="93"/>
      <c r="Z115" s="618"/>
      <c r="AA115" s="424"/>
      <c r="AB115" s="715"/>
      <c r="AC115" s="424"/>
      <c r="AD115" s="425"/>
      <c r="AE115" s="424"/>
      <c r="AF115" s="424"/>
      <c r="AG115" s="396"/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38"/>
        <v>111</v>
      </c>
      <c r="B116" s="721" t="s">
        <v>6036</v>
      </c>
      <c r="C116" s="655">
        <v>521101</v>
      </c>
      <c r="D116" s="658">
        <v>1251</v>
      </c>
      <c r="E116" s="655" t="s">
        <v>700</v>
      </c>
      <c r="F116" s="546">
        <v>2017</v>
      </c>
      <c r="G116" s="659">
        <v>43004</v>
      </c>
      <c r="H116" s="655" t="s">
        <v>764</v>
      </c>
      <c r="I116" s="655" t="s">
        <v>6283</v>
      </c>
      <c r="J116" s="712"/>
      <c r="K116" s="655" t="s">
        <v>6441</v>
      </c>
      <c r="L116" s="655" t="s">
        <v>6545</v>
      </c>
      <c r="M116" s="660">
        <v>-323620.69</v>
      </c>
      <c r="N116" s="660">
        <v>0</v>
      </c>
      <c r="O116" s="660">
        <v>-51779.31</v>
      </c>
      <c r="P116" s="660">
        <v>-375400</v>
      </c>
      <c r="Q116" s="548"/>
      <c r="R116" s="660">
        <v>-283666.84000000003</v>
      </c>
      <c r="S116" s="549">
        <f t="shared" si="28"/>
        <v>-91733.159999999974</v>
      </c>
      <c r="T116" s="267" t="s">
        <v>1268</v>
      </c>
      <c r="U116" s="267"/>
      <c r="V116" s="93"/>
      <c r="W116" s="267"/>
      <c r="X116" s="267"/>
      <c r="Y116" s="93"/>
      <c r="Z116" s="618"/>
      <c r="AA116" s="424"/>
      <c r="AB116" s="715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38"/>
        <v>112</v>
      </c>
      <c r="B117" s="721" t="s">
        <v>6037</v>
      </c>
      <c r="C117" s="655">
        <v>521101</v>
      </c>
      <c r="D117" s="658">
        <v>1251</v>
      </c>
      <c r="E117" s="655" t="s">
        <v>700</v>
      </c>
      <c r="F117" s="546">
        <v>2017</v>
      </c>
      <c r="G117" s="659">
        <v>43004</v>
      </c>
      <c r="H117" s="655" t="s">
        <v>764</v>
      </c>
      <c r="I117" s="655" t="s">
        <v>6283</v>
      </c>
      <c r="J117" s="712"/>
      <c r="K117" s="655" t="s">
        <v>6441</v>
      </c>
      <c r="L117" s="655" t="s">
        <v>6545</v>
      </c>
      <c r="M117" s="660">
        <v>323620.69</v>
      </c>
      <c r="N117" s="660">
        <v>0</v>
      </c>
      <c r="O117" s="660">
        <v>51779.31</v>
      </c>
      <c r="P117" s="660">
        <v>375400</v>
      </c>
      <c r="Q117" s="548"/>
      <c r="R117" s="660">
        <v>283666.84000000003</v>
      </c>
      <c r="S117" s="549">
        <f t="shared" si="28"/>
        <v>91733.159999999974</v>
      </c>
      <c r="T117" s="113" t="s">
        <v>1268</v>
      </c>
      <c r="U117" s="267"/>
      <c r="V117" s="93"/>
      <c r="W117" s="267"/>
      <c r="X117" s="267"/>
      <c r="Y117" s="93"/>
      <c r="Z117" s="618"/>
      <c r="AA117" s="424"/>
      <c r="AB117" s="715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38"/>
        <v>113</v>
      </c>
      <c r="B118" s="721" t="s">
        <v>6231</v>
      </c>
      <c r="C118" s="655">
        <v>1520504</v>
      </c>
      <c r="D118" s="658">
        <v>8127</v>
      </c>
      <c r="E118" s="655" t="s">
        <v>716</v>
      </c>
      <c r="F118" s="546">
        <v>2017</v>
      </c>
      <c r="G118" s="659">
        <v>42986</v>
      </c>
      <c r="H118" s="655" t="s">
        <v>817</v>
      </c>
      <c r="I118" s="655" t="s">
        <v>5759</v>
      </c>
      <c r="J118" s="712"/>
      <c r="K118" s="655" t="s">
        <v>5853</v>
      </c>
      <c r="L118" s="655" t="s">
        <v>6008</v>
      </c>
      <c r="M118" s="660">
        <v>-684482.76</v>
      </c>
      <c r="N118" s="660">
        <v>-34224.14</v>
      </c>
      <c r="O118" s="660">
        <v>-114993.1</v>
      </c>
      <c r="P118" s="660">
        <v>-833700</v>
      </c>
      <c r="Q118" s="548"/>
      <c r="R118" s="660">
        <v>-567432.43999999994</v>
      </c>
      <c r="S118" s="549">
        <f t="shared" si="28"/>
        <v>-266267.56000000006</v>
      </c>
      <c r="T118" s="267" t="s">
        <v>1268</v>
      </c>
      <c r="U118" s="267"/>
      <c r="V118" s="93"/>
      <c r="W118" s="267"/>
      <c r="X118" s="267"/>
      <c r="Y118" s="93"/>
      <c r="Z118" s="618"/>
      <c r="AA118" s="424"/>
      <c r="AB118" s="715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3">
        <f t="shared" si="38"/>
        <v>114</v>
      </c>
      <c r="B119" s="721" t="s">
        <v>6232</v>
      </c>
      <c r="C119" s="655">
        <v>1520504</v>
      </c>
      <c r="D119" s="658">
        <v>8127</v>
      </c>
      <c r="E119" s="655" t="s">
        <v>716</v>
      </c>
      <c r="F119" s="546">
        <v>2017</v>
      </c>
      <c r="G119" s="659">
        <v>42986</v>
      </c>
      <c r="H119" s="655" t="s">
        <v>817</v>
      </c>
      <c r="I119" s="655" t="s">
        <v>5759</v>
      </c>
      <c r="J119" s="712"/>
      <c r="K119" s="655" t="s">
        <v>5853</v>
      </c>
      <c r="L119" s="655" t="s">
        <v>6008</v>
      </c>
      <c r="M119" s="660">
        <v>684482.76</v>
      </c>
      <c r="N119" s="660">
        <v>34224.14</v>
      </c>
      <c r="O119" s="660">
        <v>114993.1</v>
      </c>
      <c r="P119" s="660">
        <v>833700</v>
      </c>
      <c r="Q119" s="548"/>
      <c r="R119" s="660">
        <v>567432.43999999994</v>
      </c>
      <c r="S119" s="549">
        <f t="shared" si="28"/>
        <v>266267.56000000006</v>
      </c>
      <c r="T119" s="113" t="s">
        <v>1268</v>
      </c>
      <c r="U119" s="267"/>
      <c r="V119" s="93"/>
      <c r="W119" s="267"/>
      <c r="X119" s="267"/>
      <c r="Y119" s="93"/>
      <c r="Z119" s="618"/>
      <c r="AA119" s="424"/>
      <c r="AB119" s="715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3">
        <f t="shared" si="38"/>
        <v>115</v>
      </c>
      <c r="B120" s="721" t="s">
        <v>6081</v>
      </c>
      <c r="C120" s="655">
        <v>521707</v>
      </c>
      <c r="D120" s="658">
        <v>2006</v>
      </c>
      <c r="E120" s="655" t="s">
        <v>702</v>
      </c>
      <c r="F120" s="546">
        <v>2017</v>
      </c>
      <c r="G120" s="659">
        <v>42987</v>
      </c>
      <c r="H120" s="655" t="s">
        <v>2213</v>
      </c>
      <c r="I120" s="655" t="s">
        <v>5667</v>
      </c>
      <c r="J120" s="712"/>
      <c r="K120" s="655" t="s">
        <v>6461</v>
      </c>
      <c r="L120" s="655" t="s">
        <v>5916</v>
      </c>
      <c r="M120" s="660">
        <v>202586.21</v>
      </c>
      <c r="N120" s="660">
        <v>0</v>
      </c>
      <c r="O120" s="660">
        <v>32413.79</v>
      </c>
      <c r="P120" s="660">
        <v>235000</v>
      </c>
      <c r="Q120" s="548"/>
      <c r="R120" s="660">
        <v>183052.26</v>
      </c>
      <c r="S120" s="549">
        <f t="shared" si="28"/>
        <v>51947.739999999991</v>
      </c>
      <c r="T120" s="267" t="s">
        <v>1268</v>
      </c>
      <c r="U120" s="267"/>
      <c r="V120" s="93"/>
      <c r="W120" s="267"/>
      <c r="X120" s="267"/>
      <c r="Y120" s="93"/>
      <c r="Z120" s="618"/>
      <c r="AA120" s="424"/>
      <c r="AB120" s="715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3">
        <f t="shared" si="38"/>
        <v>116</v>
      </c>
      <c r="B121" s="721" t="s">
        <v>6082</v>
      </c>
      <c r="C121" s="655">
        <v>521707</v>
      </c>
      <c r="D121" s="658">
        <v>2006</v>
      </c>
      <c r="E121" s="655" t="s">
        <v>702</v>
      </c>
      <c r="F121" s="546">
        <v>2017</v>
      </c>
      <c r="G121" s="659">
        <v>42989</v>
      </c>
      <c r="H121" s="655" t="s">
        <v>2213</v>
      </c>
      <c r="I121" s="655" t="s">
        <v>5667</v>
      </c>
      <c r="J121" s="712"/>
      <c r="K121" s="655" t="s">
        <v>6461</v>
      </c>
      <c r="L121" s="655" t="s">
        <v>5916</v>
      </c>
      <c r="M121" s="660">
        <v>-202586.21</v>
      </c>
      <c r="N121" s="660">
        <v>0</v>
      </c>
      <c r="O121" s="660">
        <v>-32413.79</v>
      </c>
      <c r="P121" s="660">
        <v>-235000</v>
      </c>
      <c r="Q121" s="548"/>
      <c r="R121" s="660">
        <v>-183052.26</v>
      </c>
      <c r="S121" s="549">
        <f t="shared" si="28"/>
        <v>-51947.739999999991</v>
      </c>
      <c r="T121" s="267" t="s">
        <v>1268</v>
      </c>
      <c r="U121" s="267"/>
      <c r="V121" s="93"/>
      <c r="W121" s="267"/>
      <c r="X121" s="267"/>
      <c r="Y121" s="93"/>
      <c r="Z121" s="618"/>
      <c r="AA121" s="424"/>
      <c r="AB121" s="715"/>
      <c r="AC121" s="424"/>
      <c r="AD121" s="425"/>
      <c r="AE121" s="424"/>
      <c r="AF121" s="424"/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38"/>
        <v>117</v>
      </c>
      <c r="B122" s="721" t="s">
        <v>6220</v>
      </c>
      <c r="C122" s="655">
        <v>1520603</v>
      </c>
      <c r="D122" s="658">
        <v>7497</v>
      </c>
      <c r="E122" s="655" t="s">
        <v>5619</v>
      </c>
      <c r="F122" s="546">
        <v>2017</v>
      </c>
      <c r="G122" s="659">
        <v>42989</v>
      </c>
      <c r="H122" s="655" t="s">
        <v>727</v>
      </c>
      <c r="I122" s="655" t="s">
        <v>6408</v>
      </c>
      <c r="J122" s="712"/>
      <c r="K122" s="655" t="s">
        <v>6442</v>
      </c>
      <c r="L122" s="655" t="s">
        <v>6669</v>
      </c>
      <c r="M122" s="660">
        <v>276190.48</v>
      </c>
      <c r="N122" s="660">
        <v>13809.52</v>
      </c>
      <c r="O122" s="660">
        <v>46400</v>
      </c>
      <c r="P122" s="660">
        <v>336400</v>
      </c>
      <c r="Q122" s="548"/>
      <c r="R122" s="660">
        <v>256833.09</v>
      </c>
      <c r="S122" s="549">
        <f t="shared" si="28"/>
        <v>79566.91</v>
      </c>
      <c r="T122" s="113" t="s">
        <v>1268</v>
      </c>
      <c r="U122" s="267"/>
      <c r="V122" s="93"/>
      <c r="W122" s="267"/>
      <c r="X122" s="267"/>
      <c r="Y122" s="93"/>
      <c r="Z122" s="618"/>
      <c r="AA122" s="424"/>
      <c r="AB122" s="715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38"/>
        <v>118</v>
      </c>
      <c r="B123" s="721" t="s">
        <v>6222</v>
      </c>
      <c r="C123" s="655">
        <v>1520603</v>
      </c>
      <c r="D123" s="658">
        <v>7497</v>
      </c>
      <c r="E123" s="655" t="s">
        <v>5619</v>
      </c>
      <c r="F123" s="546">
        <v>2017</v>
      </c>
      <c r="G123" s="659">
        <v>42991</v>
      </c>
      <c r="H123" s="655" t="s">
        <v>727</v>
      </c>
      <c r="I123" s="655" t="s">
        <v>6408</v>
      </c>
      <c r="J123" s="712"/>
      <c r="K123" s="655" t="s">
        <v>6442</v>
      </c>
      <c r="L123" s="655" t="s">
        <v>6669</v>
      </c>
      <c r="M123" s="660">
        <v>-276190.48</v>
      </c>
      <c r="N123" s="660">
        <v>-13809.52</v>
      </c>
      <c r="O123" s="660">
        <v>-46400</v>
      </c>
      <c r="P123" s="660">
        <v>-336400</v>
      </c>
      <c r="Q123" s="548"/>
      <c r="R123" s="660">
        <v>-256833.09</v>
      </c>
      <c r="S123" s="549">
        <f t="shared" si="28"/>
        <v>-79566.91</v>
      </c>
      <c r="T123" s="113" t="s">
        <v>1268</v>
      </c>
      <c r="U123" s="267"/>
      <c r="V123" s="93"/>
      <c r="W123" s="267"/>
      <c r="X123" s="267"/>
      <c r="Y123" s="93"/>
      <c r="Z123" s="618"/>
      <c r="AA123" s="424"/>
      <c r="AB123" s="715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38"/>
        <v>119</v>
      </c>
      <c r="B124" s="721" t="s">
        <v>6085</v>
      </c>
      <c r="C124" s="655">
        <v>521707</v>
      </c>
      <c r="D124" s="658">
        <v>2006</v>
      </c>
      <c r="E124" s="655" t="s">
        <v>702</v>
      </c>
      <c r="F124" s="546">
        <v>2017</v>
      </c>
      <c r="G124" s="659">
        <v>42998</v>
      </c>
      <c r="H124" s="655" t="s">
        <v>2215</v>
      </c>
      <c r="I124" s="655" t="s">
        <v>4818</v>
      </c>
      <c r="J124" s="712"/>
      <c r="K124" s="655" t="s">
        <v>5160</v>
      </c>
      <c r="L124" s="655" t="s">
        <v>5343</v>
      </c>
      <c r="M124" s="660">
        <v>-201982.76</v>
      </c>
      <c r="N124" s="660">
        <v>0</v>
      </c>
      <c r="O124" s="660">
        <v>-32317.24</v>
      </c>
      <c r="P124" s="660">
        <v>-234300</v>
      </c>
      <c r="Q124" s="548"/>
      <c r="R124" s="660">
        <v>-183052.26</v>
      </c>
      <c r="S124" s="549">
        <f t="shared" si="28"/>
        <v>-51247.739999999991</v>
      </c>
      <c r="T124" s="267" t="s">
        <v>1268</v>
      </c>
      <c r="U124" s="267"/>
      <c r="V124" s="93"/>
      <c r="W124" s="267"/>
      <c r="X124" s="267"/>
      <c r="Y124" s="93"/>
      <c r="Z124" s="618"/>
      <c r="AA124" s="424"/>
      <c r="AB124" s="715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38"/>
        <v>120</v>
      </c>
      <c r="B125" s="721" t="s">
        <v>6086</v>
      </c>
      <c r="C125" s="655">
        <v>521707</v>
      </c>
      <c r="D125" s="658">
        <v>2006</v>
      </c>
      <c r="E125" s="655" t="s">
        <v>702</v>
      </c>
      <c r="F125" s="546">
        <v>2017</v>
      </c>
      <c r="G125" s="659">
        <v>42998</v>
      </c>
      <c r="H125" s="655" t="s">
        <v>2215</v>
      </c>
      <c r="I125" s="655" t="s">
        <v>4818</v>
      </c>
      <c r="J125" s="712"/>
      <c r="K125" s="655" t="s">
        <v>5160</v>
      </c>
      <c r="L125" s="655" t="s">
        <v>5343</v>
      </c>
      <c r="M125" s="660">
        <v>201982.76</v>
      </c>
      <c r="N125" s="660">
        <v>0</v>
      </c>
      <c r="O125" s="660">
        <v>32317.24</v>
      </c>
      <c r="P125" s="660">
        <v>234300</v>
      </c>
      <c r="Q125" s="548"/>
      <c r="R125" s="660">
        <v>183052.26</v>
      </c>
      <c r="S125" s="549">
        <f t="shared" si="28"/>
        <v>51247.739999999991</v>
      </c>
      <c r="T125" s="267" t="s">
        <v>1268</v>
      </c>
      <c r="U125" s="267"/>
      <c r="V125" s="93"/>
      <c r="W125" s="267"/>
      <c r="X125" s="267"/>
      <c r="Y125" s="93"/>
      <c r="Z125" s="618"/>
      <c r="AA125" s="424"/>
      <c r="AB125" s="715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38"/>
        <v>121</v>
      </c>
      <c r="B126" s="721" t="s">
        <v>6030</v>
      </c>
      <c r="C126" s="655">
        <v>522401</v>
      </c>
      <c r="D126" s="658">
        <v>1062</v>
      </c>
      <c r="E126" s="655" t="s">
        <v>709</v>
      </c>
      <c r="F126" s="546">
        <v>2017</v>
      </c>
      <c r="G126" s="659">
        <v>42983</v>
      </c>
      <c r="H126" s="655" t="s">
        <v>2216</v>
      </c>
      <c r="I126" s="655" t="s">
        <v>6278</v>
      </c>
      <c r="J126" s="712"/>
      <c r="K126" s="655" t="s">
        <v>6437</v>
      </c>
      <c r="L126" s="655" t="s">
        <v>6540</v>
      </c>
      <c r="M126" s="660">
        <v>230112.66</v>
      </c>
      <c r="N126" s="660">
        <v>2301.13</v>
      </c>
      <c r="O126" s="660">
        <v>37186.21</v>
      </c>
      <c r="P126" s="660">
        <v>269600</v>
      </c>
      <c r="Q126" s="548"/>
      <c r="R126" s="660">
        <v>208035.7</v>
      </c>
      <c r="S126" s="549">
        <f t="shared" si="28"/>
        <v>61564.299999999988</v>
      </c>
      <c r="T126" s="113" t="s">
        <v>1268</v>
      </c>
      <c r="U126" s="267"/>
      <c r="V126" s="93"/>
      <c r="W126" s="267"/>
      <c r="X126" s="267"/>
      <c r="Y126" s="93"/>
      <c r="Z126" s="618"/>
      <c r="AA126" s="424"/>
      <c r="AB126" s="715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3">
        <f t="shared" si="38"/>
        <v>122</v>
      </c>
      <c r="B127" s="721" t="s">
        <v>6032</v>
      </c>
      <c r="C127" s="655">
        <v>522401</v>
      </c>
      <c r="D127" s="658">
        <v>1062</v>
      </c>
      <c r="E127" s="655" t="s">
        <v>709</v>
      </c>
      <c r="F127" s="546">
        <v>2017</v>
      </c>
      <c r="G127" s="659">
        <v>43000</v>
      </c>
      <c r="H127" s="655" t="s">
        <v>2216</v>
      </c>
      <c r="I127" s="655" t="s">
        <v>6278</v>
      </c>
      <c r="J127" s="712"/>
      <c r="K127" s="655" t="s">
        <v>6437</v>
      </c>
      <c r="L127" s="655" t="s">
        <v>6540</v>
      </c>
      <c r="M127" s="660">
        <v>-230112.66</v>
      </c>
      <c r="N127" s="660">
        <v>-2301.13</v>
      </c>
      <c r="O127" s="660">
        <v>-37186.21</v>
      </c>
      <c r="P127" s="660">
        <v>-269600</v>
      </c>
      <c r="Q127" s="548"/>
      <c r="R127" s="660">
        <v>-208035.7</v>
      </c>
      <c r="S127" s="549">
        <f t="shared" si="28"/>
        <v>-61564.299999999988</v>
      </c>
      <c r="T127" s="113" t="s">
        <v>1268</v>
      </c>
      <c r="U127" s="267"/>
      <c r="V127" s="93"/>
      <c r="W127" s="267"/>
      <c r="X127" s="267"/>
      <c r="Y127" s="93"/>
      <c r="Z127" s="618"/>
      <c r="AA127" s="424"/>
      <c r="AB127" s="715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3">
        <f t="shared" si="38"/>
        <v>123</v>
      </c>
      <c r="B128" s="721" t="s">
        <v>6062</v>
      </c>
      <c r="C128" s="655">
        <v>520223</v>
      </c>
      <c r="D128" s="658">
        <v>1796</v>
      </c>
      <c r="E128" s="655" t="s">
        <v>689</v>
      </c>
      <c r="F128" s="546">
        <v>2017</v>
      </c>
      <c r="G128" s="659">
        <v>42993</v>
      </c>
      <c r="H128" s="655" t="s">
        <v>774</v>
      </c>
      <c r="I128" s="655" t="s">
        <v>6300</v>
      </c>
      <c r="J128" s="712"/>
      <c r="K128" s="655" t="s">
        <v>6452</v>
      </c>
      <c r="L128" s="655" t="s">
        <v>6562</v>
      </c>
      <c r="M128" s="660">
        <v>237794.47</v>
      </c>
      <c r="N128" s="660">
        <v>2377.94</v>
      </c>
      <c r="O128" s="660">
        <v>38427.589999999997</v>
      </c>
      <c r="P128" s="660">
        <v>278600</v>
      </c>
      <c r="Q128" s="548"/>
      <c r="R128" s="660">
        <v>220255.74</v>
      </c>
      <c r="S128" s="549">
        <f t="shared" si="28"/>
        <v>58344.260000000009</v>
      </c>
      <c r="T128" s="113" t="s">
        <v>1268</v>
      </c>
      <c r="U128" s="267"/>
      <c r="V128" s="93"/>
      <c r="W128" s="267"/>
      <c r="X128" s="267"/>
      <c r="Y128" s="93"/>
      <c r="Z128" s="618"/>
      <c r="AA128" s="424"/>
      <c r="AB128" s="715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38"/>
        <v>124</v>
      </c>
      <c r="B129" s="721" t="s">
        <v>6063</v>
      </c>
      <c r="C129" s="655">
        <v>520223</v>
      </c>
      <c r="D129" s="658">
        <v>1796</v>
      </c>
      <c r="E129" s="655" t="s">
        <v>689</v>
      </c>
      <c r="F129" s="546">
        <v>2017</v>
      </c>
      <c r="G129" s="659">
        <v>42999</v>
      </c>
      <c r="H129" s="655" t="s">
        <v>774</v>
      </c>
      <c r="I129" s="655" t="s">
        <v>6300</v>
      </c>
      <c r="J129" s="712"/>
      <c r="K129" s="655" t="s">
        <v>6452</v>
      </c>
      <c r="L129" s="655" t="s">
        <v>6562</v>
      </c>
      <c r="M129" s="660">
        <v>-237794.47</v>
      </c>
      <c r="N129" s="660">
        <v>-2377.94</v>
      </c>
      <c r="O129" s="660">
        <v>-38427.589999999997</v>
      </c>
      <c r="P129" s="660">
        <v>-278600</v>
      </c>
      <c r="Q129" s="548"/>
      <c r="R129" s="660">
        <v>-220255.74</v>
      </c>
      <c r="S129" s="549">
        <f t="shared" si="28"/>
        <v>-58344.260000000009</v>
      </c>
      <c r="T129" s="113" t="s">
        <v>1268</v>
      </c>
      <c r="U129" s="267"/>
      <c r="V129" s="93"/>
      <c r="W129" s="267"/>
      <c r="X129" s="267"/>
      <c r="Y129" s="93"/>
      <c r="Z129" s="618"/>
      <c r="AA129" s="424"/>
      <c r="AB129" s="715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38"/>
        <v>125</v>
      </c>
      <c r="B130" s="721" t="s">
        <v>6088</v>
      </c>
      <c r="C130" s="655">
        <v>520908</v>
      </c>
      <c r="D130" s="658">
        <v>2008</v>
      </c>
      <c r="E130" s="655" t="s">
        <v>697</v>
      </c>
      <c r="F130" s="546">
        <v>2017</v>
      </c>
      <c r="G130" s="659">
        <v>43004</v>
      </c>
      <c r="H130" s="655" t="s">
        <v>792</v>
      </c>
      <c r="I130" s="655" t="s">
        <v>6317</v>
      </c>
      <c r="J130" s="712"/>
      <c r="K130" s="655" t="s">
        <v>6459</v>
      </c>
      <c r="L130" s="655" t="s">
        <v>6579</v>
      </c>
      <c r="M130" s="660">
        <v>-205258.62</v>
      </c>
      <c r="N130" s="660">
        <v>0</v>
      </c>
      <c r="O130" s="660">
        <v>-32841.379999999997</v>
      </c>
      <c r="P130" s="660">
        <v>-238100</v>
      </c>
      <c r="Q130" s="548"/>
      <c r="R130" s="660">
        <v>-189107.53</v>
      </c>
      <c r="S130" s="549">
        <f t="shared" si="28"/>
        <v>-48992.47</v>
      </c>
      <c r="T130" s="113" t="s">
        <v>1268</v>
      </c>
      <c r="U130" s="267"/>
      <c r="V130" s="93"/>
      <c r="W130" s="267"/>
      <c r="X130" s="267"/>
      <c r="Y130" s="93"/>
      <c r="Z130" s="618"/>
      <c r="AA130" s="424"/>
      <c r="AB130" s="715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38"/>
        <v>126</v>
      </c>
      <c r="B131" s="721" t="s">
        <v>6089</v>
      </c>
      <c r="C131" s="655">
        <v>520908</v>
      </c>
      <c r="D131" s="658">
        <v>2008</v>
      </c>
      <c r="E131" s="655" t="s">
        <v>697</v>
      </c>
      <c r="F131" s="546">
        <v>2017</v>
      </c>
      <c r="G131" s="659">
        <v>43004</v>
      </c>
      <c r="H131" s="655" t="s">
        <v>792</v>
      </c>
      <c r="I131" s="655" t="s">
        <v>6317</v>
      </c>
      <c r="J131" s="712"/>
      <c r="K131" s="655" t="s">
        <v>6459</v>
      </c>
      <c r="L131" s="655" t="s">
        <v>6579</v>
      </c>
      <c r="M131" s="660">
        <v>205258.62</v>
      </c>
      <c r="N131" s="660">
        <v>0</v>
      </c>
      <c r="O131" s="660">
        <v>32841.379999999997</v>
      </c>
      <c r="P131" s="660">
        <v>238100</v>
      </c>
      <c r="Q131" s="548"/>
      <c r="R131" s="660">
        <v>189107.53</v>
      </c>
      <c r="S131" s="549">
        <f t="shared" si="28"/>
        <v>48992.47</v>
      </c>
      <c r="T131" s="113" t="s">
        <v>1268</v>
      </c>
      <c r="U131" s="267"/>
      <c r="V131" s="93"/>
      <c r="W131" s="267"/>
      <c r="X131" s="267"/>
      <c r="Y131" s="93"/>
      <c r="Z131" s="618"/>
      <c r="AA131" s="424"/>
      <c r="AB131" s="715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38"/>
        <v>127</v>
      </c>
      <c r="B132" s="721" t="s">
        <v>6090</v>
      </c>
      <c r="C132" s="655">
        <v>520908</v>
      </c>
      <c r="D132" s="658">
        <v>2008</v>
      </c>
      <c r="E132" s="655" t="s">
        <v>697</v>
      </c>
      <c r="F132" s="546">
        <v>2017</v>
      </c>
      <c r="G132" s="659">
        <v>43004</v>
      </c>
      <c r="H132" s="655" t="s">
        <v>792</v>
      </c>
      <c r="I132" s="655" t="s">
        <v>6317</v>
      </c>
      <c r="J132" s="712"/>
      <c r="K132" s="655" t="s">
        <v>6459</v>
      </c>
      <c r="L132" s="655" t="s">
        <v>6579</v>
      </c>
      <c r="M132" s="660">
        <v>205258.62</v>
      </c>
      <c r="N132" s="660">
        <v>0</v>
      </c>
      <c r="O132" s="660">
        <v>32841.379999999997</v>
      </c>
      <c r="P132" s="660">
        <v>238100</v>
      </c>
      <c r="Q132" s="548"/>
      <c r="R132" s="660">
        <v>189107.53</v>
      </c>
      <c r="S132" s="549">
        <f t="shared" si="28"/>
        <v>48992.47</v>
      </c>
      <c r="T132" s="113" t="s">
        <v>1268</v>
      </c>
      <c r="U132" s="267"/>
      <c r="V132" s="93"/>
      <c r="W132" s="267"/>
      <c r="X132" s="267"/>
      <c r="Y132" s="93"/>
      <c r="Z132" s="618"/>
      <c r="AA132" s="424"/>
      <c r="AB132" s="715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38"/>
        <v>128</v>
      </c>
      <c r="B133" s="721" t="s">
        <v>6091</v>
      </c>
      <c r="C133" s="655">
        <v>520908</v>
      </c>
      <c r="D133" s="658">
        <v>2008</v>
      </c>
      <c r="E133" s="655" t="s">
        <v>697</v>
      </c>
      <c r="F133" s="546">
        <v>2017</v>
      </c>
      <c r="G133" s="659">
        <v>43006</v>
      </c>
      <c r="H133" s="655" t="s">
        <v>792</v>
      </c>
      <c r="I133" s="655" t="s">
        <v>6317</v>
      </c>
      <c r="J133" s="712"/>
      <c r="K133" s="655" t="s">
        <v>6459</v>
      </c>
      <c r="L133" s="655" t="s">
        <v>6579</v>
      </c>
      <c r="M133" s="660">
        <v>-205258.62</v>
      </c>
      <c r="N133" s="660">
        <v>0</v>
      </c>
      <c r="O133" s="660">
        <v>-32841.379999999997</v>
      </c>
      <c r="P133" s="660">
        <v>-238100</v>
      </c>
      <c r="Q133" s="548"/>
      <c r="R133" s="660">
        <v>-189107.53</v>
      </c>
      <c r="S133" s="549">
        <f t="shared" si="28"/>
        <v>-48992.47</v>
      </c>
      <c r="T133" s="267" t="s">
        <v>1268</v>
      </c>
      <c r="U133" s="267"/>
      <c r="V133" s="93"/>
      <c r="W133" s="267"/>
      <c r="X133" s="267"/>
      <c r="Y133" s="93"/>
      <c r="Z133" s="618"/>
      <c r="AA133" s="424"/>
      <c r="AB133" s="715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38"/>
        <v>129</v>
      </c>
      <c r="B134" s="721" t="s">
        <v>6218</v>
      </c>
      <c r="C134" s="655">
        <v>1520603</v>
      </c>
      <c r="D134" s="658">
        <v>7497</v>
      </c>
      <c r="E134" s="655" t="s">
        <v>5619</v>
      </c>
      <c r="F134" s="546">
        <v>2017</v>
      </c>
      <c r="G134" s="659">
        <v>42979</v>
      </c>
      <c r="H134" s="655" t="s">
        <v>817</v>
      </c>
      <c r="I134" s="655" t="s">
        <v>5755</v>
      </c>
      <c r="J134" s="712"/>
      <c r="K134" s="655" t="s">
        <v>5851</v>
      </c>
      <c r="L134" s="655" t="s">
        <v>6004</v>
      </c>
      <c r="M134" s="660">
        <v>-271264.37</v>
      </c>
      <c r="N134" s="660">
        <v>-13563.22</v>
      </c>
      <c r="O134" s="660">
        <v>-45572.41</v>
      </c>
      <c r="P134" s="660">
        <v>-330400</v>
      </c>
      <c r="Q134" s="548"/>
      <c r="R134" s="660">
        <v>-242008.86</v>
      </c>
      <c r="S134" s="549">
        <f t="shared" ref="S134:S197" si="46">+P134-R134</f>
        <v>-88391.140000000014</v>
      </c>
      <c r="T134" s="113" t="s">
        <v>1268</v>
      </c>
      <c r="U134" s="267"/>
      <c r="V134" s="93"/>
      <c r="W134" s="267"/>
      <c r="X134" s="267"/>
      <c r="Y134" s="93"/>
      <c r="Z134" s="618"/>
      <c r="AA134" s="424"/>
      <c r="AB134" s="715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38"/>
        <v>130</v>
      </c>
      <c r="B135" s="721" t="s">
        <v>6219</v>
      </c>
      <c r="C135" s="655">
        <v>1520603</v>
      </c>
      <c r="D135" s="658">
        <v>7497</v>
      </c>
      <c r="E135" s="655" t="s">
        <v>5619</v>
      </c>
      <c r="F135" s="546">
        <v>2017</v>
      </c>
      <c r="G135" s="659">
        <v>42979</v>
      </c>
      <c r="H135" s="655" t="s">
        <v>817</v>
      </c>
      <c r="I135" s="655" t="s">
        <v>5755</v>
      </c>
      <c r="J135" s="712"/>
      <c r="K135" s="655" t="s">
        <v>5851</v>
      </c>
      <c r="L135" s="655" t="s">
        <v>6004</v>
      </c>
      <c r="M135" s="660">
        <v>271264.37</v>
      </c>
      <c r="N135" s="660">
        <v>13563.22</v>
      </c>
      <c r="O135" s="660">
        <v>45572.41</v>
      </c>
      <c r="P135" s="660">
        <v>330400</v>
      </c>
      <c r="Q135" s="548"/>
      <c r="R135" s="660">
        <v>242008.86</v>
      </c>
      <c r="S135" s="549">
        <f t="shared" si="46"/>
        <v>88391.140000000014</v>
      </c>
      <c r="T135" s="267" t="s">
        <v>1268</v>
      </c>
      <c r="U135" s="267"/>
      <c r="V135" s="93"/>
      <c r="W135" s="267"/>
      <c r="X135" s="267"/>
      <c r="Y135" s="93"/>
      <c r="Z135" s="618"/>
      <c r="AA135" s="424"/>
      <c r="AB135" s="715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199" si="47">+A135+1</f>
        <v>131</v>
      </c>
      <c r="B136" s="721" t="s">
        <v>6154</v>
      </c>
      <c r="C136" s="655">
        <v>520514</v>
      </c>
      <c r="D136" s="658">
        <v>5398</v>
      </c>
      <c r="E136" s="655" t="s">
        <v>117</v>
      </c>
      <c r="F136" s="546">
        <v>2017</v>
      </c>
      <c r="G136" s="659">
        <v>42984</v>
      </c>
      <c r="H136" s="655" t="s">
        <v>1211</v>
      </c>
      <c r="I136" s="655" t="s">
        <v>6355</v>
      </c>
      <c r="J136" s="712"/>
      <c r="K136" s="655" t="s">
        <v>6484</v>
      </c>
      <c r="L136" s="655" t="s">
        <v>6616</v>
      </c>
      <c r="M136" s="660">
        <v>527429.18999999994</v>
      </c>
      <c r="N136" s="660">
        <v>41363.910000000003</v>
      </c>
      <c r="O136" s="660">
        <v>91006.9</v>
      </c>
      <c r="P136" s="660">
        <v>659800</v>
      </c>
      <c r="Q136" s="548"/>
      <c r="R136" s="660">
        <v>466811.42</v>
      </c>
      <c r="S136" s="549">
        <f t="shared" si="46"/>
        <v>192988.58000000002</v>
      </c>
      <c r="T136" s="267" t="s">
        <v>1268</v>
      </c>
      <c r="U136" s="267"/>
      <c r="V136" s="93"/>
      <c r="W136" s="267"/>
      <c r="X136" s="267"/>
      <c r="Y136" s="93"/>
      <c r="Z136" s="618"/>
      <c r="AA136" s="424"/>
      <c r="AB136" s="715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47"/>
        <v>132</v>
      </c>
      <c r="B137" s="721" t="s">
        <v>6155</v>
      </c>
      <c r="C137" s="655">
        <v>520514</v>
      </c>
      <c r="D137" s="658">
        <v>5398</v>
      </c>
      <c r="E137" s="655" t="s">
        <v>117</v>
      </c>
      <c r="F137" s="546">
        <v>2017</v>
      </c>
      <c r="G137" s="659">
        <v>42986</v>
      </c>
      <c r="H137" s="655" t="s">
        <v>1211</v>
      </c>
      <c r="I137" s="655" t="s">
        <v>6355</v>
      </c>
      <c r="J137" s="712"/>
      <c r="K137" s="655" t="s">
        <v>6484</v>
      </c>
      <c r="L137" s="655" t="s">
        <v>6616</v>
      </c>
      <c r="M137" s="660">
        <v>-527429.18999999994</v>
      </c>
      <c r="N137" s="660">
        <v>-41363.910000000003</v>
      </c>
      <c r="O137" s="660">
        <v>-91006.9</v>
      </c>
      <c r="P137" s="660">
        <v>-659800</v>
      </c>
      <c r="Q137" s="548"/>
      <c r="R137" s="660">
        <v>-466811.42</v>
      </c>
      <c r="S137" s="549">
        <f t="shared" si="46"/>
        <v>-192988.58000000002</v>
      </c>
      <c r="T137" s="113" t="s">
        <v>1268</v>
      </c>
      <c r="U137" s="267"/>
      <c r="V137" s="93"/>
      <c r="W137" s="267"/>
      <c r="X137" s="267"/>
      <c r="Y137" s="93"/>
      <c r="Z137" s="618"/>
      <c r="AA137" s="424"/>
      <c r="AB137" s="715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47"/>
        <v>133</v>
      </c>
      <c r="B138" s="721" t="s">
        <v>6070</v>
      </c>
      <c r="C138" s="655">
        <v>521702</v>
      </c>
      <c r="D138" s="658">
        <v>2005</v>
      </c>
      <c r="E138" s="655" t="s">
        <v>701</v>
      </c>
      <c r="F138" s="546">
        <v>2017</v>
      </c>
      <c r="G138" s="659">
        <v>42998</v>
      </c>
      <c r="H138" s="655" t="s">
        <v>819</v>
      </c>
      <c r="I138" s="655" t="s">
        <v>6307</v>
      </c>
      <c r="J138" s="712"/>
      <c r="K138" s="655" t="s">
        <v>6456</v>
      </c>
      <c r="L138" s="655" t="s">
        <v>6569</v>
      </c>
      <c r="M138" s="660">
        <v>-185344.83</v>
      </c>
      <c r="N138" s="660">
        <v>0</v>
      </c>
      <c r="O138" s="660">
        <v>-29655.17</v>
      </c>
      <c r="P138" s="660">
        <v>-215000</v>
      </c>
      <c r="Q138" s="548"/>
      <c r="R138" s="660">
        <v>-166508.04</v>
      </c>
      <c r="S138" s="549">
        <f t="shared" si="46"/>
        <v>-48491.959999999992</v>
      </c>
      <c r="T138" s="113" t="s">
        <v>1268</v>
      </c>
      <c r="U138" s="267"/>
      <c r="V138" s="93"/>
      <c r="W138" s="267"/>
      <c r="X138" s="267"/>
      <c r="Y138" s="93"/>
      <c r="Z138" s="618"/>
      <c r="AA138" s="424"/>
      <c r="AB138" s="715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47"/>
        <v>134</v>
      </c>
      <c r="B139" s="721" t="s">
        <v>6071</v>
      </c>
      <c r="C139" s="655">
        <v>521702</v>
      </c>
      <c r="D139" s="658">
        <v>2005</v>
      </c>
      <c r="E139" s="655" t="s">
        <v>701</v>
      </c>
      <c r="F139" s="546">
        <v>2017</v>
      </c>
      <c r="G139" s="659">
        <v>42998</v>
      </c>
      <c r="H139" s="655" t="s">
        <v>819</v>
      </c>
      <c r="I139" s="655" t="s">
        <v>6307</v>
      </c>
      <c r="J139" s="712"/>
      <c r="K139" s="655" t="s">
        <v>6456</v>
      </c>
      <c r="L139" s="655" t="s">
        <v>6569</v>
      </c>
      <c r="M139" s="660">
        <v>185344.83</v>
      </c>
      <c r="N139" s="660">
        <v>0</v>
      </c>
      <c r="O139" s="660">
        <v>29655.17</v>
      </c>
      <c r="P139" s="660">
        <v>215000</v>
      </c>
      <c r="Q139" s="548"/>
      <c r="R139" s="660">
        <v>166508.04</v>
      </c>
      <c r="S139" s="549">
        <f t="shared" si="46"/>
        <v>48491.959999999992</v>
      </c>
      <c r="T139" s="267" t="s">
        <v>1268</v>
      </c>
      <c r="U139" s="267"/>
      <c r="V139" s="93"/>
      <c r="W139" s="267"/>
      <c r="X139" s="267"/>
      <c r="Y139" s="93"/>
      <c r="Z139" s="618"/>
      <c r="AA139" s="424"/>
      <c r="AB139" s="715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47"/>
        <v>135</v>
      </c>
      <c r="B140" s="721" t="s">
        <v>6186</v>
      </c>
      <c r="C140" s="655">
        <v>521909</v>
      </c>
      <c r="D140" s="658">
        <v>6986</v>
      </c>
      <c r="E140" s="655" t="s">
        <v>707</v>
      </c>
      <c r="F140" s="546">
        <v>2017</v>
      </c>
      <c r="G140" s="659">
        <v>42985</v>
      </c>
      <c r="H140" s="655" t="s">
        <v>727</v>
      </c>
      <c r="I140" s="655" t="s">
        <v>6381</v>
      </c>
      <c r="J140" s="712"/>
      <c r="K140" s="655" t="s">
        <v>6497</v>
      </c>
      <c r="L140" s="655" t="s">
        <v>6642</v>
      </c>
      <c r="M140" s="660">
        <v>583795.25</v>
      </c>
      <c r="N140" s="660">
        <v>50946.13</v>
      </c>
      <c r="O140" s="660">
        <v>101558.62</v>
      </c>
      <c r="P140" s="660">
        <v>736300</v>
      </c>
      <c r="Q140" s="548"/>
      <c r="R140" s="660">
        <v>516608.06</v>
      </c>
      <c r="S140" s="549">
        <f t="shared" si="46"/>
        <v>219691.94</v>
      </c>
      <c r="T140" s="113" t="s">
        <v>1268</v>
      </c>
      <c r="U140" s="267"/>
      <c r="V140" s="93"/>
      <c r="W140" s="267"/>
      <c r="X140" s="267"/>
      <c r="Y140" s="93"/>
      <c r="Z140" s="618"/>
      <c r="AA140" s="424"/>
      <c r="AB140" s="715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47"/>
        <v>136</v>
      </c>
      <c r="B141" s="721" t="s">
        <v>6187</v>
      </c>
      <c r="C141" s="655">
        <v>521909</v>
      </c>
      <c r="D141" s="658">
        <v>6986</v>
      </c>
      <c r="E141" s="655" t="s">
        <v>707</v>
      </c>
      <c r="F141" s="546">
        <v>2017</v>
      </c>
      <c r="G141" s="659">
        <v>42990</v>
      </c>
      <c r="H141" s="655" t="s">
        <v>727</v>
      </c>
      <c r="I141" s="655" t="s">
        <v>6381</v>
      </c>
      <c r="J141" s="712"/>
      <c r="K141" s="655" t="s">
        <v>6497</v>
      </c>
      <c r="L141" s="655" t="s">
        <v>6642</v>
      </c>
      <c r="M141" s="660">
        <v>-583795.25</v>
      </c>
      <c r="N141" s="660">
        <v>-50946.13</v>
      </c>
      <c r="O141" s="660">
        <v>-101558.62</v>
      </c>
      <c r="P141" s="660">
        <v>-736300</v>
      </c>
      <c r="Q141" s="548"/>
      <c r="R141" s="660">
        <v>-516608.06</v>
      </c>
      <c r="S141" s="549">
        <f t="shared" si="46"/>
        <v>-219691.94</v>
      </c>
      <c r="T141" s="113" t="s">
        <v>1268</v>
      </c>
      <c r="U141" s="267"/>
      <c r="V141" s="93"/>
      <c r="W141" s="267"/>
      <c r="X141" s="267"/>
      <c r="Y141" s="93"/>
      <c r="Z141" s="618"/>
      <c r="AA141" s="424"/>
      <c r="AB141" s="715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3">
        <f t="shared" si="47"/>
        <v>137</v>
      </c>
      <c r="B142" s="721" t="s">
        <v>6193</v>
      </c>
      <c r="C142" s="655">
        <v>1520302</v>
      </c>
      <c r="D142" s="658">
        <v>7441</v>
      </c>
      <c r="E142" s="655" t="s">
        <v>715</v>
      </c>
      <c r="F142" s="546">
        <v>2017</v>
      </c>
      <c r="G142" s="659">
        <v>42983</v>
      </c>
      <c r="H142" s="655" t="s">
        <v>792</v>
      </c>
      <c r="I142" s="655" t="s">
        <v>6384</v>
      </c>
      <c r="J142" s="712"/>
      <c r="K142" s="655" t="s">
        <v>3187</v>
      </c>
      <c r="L142" s="655" t="s">
        <v>6645</v>
      </c>
      <c r="M142" s="660">
        <v>-532019.69999999995</v>
      </c>
      <c r="N142" s="660">
        <v>-26600.99</v>
      </c>
      <c r="O142" s="660">
        <v>-89379.31</v>
      </c>
      <c r="P142" s="660">
        <v>-648000</v>
      </c>
      <c r="Q142" s="548"/>
      <c r="R142" s="660">
        <v>-470877.28</v>
      </c>
      <c r="S142" s="549">
        <f t="shared" si="46"/>
        <v>-177122.71999999997</v>
      </c>
      <c r="T142" s="113" t="s">
        <v>1268</v>
      </c>
      <c r="U142" s="267"/>
      <c r="V142" s="93"/>
      <c r="W142" s="267"/>
      <c r="X142" s="267"/>
      <c r="Y142" s="93"/>
      <c r="Z142" s="618"/>
      <c r="AA142" s="424"/>
      <c r="AB142" s="715"/>
      <c r="AC142" s="424"/>
      <c r="AD142" s="425"/>
      <c r="AE142" s="424"/>
      <c r="AF142" s="424"/>
      <c r="AG142" s="396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x14ac:dyDescent="0.2">
      <c r="A143" s="423">
        <f t="shared" si="47"/>
        <v>138</v>
      </c>
      <c r="B143" s="721" t="s">
        <v>6194</v>
      </c>
      <c r="C143" s="655">
        <v>1520302</v>
      </c>
      <c r="D143" s="658">
        <v>7441</v>
      </c>
      <c r="E143" s="655" t="s">
        <v>715</v>
      </c>
      <c r="F143" s="546">
        <v>2017</v>
      </c>
      <c r="G143" s="659">
        <v>42983</v>
      </c>
      <c r="H143" s="655" t="s">
        <v>792</v>
      </c>
      <c r="I143" s="655" t="s">
        <v>6384</v>
      </c>
      <c r="J143" s="712"/>
      <c r="K143" s="655" t="s">
        <v>3187</v>
      </c>
      <c r="L143" s="655" t="s">
        <v>6645</v>
      </c>
      <c r="M143" s="660">
        <v>532019.69999999995</v>
      </c>
      <c r="N143" s="660">
        <v>26600.99</v>
      </c>
      <c r="O143" s="660">
        <v>89379.31</v>
      </c>
      <c r="P143" s="660">
        <v>648000</v>
      </c>
      <c r="Q143" s="548"/>
      <c r="R143" s="660">
        <v>470877.28</v>
      </c>
      <c r="S143" s="549">
        <f t="shared" si="46"/>
        <v>177122.71999999997</v>
      </c>
      <c r="T143" s="113" t="s">
        <v>1268</v>
      </c>
      <c r="U143" s="267"/>
      <c r="V143" s="93"/>
      <c r="W143" s="267"/>
      <c r="X143" s="267"/>
      <c r="Y143" s="93"/>
      <c r="Z143" s="618"/>
      <c r="AA143" s="424"/>
      <c r="AB143" s="715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x14ac:dyDescent="0.2">
      <c r="A144" s="423">
        <f t="shared" si="47"/>
        <v>139</v>
      </c>
      <c r="B144" s="721" t="s">
        <v>6139</v>
      </c>
      <c r="C144" s="655">
        <v>520815</v>
      </c>
      <c r="D144" s="658">
        <v>4492</v>
      </c>
      <c r="E144" s="655" t="s">
        <v>694</v>
      </c>
      <c r="F144" s="546">
        <v>2017</v>
      </c>
      <c r="G144" s="659">
        <v>42992</v>
      </c>
      <c r="H144" s="655" t="s">
        <v>3694</v>
      </c>
      <c r="I144" s="655" t="s">
        <v>6343</v>
      </c>
      <c r="J144" s="712"/>
      <c r="K144" s="655" t="s">
        <v>830</v>
      </c>
      <c r="L144" s="655" t="s">
        <v>6605</v>
      </c>
      <c r="M144" s="660">
        <v>256171.42</v>
      </c>
      <c r="N144" s="660">
        <v>2707.89</v>
      </c>
      <c r="O144" s="660">
        <v>41420.69</v>
      </c>
      <c r="P144" s="660">
        <v>300300</v>
      </c>
      <c r="Q144" s="548"/>
      <c r="R144" s="660">
        <v>311605.18</v>
      </c>
      <c r="S144" s="549">
        <f t="shared" si="46"/>
        <v>-11305.179999999993</v>
      </c>
      <c r="T144" s="267" t="s">
        <v>1268</v>
      </c>
      <c r="U144" s="267"/>
      <c r="V144" s="93"/>
      <c r="W144" s="267"/>
      <c r="X144" s="267"/>
      <c r="Y144" s="93"/>
      <c r="Z144" s="618"/>
      <c r="AA144" s="424"/>
      <c r="AB144" s="715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x14ac:dyDescent="0.2">
      <c r="A145" s="423">
        <f t="shared" si="47"/>
        <v>140</v>
      </c>
      <c r="B145" s="721" t="s">
        <v>6141</v>
      </c>
      <c r="C145" s="655">
        <v>520815</v>
      </c>
      <c r="D145" s="658">
        <v>4492</v>
      </c>
      <c r="E145" s="655" t="s">
        <v>694</v>
      </c>
      <c r="F145" s="546">
        <v>2017</v>
      </c>
      <c r="G145" s="659">
        <v>42993</v>
      </c>
      <c r="H145" s="655" t="s">
        <v>3694</v>
      </c>
      <c r="I145" s="655" t="s">
        <v>6343</v>
      </c>
      <c r="J145" s="712"/>
      <c r="K145" s="655" t="s">
        <v>830</v>
      </c>
      <c r="L145" s="655" t="s">
        <v>6605</v>
      </c>
      <c r="M145" s="660">
        <v>-256171.42</v>
      </c>
      <c r="N145" s="660">
        <v>-2707.89</v>
      </c>
      <c r="O145" s="660">
        <v>-41420.69</v>
      </c>
      <c r="P145" s="660">
        <v>-300300</v>
      </c>
      <c r="Q145" s="548"/>
      <c r="R145" s="660">
        <v>-311605.18</v>
      </c>
      <c r="S145" s="549">
        <f t="shared" si="46"/>
        <v>11305.179999999993</v>
      </c>
      <c r="T145" s="267" t="s">
        <v>1268</v>
      </c>
      <c r="U145" s="267"/>
      <c r="V145" s="93"/>
      <c r="W145" s="267"/>
      <c r="X145" s="267"/>
      <c r="Y145" s="93"/>
      <c r="Z145" s="618"/>
      <c r="AA145" s="424"/>
      <c r="AB145" s="715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x14ac:dyDescent="0.2">
      <c r="A146" s="423">
        <f t="shared" si="47"/>
        <v>141</v>
      </c>
      <c r="B146" s="721" t="s">
        <v>6039</v>
      </c>
      <c r="C146" s="655">
        <v>521101</v>
      </c>
      <c r="D146" s="658">
        <v>1253</v>
      </c>
      <c r="E146" s="655" t="s">
        <v>30</v>
      </c>
      <c r="F146" s="546">
        <v>2017</v>
      </c>
      <c r="G146" s="659">
        <v>42985</v>
      </c>
      <c r="H146" s="655" t="s">
        <v>727</v>
      </c>
      <c r="I146" s="655" t="s">
        <v>6284</v>
      </c>
      <c r="J146" s="712"/>
      <c r="K146" s="655" t="s">
        <v>6442</v>
      </c>
      <c r="L146" s="655" t="s">
        <v>6546</v>
      </c>
      <c r="M146" s="660">
        <v>374137.93</v>
      </c>
      <c r="N146" s="660">
        <v>0</v>
      </c>
      <c r="O146" s="660">
        <v>59862.07</v>
      </c>
      <c r="P146" s="660">
        <v>434000</v>
      </c>
      <c r="Q146" s="548"/>
      <c r="R146" s="660">
        <v>344834.35</v>
      </c>
      <c r="S146" s="549">
        <f t="shared" si="46"/>
        <v>89165.650000000023</v>
      </c>
      <c r="T146" s="267" t="s">
        <v>1268</v>
      </c>
      <c r="U146" s="267"/>
      <c r="V146" s="93"/>
      <c r="W146" s="267"/>
      <c r="X146" s="267"/>
      <c r="Y146" s="93"/>
      <c r="Z146" s="618"/>
      <c r="AA146" s="424"/>
      <c r="AB146" s="715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x14ac:dyDescent="0.2">
      <c r="A147" s="423">
        <f t="shared" si="47"/>
        <v>142</v>
      </c>
      <c r="B147" s="721" t="s">
        <v>6040</v>
      </c>
      <c r="C147" s="655">
        <v>521101</v>
      </c>
      <c r="D147" s="658">
        <v>1253</v>
      </c>
      <c r="E147" s="655" t="s">
        <v>30</v>
      </c>
      <c r="F147" s="546">
        <v>2017</v>
      </c>
      <c r="G147" s="659">
        <v>42989</v>
      </c>
      <c r="H147" s="655" t="s">
        <v>727</v>
      </c>
      <c r="I147" s="655" t="s">
        <v>6284</v>
      </c>
      <c r="J147" s="712"/>
      <c r="K147" s="655" t="s">
        <v>6442</v>
      </c>
      <c r="L147" s="655" t="s">
        <v>6546</v>
      </c>
      <c r="M147" s="660">
        <v>-374137.93</v>
      </c>
      <c r="N147" s="660">
        <v>0</v>
      </c>
      <c r="O147" s="660">
        <v>-59862.07</v>
      </c>
      <c r="P147" s="660">
        <v>-434000</v>
      </c>
      <c r="Q147" s="548"/>
      <c r="R147" s="660">
        <v>-344834.35</v>
      </c>
      <c r="S147" s="549">
        <f t="shared" si="46"/>
        <v>-89165.650000000023</v>
      </c>
      <c r="T147" s="267" t="s">
        <v>1268</v>
      </c>
      <c r="U147" s="267"/>
      <c r="V147" s="93"/>
      <c r="W147" s="267"/>
      <c r="X147" s="267"/>
      <c r="Y147" s="93"/>
      <c r="Z147" s="618"/>
      <c r="AA147" s="424"/>
      <c r="AB147" s="715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47"/>
        <v>143</v>
      </c>
      <c r="B148" s="721" t="s">
        <v>6045</v>
      </c>
      <c r="C148" s="655">
        <v>520226</v>
      </c>
      <c r="D148" s="658">
        <v>1783</v>
      </c>
      <c r="E148" s="655" t="s">
        <v>692</v>
      </c>
      <c r="F148" s="546">
        <v>2017</v>
      </c>
      <c r="G148" s="659">
        <v>42990</v>
      </c>
      <c r="H148" s="655" t="s">
        <v>817</v>
      </c>
      <c r="I148" s="655" t="s">
        <v>6289</v>
      </c>
      <c r="J148" s="712"/>
      <c r="K148" s="655" t="s">
        <v>6445</v>
      </c>
      <c r="L148" s="655" t="s">
        <v>6551</v>
      </c>
      <c r="M148" s="660">
        <v>-298923.65999999997</v>
      </c>
      <c r="N148" s="660">
        <v>-7714.27</v>
      </c>
      <c r="O148" s="660">
        <v>-49062.07</v>
      </c>
      <c r="P148" s="660">
        <v>-355700</v>
      </c>
      <c r="Q148" s="548"/>
      <c r="R148" s="660">
        <v>-275293.3</v>
      </c>
      <c r="S148" s="549">
        <f t="shared" si="46"/>
        <v>-80406.700000000012</v>
      </c>
      <c r="T148" s="267" t="s">
        <v>1268</v>
      </c>
      <c r="U148" s="267"/>
      <c r="V148" s="93"/>
      <c r="W148" s="267"/>
      <c r="X148" s="267"/>
      <c r="Y148" s="93"/>
      <c r="Z148" s="618"/>
      <c r="AA148" s="424"/>
      <c r="AB148" s="715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x14ac:dyDescent="0.2">
      <c r="A149" s="423">
        <f t="shared" si="47"/>
        <v>144</v>
      </c>
      <c r="B149" s="721" t="s">
        <v>6046</v>
      </c>
      <c r="C149" s="655">
        <v>520226</v>
      </c>
      <c r="D149" s="658">
        <v>1783</v>
      </c>
      <c r="E149" s="655" t="s">
        <v>692</v>
      </c>
      <c r="F149" s="546">
        <v>2017</v>
      </c>
      <c r="G149" s="659">
        <v>42990</v>
      </c>
      <c r="H149" s="655" t="s">
        <v>817</v>
      </c>
      <c r="I149" s="655" t="s">
        <v>6289</v>
      </c>
      <c r="J149" s="712"/>
      <c r="K149" s="655" t="s">
        <v>6445</v>
      </c>
      <c r="L149" s="655" t="s">
        <v>6551</v>
      </c>
      <c r="M149" s="660">
        <v>298923.65999999997</v>
      </c>
      <c r="N149" s="660">
        <v>7714.27</v>
      </c>
      <c r="O149" s="660">
        <v>49062.07</v>
      </c>
      <c r="P149" s="660">
        <v>355700</v>
      </c>
      <c r="Q149" s="548"/>
      <c r="R149" s="660">
        <v>275293.3</v>
      </c>
      <c r="S149" s="549">
        <f t="shared" si="46"/>
        <v>80406.700000000012</v>
      </c>
      <c r="T149" s="267" t="s">
        <v>1268</v>
      </c>
      <c r="U149" s="267"/>
      <c r="V149" s="93"/>
      <c r="W149" s="267"/>
      <c r="X149" s="267"/>
      <c r="Y149" s="93"/>
      <c r="Z149" s="618"/>
      <c r="AA149" s="424"/>
      <c r="AB149" s="715"/>
      <c r="AC149" s="424"/>
      <c r="AD149" s="425"/>
      <c r="AE149" s="424"/>
      <c r="AF149" s="424"/>
      <c r="AG149" s="396"/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x14ac:dyDescent="0.2">
      <c r="A150" s="423">
        <f t="shared" si="47"/>
        <v>145</v>
      </c>
      <c r="B150" s="721" t="s">
        <v>6106</v>
      </c>
      <c r="C150" s="655">
        <v>521802</v>
      </c>
      <c r="D150" s="658">
        <v>2202</v>
      </c>
      <c r="E150" s="655" t="s">
        <v>703</v>
      </c>
      <c r="F150" s="546">
        <v>2017</v>
      </c>
      <c r="G150" s="659">
        <v>42989</v>
      </c>
      <c r="H150" s="655" t="s">
        <v>5129</v>
      </c>
      <c r="I150" s="655" t="s">
        <v>6325</v>
      </c>
      <c r="J150" s="712"/>
      <c r="K150" s="655" t="s">
        <v>6470</v>
      </c>
      <c r="L150" s="655" t="s">
        <v>6587</v>
      </c>
      <c r="M150" s="660">
        <v>200431.03</v>
      </c>
      <c r="N150" s="660">
        <v>0</v>
      </c>
      <c r="O150" s="660">
        <v>32068.97</v>
      </c>
      <c r="P150" s="660">
        <v>232500</v>
      </c>
      <c r="Q150" s="548"/>
      <c r="R150" s="660">
        <v>188021.32</v>
      </c>
      <c r="S150" s="549">
        <f t="shared" si="46"/>
        <v>44478.679999999993</v>
      </c>
      <c r="T150" s="267" t="s">
        <v>1268</v>
      </c>
      <c r="U150" s="267"/>
      <c r="V150" s="93"/>
      <c r="W150" s="267"/>
      <c r="X150" s="267"/>
      <c r="Y150" s="93"/>
      <c r="Z150" s="618"/>
      <c r="AA150" s="424"/>
      <c r="AB150" s="715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x14ac:dyDescent="0.2">
      <c r="A151" s="423">
        <f t="shared" si="47"/>
        <v>146</v>
      </c>
      <c r="B151" s="721" t="s">
        <v>6111</v>
      </c>
      <c r="C151" s="655">
        <v>521802</v>
      </c>
      <c r="D151" s="658">
        <v>2202</v>
      </c>
      <c r="E151" s="655" t="s">
        <v>703</v>
      </c>
      <c r="F151" s="546">
        <v>2017</v>
      </c>
      <c r="G151" s="659">
        <v>42992</v>
      </c>
      <c r="H151" s="655" t="s">
        <v>5129</v>
      </c>
      <c r="I151" s="655" t="s">
        <v>6325</v>
      </c>
      <c r="J151" s="712"/>
      <c r="K151" s="655" t="s">
        <v>6470</v>
      </c>
      <c r="L151" s="655" t="s">
        <v>6587</v>
      </c>
      <c r="M151" s="660">
        <v>-200431.03</v>
      </c>
      <c r="N151" s="660">
        <v>0</v>
      </c>
      <c r="O151" s="660">
        <v>-32068.97</v>
      </c>
      <c r="P151" s="660">
        <v>-232500</v>
      </c>
      <c r="Q151" s="548"/>
      <c r="R151" s="660">
        <v>-188021.32</v>
      </c>
      <c r="S151" s="549">
        <f t="shared" si="46"/>
        <v>-44478.679999999993</v>
      </c>
      <c r="T151" s="267" t="s">
        <v>1268</v>
      </c>
      <c r="U151" s="267"/>
      <c r="V151" s="93"/>
      <c r="W151" s="267"/>
      <c r="X151" s="267"/>
      <c r="Y151" s="93"/>
      <c r="Z151" s="618"/>
      <c r="AA151" s="424"/>
      <c r="AB151" s="715"/>
      <c r="AC151" s="424"/>
      <c r="AD151" s="425"/>
      <c r="AE151" s="424"/>
      <c r="AF151" s="424"/>
      <c r="AG151" s="396"/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x14ac:dyDescent="0.2">
      <c r="A152" s="423">
        <f t="shared" si="47"/>
        <v>147</v>
      </c>
      <c r="B152" s="721" t="s">
        <v>6196</v>
      </c>
      <c r="C152" s="655">
        <v>1520306</v>
      </c>
      <c r="D152" s="658">
        <v>7441</v>
      </c>
      <c r="E152" s="655" t="s">
        <v>715</v>
      </c>
      <c r="F152" s="546">
        <v>2017</v>
      </c>
      <c r="G152" s="659">
        <v>42991</v>
      </c>
      <c r="H152" s="655" t="s">
        <v>817</v>
      </c>
      <c r="I152" s="655" t="s">
        <v>6385</v>
      </c>
      <c r="J152" s="712"/>
      <c r="K152" s="655" t="s">
        <v>6500</v>
      </c>
      <c r="L152" s="655" t="s">
        <v>6646</v>
      </c>
      <c r="M152" s="660">
        <v>532019.69999999995</v>
      </c>
      <c r="N152" s="660">
        <v>26600.99</v>
      </c>
      <c r="O152" s="660">
        <v>89379.31</v>
      </c>
      <c r="P152" s="660">
        <v>648000</v>
      </c>
      <c r="Q152" s="548"/>
      <c r="R152" s="660">
        <v>471232.62</v>
      </c>
      <c r="S152" s="549">
        <f t="shared" si="46"/>
        <v>176767.38</v>
      </c>
      <c r="T152" s="113" t="s">
        <v>1268</v>
      </c>
      <c r="U152" s="267"/>
      <c r="V152" s="93"/>
      <c r="W152" s="267"/>
      <c r="X152" s="267"/>
      <c r="Y152" s="93"/>
      <c r="Z152" s="618"/>
      <c r="AA152" s="717"/>
      <c r="AB152" s="116"/>
      <c r="AC152" s="424"/>
      <c r="AD152" s="425"/>
      <c r="AE152" s="424"/>
      <c r="AF152" s="424"/>
      <c r="AG152" s="396"/>
      <c r="AH152" s="361"/>
      <c r="AI152" s="313"/>
      <c r="AJ152" s="374"/>
      <c r="AK152" s="331"/>
      <c r="AL152" s="331"/>
      <c r="AM152" s="331"/>
    </row>
    <row r="153" spans="1:47" s="412" customFormat="1" x14ac:dyDescent="0.2">
      <c r="A153" s="423">
        <f t="shared" si="47"/>
        <v>148</v>
      </c>
      <c r="B153" s="721" t="s">
        <v>6197</v>
      </c>
      <c r="C153" s="655">
        <v>1520306</v>
      </c>
      <c r="D153" s="658">
        <v>7441</v>
      </c>
      <c r="E153" s="655" t="s">
        <v>715</v>
      </c>
      <c r="F153" s="546">
        <v>2017</v>
      </c>
      <c r="G153" s="659">
        <v>42992</v>
      </c>
      <c r="H153" s="655" t="s">
        <v>817</v>
      </c>
      <c r="I153" s="655" t="s">
        <v>6385</v>
      </c>
      <c r="J153" s="712"/>
      <c r="K153" s="655" t="s">
        <v>6500</v>
      </c>
      <c r="L153" s="655" t="s">
        <v>6646</v>
      </c>
      <c r="M153" s="660">
        <v>-532019.69999999995</v>
      </c>
      <c r="N153" s="660">
        <v>-26600.99</v>
      </c>
      <c r="O153" s="660">
        <v>-89379.31</v>
      </c>
      <c r="P153" s="660">
        <v>-648000</v>
      </c>
      <c r="Q153" s="548"/>
      <c r="R153" s="660">
        <v>-471232.62</v>
      </c>
      <c r="S153" s="549">
        <f t="shared" si="46"/>
        <v>-176767.38</v>
      </c>
      <c r="T153" s="113" t="s">
        <v>1268</v>
      </c>
      <c r="U153" s="267"/>
      <c r="V153" s="93"/>
      <c r="W153" s="267"/>
      <c r="X153" s="267"/>
      <c r="Y153" s="93"/>
      <c r="Z153" s="618"/>
      <c r="AA153" s="271"/>
      <c r="AB153" s="116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x14ac:dyDescent="0.2">
      <c r="A154" s="423">
        <f t="shared" si="47"/>
        <v>149</v>
      </c>
      <c r="B154" s="721" t="s">
        <v>6189</v>
      </c>
      <c r="C154" s="655">
        <v>1520302</v>
      </c>
      <c r="D154" s="658">
        <v>7401</v>
      </c>
      <c r="E154" s="655" t="s">
        <v>714</v>
      </c>
      <c r="F154" s="546">
        <v>2017</v>
      </c>
      <c r="G154" s="659">
        <v>42997</v>
      </c>
      <c r="H154" s="655" t="s">
        <v>2213</v>
      </c>
      <c r="I154" s="655" t="s">
        <v>6382</v>
      </c>
      <c r="J154" s="712"/>
      <c r="K154" s="655" t="s">
        <v>6498</v>
      </c>
      <c r="L154" s="655" t="s">
        <v>6643</v>
      </c>
      <c r="M154" s="660">
        <v>489408.87</v>
      </c>
      <c r="N154" s="660">
        <v>24470.44</v>
      </c>
      <c r="O154" s="660">
        <v>82220.69</v>
      </c>
      <c r="P154" s="660">
        <v>596100</v>
      </c>
      <c r="Q154" s="548"/>
      <c r="R154" s="660">
        <v>433379.74</v>
      </c>
      <c r="S154" s="549">
        <f t="shared" si="46"/>
        <v>162720.26</v>
      </c>
      <c r="T154" s="113" t="s">
        <v>1268</v>
      </c>
      <c r="U154" s="267"/>
      <c r="V154" s="93"/>
      <c r="W154" s="267"/>
      <c r="X154" s="267"/>
      <c r="Y154" s="93"/>
      <c r="Z154" s="618"/>
      <c r="AA154" s="717"/>
      <c r="AB154" s="116"/>
      <c r="AC154" s="424"/>
      <c r="AD154" s="425"/>
      <c r="AE154" s="424"/>
      <c r="AF154" s="424"/>
      <c r="AG154" s="396"/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x14ac:dyDescent="0.2">
      <c r="A155" s="423">
        <f t="shared" si="47"/>
        <v>150</v>
      </c>
      <c r="B155" s="721" t="s">
        <v>6190</v>
      </c>
      <c r="C155" s="655">
        <v>1520302</v>
      </c>
      <c r="D155" s="658">
        <v>7401</v>
      </c>
      <c r="E155" s="655" t="s">
        <v>714</v>
      </c>
      <c r="F155" s="546">
        <v>2017</v>
      </c>
      <c r="G155" s="659">
        <v>43001</v>
      </c>
      <c r="H155" s="655" t="s">
        <v>2213</v>
      </c>
      <c r="I155" s="655" t="s">
        <v>6382</v>
      </c>
      <c r="J155" s="712"/>
      <c r="K155" s="655" t="s">
        <v>6498</v>
      </c>
      <c r="L155" s="655" t="s">
        <v>6643</v>
      </c>
      <c r="M155" s="660">
        <v>-489408.87</v>
      </c>
      <c r="N155" s="660">
        <v>-24470.44</v>
      </c>
      <c r="O155" s="660">
        <v>-82220.69</v>
      </c>
      <c r="P155" s="660">
        <v>-596100</v>
      </c>
      <c r="Q155" s="548"/>
      <c r="R155" s="660">
        <v>-433379.74</v>
      </c>
      <c r="S155" s="549">
        <f t="shared" si="46"/>
        <v>-162720.26</v>
      </c>
      <c r="T155" s="113" t="s">
        <v>1268</v>
      </c>
      <c r="U155" s="267"/>
      <c r="V155" s="93"/>
      <c r="W155" s="267"/>
      <c r="X155" s="267"/>
      <c r="Y155" s="93"/>
      <c r="Z155" s="618"/>
      <c r="AA155" s="717"/>
      <c r="AB155" s="116"/>
      <c r="AC155" s="424"/>
      <c r="AD155" s="425"/>
      <c r="AE155" s="424"/>
      <c r="AF155" s="424"/>
      <c r="AG155" s="396"/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x14ac:dyDescent="0.2">
      <c r="A156" s="423">
        <f t="shared" si="47"/>
        <v>151</v>
      </c>
      <c r="B156" s="721" t="s">
        <v>6143</v>
      </c>
      <c r="C156" s="655">
        <v>520815</v>
      </c>
      <c r="D156" s="658">
        <v>4492</v>
      </c>
      <c r="E156" s="655" t="s">
        <v>694</v>
      </c>
      <c r="F156" s="546">
        <v>2017</v>
      </c>
      <c r="G156" s="659">
        <v>42998</v>
      </c>
      <c r="H156" s="655" t="s">
        <v>788</v>
      </c>
      <c r="I156" s="655" t="s">
        <v>6346</v>
      </c>
      <c r="J156" s="712"/>
      <c r="K156" s="655" t="s">
        <v>6479</v>
      </c>
      <c r="L156" s="655" t="s">
        <v>6608</v>
      </c>
      <c r="M156" s="660">
        <v>346054.14</v>
      </c>
      <c r="N156" s="660">
        <v>12480.34</v>
      </c>
      <c r="O156" s="660">
        <v>57365.52</v>
      </c>
      <c r="P156" s="660">
        <v>415900</v>
      </c>
      <c r="Q156" s="548"/>
      <c r="R156" s="660">
        <v>311959.65999999997</v>
      </c>
      <c r="S156" s="549">
        <f t="shared" si="46"/>
        <v>103940.34000000003</v>
      </c>
      <c r="T156" s="113" t="s">
        <v>1268</v>
      </c>
      <c r="U156" s="267"/>
      <c r="V156" s="93"/>
      <c r="W156" s="267"/>
      <c r="X156" s="267"/>
      <c r="Y156" s="93"/>
      <c r="Z156" s="618"/>
      <c r="AA156" s="271"/>
      <c r="AB156" s="116"/>
      <c r="AC156" s="424"/>
      <c r="AD156" s="425"/>
      <c r="AE156" s="424"/>
      <c r="AF156" s="424"/>
      <c r="AG156" s="396"/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47"/>
        <v>152</v>
      </c>
      <c r="B157" s="721" t="s">
        <v>6144</v>
      </c>
      <c r="C157" s="655">
        <v>520815</v>
      </c>
      <c r="D157" s="658">
        <v>4492</v>
      </c>
      <c r="E157" s="655" t="s">
        <v>694</v>
      </c>
      <c r="F157" s="546">
        <v>2017</v>
      </c>
      <c r="G157" s="659">
        <v>43004</v>
      </c>
      <c r="H157" s="655" t="s">
        <v>788</v>
      </c>
      <c r="I157" s="655" t="s">
        <v>6346</v>
      </c>
      <c r="J157" s="712"/>
      <c r="K157" s="655" t="s">
        <v>6479</v>
      </c>
      <c r="L157" s="655" t="s">
        <v>6608</v>
      </c>
      <c r="M157" s="660">
        <v>-346054.14</v>
      </c>
      <c r="N157" s="660">
        <v>-12480.34</v>
      </c>
      <c r="O157" s="660">
        <v>-57365.52</v>
      </c>
      <c r="P157" s="660">
        <v>-415900</v>
      </c>
      <c r="Q157" s="548"/>
      <c r="R157" s="660">
        <v>-311959.65999999997</v>
      </c>
      <c r="S157" s="549">
        <f t="shared" si="46"/>
        <v>-103940.34000000003</v>
      </c>
      <c r="T157" s="113" t="s">
        <v>1268</v>
      </c>
      <c r="U157" s="267"/>
      <c r="V157" s="93"/>
      <c r="W157" s="267"/>
      <c r="X157" s="267"/>
      <c r="Y157" s="93"/>
      <c r="Z157" s="618"/>
      <c r="AA157" s="271"/>
      <c r="AB157" s="116"/>
      <c r="AC157" s="424"/>
      <c r="AD157" s="425"/>
      <c r="AE157" s="424"/>
      <c r="AF157" s="424"/>
      <c r="AG157" s="396"/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x14ac:dyDescent="0.2">
      <c r="A158" s="423">
        <f t="shared" si="47"/>
        <v>153</v>
      </c>
      <c r="B158" s="721" t="s">
        <v>6034</v>
      </c>
      <c r="C158" s="655">
        <v>521101</v>
      </c>
      <c r="D158" s="658">
        <v>1251</v>
      </c>
      <c r="E158" s="655" t="s">
        <v>700</v>
      </c>
      <c r="F158" s="546">
        <v>2017</v>
      </c>
      <c r="G158" s="659">
        <v>42984</v>
      </c>
      <c r="H158" s="655"/>
      <c r="I158" s="655" t="s">
        <v>6281</v>
      </c>
      <c r="J158" s="712"/>
      <c r="K158" s="655" t="s">
        <v>1144</v>
      </c>
      <c r="L158" s="655" t="s">
        <v>6543</v>
      </c>
      <c r="M158" s="660">
        <v>300392.87</v>
      </c>
      <c r="N158" s="660">
        <v>0</v>
      </c>
      <c r="O158" s="660">
        <v>48062.86</v>
      </c>
      <c r="P158" s="660">
        <v>348455.73</v>
      </c>
      <c r="Q158" s="548"/>
      <c r="R158" s="660">
        <v>300037.53000000003</v>
      </c>
      <c r="S158" s="549">
        <f t="shared" si="46"/>
        <v>48418.199999999953</v>
      </c>
      <c r="T158" s="113" t="s">
        <v>283</v>
      </c>
      <c r="U158" s="267"/>
      <c r="V158" s="93"/>
      <c r="W158" s="267"/>
      <c r="X158" s="267"/>
      <c r="Y158" s="93"/>
      <c r="Z158" s="618"/>
      <c r="AA158" s="717"/>
      <c r="AB158" s="116"/>
      <c r="AC158" s="424"/>
      <c r="AD158" s="425"/>
      <c r="AE158" s="424"/>
      <c r="AF158" s="424"/>
      <c r="AG158" s="396"/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x14ac:dyDescent="0.2">
      <c r="A159" s="423">
        <f t="shared" si="47"/>
        <v>154</v>
      </c>
      <c r="B159" s="721" t="s">
        <v>6041</v>
      </c>
      <c r="C159" s="655">
        <v>521101</v>
      </c>
      <c r="D159" s="658">
        <v>1253</v>
      </c>
      <c r="E159" s="655" t="s">
        <v>30</v>
      </c>
      <c r="F159" s="546">
        <v>2017</v>
      </c>
      <c r="G159" s="659">
        <v>43004</v>
      </c>
      <c r="H159" s="655"/>
      <c r="I159" s="655" t="s">
        <v>6285</v>
      </c>
      <c r="J159" s="712"/>
      <c r="K159" s="655" t="s">
        <v>1164</v>
      </c>
      <c r="L159" s="655" t="s">
        <v>6547</v>
      </c>
      <c r="M159" s="660">
        <v>345189.7</v>
      </c>
      <c r="N159" s="660">
        <v>0</v>
      </c>
      <c r="O159" s="660">
        <v>55230.35</v>
      </c>
      <c r="P159" s="660">
        <v>400420.05</v>
      </c>
      <c r="Q159" s="548"/>
      <c r="R159" s="660">
        <v>326376</v>
      </c>
      <c r="S159" s="549">
        <f t="shared" si="46"/>
        <v>74044.049999999988</v>
      </c>
      <c r="T159" s="444" t="s">
        <v>283</v>
      </c>
      <c r="U159" s="267"/>
      <c r="V159" s="93"/>
      <c r="W159" s="267"/>
      <c r="X159" s="267"/>
      <c r="Y159" s="93"/>
      <c r="Z159" s="618"/>
      <c r="AA159" s="717"/>
      <c r="AB159" s="116"/>
      <c r="AC159" s="424"/>
      <c r="AD159" s="425"/>
      <c r="AE159" s="424"/>
      <c r="AF159" s="424"/>
      <c r="AG159" s="396"/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x14ac:dyDescent="0.2">
      <c r="A160" s="423">
        <f t="shared" si="47"/>
        <v>155</v>
      </c>
      <c r="B160" s="721" t="s">
        <v>6044</v>
      </c>
      <c r="C160" s="655">
        <v>520226</v>
      </c>
      <c r="D160" s="658">
        <v>1783</v>
      </c>
      <c r="E160" s="655" t="s">
        <v>692</v>
      </c>
      <c r="F160" s="546">
        <v>2017</v>
      </c>
      <c r="G160" s="659">
        <v>42990</v>
      </c>
      <c r="H160" s="655"/>
      <c r="I160" s="655" t="s">
        <v>6288</v>
      </c>
      <c r="J160" s="712"/>
      <c r="K160" s="655" t="s">
        <v>99</v>
      </c>
      <c r="L160" s="655" t="s">
        <v>6550</v>
      </c>
      <c r="M160" s="660">
        <v>275293.15999999997</v>
      </c>
      <c r="N160" s="660">
        <v>0</v>
      </c>
      <c r="O160" s="660">
        <v>44046.91</v>
      </c>
      <c r="P160" s="660">
        <v>319340.07</v>
      </c>
      <c r="Q160" s="548"/>
      <c r="R160" s="660">
        <v>274937.82</v>
      </c>
      <c r="S160" s="549">
        <f t="shared" si="46"/>
        <v>44402.25</v>
      </c>
      <c r="T160" s="267" t="s">
        <v>283</v>
      </c>
      <c r="U160" s="267"/>
      <c r="V160" s="93"/>
      <c r="W160" s="267"/>
      <c r="X160" s="267"/>
      <c r="Y160" s="93"/>
      <c r="Z160" s="618"/>
      <c r="AA160" s="618"/>
      <c r="AB160" s="116"/>
      <c r="AC160" s="424"/>
      <c r="AD160" s="425"/>
      <c r="AE160" s="424"/>
      <c r="AF160" s="424"/>
      <c r="AG160" s="396"/>
      <c r="AH160" s="488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x14ac:dyDescent="0.2">
      <c r="A161" s="423">
        <f t="shared" si="47"/>
        <v>156</v>
      </c>
      <c r="B161" s="721" t="s">
        <v>6057</v>
      </c>
      <c r="C161" s="655">
        <v>520223</v>
      </c>
      <c r="D161" s="658">
        <v>1796</v>
      </c>
      <c r="E161" s="655" t="s">
        <v>689</v>
      </c>
      <c r="F161" s="546">
        <v>2017</v>
      </c>
      <c r="G161" s="659">
        <v>42986</v>
      </c>
      <c r="H161" s="655"/>
      <c r="I161" s="655" t="s">
        <v>6297</v>
      </c>
      <c r="J161" s="712"/>
      <c r="K161" s="655" t="s">
        <v>1146</v>
      </c>
      <c r="L161" s="655" t="s">
        <v>6559</v>
      </c>
      <c r="M161" s="660">
        <v>220610.83</v>
      </c>
      <c r="N161" s="660">
        <v>0</v>
      </c>
      <c r="O161" s="660">
        <v>35297.730000000003</v>
      </c>
      <c r="P161" s="660">
        <v>255908.56</v>
      </c>
      <c r="Q161" s="548"/>
      <c r="R161" s="660">
        <v>220255.74</v>
      </c>
      <c r="S161" s="549">
        <f t="shared" si="46"/>
        <v>35652.820000000007</v>
      </c>
      <c r="T161" s="113" t="s">
        <v>283</v>
      </c>
      <c r="AB161" s="389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x14ac:dyDescent="0.2">
      <c r="A162" s="423">
        <f t="shared" si="47"/>
        <v>157</v>
      </c>
      <c r="B162" s="721" t="s">
        <v>6058</v>
      </c>
      <c r="C162" s="655">
        <v>520223</v>
      </c>
      <c r="D162" s="658">
        <v>1796</v>
      </c>
      <c r="E162" s="655" t="s">
        <v>689</v>
      </c>
      <c r="F162" s="546">
        <v>2017</v>
      </c>
      <c r="G162" s="659">
        <v>42990</v>
      </c>
      <c r="H162" s="655"/>
      <c r="I162" s="655" t="s">
        <v>6298</v>
      </c>
      <c r="J162" s="712"/>
      <c r="K162" s="655" t="s">
        <v>1730</v>
      </c>
      <c r="L162" s="655" t="s">
        <v>6560</v>
      </c>
      <c r="M162" s="660">
        <v>-211926.45</v>
      </c>
      <c r="N162" s="660">
        <v>0</v>
      </c>
      <c r="O162" s="660">
        <v>-33908.230000000003</v>
      </c>
      <c r="P162" s="660">
        <v>-245834.68</v>
      </c>
      <c r="Q162" s="548"/>
      <c r="R162" s="660">
        <v>-211571.1</v>
      </c>
      <c r="S162" s="549">
        <f t="shared" si="46"/>
        <v>-34263.579999999987</v>
      </c>
      <c r="T162" s="267" t="s">
        <v>283</v>
      </c>
      <c r="AB162" s="389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x14ac:dyDescent="0.2">
      <c r="A163" s="423">
        <f t="shared" si="47"/>
        <v>158</v>
      </c>
      <c r="B163" s="721" t="s">
        <v>6059</v>
      </c>
      <c r="C163" s="655">
        <v>520223</v>
      </c>
      <c r="D163" s="658">
        <v>1796</v>
      </c>
      <c r="E163" s="655" t="s">
        <v>689</v>
      </c>
      <c r="F163" s="546">
        <v>2017</v>
      </c>
      <c r="G163" s="659">
        <v>42990</v>
      </c>
      <c r="H163" s="655"/>
      <c r="I163" s="655" t="s">
        <v>6298</v>
      </c>
      <c r="J163" s="712"/>
      <c r="K163" s="655" t="s">
        <v>1730</v>
      </c>
      <c r="L163" s="655" t="s">
        <v>6560</v>
      </c>
      <c r="M163" s="660">
        <v>211926.45</v>
      </c>
      <c r="N163" s="660">
        <v>0</v>
      </c>
      <c r="O163" s="660">
        <v>33908.230000000003</v>
      </c>
      <c r="P163" s="660">
        <v>245834.68</v>
      </c>
      <c r="Q163" s="548"/>
      <c r="R163" s="660">
        <v>211571.1</v>
      </c>
      <c r="S163" s="549">
        <f t="shared" si="46"/>
        <v>34263.579999999987</v>
      </c>
      <c r="T163" s="113" t="s">
        <v>283</v>
      </c>
      <c r="U163" s="291"/>
      <c r="V163" s="291"/>
      <c r="W163" s="291"/>
      <c r="X163" s="291"/>
      <c r="Y163" s="291"/>
      <c r="Z163" s="291"/>
      <c r="AA163" s="291"/>
      <c r="AB163" s="389"/>
      <c r="AC163" s="291"/>
      <c r="AD163" s="291"/>
      <c r="AE163" s="291"/>
      <c r="AF163" s="291"/>
      <c r="AG163" s="395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x14ac:dyDescent="0.2">
      <c r="A164" s="423">
        <f t="shared" si="47"/>
        <v>159</v>
      </c>
      <c r="B164" s="721" t="s">
        <v>6060</v>
      </c>
      <c r="C164" s="655">
        <v>520223</v>
      </c>
      <c r="D164" s="658">
        <v>1796</v>
      </c>
      <c r="E164" s="655" t="s">
        <v>689</v>
      </c>
      <c r="F164" s="546">
        <v>2017</v>
      </c>
      <c r="G164" s="659">
        <v>42990</v>
      </c>
      <c r="H164" s="655"/>
      <c r="I164" s="655" t="s">
        <v>6298</v>
      </c>
      <c r="J164" s="712"/>
      <c r="K164" s="655" t="s">
        <v>1730</v>
      </c>
      <c r="L164" s="655" t="s">
        <v>6560</v>
      </c>
      <c r="M164" s="660">
        <v>211926.45</v>
      </c>
      <c r="N164" s="660">
        <v>0</v>
      </c>
      <c r="O164" s="660">
        <v>33908.230000000003</v>
      </c>
      <c r="P164" s="660">
        <v>245834.68</v>
      </c>
      <c r="Q164" s="548"/>
      <c r="R164" s="660">
        <v>211571.1</v>
      </c>
      <c r="S164" s="549">
        <f t="shared" si="46"/>
        <v>34263.579999999987</v>
      </c>
      <c r="T164" s="113" t="s">
        <v>283</v>
      </c>
      <c r="AB164" s="422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47"/>
        <v>160</v>
      </c>
      <c r="B165" s="721" t="s">
        <v>6061</v>
      </c>
      <c r="C165" s="655">
        <v>520223</v>
      </c>
      <c r="D165" s="658">
        <v>1796</v>
      </c>
      <c r="E165" s="655" t="s">
        <v>689</v>
      </c>
      <c r="F165" s="546">
        <v>2017</v>
      </c>
      <c r="G165" s="659">
        <v>42992</v>
      </c>
      <c r="H165" s="655"/>
      <c r="I165" s="655" t="s">
        <v>6299</v>
      </c>
      <c r="J165" s="712"/>
      <c r="K165" s="655" t="s">
        <v>1710</v>
      </c>
      <c r="L165" s="655" t="s">
        <v>6561</v>
      </c>
      <c r="M165" s="660">
        <v>223602.39</v>
      </c>
      <c r="N165" s="660">
        <v>0</v>
      </c>
      <c r="O165" s="660">
        <v>35776.379999999997</v>
      </c>
      <c r="P165" s="660">
        <v>259378.77</v>
      </c>
      <c r="Q165" s="548"/>
      <c r="R165" s="660">
        <v>220611.22</v>
      </c>
      <c r="S165" s="549">
        <f t="shared" si="46"/>
        <v>38767.549999999988</v>
      </c>
      <c r="T165" s="267" t="s">
        <v>283</v>
      </c>
      <c r="AB165" s="422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x14ac:dyDescent="0.2">
      <c r="A166" s="423">
        <f t="shared" si="47"/>
        <v>161</v>
      </c>
      <c r="B166" s="721" t="s">
        <v>6066</v>
      </c>
      <c r="C166" s="655">
        <v>520222</v>
      </c>
      <c r="D166" s="658">
        <v>1797</v>
      </c>
      <c r="E166" s="655" t="s">
        <v>688</v>
      </c>
      <c r="F166" s="546">
        <v>2017</v>
      </c>
      <c r="G166" s="659">
        <v>43007</v>
      </c>
      <c r="H166" s="655"/>
      <c r="I166" s="655" t="s">
        <v>6303</v>
      </c>
      <c r="J166" s="712"/>
      <c r="K166" s="655" t="s">
        <v>1706</v>
      </c>
      <c r="L166" s="655" t="s">
        <v>6565</v>
      </c>
      <c r="M166" s="660">
        <v>212747.97</v>
      </c>
      <c r="N166" s="660">
        <v>0</v>
      </c>
      <c r="O166" s="660">
        <v>34039.67</v>
      </c>
      <c r="P166" s="660">
        <v>246787.64</v>
      </c>
      <c r="Q166" s="548"/>
      <c r="R166" s="660">
        <v>212747.1</v>
      </c>
      <c r="S166" s="549">
        <f t="shared" si="46"/>
        <v>34040.540000000008</v>
      </c>
      <c r="T166" s="267" t="s">
        <v>283</v>
      </c>
      <c r="AB166" s="422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x14ac:dyDescent="0.2">
      <c r="A167" s="423">
        <f t="shared" si="47"/>
        <v>162</v>
      </c>
      <c r="B167" s="721" t="s">
        <v>6069</v>
      </c>
      <c r="C167" s="655">
        <v>521702</v>
      </c>
      <c r="D167" s="658">
        <v>2005</v>
      </c>
      <c r="E167" s="655" t="s">
        <v>701</v>
      </c>
      <c r="F167" s="546">
        <v>2017</v>
      </c>
      <c r="G167" s="659">
        <v>42997</v>
      </c>
      <c r="H167" s="655"/>
      <c r="I167" s="655" t="s">
        <v>6306</v>
      </c>
      <c r="J167" s="712"/>
      <c r="K167" s="655" t="s">
        <v>1670</v>
      </c>
      <c r="L167" s="655" t="s">
        <v>6568</v>
      </c>
      <c r="M167" s="660">
        <v>168469.59</v>
      </c>
      <c r="N167" s="660">
        <v>0</v>
      </c>
      <c r="O167" s="660">
        <v>26955.13</v>
      </c>
      <c r="P167" s="660">
        <v>195424.72</v>
      </c>
      <c r="Q167" s="548"/>
      <c r="R167" s="660">
        <v>168114.24</v>
      </c>
      <c r="S167" s="549">
        <f t="shared" si="46"/>
        <v>27310.48000000001</v>
      </c>
      <c r="T167" s="113" t="s">
        <v>283</v>
      </c>
      <c r="AB167" s="422"/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x14ac:dyDescent="0.2">
      <c r="A168" s="423">
        <f t="shared" si="47"/>
        <v>163</v>
      </c>
      <c r="B168" s="721" t="s">
        <v>6073</v>
      </c>
      <c r="C168" s="655">
        <v>521702</v>
      </c>
      <c r="D168" s="658">
        <v>2005</v>
      </c>
      <c r="E168" s="655" t="s">
        <v>701</v>
      </c>
      <c r="F168" s="546">
        <v>2017</v>
      </c>
      <c r="G168" s="659">
        <v>43004</v>
      </c>
      <c r="H168" s="655"/>
      <c r="I168" s="655" t="s">
        <v>6308</v>
      </c>
      <c r="J168" s="712"/>
      <c r="K168" s="655" t="s">
        <v>1710</v>
      </c>
      <c r="L168" s="655" t="s">
        <v>6570</v>
      </c>
      <c r="M168" s="660">
        <v>168469.59</v>
      </c>
      <c r="N168" s="660">
        <v>0</v>
      </c>
      <c r="O168" s="660">
        <v>26955.13</v>
      </c>
      <c r="P168" s="660">
        <v>195424.72</v>
      </c>
      <c r="Q168" s="548"/>
      <c r="R168" s="660">
        <v>168114.24</v>
      </c>
      <c r="S168" s="549">
        <f t="shared" si="46"/>
        <v>27310.48000000001</v>
      </c>
      <c r="T168" s="113" t="s">
        <v>283</v>
      </c>
      <c r="AB168" s="422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x14ac:dyDescent="0.2">
      <c r="A169" s="423">
        <f t="shared" si="47"/>
        <v>164</v>
      </c>
      <c r="B169" s="721" t="s">
        <v>6074</v>
      </c>
      <c r="C169" s="655">
        <v>521702</v>
      </c>
      <c r="D169" s="658">
        <v>2005</v>
      </c>
      <c r="E169" s="655" t="s">
        <v>701</v>
      </c>
      <c r="F169" s="546">
        <v>2017</v>
      </c>
      <c r="G169" s="659">
        <v>43004</v>
      </c>
      <c r="H169" s="655"/>
      <c r="I169" s="655" t="s">
        <v>6309</v>
      </c>
      <c r="J169" s="712"/>
      <c r="K169" s="655" t="s">
        <v>1710</v>
      </c>
      <c r="L169" s="655" t="s">
        <v>6571</v>
      </c>
      <c r="M169" s="660">
        <v>168469.59</v>
      </c>
      <c r="N169" s="660">
        <v>0</v>
      </c>
      <c r="O169" s="660">
        <v>26955.13</v>
      </c>
      <c r="P169" s="660">
        <v>195424.72</v>
      </c>
      <c r="Q169" s="548"/>
      <c r="R169" s="660">
        <v>168114.24</v>
      </c>
      <c r="S169" s="549">
        <f t="shared" si="46"/>
        <v>27310.48000000001</v>
      </c>
      <c r="T169" s="113" t="s">
        <v>283</v>
      </c>
      <c r="AB169" s="422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x14ac:dyDescent="0.2">
      <c r="A170" s="423">
        <f t="shared" si="47"/>
        <v>165</v>
      </c>
      <c r="B170" s="721" t="s">
        <v>6075</v>
      </c>
      <c r="C170" s="655">
        <v>521702</v>
      </c>
      <c r="D170" s="658">
        <v>2005</v>
      </c>
      <c r="E170" s="655" t="s">
        <v>701</v>
      </c>
      <c r="F170" s="546">
        <v>2017</v>
      </c>
      <c r="G170" s="659">
        <v>43004</v>
      </c>
      <c r="H170" s="655"/>
      <c r="I170" s="655" t="s">
        <v>6310</v>
      </c>
      <c r="J170" s="712"/>
      <c r="K170" s="655" t="s">
        <v>1754</v>
      </c>
      <c r="L170" s="655" t="s">
        <v>6572</v>
      </c>
      <c r="M170" s="660">
        <v>168469.59</v>
      </c>
      <c r="N170" s="660">
        <v>0</v>
      </c>
      <c r="O170" s="660">
        <v>26955.13</v>
      </c>
      <c r="P170" s="660">
        <v>195424.72</v>
      </c>
      <c r="Q170" s="548"/>
      <c r="R170" s="660">
        <v>168114.24</v>
      </c>
      <c r="S170" s="549">
        <f t="shared" si="46"/>
        <v>27310.48000000001</v>
      </c>
      <c r="T170" s="113" t="s">
        <v>283</v>
      </c>
      <c r="AB170" s="422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x14ac:dyDescent="0.2">
      <c r="A171" s="423">
        <f t="shared" si="47"/>
        <v>166</v>
      </c>
      <c r="B171" s="721" t="s">
        <v>6094</v>
      </c>
      <c r="C171" s="655">
        <v>521801</v>
      </c>
      <c r="D171" s="658">
        <v>2201</v>
      </c>
      <c r="E171" s="655" t="s">
        <v>704</v>
      </c>
      <c r="F171" s="546">
        <v>2017</v>
      </c>
      <c r="G171" s="659">
        <v>43001</v>
      </c>
      <c r="H171" s="655"/>
      <c r="I171" s="655" t="s">
        <v>6320</v>
      </c>
      <c r="J171" s="712"/>
      <c r="K171" s="655" t="s">
        <v>1147</v>
      </c>
      <c r="L171" s="655" t="s">
        <v>6582</v>
      </c>
      <c r="M171" s="660">
        <v>185980.66</v>
      </c>
      <c r="N171" s="660">
        <v>0</v>
      </c>
      <c r="O171" s="660">
        <v>29756.9</v>
      </c>
      <c r="P171" s="660">
        <v>215737.56</v>
      </c>
      <c r="Q171" s="548"/>
      <c r="R171" s="660">
        <v>185625.31</v>
      </c>
      <c r="S171" s="549">
        <f t="shared" si="46"/>
        <v>30112.25</v>
      </c>
      <c r="T171" s="113" t="s">
        <v>283</v>
      </c>
      <c r="AB171" s="422"/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x14ac:dyDescent="0.2">
      <c r="A172" s="423">
        <f t="shared" si="47"/>
        <v>167</v>
      </c>
      <c r="B172" s="721" t="s">
        <v>6095</v>
      </c>
      <c r="C172" s="655">
        <v>521801</v>
      </c>
      <c r="D172" s="658">
        <v>2201</v>
      </c>
      <c r="E172" s="655" t="s">
        <v>704</v>
      </c>
      <c r="F172" s="546">
        <v>2017</v>
      </c>
      <c r="G172" s="659">
        <v>43005</v>
      </c>
      <c r="H172" s="655"/>
      <c r="I172" s="655" t="s">
        <v>6321</v>
      </c>
      <c r="J172" s="712"/>
      <c r="K172" s="655" t="s">
        <v>3129</v>
      </c>
      <c r="L172" s="655" t="s">
        <v>6583</v>
      </c>
      <c r="M172" s="660">
        <v>-185981.66</v>
      </c>
      <c r="N172" s="660">
        <v>0</v>
      </c>
      <c r="O172" s="660">
        <v>-29757.06</v>
      </c>
      <c r="P172" s="660">
        <v>-215738.72</v>
      </c>
      <c r="Q172" s="548"/>
      <c r="R172" s="660">
        <v>-185980.79</v>
      </c>
      <c r="S172" s="549">
        <f t="shared" si="46"/>
        <v>-29757.929999999993</v>
      </c>
      <c r="T172" s="113" t="s">
        <v>283</v>
      </c>
      <c r="AB172" s="422"/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x14ac:dyDescent="0.2">
      <c r="A173" s="423">
        <f t="shared" si="47"/>
        <v>168</v>
      </c>
      <c r="B173" s="721" t="s">
        <v>6096</v>
      </c>
      <c r="C173" s="655">
        <v>521801</v>
      </c>
      <c r="D173" s="658">
        <v>2201</v>
      </c>
      <c r="E173" s="655" t="s">
        <v>704</v>
      </c>
      <c r="F173" s="546">
        <v>2017</v>
      </c>
      <c r="G173" s="659">
        <v>43005</v>
      </c>
      <c r="H173" s="655"/>
      <c r="I173" s="655" t="s">
        <v>6321</v>
      </c>
      <c r="J173" s="712"/>
      <c r="K173" s="655" t="s">
        <v>3129</v>
      </c>
      <c r="L173" s="655" t="s">
        <v>6583</v>
      </c>
      <c r="M173" s="660">
        <v>185981.66</v>
      </c>
      <c r="N173" s="660">
        <v>0</v>
      </c>
      <c r="O173" s="660">
        <v>29757.06</v>
      </c>
      <c r="P173" s="660">
        <v>215738.72</v>
      </c>
      <c r="Q173" s="548"/>
      <c r="R173" s="660">
        <v>185980.79</v>
      </c>
      <c r="S173" s="549">
        <f t="shared" si="46"/>
        <v>29757.929999999993</v>
      </c>
      <c r="T173" s="113" t="s">
        <v>283</v>
      </c>
      <c r="U173" s="267"/>
      <c r="V173" s="93"/>
      <c r="W173" s="267"/>
      <c r="X173" s="267"/>
      <c r="Y173" s="93"/>
      <c r="Z173" s="618"/>
      <c r="AA173" s="424"/>
      <c r="AB173" s="715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x14ac:dyDescent="0.2">
      <c r="A174" s="423">
        <f t="shared" si="47"/>
        <v>169</v>
      </c>
      <c r="B174" s="721" t="s">
        <v>6097</v>
      </c>
      <c r="C174" s="655">
        <v>521801</v>
      </c>
      <c r="D174" s="658">
        <v>2201</v>
      </c>
      <c r="E174" s="655" t="s">
        <v>704</v>
      </c>
      <c r="F174" s="546">
        <v>2017</v>
      </c>
      <c r="G174" s="659">
        <v>43005</v>
      </c>
      <c r="H174" s="655"/>
      <c r="I174" s="655" t="s">
        <v>6321</v>
      </c>
      <c r="J174" s="712"/>
      <c r="K174" s="655" t="s">
        <v>3129</v>
      </c>
      <c r="L174" s="655" t="s">
        <v>6583</v>
      </c>
      <c r="M174" s="660">
        <v>185981.66</v>
      </c>
      <c r="N174" s="660">
        <v>0</v>
      </c>
      <c r="O174" s="660">
        <v>29757.06</v>
      </c>
      <c r="P174" s="660">
        <v>215738.72</v>
      </c>
      <c r="Q174" s="548"/>
      <c r="R174" s="660">
        <v>185980.79</v>
      </c>
      <c r="S174" s="549">
        <f t="shared" si="46"/>
        <v>29757.929999999993</v>
      </c>
      <c r="T174" s="113" t="s">
        <v>283</v>
      </c>
      <c r="U174" s="267"/>
      <c r="V174" s="93"/>
      <c r="W174" s="267"/>
      <c r="X174" s="267"/>
      <c r="Y174" s="93"/>
      <c r="Z174" s="618"/>
      <c r="AA174" s="424"/>
      <c r="AB174" s="715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x14ac:dyDescent="0.2">
      <c r="A175" s="423">
        <f t="shared" si="47"/>
        <v>170</v>
      </c>
      <c r="B175" s="721" t="s">
        <v>6105</v>
      </c>
      <c r="C175" s="655">
        <v>521802</v>
      </c>
      <c r="D175" s="658">
        <v>2202</v>
      </c>
      <c r="E175" s="655" t="s">
        <v>703</v>
      </c>
      <c r="F175" s="546">
        <v>2017</v>
      </c>
      <c r="G175" s="659">
        <v>42989</v>
      </c>
      <c r="H175" s="655"/>
      <c r="I175" s="655" t="s">
        <v>5689</v>
      </c>
      <c r="J175" s="712"/>
      <c r="K175" s="655" t="s">
        <v>365</v>
      </c>
      <c r="L175" s="655" t="s">
        <v>5938</v>
      </c>
      <c r="M175" s="660">
        <v>183213.84</v>
      </c>
      <c r="N175" s="660">
        <v>0</v>
      </c>
      <c r="O175" s="660">
        <v>29314.22</v>
      </c>
      <c r="P175" s="660">
        <v>212528.06</v>
      </c>
      <c r="Q175" s="548"/>
      <c r="R175" s="660">
        <v>183212.98</v>
      </c>
      <c r="S175" s="549">
        <f t="shared" si="46"/>
        <v>29315.079999999987</v>
      </c>
      <c r="T175" s="267" t="s">
        <v>283</v>
      </c>
      <c r="U175" s="267"/>
      <c r="V175" s="93"/>
      <c r="W175" s="267"/>
      <c r="X175" s="267"/>
      <c r="Y175" s="93"/>
      <c r="Z175" s="618"/>
      <c r="AA175" s="424"/>
      <c r="AB175" s="715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x14ac:dyDescent="0.2">
      <c r="A176" s="423">
        <f t="shared" si="47"/>
        <v>171</v>
      </c>
      <c r="B176" s="721" t="s">
        <v>6108</v>
      </c>
      <c r="C176" s="655">
        <v>521802</v>
      </c>
      <c r="D176" s="658">
        <v>2202</v>
      </c>
      <c r="E176" s="655" t="s">
        <v>703</v>
      </c>
      <c r="F176" s="546">
        <v>2017</v>
      </c>
      <c r="G176" s="659">
        <v>42991</v>
      </c>
      <c r="H176" s="655"/>
      <c r="I176" s="655" t="s">
        <v>6326</v>
      </c>
      <c r="J176" s="712"/>
      <c r="K176" s="655" t="s">
        <v>1164</v>
      </c>
      <c r="L176" s="655" t="s">
        <v>6588</v>
      </c>
      <c r="M176" s="660">
        <v>-188023.04000000001</v>
      </c>
      <c r="N176" s="660">
        <v>0</v>
      </c>
      <c r="O176" s="660">
        <v>-30083.69</v>
      </c>
      <c r="P176" s="660">
        <v>-218106.73</v>
      </c>
      <c r="Q176" s="548"/>
      <c r="R176" s="660">
        <v>-187667.7</v>
      </c>
      <c r="S176" s="549">
        <f t="shared" si="46"/>
        <v>-30439.03</v>
      </c>
      <c r="T176" s="113" t="s">
        <v>283</v>
      </c>
      <c r="U176" s="267"/>
      <c r="V176" s="93"/>
      <c r="W176" s="267"/>
      <c r="X176" s="267"/>
      <c r="Y176" s="93"/>
      <c r="Z176" s="618"/>
      <c r="AA176" s="424"/>
      <c r="AB176" s="715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x14ac:dyDescent="0.2">
      <c r="A177" s="423">
        <f t="shared" si="47"/>
        <v>172</v>
      </c>
      <c r="B177" s="721" t="s">
        <v>6109</v>
      </c>
      <c r="C177" s="655">
        <v>521802</v>
      </c>
      <c r="D177" s="658">
        <v>2202</v>
      </c>
      <c r="E177" s="655" t="s">
        <v>703</v>
      </c>
      <c r="F177" s="546">
        <v>2017</v>
      </c>
      <c r="G177" s="659">
        <v>42991</v>
      </c>
      <c r="H177" s="655"/>
      <c r="I177" s="655" t="s">
        <v>6326</v>
      </c>
      <c r="J177" s="712"/>
      <c r="K177" s="655" t="s">
        <v>1164</v>
      </c>
      <c r="L177" s="655" t="s">
        <v>6588</v>
      </c>
      <c r="M177" s="660">
        <v>188023.04000000001</v>
      </c>
      <c r="N177" s="660">
        <v>0</v>
      </c>
      <c r="O177" s="660">
        <v>30083.69</v>
      </c>
      <c r="P177" s="660">
        <v>218106.73</v>
      </c>
      <c r="Q177" s="548"/>
      <c r="R177" s="660">
        <v>187667.7</v>
      </c>
      <c r="S177" s="549">
        <f t="shared" si="46"/>
        <v>30439.03</v>
      </c>
      <c r="T177" s="113" t="s">
        <v>283</v>
      </c>
      <c r="U177" s="267"/>
      <c r="V177" s="93"/>
      <c r="W177" s="267"/>
      <c r="X177" s="267"/>
      <c r="Y177" s="93"/>
      <c r="Z177" s="618"/>
      <c r="AA177" s="424"/>
      <c r="AB177" s="715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x14ac:dyDescent="0.2">
      <c r="A178" s="423">
        <f t="shared" si="47"/>
        <v>173</v>
      </c>
      <c r="B178" s="721" t="s">
        <v>6110</v>
      </c>
      <c r="C178" s="655">
        <v>521802</v>
      </c>
      <c r="D178" s="658">
        <v>2202</v>
      </c>
      <c r="E178" s="655" t="s">
        <v>703</v>
      </c>
      <c r="F178" s="546">
        <v>2017</v>
      </c>
      <c r="G178" s="659">
        <v>42991</v>
      </c>
      <c r="H178" s="655"/>
      <c r="I178" s="655" t="s">
        <v>6327</v>
      </c>
      <c r="J178" s="712"/>
      <c r="K178" s="655" t="s">
        <v>1164</v>
      </c>
      <c r="L178" s="655" t="s">
        <v>6589</v>
      </c>
      <c r="M178" s="660">
        <v>188023.04000000001</v>
      </c>
      <c r="N178" s="660">
        <v>0</v>
      </c>
      <c r="O178" s="660">
        <v>30083.69</v>
      </c>
      <c r="P178" s="660">
        <v>218106.73</v>
      </c>
      <c r="Q178" s="548"/>
      <c r="R178" s="660">
        <v>188022.18</v>
      </c>
      <c r="S178" s="549">
        <f t="shared" si="46"/>
        <v>30084.550000000017</v>
      </c>
      <c r="T178" s="113" t="s">
        <v>283</v>
      </c>
      <c r="U178" s="267"/>
      <c r="V178" s="93"/>
      <c r="W178" s="267"/>
      <c r="X178" s="267"/>
      <c r="Y178" s="93"/>
      <c r="Z178" s="618"/>
      <c r="AA178" s="424"/>
      <c r="AB178" s="715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x14ac:dyDescent="0.2">
      <c r="A179" s="423">
        <f t="shared" si="47"/>
        <v>174</v>
      </c>
      <c r="B179" s="721" t="s">
        <v>6119</v>
      </c>
      <c r="C179" s="655">
        <v>521802</v>
      </c>
      <c r="D179" s="658">
        <v>2202</v>
      </c>
      <c r="E179" s="655" t="s">
        <v>703</v>
      </c>
      <c r="F179" s="546">
        <v>2017</v>
      </c>
      <c r="G179" s="659">
        <v>43004</v>
      </c>
      <c r="H179" s="655"/>
      <c r="I179" s="655" t="s">
        <v>6329</v>
      </c>
      <c r="J179" s="712"/>
      <c r="K179" s="655" t="s">
        <v>1144</v>
      </c>
      <c r="L179" s="655" t="s">
        <v>6591</v>
      </c>
      <c r="M179" s="660">
        <v>188023.17</v>
      </c>
      <c r="N179" s="660">
        <v>0</v>
      </c>
      <c r="O179" s="660">
        <v>30083.71</v>
      </c>
      <c r="P179" s="660">
        <v>218106.88</v>
      </c>
      <c r="Q179" s="548"/>
      <c r="R179" s="660">
        <v>188022.31</v>
      </c>
      <c r="S179" s="549">
        <f t="shared" si="46"/>
        <v>30084.570000000007</v>
      </c>
      <c r="T179" s="113" t="s">
        <v>283</v>
      </c>
      <c r="U179" s="267"/>
      <c r="V179" s="93"/>
      <c r="W179" s="267"/>
      <c r="X179" s="267"/>
      <c r="Y179" s="93"/>
      <c r="Z179" s="618"/>
      <c r="AA179" s="424"/>
      <c r="AB179" s="715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x14ac:dyDescent="0.2">
      <c r="A180" s="423">
        <f t="shared" si="47"/>
        <v>175</v>
      </c>
      <c r="B180" s="721" t="s">
        <v>6120</v>
      </c>
      <c r="C180" s="655">
        <v>521802</v>
      </c>
      <c r="D180" s="658">
        <v>2204</v>
      </c>
      <c r="E180" s="655" t="s">
        <v>705</v>
      </c>
      <c r="F180" s="546">
        <v>2017</v>
      </c>
      <c r="G180" s="659">
        <v>43004</v>
      </c>
      <c r="H180" s="655"/>
      <c r="I180" s="655" t="s">
        <v>6330</v>
      </c>
      <c r="J180" s="712"/>
      <c r="K180" s="655" t="s">
        <v>2404</v>
      </c>
      <c r="L180" s="655" t="s">
        <v>6592</v>
      </c>
      <c r="M180" s="660">
        <v>210656.14</v>
      </c>
      <c r="N180" s="660">
        <v>0</v>
      </c>
      <c r="O180" s="660">
        <v>33704.980000000003</v>
      </c>
      <c r="P180" s="660">
        <v>244361.12</v>
      </c>
      <c r="Q180" s="548"/>
      <c r="R180" s="660">
        <v>210300.79</v>
      </c>
      <c r="S180" s="549">
        <f t="shared" si="46"/>
        <v>34060.329999999987</v>
      </c>
      <c r="T180" s="113" t="s">
        <v>283</v>
      </c>
      <c r="U180" s="267"/>
      <c r="V180" s="93"/>
      <c r="W180" s="267"/>
      <c r="X180" s="267"/>
      <c r="Y180" s="93"/>
      <c r="Z180" s="618"/>
      <c r="AA180" s="424"/>
      <c r="AB180" s="715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x14ac:dyDescent="0.2">
      <c r="A181" s="423">
        <f t="shared" si="47"/>
        <v>176</v>
      </c>
      <c r="B181" s="721" t="s">
        <v>6121</v>
      </c>
      <c r="C181" s="655">
        <v>521802</v>
      </c>
      <c r="D181" s="658">
        <v>2204</v>
      </c>
      <c r="E181" s="655" t="s">
        <v>705</v>
      </c>
      <c r="F181" s="546">
        <v>2017</v>
      </c>
      <c r="G181" s="659">
        <v>43004</v>
      </c>
      <c r="H181" s="655"/>
      <c r="I181" s="655" t="s">
        <v>6331</v>
      </c>
      <c r="J181" s="712"/>
      <c r="K181" s="655" t="s">
        <v>2404</v>
      </c>
      <c r="L181" s="655" t="s">
        <v>6593</v>
      </c>
      <c r="M181" s="660">
        <v>210657.14</v>
      </c>
      <c r="N181" s="660">
        <v>0</v>
      </c>
      <c r="O181" s="660">
        <v>33705.14</v>
      </c>
      <c r="P181" s="660">
        <v>244362.28</v>
      </c>
      <c r="Q181" s="548"/>
      <c r="R181" s="660">
        <v>210656.28</v>
      </c>
      <c r="S181" s="549">
        <f t="shared" si="46"/>
        <v>33706</v>
      </c>
      <c r="T181" s="267" t="s">
        <v>283</v>
      </c>
      <c r="U181" s="267"/>
      <c r="V181" s="93"/>
      <c r="W181" s="267"/>
      <c r="X181" s="267"/>
      <c r="Y181" s="93"/>
      <c r="Z181" s="618"/>
      <c r="AA181" s="424"/>
      <c r="AB181" s="715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x14ac:dyDescent="0.2">
      <c r="A182" s="423">
        <f t="shared" si="47"/>
        <v>177</v>
      </c>
      <c r="B182" s="721" t="s">
        <v>6122</v>
      </c>
      <c r="C182" s="655">
        <v>521802</v>
      </c>
      <c r="D182" s="658">
        <v>2204</v>
      </c>
      <c r="E182" s="655" t="s">
        <v>705</v>
      </c>
      <c r="F182" s="546">
        <v>2017</v>
      </c>
      <c r="G182" s="659">
        <v>43005</v>
      </c>
      <c r="H182" s="655"/>
      <c r="I182" s="655" t="s">
        <v>6332</v>
      </c>
      <c r="J182" s="712"/>
      <c r="K182" s="655" t="s">
        <v>1175</v>
      </c>
      <c r="L182" s="655" t="s">
        <v>6594</v>
      </c>
      <c r="M182" s="660">
        <v>208376.11</v>
      </c>
      <c r="N182" s="660">
        <v>0</v>
      </c>
      <c r="O182" s="660">
        <v>33340.18</v>
      </c>
      <c r="P182" s="660">
        <v>241716.29</v>
      </c>
      <c r="Q182" s="548"/>
      <c r="R182" s="660">
        <v>208375.25</v>
      </c>
      <c r="S182" s="549">
        <f t="shared" si="46"/>
        <v>33341.040000000008</v>
      </c>
      <c r="T182" s="113" t="s">
        <v>283</v>
      </c>
      <c r="U182" s="267"/>
      <c r="V182" s="93"/>
      <c r="W182" s="267"/>
      <c r="X182" s="267"/>
      <c r="Y182" s="93"/>
      <c r="Z182" s="618"/>
      <c r="AA182" s="424"/>
      <c r="AB182" s="715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x14ac:dyDescent="0.2">
      <c r="A183" s="423">
        <f t="shared" si="47"/>
        <v>178</v>
      </c>
      <c r="B183" s="721" t="s">
        <v>6123</v>
      </c>
      <c r="C183" s="655">
        <v>521802</v>
      </c>
      <c r="D183" s="658">
        <v>2204</v>
      </c>
      <c r="E183" s="655" t="s">
        <v>705</v>
      </c>
      <c r="F183" s="546">
        <v>2017</v>
      </c>
      <c r="G183" s="659">
        <v>43005</v>
      </c>
      <c r="H183" s="655"/>
      <c r="I183" s="655" t="s">
        <v>6331</v>
      </c>
      <c r="J183" s="712"/>
      <c r="K183" s="655" t="s">
        <v>2404</v>
      </c>
      <c r="L183" s="655" t="s">
        <v>6593</v>
      </c>
      <c r="M183" s="660">
        <v>-210657.14</v>
      </c>
      <c r="N183" s="660">
        <v>0</v>
      </c>
      <c r="O183" s="660">
        <v>-33705.14</v>
      </c>
      <c r="P183" s="660">
        <v>-244362.28</v>
      </c>
      <c r="Q183" s="548"/>
      <c r="R183" s="660">
        <v>-210656.28</v>
      </c>
      <c r="S183" s="549">
        <f t="shared" si="46"/>
        <v>-33706</v>
      </c>
      <c r="T183" s="113" t="s">
        <v>283</v>
      </c>
      <c r="U183" s="267"/>
      <c r="V183" s="93"/>
      <c r="W183" s="267"/>
      <c r="X183" s="267"/>
      <c r="Y183" s="93"/>
      <c r="Z183" s="618"/>
      <c r="AA183" s="424"/>
      <c r="AB183" s="715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x14ac:dyDescent="0.2">
      <c r="A184" s="423">
        <f t="shared" si="47"/>
        <v>179</v>
      </c>
      <c r="B184" s="721" t="s">
        <v>6124</v>
      </c>
      <c r="C184" s="655">
        <v>521802</v>
      </c>
      <c r="D184" s="658">
        <v>2204</v>
      </c>
      <c r="E184" s="655" t="s">
        <v>705</v>
      </c>
      <c r="F184" s="546">
        <v>2017</v>
      </c>
      <c r="G184" s="659">
        <v>43005</v>
      </c>
      <c r="H184" s="655"/>
      <c r="I184" s="655" t="s">
        <v>6331</v>
      </c>
      <c r="J184" s="712"/>
      <c r="K184" s="655" t="s">
        <v>1698</v>
      </c>
      <c r="L184" s="655" t="s">
        <v>6593</v>
      </c>
      <c r="M184" s="660">
        <v>210657.14</v>
      </c>
      <c r="N184" s="660">
        <v>0</v>
      </c>
      <c r="O184" s="660">
        <v>33705.14</v>
      </c>
      <c r="P184" s="660">
        <v>244362.28</v>
      </c>
      <c r="Q184" s="548"/>
      <c r="R184" s="660">
        <v>210656.28</v>
      </c>
      <c r="S184" s="549">
        <f t="shared" si="46"/>
        <v>33706</v>
      </c>
      <c r="T184" s="113" t="s">
        <v>283</v>
      </c>
      <c r="U184" s="267"/>
      <c r="V184" s="93"/>
      <c r="W184" s="267"/>
      <c r="X184" s="267"/>
      <c r="Y184" s="93"/>
      <c r="Z184" s="618"/>
      <c r="AA184" s="424"/>
      <c r="AB184" s="715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x14ac:dyDescent="0.2">
      <c r="A185" s="423">
        <f t="shared" si="47"/>
        <v>180</v>
      </c>
      <c r="B185" s="721" t="s">
        <v>6131</v>
      </c>
      <c r="C185" s="655">
        <v>520108</v>
      </c>
      <c r="D185" s="658">
        <v>2593</v>
      </c>
      <c r="E185" s="655" t="s">
        <v>685</v>
      </c>
      <c r="F185" s="546">
        <v>2018</v>
      </c>
      <c r="G185" s="659">
        <v>42991</v>
      </c>
      <c r="H185" s="655"/>
      <c r="I185" s="655" t="s">
        <v>6335</v>
      </c>
      <c r="J185" s="712"/>
      <c r="K185" s="655" t="s">
        <v>1189</v>
      </c>
      <c r="L185" s="655" t="s">
        <v>6597</v>
      </c>
      <c r="M185" s="660">
        <v>342618.35</v>
      </c>
      <c r="N185" s="660">
        <v>0</v>
      </c>
      <c r="O185" s="660">
        <v>54818.94</v>
      </c>
      <c r="P185" s="660">
        <v>397437.29</v>
      </c>
      <c r="Q185" s="548"/>
      <c r="R185" s="660">
        <v>342617.49</v>
      </c>
      <c r="S185" s="549">
        <f t="shared" si="46"/>
        <v>54819.799999999988</v>
      </c>
      <c r="T185" s="113" t="s">
        <v>283</v>
      </c>
      <c r="U185" s="267"/>
      <c r="V185" s="93"/>
      <c r="W185" s="267"/>
      <c r="X185" s="267"/>
      <c r="Y185" s="93"/>
      <c r="Z185" s="618"/>
      <c r="AA185" s="424"/>
      <c r="AB185" s="715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x14ac:dyDescent="0.2">
      <c r="A186" s="423">
        <f t="shared" si="47"/>
        <v>181</v>
      </c>
      <c r="B186" s="721" t="s">
        <v>6133</v>
      </c>
      <c r="C186" s="655">
        <v>520115</v>
      </c>
      <c r="D186" s="658">
        <v>2593</v>
      </c>
      <c r="E186" s="655" t="s">
        <v>685</v>
      </c>
      <c r="F186" s="546">
        <v>2018</v>
      </c>
      <c r="G186" s="659">
        <v>43001</v>
      </c>
      <c r="H186" s="655"/>
      <c r="I186" s="655" t="s">
        <v>6337</v>
      </c>
      <c r="J186" s="712"/>
      <c r="K186" s="655" t="s">
        <v>1672</v>
      </c>
      <c r="L186" s="655" t="s">
        <v>6599</v>
      </c>
      <c r="M186" s="660">
        <v>342835.57</v>
      </c>
      <c r="N186" s="660">
        <v>0</v>
      </c>
      <c r="O186" s="660">
        <v>54853.69</v>
      </c>
      <c r="P186" s="660">
        <v>397689.26</v>
      </c>
      <c r="Q186" s="548"/>
      <c r="R186" s="660">
        <v>342480.22</v>
      </c>
      <c r="S186" s="549">
        <f t="shared" si="46"/>
        <v>55209.040000000037</v>
      </c>
      <c r="T186" s="113" t="s">
        <v>283</v>
      </c>
      <c r="U186" s="267"/>
      <c r="V186" s="93"/>
      <c r="W186" s="267"/>
      <c r="X186" s="267"/>
      <c r="Y186" s="93"/>
      <c r="Z186" s="618"/>
      <c r="AA186" s="424"/>
      <c r="AB186" s="715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x14ac:dyDescent="0.2">
      <c r="A187" s="423">
        <f t="shared" si="47"/>
        <v>182</v>
      </c>
      <c r="B187" s="721" t="s">
        <v>6134</v>
      </c>
      <c r="C187" s="655">
        <v>520112</v>
      </c>
      <c r="D187" s="658">
        <v>2594</v>
      </c>
      <c r="E187" s="655" t="s">
        <v>720</v>
      </c>
      <c r="F187" s="546">
        <v>2018</v>
      </c>
      <c r="G187" s="659">
        <v>42992</v>
      </c>
      <c r="H187" s="655"/>
      <c r="I187" s="655" t="s">
        <v>6338</v>
      </c>
      <c r="J187" s="712"/>
      <c r="K187" s="655" t="s">
        <v>1670</v>
      </c>
      <c r="L187" s="655" t="s">
        <v>6600</v>
      </c>
      <c r="M187" s="660">
        <v>360668.33</v>
      </c>
      <c r="N187" s="660">
        <v>0</v>
      </c>
      <c r="O187" s="660">
        <v>57706.93</v>
      </c>
      <c r="P187" s="660">
        <v>418375.26</v>
      </c>
      <c r="Q187" s="548"/>
      <c r="R187" s="660">
        <v>360667.47</v>
      </c>
      <c r="S187" s="549">
        <f t="shared" si="46"/>
        <v>57707.790000000037</v>
      </c>
      <c r="T187" s="113" t="s">
        <v>283</v>
      </c>
      <c r="U187" s="267"/>
      <c r="V187" s="93"/>
      <c r="W187" s="267"/>
      <c r="X187" s="267"/>
      <c r="Y187" s="93"/>
      <c r="Z187" s="618"/>
      <c r="AA187" s="424"/>
      <c r="AB187" s="715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x14ac:dyDescent="0.2">
      <c r="A188" s="423">
        <f t="shared" si="47"/>
        <v>183</v>
      </c>
      <c r="B188" s="748" t="s">
        <v>6136</v>
      </c>
      <c r="C188" s="749">
        <v>520115</v>
      </c>
      <c r="D188" s="750">
        <v>2620</v>
      </c>
      <c r="E188" s="749" t="s">
        <v>5618</v>
      </c>
      <c r="F188" s="751">
        <v>2018</v>
      </c>
      <c r="G188" s="752">
        <v>43007</v>
      </c>
      <c r="H188" s="749"/>
      <c r="I188" s="749" t="s">
        <v>6340</v>
      </c>
      <c r="J188" s="712"/>
      <c r="K188" s="749" t="s">
        <v>1754</v>
      </c>
      <c r="L188" s="749" t="s">
        <v>6602</v>
      </c>
      <c r="M188" s="753">
        <v>322205.89</v>
      </c>
      <c r="N188" s="753">
        <v>0</v>
      </c>
      <c r="O188" s="753">
        <v>51552.94</v>
      </c>
      <c r="P188" s="753">
        <v>373758.83</v>
      </c>
      <c r="Q188" s="548"/>
      <c r="R188" s="753">
        <v>321850.53999999998</v>
      </c>
      <c r="S188" s="754">
        <f t="shared" si="46"/>
        <v>51908.290000000037</v>
      </c>
      <c r="T188" s="113" t="s">
        <v>283</v>
      </c>
      <c r="U188" s="267"/>
      <c r="V188" s="93"/>
      <c r="W188" s="267"/>
      <c r="X188" s="267"/>
      <c r="Y188" s="93"/>
      <c r="Z188" s="618"/>
      <c r="AA188" s="424"/>
      <c r="AB188" s="715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x14ac:dyDescent="0.2">
      <c r="A189" s="423">
        <f t="shared" si="47"/>
        <v>184</v>
      </c>
      <c r="B189" s="721" t="s">
        <v>6137</v>
      </c>
      <c r="C189" s="655">
        <v>520815</v>
      </c>
      <c r="D189" s="658">
        <v>4492</v>
      </c>
      <c r="E189" s="655" t="s">
        <v>694</v>
      </c>
      <c r="F189" s="546">
        <v>2017</v>
      </c>
      <c r="G189" s="659">
        <v>42986</v>
      </c>
      <c r="H189" s="655"/>
      <c r="I189" s="655" t="s">
        <v>6341</v>
      </c>
      <c r="J189" s="712"/>
      <c r="K189" s="655" t="s">
        <v>357</v>
      </c>
      <c r="L189" s="655" t="s">
        <v>6603</v>
      </c>
      <c r="M189" s="660">
        <v>311960.53000000003</v>
      </c>
      <c r="N189" s="660">
        <v>0</v>
      </c>
      <c r="O189" s="660">
        <v>49913.68</v>
      </c>
      <c r="P189" s="660">
        <v>361874.21</v>
      </c>
      <c r="Q189" s="548"/>
      <c r="R189" s="660">
        <v>311959.65999999997</v>
      </c>
      <c r="S189" s="549">
        <f t="shared" si="46"/>
        <v>49914.550000000047</v>
      </c>
      <c r="T189" s="113" t="s">
        <v>283</v>
      </c>
      <c r="U189" s="267"/>
      <c r="V189" s="93"/>
      <c r="W189" s="267"/>
      <c r="X189" s="267"/>
      <c r="Y189" s="93"/>
      <c r="Z189" s="618"/>
      <c r="AA189" s="424"/>
      <c r="AB189" s="715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x14ac:dyDescent="0.2">
      <c r="A190" s="423">
        <f t="shared" si="47"/>
        <v>185</v>
      </c>
      <c r="B190" s="721" t="s">
        <v>6142</v>
      </c>
      <c r="C190" s="655">
        <v>520815</v>
      </c>
      <c r="D190" s="658">
        <v>4492</v>
      </c>
      <c r="E190" s="655" t="s">
        <v>694</v>
      </c>
      <c r="F190" s="546">
        <v>2017</v>
      </c>
      <c r="G190" s="659">
        <v>42997</v>
      </c>
      <c r="H190" s="655"/>
      <c r="I190" s="655" t="s">
        <v>6345</v>
      </c>
      <c r="J190" s="712"/>
      <c r="K190" s="655" t="s">
        <v>1710</v>
      </c>
      <c r="L190" s="655" t="s">
        <v>6607</v>
      </c>
      <c r="M190" s="660">
        <v>311960.53000000003</v>
      </c>
      <c r="N190" s="660">
        <v>0</v>
      </c>
      <c r="O190" s="660">
        <v>49913.68</v>
      </c>
      <c r="P190" s="660">
        <v>361874.21</v>
      </c>
      <c r="Q190" s="548"/>
      <c r="R190" s="660">
        <v>311605.18</v>
      </c>
      <c r="S190" s="549">
        <f t="shared" si="46"/>
        <v>50269.030000000028</v>
      </c>
      <c r="T190" s="113" t="s">
        <v>283</v>
      </c>
      <c r="AB190" s="389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x14ac:dyDescent="0.2">
      <c r="A191" s="423">
        <f t="shared" si="47"/>
        <v>186</v>
      </c>
      <c r="B191" s="721" t="s">
        <v>6148</v>
      </c>
      <c r="C191" s="655">
        <v>520816</v>
      </c>
      <c r="D191" s="658">
        <v>4497</v>
      </c>
      <c r="E191" s="655" t="s">
        <v>695</v>
      </c>
      <c r="F191" s="546">
        <v>2017</v>
      </c>
      <c r="G191" s="659">
        <v>43005</v>
      </c>
      <c r="H191" s="655"/>
      <c r="I191" s="655" t="s">
        <v>6349</v>
      </c>
      <c r="J191" s="712"/>
      <c r="K191" s="655" t="s">
        <v>3129</v>
      </c>
      <c r="L191" s="655" t="s">
        <v>6611</v>
      </c>
      <c r="M191" s="660">
        <v>376786.6</v>
      </c>
      <c r="N191" s="660">
        <v>0</v>
      </c>
      <c r="O191" s="660">
        <v>60285.86</v>
      </c>
      <c r="P191" s="660">
        <v>437072.46</v>
      </c>
      <c r="Q191" s="548"/>
      <c r="R191" s="660">
        <v>366387.79</v>
      </c>
      <c r="S191" s="549">
        <f t="shared" si="46"/>
        <v>70684.670000000042</v>
      </c>
      <c r="T191" s="113" t="s">
        <v>283</v>
      </c>
      <c r="AB191" s="389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47"/>
        <v>187</v>
      </c>
      <c r="B192" s="721" t="s">
        <v>6149</v>
      </c>
      <c r="C192" s="655">
        <v>520816</v>
      </c>
      <c r="D192" s="658">
        <v>4497</v>
      </c>
      <c r="E192" s="655" t="s">
        <v>695</v>
      </c>
      <c r="F192" s="546">
        <v>2017</v>
      </c>
      <c r="G192" s="659">
        <v>43005</v>
      </c>
      <c r="H192" s="655"/>
      <c r="I192" s="655" t="s">
        <v>6350</v>
      </c>
      <c r="J192" s="712"/>
      <c r="K192" s="655" t="s">
        <v>1175</v>
      </c>
      <c r="L192" s="655" t="s">
        <v>6612</v>
      </c>
      <c r="M192" s="660">
        <v>376786.6</v>
      </c>
      <c r="N192" s="660">
        <v>0</v>
      </c>
      <c r="O192" s="660">
        <v>60285.86</v>
      </c>
      <c r="P192" s="660">
        <v>437072.46</v>
      </c>
      <c r="Q192" s="548"/>
      <c r="R192" s="660">
        <v>366387.79</v>
      </c>
      <c r="S192" s="549">
        <f t="shared" si="46"/>
        <v>70684.670000000042</v>
      </c>
      <c r="T192" s="267" t="s">
        <v>283</v>
      </c>
      <c r="AB192" s="389"/>
      <c r="AI192" s="313"/>
      <c r="AK192" s="296"/>
      <c r="AL192" s="374"/>
      <c r="AM192" s="374"/>
    </row>
    <row r="193" spans="1:45" s="291" customFormat="1" x14ac:dyDescent="0.2">
      <c r="A193" s="423">
        <f t="shared" si="47"/>
        <v>188</v>
      </c>
      <c r="B193" s="721" t="s">
        <v>6151</v>
      </c>
      <c r="C193" s="655">
        <v>520816</v>
      </c>
      <c r="D193" s="658">
        <v>4497</v>
      </c>
      <c r="E193" s="655" t="s">
        <v>695</v>
      </c>
      <c r="F193" s="546">
        <v>2017</v>
      </c>
      <c r="G193" s="659">
        <v>43007</v>
      </c>
      <c r="H193" s="655"/>
      <c r="I193" s="655" t="s">
        <v>6349</v>
      </c>
      <c r="J193" s="712"/>
      <c r="K193" s="655" t="s">
        <v>3129</v>
      </c>
      <c r="L193" s="655" t="s">
        <v>6611</v>
      </c>
      <c r="M193" s="660">
        <v>-376786.6</v>
      </c>
      <c r="N193" s="660">
        <v>0</v>
      </c>
      <c r="O193" s="660">
        <v>-60285.86</v>
      </c>
      <c r="P193" s="660">
        <v>-437072.46</v>
      </c>
      <c r="Q193" s="548"/>
      <c r="R193" s="660">
        <v>-366387.79</v>
      </c>
      <c r="S193" s="549">
        <f t="shared" si="46"/>
        <v>-70684.670000000042</v>
      </c>
      <c r="T193" s="444" t="s">
        <v>283</v>
      </c>
      <c r="AB193" s="389"/>
      <c r="AI193" s="313"/>
      <c r="AK193" s="296"/>
      <c r="AL193" s="374"/>
      <c r="AM193" s="374"/>
    </row>
    <row r="194" spans="1:45" s="291" customFormat="1" x14ac:dyDescent="0.2">
      <c r="A194" s="423">
        <f t="shared" si="47"/>
        <v>189</v>
      </c>
      <c r="B194" s="721" t="s">
        <v>6698</v>
      </c>
      <c r="C194" s="655">
        <v>520816</v>
      </c>
      <c r="D194" s="658">
        <v>4497</v>
      </c>
      <c r="E194" s="655" t="s">
        <v>695</v>
      </c>
      <c r="F194" s="546">
        <v>2017</v>
      </c>
      <c r="G194" s="659">
        <v>43007</v>
      </c>
      <c r="H194" s="655"/>
      <c r="I194" s="655" t="s">
        <v>6352</v>
      </c>
      <c r="J194" s="712"/>
      <c r="K194" s="655" t="s">
        <v>3129</v>
      </c>
      <c r="L194" s="655" t="s">
        <v>6611</v>
      </c>
      <c r="M194" s="660">
        <v>376786.6</v>
      </c>
      <c r="N194" s="660">
        <v>0</v>
      </c>
      <c r="O194" s="660">
        <v>60285.86</v>
      </c>
      <c r="P194" s="660">
        <v>437072.46</v>
      </c>
      <c r="Q194" s="548"/>
      <c r="R194" s="660">
        <v>366387.79</v>
      </c>
      <c r="S194" s="549">
        <f t="shared" si="46"/>
        <v>70684.670000000042</v>
      </c>
      <c r="T194" s="113" t="s">
        <v>283</v>
      </c>
      <c r="AB194" s="389"/>
      <c r="AI194" s="313"/>
      <c r="AJ194" s="374"/>
      <c r="AK194" s="374"/>
      <c r="AL194" s="374"/>
      <c r="AM194" s="374"/>
    </row>
    <row r="195" spans="1:45" s="348" customFormat="1" x14ac:dyDescent="0.2">
      <c r="A195" s="423">
        <f t="shared" si="47"/>
        <v>190</v>
      </c>
      <c r="B195" s="721" t="s">
        <v>6152</v>
      </c>
      <c r="C195" s="655">
        <v>520513</v>
      </c>
      <c r="D195" s="658">
        <v>5396</v>
      </c>
      <c r="E195" s="655" t="s">
        <v>132</v>
      </c>
      <c r="F195" s="546">
        <v>2017</v>
      </c>
      <c r="G195" s="659">
        <v>42992</v>
      </c>
      <c r="H195" s="655"/>
      <c r="I195" s="655" t="s">
        <v>6353</v>
      </c>
      <c r="J195" s="712"/>
      <c r="K195" s="655" t="s">
        <v>1698</v>
      </c>
      <c r="L195" s="655" t="s">
        <v>6614</v>
      </c>
      <c r="M195" s="660">
        <v>426221.97</v>
      </c>
      <c r="N195" s="660">
        <v>0</v>
      </c>
      <c r="O195" s="660">
        <v>68195.520000000004</v>
      </c>
      <c r="P195" s="660">
        <v>494417.49</v>
      </c>
      <c r="Q195" s="548"/>
      <c r="R195" s="660">
        <v>425866.63</v>
      </c>
      <c r="S195" s="549">
        <f t="shared" si="46"/>
        <v>68550.859999999986</v>
      </c>
      <c r="T195" s="113" t="s">
        <v>283</v>
      </c>
      <c r="AB195" s="389"/>
      <c r="AI195" s="363"/>
      <c r="AJ195" s="330"/>
      <c r="AK195" s="330"/>
      <c r="AL195" s="330"/>
      <c r="AM195" s="330"/>
    </row>
    <row r="196" spans="1:45" s="351" customFormat="1" x14ac:dyDescent="0.2">
      <c r="A196" s="423">
        <f t="shared" si="47"/>
        <v>191</v>
      </c>
      <c r="B196" s="721" t="s">
        <v>6162</v>
      </c>
      <c r="C196" s="655">
        <v>520514</v>
      </c>
      <c r="D196" s="658">
        <v>5398</v>
      </c>
      <c r="E196" s="655" t="s">
        <v>117</v>
      </c>
      <c r="F196" s="546">
        <v>2017</v>
      </c>
      <c r="G196" s="659">
        <v>43004</v>
      </c>
      <c r="H196" s="655"/>
      <c r="I196" s="655" t="s">
        <v>6361</v>
      </c>
      <c r="J196" s="712"/>
      <c r="K196" s="655" t="s">
        <v>1164</v>
      </c>
      <c r="L196" s="655" t="s">
        <v>6622</v>
      </c>
      <c r="M196" s="660">
        <v>467192.98</v>
      </c>
      <c r="N196" s="660">
        <v>0</v>
      </c>
      <c r="O196" s="660">
        <v>74750.880000000005</v>
      </c>
      <c r="P196" s="660">
        <v>541943.86</v>
      </c>
      <c r="Q196" s="548"/>
      <c r="R196" s="660">
        <v>466837.64</v>
      </c>
      <c r="S196" s="549">
        <f t="shared" si="46"/>
        <v>75106.219999999972</v>
      </c>
      <c r="T196" s="267" t="s">
        <v>283</v>
      </c>
      <c r="AB196" s="389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x14ac:dyDescent="0.2">
      <c r="A197" s="423">
        <f t="shared" si="47"/>
        <v>192</v>
      </c>
      <c r="B197" s="721" t="s">
        <v>6163</v>
      </c>
      <c r="C197" s="655">
        <v>520514</v>
      </c>
      <c r="D197" s="658">
        <v>5398</v>
      </c>
      <c r="E197" s="655" t="s">
        <v>117</v>
      </c>
      <c r="F197" s="546">
        <v>2017</v>
      </c>
      <c r="G197" s="659">
        <v>43004</v>
      </c>
      <c r="H197" s="655"/>
      <c r="I197" s="655" t="s">
        <v>6362</v>
      </c>
      <c r="J197" s="712"/>
      <c r="K197" s="655" t="s">
        <v>1164</v>
      </c>
      <c r="L197" s="655" t="s">
        <v>6623</v>
      </c>
      <c r="M197" s="660">
        <v>467192.98</v>
      </c>
      <c r="N197" s="660">
        <v>0</v>
      </c>
      <c r="O197" s="660">
        <v>74750.880000000005</v>
      </c>
      <c r="P197" s="660">
        <v>541943.86</v>
      </c>
      <c r="Q197" s="548"/>
      <c r="R197" s="660">
        <v>466837.64</v>
      </c>
      <c r="S197" s="549">
        <f t="shared" si="46"/>
        <v>75106.219999999972</v>
      </c>
      <c r="T197" s="267" t="s">
        <v>283</v>
      </c>
      <c r="AB197" s="389"/>
      <c r="AI197" s="313"/>
      <c r="AJ197" s="331"/>
      <c r="AK197" s="330"/>
      <c r="AL197" s="330"/>
      <c r="AM197" s="330"/>
    </row>
    <row r="198" spans="1:45" s="291" customFormat="1" x14ac:dyDescent="0.2">
      <c r="A198" s="423">
        <f t="shared" si="47"/>
        <v>193</v>
      </c>
      <c r="B198" s="721" t="s">
        <v>6167</v>
      </c>
      <c r="C198" s="655">
        <v>1520202</v>
      </c>
      <c r="D198" s="658">
        <v>5601</v>
      </c>
      <c r="E198" s="655" t="s">
        <v>221</v>
      </c>
      <c r="F198" s="546">
        <v>2018</v>
      </c>
      <c r="G198" s="659">
        <v>42985</v>
      </c>
      <c r="H198" s="655"/>
      <c r="I198" s="655" t="s">
        <v>6366</v>
      </c>
      <c r="J198" s="712"/>
      <c r="K198" s="655" t="s">
        <v>1754</v>
      </c>
      <c r="L198" s="655" t="s">
        <v>6627</v>
      </c>
      <c r="M198" s="660">
        <v>289093.28999999998</v>
      </c>
      <c r="N198" s="660">
        <v>0</v>
      </c>
      <c r="O198" s="660">
        <v>46254.93</v>
      </c>
      <c r="P198" s="660">
        <v>335348.21999999997</v>
      </c>
      <c r="Q198" s="548"/>
      <c r="R198" s="660">
        <v>288738.28999999998</v>
      </c>
      <c r="S198" s="549">
        <f t="shared" ref="S198:S256" si="48">+P198-R198</f>
        <v>46609.929999999993</v>
      </c>
      <c r="T198" s="113" t="s">
        <v>283</v>
      </c>
      <c r="AB198" s="389"/>
      <c r="AI198" s="313"/>
      <c r="AJ198" s="331"/>
      <c r="AK198" s="374"/>
      <c r="AL198" s="374"/>
      <c r="AM198" s="374"/>
    </row>
    <row r="199" spans="1:45" s="351" customFormat="1" x14ac:dyDescent="0.2">
      <c r="A199" s="423">
        <f t="shared" si="47"/>
        <v>194</v>
      </c>
      <c r="B199" s="721" t="s">
        <v>6168</v>
      </c>
      <c r="C199" s="655">
        <v>1520202</v>
      </c>
      <c r="D199" s="658">
        <v>5601</v>
      </c>
      <c r="E199" s="655" t="s">
        <v>221</v>
      </c>
      <c r="F199" s="546">
        <v>2018</v>
      </c>
      <c r="G199" s="659">
        <v>43004</v>
      </c>
      <c r="H199" s="655"/>
      <c r="I199" s="655" t="s">
        <v>6367</v>
      </c>
      <c r="J199" s="712"/>
      <c r="K199" s="655" t="s">
        <v>6489</v>
      </c>
      <c r="L199" s="655" t="s">
        <v>6628</v>
      </c>
      <c r="M199" s="660">
        <v>292181.65999999997</v>
      </c>
      <c r="N199" s="660">
        <v>0</v>
      </c>
      <c r="O199" s="660">
        <v>46749.07</v>
      </c>
      <c r="P199" s="660">
        <v>338930.73</v>
      </c>
      <c r="Q199" s="548"/>
      <c r="R199" s="660">
        <v>292180.8</v>
      </c>
      <c r="S199" s="549">
        <f t="shared" si="48"/>
        <v>46749.929999999993</v>
      </c>
      <c r="T199" s="113" t="s">
        <v>283</v>
      </c>
      <c r="AB199" s="389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x14ac:dyDescent="0.2">
      <c r="A200" s="423">
        <f t="shared" ref="A200:A258" si="49">+A199+1</f>
        <v>195</v>
      </c>
      <c r="B200" s="721" t="s">
        <v>6169</v>
      </c>
      <c r="C200" s="655">
        <v>1520204</v>
      </c>
      <c r="D200" s="658">
        <v>5603</v>
      </c>
      <c r="E200" s="655" t="s">
        <v>713</v>
      </c>
      <c r="F200" s="546">
        <v>2018</v>
      </c>
      <c r="G200" s="659">
        <v>42986</v>
      </c>
      <c r="H200" s="655"/>
      <c r="I200" s="655" t="s">
        <v>6368</v>
      </c>
      <c r="J200" s="712"/>
      <c r="K200" s="655" t="s">
        <v>1745</v>
      </c>
      <c r="L200" s="655" t="s">
        <v>6629</v>
      </c>
      <c r="M200" s="660">
        <v>286637.15000000002</v>
      </c>
      <c r="N200" s="660">
        <v>0</v>
      </c>
      <c r="O200" s="660">
        <v>45861.94</v>
      </c>
      <c r="P200" s="660">
        <v>332499.09000000003</v>
      </c>
      <c r="Q200" s="548"/>
      <c r="R200" s="660">
        <v>286281.8</v>
      </c>
      <c r="S200" s="549">
        <f t="shared" si="48"/>
        <v>46217.290000000037</v>
      </c>
      <c r="T200" s="444" t="s">
        <v>283</v>
      </c>
      <c r="AB200" s="389"/>
      <c r="AI200" s="313"/>
      <c r="AJ200" s="374"/>
      <c r="AK200" s="330"/>
      <c r="AL200" s="330"/>
      <c r="AM200" s="330"/>
    </row>
    <row r="201" spans="1:45" s="291" customFormat="1" x14ac:dyDescent="0.2">
      <c r="A201" s="423">
        <f t="shared" si="49"/>
        <v>196</v>
      </c>
      <c r="B201" s="721" t="s">
        <v>6170</v>
      </c>
      <c r="C201" s="655">
        <v>1520204</v>
      </c>
      <c r="D201" s="658">
        <v>5603</v>
      </c>
      <c r="E201" s="655" t="s">
        <v>713</v>
      </c>
      <c r="F201" s="546">
        <v>2018</v>
      </c>
      <c r="G201" s="659">
        <v>42991</v>
      </c>
      <c r="H201" s="655"/>
      <c r="I201" s="655" t="s">
        <v>6369</v>
      </c>
      <c r="J201" s="712"/>
      <c r="K201" s="655" t="s">
        <v>6490</v>
      </c>
      <c r="L201" s="655" t="s">
        <v>6630</v>
      </c>
      <c r="M201" s="660">
        <v>289651.93</v>
      </c>
      <c r="N201" s="660">
        <v>0</v>
      </c>
      <c r="O201" s="660">
        <v>46344.31</v>
      </c>
      <c r="P201" s="660">
        <v>335996.24</v>
      </c>
      <c r="Q201" s="548"/>
      <c r="R201" s="660">
        <v>286281.8</v>
      </c>
      <c r="S201" s="549">
        <f t="shared" si="48"/>
        <v>49714.44</v>
      </c>
      <c r="T201" s="113" t="s">
        <v>283</v>
      </c>
      <c r="AB201" s="389"/>
      <c r="AI201" s="313"/>
      <c r="AJ201" s="331"/>
      <c r="AK201" s="374"/>
      <c r="AL201" s="374"/>
      <c r="AM201" s="374"/>
    </row>
    <row r="202" spans="1:45" s="291" customFormat="1" x14ac:dyDescent="0.2">
      <c r="A202" s="423">
        <f t="shared" si="49"/>
        <v>197</v>
      </c>
      <c r="B202" s="721" t="s">
        <v>6171</v>
      </c>
      <c r="C202" s="655">
        <v>1520204</v>
      </c>
      <c r="D202" s="658">
        <v>5603</v>
      </c>
      <c r="E202" s="655" t="s">
        <v>713</v>
      </c>
      <c r="F202" s="546">
        <v>2018</v>
      </c>
      <c r="G202" s="659">
        <v>42991</v>
      </c>
      <c r="H202" s="655"/>
      <c r="I202" s="655" t="s">
        <v>6370</v>
      </c>
      <c r="J202" s="712"/>
      <c r="K202" s="655" t="s">
        <v>6490</v>
      </c>
      <c r="L202" s="655" t="s">
        <v>6631</v>
      </c>
      <c r="M202" s="660">
        <v>289652.21999999997</v>
      </c>
      <c r="N202" s="660">
        <v>0</v>
      </c>
      <c r="O202" s="660">
        <v>46344.35</v>
      </c>
      <c r="P202" s="660">
        <v>335996.57</v>
      </c>
      <c r="Q202" s="548"/>
      <c r="R202" s="660">
        <v>286281.8</v>
      </c>
      <c r="S202" s="549">
        <f t="shared" si="48"/>
        <v>49714.770000000019</v>
      </c>
      <c r="T202" s="113" t="s">
        <v>283</v>
      </c>
      <c r="AB202" s="389"/>
      <c r="AI202" s="313"/>
      <c r="AJ202" s="374"/>
      <c r="AK202" s="374"/>
      <c r="AL202" s="374"/>
      <c r="AM202" s="374"/>
    </row>
    <row r="203" spans="1:45" s="348" customFormat="1" x14ac:dyDescent="0.2">
      <c r="A203" s="423">
        <f t="shared" si="49"/>
        <v>198</v>
      </c>
      <c r="B203" s="721" t="s">
        <v>6172</v>
      </c>
      <c r="C203" s="655">
        <v>1520204</v>
      </c>
      <c r="D203" s="658">
        <v>5603</v>
      </c>
      <c r="E203" s="655" t="s">
        <v>713</v>
      </c>
      <c r="F203" s="546">
        <v>2018</v>
      </c>
      <c r="G203" s="659">
        <v>43005</v>
      </c>
      <c r="H203" s="655"/>
      <c r="I203" s="655" t="s">
        <v>6371</v>
      </c>
      <c r="J203" s="712"/>
      <c r="K203" s="655" t="s">
        <v>6490</v>
      </c>
      <c r="L203" s="655" t="s">
        <v>6632</v>
      </c>
      <c r="M203" s="660">
        <v>289651.93</v>
      </c>
      <c r="N203" s="660">
        <v>0</v>
      </c>
      <c r="O203" s="660">
        <v>46344.31</v>
      </c>
      <c r="P203" s="660">
        <v>335996.24</v>
      </c>
      <c r="Q203" s="548"/>
      <c r="R203" s="660">
        <v>286281.8</v>
      </c>
      <c r="S203" s="549">
        <f t="shared" si="48"/>
        <v>49714.44</v>
      </c>
      <c r="T203" s="113" t="s">
        <v>283</v>
      </c>
      <c r="AB203" s="389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x14ac:dyDescent="0.2">
      <c r="A204" s="423">
        <f t="shared" si="49"/>
        <v>199</v>
      </c>
      <c r="B204" s="721" t="s">
        <v>6173</v>
      </c>
      <c r="C204" s="655">
        <v>1520204</v>
      </c>
      <c r="D204" s="658">
        <v>5603</v>
      </c>
      <c r="E204" s="655" t="s">
        <v>713</v>
      </c>
      <c r="F204" s="546">
        <v>2018</v>
      </c>
      <c r="G204" s="659">
        <v>43007</v>
      </c>
      <c r="H204" s="655"/>
      <c r="I204" s="655" t="s">
        <v>6372</v>
      </c>
      <c r="J204" s="712"/>
      <c r="K204" s="655" t="s">
        <v>6490</v>
      </c>
      <c r="L204" s="655" t="s">
        <v>6633</v>
      </c>
      <c r="M204" s="660">
        <v>289651.93</v>
      </c>
      <c r="N204" s="660">
        <v>0</v>
      </c>
      <c r="O204" s="660">
        <v>46344.31</v>
      </c>
      <c r="P204" s="660">
        <v>335996.24</v>
      </c>
      <c r="Q204" s="548"/>
      <c r="R204" s="660">
        <v>286281.8</v>
      </c>
      <c r="S204" s="549">
        <f t="shared" si="48"/>
        <v>49714.44</v>
      </c>
      <c r="T204" s="267" t="s">
        <v>283</v>
      </c>
      <c r="AB204" s="389"/>
      <c r="AI204" s="313"/>
      <c r="AJ204" s="374"/>
      <c r="AK204" s="330"/>
      <c r="AL204" s="330"/>
      <c r="AM204" s="330"/>
    </row>
    <row r="205" spans="1:45" s="348" customFormat="1" x14ac:dyDescent="0.2">
      <c r="A205" s="423">
        <f t="shared" si="49"/>
        <v>200</v>
      </c>
      <c r="B205" s="721" t="s">
        <v>6192</v>
      </c>
      <c r="C205" s="655">
        <v>1520302</v>
      </c>
      <c r="D205" s="658">
        <v>7401</v>
      </c>
      <c r="E205" s="655" t="s">
        <v>714</v>
      </c>
      <c r="F205" s="546">
        <v>2017</v>
      </c>
      <c r="G205" s="659">
        <v>43004</v>
      </c>
      <c r="H205" s="655"/>
      <c r="I205" s="655" t="s">
        <v>6383</v>
      </c>
      <c r="J205" s="712"/>
      <c r="K205" s="655" t="s">
        <v>1175</v>
      </c>
      <c r="L205" s="655" t="s">
        <v>6644</v>
      </c>
      <c r="M205" s="660">
        <v>433735.09</v>
      </c>
      <c r="N205" s="660">
        <v>0</v>
      </c>
      <c r="O205" s="660">
        <v>69397.61</v>
      </c>
      <c r="P205" s="660">
        <v>503132.7</v>
      </c>
      <c r="Q205" s="548"/>
      <c r="R205" s="660">
        <v>433379.74</v>
      </c>
      <c r="S205" s="549">
        <f t="shared" si="48"/>
        <v>69752.960000000021</v>
      </c>
      <c r="T205" s="113" t="s">
        <v>283</v>
      </c>
      <c r="U205" s="360"/>
      <c r="V205" s="360"/>
      <c r="W205" s="358"/>
      <c r="X205" s="331"/>
      <c r="Y205" s="360"/>
      <c r="Z205" s="334"/>
      <c r="AA205" s="334"/>
      <c r="AB205" s="744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x14ac:dyDescent="0.2">
      <c r="A206" s="423">
        <f t="shared" si="49"/>
        <v>201</v>
      </c>
      <c r="B206" s="721" t="s">
        <v>6201</v>
      </c>
      <c r="C206" s="655">
        <v>1520306</v>
      </c>
      <c r="D206" s="658">
        <v>7441</v>
      </c>
      <c r="E206" s="655" t="s">
        <v>715</v>
      </c>
      <c r="F206" s="546">
        <v>2017</v>
      </c>
      <c r="G206" s="659">
        <v>43007</v>
      </c>
      <c r="H206" s="655"/>
      <c r="I206" s="655" t="s">
        <v>6390</v>
      </c>
      <c r="J206" s="712"/>
      <c r="K206" s="655" t="s">
        <v>6490</v>
      </c>
      <c r="L206" s="655" t="s">
        <v>6651</v>
      </c>
      <c r="M206" s="660">
        <v>465266.48</v>
      </c>
      <c r="N206" s="660">
        <v>0</v>
      </c>
      <c r="O206" s="660">
        <v>74442.64</v>
      </c>
      <c r="P206" s="660">
        <v>539709.12</v>
      </c>
      <c r="Q206" s="548"/>
      <c r="R206" s="660">
        <v>465265.62</v>
      </c>
      <c r="S206" s="549">
        <f t="shared" si="48"/>
        <v>74443.5</v>
      </c>
      <c r="T206" s="113" t="s">
        <v>283</v>
      </c>
      <c r="U206" s="370"/>
      <c r="V206" s="370"/>
      <c r="W206" s="375"/>
      <c r="X206" s="374"/>
      <c r="Y206" s="370"/>
      <c r="Z206" s="371"/>
      <c r="AA206" s="371"/>
      <c r="AB206" s="744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x14ac:dyDescent="0.2">
      <c r="A207" s="423">
        <f t="shared" si="49"/>
        <v>202</v>
      </c>
      <c r="B207" s="721" t="s">
        <v>6202</v>
      </c>
      <c r="C207" s="655">
        <v>1520104</v>
      </c>
      <c r="D207" s="658">
        <v>7493</v>
      </c>
      <c r="E207" s="655" t="s">
        <v>711</v>
      </c>
      <c r="F207" s="546">
        <v>2017</v>
      </c>
      <c r="G207" s="659">
        <v>42984</v>
      </c>
      <c r="H207" s="655"/>
      <c r="I207" s="655" t="s">
        <v>6391</v>
      </c>
      <c r="J207" s="712"/>
      <c r="K207" s="655" t="s">
        <v>1149</v>
      </c>
      <c r="L207" s="655" t="s">
        <v>6652</v>
      </c>
      <c r="M207" s="660">
        <v>229416.4</v>
      </c>
      <c r="N207" s="660">
        <v>0</v>
      </c>
      <c r="O207" s="660">
        <v>36706.620000000003</v>
      </c>
      <c r="P207" s="660">
        <v>266123.02</v>
      </c>
      <c r="Q207" s="548"/>
      <c r="R207" s="660">
        <v>229061.05</v>
      </c>
      <c r="S207" s="549">
        <f t="shared" si="48"/>
        <v>37061.97000000003</v>
      </c>
      <c r="T207" s="113" t="s">
        <v>283</v>
      </c>
      <c r="U207" s="370"/>
      <c r="V207" s="370"/>
      <c r="W207" s="375"/>
      <c r="X207" s="374"/>
      <c r="Y207" s="370"/>
      <c r="Z207" s="371"/>
      <c r="AA207" s="371"/>
      <c r="AB207" s="744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3">
        <f t="shared" si="49"/>
        <v>203</v>
      </c>
      <c r="B208" s="721" t="s">
        <v>6203</v>
      </c>
      <c r="C208" s="655">
        <v>1520104</v>
      </c>
      <c r="D208" s="658">
        <v>7493</v>
      </c>
      <c r="E208" s="655" t="s">
        <v>711</v>
      </c>
      <c r="F208" s="546">
        <v>2017</v>
      </c>
      <c r="G208" s="659">
        <v>42984</v>
      </c>
      <c r="H208" s="655"/>
      <c r="I208" s="655" t="s">
        <v>6392</v>
      </c>
      <c r="J208" s="712"/>
      <c r="K208" s="655" t="s">
        <v>1149</v>
      </c>
      <c r="L208" s="655" t="s">
        <v>6653</v>
      </c>
      <c r="M208" s="660">
        <v>229416.4</v>
      </c>
      <c r="N208" s="660">
        <v>0</v>
      </c>
      <c r="O208" s="660">
        <v>36706.620000000003</v>
      </c>
      <c r="P208" s="660">
        <v>266123.02</v>
      </c>
      <c r="Q208" s="548"/>
      <c r="R208" s="660">
        <v>229061.05</v>
      </c>
      <c r="S208" s="549">
        <f t="shared" si="48"/>
        <v>37061.97000000003</v>
      </c>
      <c r="T208" s="113" t="s">
        <v>283</v>
      </c>
      <c r="U208" s="354"/>
      <c r="V208" s="354"/>
      <c r="W208" s="355"/>
      <c r="X208" s="330"/>
      <c r="Y208" s="354"/>
      <c r="Z208" s="328"/>
      <c r="AA208" s="328"/>
      <c r="AB208" s="744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x14ac:dyDescent="0.2">
      <c r="A209" s="423">
        <f t="shared" si="49"/>
        <v>204</v>
      </c>
      <c r="B209" s="721" t="s">
        <v>6205</v>
      </c>
      <c r="C209" s="655">
        <v>1520104</v>
      </c>
      <c r="D209" s="658">
        <v>7493</v>
      </c>
      <c r="E209" s="655" t="s">
        <v>711</v>
      </c>
      <c r="F209" s="546">
        <v>2017</v>
      </c>
      <c r="G209" s="659">
        <v>43006</v>
      </c>
      <c r="H209" s="655"/>
      <c r="I209" s="655" t="s">
        <v>6394</v>
      </c>
      <c r="J209" s="712"/>
      <c r="K209" s="655" t="s">
        <v>134</v>
      </c>
      <c r="L209" s="655" t="s">
        <v>6655</v>
      </c>
      <c r="M209" s="660">
        <v>229416.57</v>
      </c>
      <c r="N209" s="660">
        <v>0</v>
      </c>
      <c r="O209" s="660">
        <v>36706.65</v>
      </c>
      <c r="P209" s="660">
        <v>266123.21999999997</v>
      </c>
      <c r="Q209" s="548"/>
      <c r="R209" s="660">
        <v>229061.05</v>
      </c>
      <c r="S209" s="549">
        <f t="shared" si="48"/>
        <v>37062.169999999984</v>
      </c>
      <c r="T209" s="113" t="s">
        <v>283</v>
      </c>
      <c r="U209" s="360"/>
      <c r="V209" s="360"/>
      <c r="W209" s="358"/>
      <c r="X209" s="331"/>
      <c r="Y209" s="360"/>
      <c r="Z209" s="334"/>
      <c r="AA209" s="334"/>
      <c r="AB209" s="744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x14ac:dyDescent="0.2">
      <c r="A210" s="423">
        <f t="shared" si="49"/>
        <v>205</v>
      </c>
      <c r="B210" s="721" t="s">
        <v>6207</v>
      </c>
      <c r="C210" s="655">
        <v>1520105</v>
      </c>
      <c r="D210" s="658">
        <v>7494</v>
      </c>
      <c r="E210" s="655" t="s">
        <v>712</v>
      </c>
      <c r="F210" s="546">
        <v>2017</v>
      </c>
      <c r="G210" s="659">
        <v>42992</v>
      </c>
      <c r="H210" s="655"/>
      <c r="I210" s="655" t="s">
        <v>6396</v>
      </c>
      <c r="J210" s="712"/>
      <c r="K210" s="655" t="s">
        <v>1672</v>
      </c>
      <c r="L210" s="655" t="s">
        <v>6657</v>
      </c>
      <c r="M210" s="660">
        <v>215868.03</v>
      </c>
      <c r="N210" s="660">
        <v>0</v>
      </c>
      <c r="O210" s="660">
        <v>34538.89</v>
      </c>
      <c r="P210" s="660">
        <v>250406.92</v>
      </c>
      <c r="Q210" s="548"/>
      <c r="R210" s="660">
        <v>215512.69</v>
      </c>
      <c r="S210" s="549">
        <f t="shared" si="48"/>
        <v>34894.23000000001</v>
      </c>
      <c r="T210" s="113" t="s">
        <v>283</v>
      </c>
      <c r="U210" s="360"/>
      <c r="V210" s="360"/>
      <c r="W210" s="358"/>
      <c r="X210" s="331"/>
      <c r="Y210" s="360"/>
      <c r="Z210" s="334"/>
      <c r="AA210" s="334"/>
      <c r="AB210" s="744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x14ac:dyDescent="0.2">
      <c r="A211" s="423">
        <f t="shared" si="49"/>
        <v>206</v>
      </c>
      <c r="B211" s="721" t="s">
        <v>6208</v>
      </c>
      <c r="C211" s="655">
        <v>1520105</v>
      </c>
      <c r="D211" s="658">
        <v>7494</v>
      </c>
      <c r="E211" s="655" t="s">
        <v>712</v>
      </c>
      <c r="F211" s="546">
        <v>2017</v>
      </c>
      <c r="G211" s="659">
        <v>43001</v>
      </c>
      <c r="H211" s="655"/>
      <c r="I211" s="655" t="s">
        <v>6397</v>
      </c>
      <c r="J211" s="712"/>
      <c r="K211" s="655" t="s">
        <v>6505</v>
      </c>
      <c r="L211" s="655" t="s">
        <v>6658</v>
      </c>
      <c r="M211" s="660">
        <v>215868.03</v>
      </c>
      <c r="N211" s="660">
        <v>0</v>
      </c>
      <c r="O211" s="660">
        <v>34538.89</v>
      </c>
      <c r="P211" s="660">
        <v>250406.92</v>
      </c>
      <c r="Q211" s="548"/>
      <c r="R211" s="660">
        <v>215512.69</v>
      </c>
      <c r="S211" s="549">
        <f t="shared" si="48"/>
        <v>34894.23000000001</v>
      </c>
      <c r="T211" s="113" t="s">
        <v>283</v>
      </c>
      <c r="U211" s="360"/>
      <c r="V211" s="360"/>
      <c r="W211" s="358"/>
      <c r="X211" s="331"/>
      <c r="Y211" s="360"/>
      <c r="Z211" s="334"/>
      <c r="AA211" s="334"/>
      <c r="AB211" s="744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x14ac:dyDescent="0.2">
      <c r="A212" s="423">
        <f t="shared" si="49"/>
        <v>207</v>
      </c>
      <c r="B212" s="721" t="s">
        <v>6210</v>
      </c>
      <c r="C212" s="655">
        <v>1520604</v>
      </c>
      <c r="D212" s="658">
        <v>7495</v>
      </c>
      <c r="E212" s="655" t="s">
        <v>718</v>
      </c>
      <c r="F212" s="546">
        <v>2017</v>
      </c>
      <c r="G212" s="659">
        <v>42984</v>
      </c>
      <c r="H212" s="655"/>
      <c r="I212" s="655" t="s">
        <v>6399</v>
      </c>
      <c r="J212" s="712"/>
      <c r="K212" s="655" t="s">
        <v>99</v>
      </c>
      <c r="L212" s="655" t="s">
        <v>6660</v>
      </c>
      <c r="M212" s="660">
        <v>262806.28000000003</v>
      </c>
      <c r="N212" s="660">
        <v>0</v>
      </c>
      <c r="O212" s="660">
        <v>42049</v>
      </c>
      <c r="P212" s="660">
        <v>304855.28000000003</v>
      </c>
      <c r="Q212" s="548"/>
      <c r="R212" s="660">
        <v>262450.93</v>
      </c>
      <c r="S212" s="549">
        <f t="shared" si="48"/>
        <v>42404.350000000035</v>
      </c>
      <c r="T212" s="113" t="s">
        <v>283</v>
      </c>
      <c r="U212" s="370"/>
      <c r="V212" s="370"/>
      <c r="W212" s="375"/>
      <c r="X212" s="374"/>
      <c r="Y212" s="370"/>
      <c r="Z212" s="371"/>
      <c r="AA212" s="371"/>
      <c r="AB212" s="744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x14ac:dyDescent="0.2">
      <c r="A213" s="423">
        <f t="shared" si="49"/>
        <v>208</v>
      </c>
      <c r="B213" s="721" t="s">
        <v>6211</v>
      </c>
      <c r="C213" s="655">
        <v>1520604</v>
      </c>
      <c r="D213" s="658">
        <v>7495</v>
      </c>
      <c r="E213" s="655" t="s">
        <v>718</v>
      </c>
      <c r="F213" s="546">
        <v>2017</v>
      </c>
      <c r="G213" s="659">
        <v>42986</v>
      </c>
      <c r="H213" s="655"/>
      <c r="I213" s="655" t="s">
        <v>6400</v>
      </c>
      <c r="J213" s="712"/>
      <c r="K213" s="655" t="s">
        <v>1672</v>
      </c>
      <c r="L213" s="655" t="s">
        <v>6661</v>
      </c>
      <c r="M213" s="660">
        <v>262806.28000000003</v>
      </c>
      <c r="N213" s="660">
        <v>0</v>
      </c>
      <c r="O213" s="660">
        <v>42049</v>
      </c>
      <c r="P213" s="660">
        <v>304855.28000000003</v>
      </c>
      <c r="Q213" s="548"/>
      <c r="R213" s="660">
        <v>262450.93</v>
      </c>
      <c r="S213" s="549">
        <f t="shared" si="48"/>
        <v>42404.350000000035</v>
      </c>
      <c r="T213" s="113" t="s">
        <v>283</v>
      </c>
      <c r="U213" s="360"/>
      <c r="V213" s="360"/>
      <c r="W213" s="358"/>
      <c r="X213" s="331"/>
      <c r="Y213" s="360"/>
      <c r="Z213" s="334"/>
      <c r="AA213" s="334"/>
      <c r="AB213" s="744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x14ac:dyDescent="0.2">
      <c r="A214" s="423">
        <f t="shared" si="49"/>
        <v>209</v>
      </c>
      <c r="B214" s="721" t="s">
        <v>6233</v>
      </c>
      <c r="C214" s="655">
        <v>1520504</v>
      </c>
      <c r="D214" s="658">
        <v>8127</v>
      </c>
      <c r="E214" s="655" t="s">
        <v>716</v>
      </c>
      <c r="F214" s="546">
        <v>2017</v>
      </c>
      <c r="G214" s="659">
        <v>42986</v>
      </c>
      <c r="H214" s="655"/>
      <c r="I214" s="655" t="s">
        <v>4493</v>
      </c>
      <c r="J214" s="712"/>
      <c r="K214" s="655" t="s">
        <v>1189</v>
      </c>
      <c r="L214" s="655" t="s">
        <v>4494</v>
      </c>
      <c r="M214" s="660">
        <v>605465.97</v>
      </c>
      <c r="N214" s="660">
        <v>0</v>
      </c>
      <c r="O214" s="660">
        <v>96874.55</v>
      </c>
      <c r="P214" s="660">
        <v>702340.52</v>
      </c>
      <c r="Q214" s="548"/>
      <c r="R214" s="660">
        <v>605110.62</v>
      </c>
      <c r="S214" s="549">
        <f t="shared" si="48"/>
        <v>97229.900000000023</v>
      </c>
      <c r="T214" s="113" t="s">
        <v>283</v>
      </c>
      <c r="U214" s="370"/>
      <c r="V214" s="370"/>
      <c r="W214" s="375"/>
      <c r="X214" s="374"/>
      <c r="Y214" s="370"/>
      <c r="Z214" s="371"/>
      <c r="AA214" s="371"/>
      <c r="AB214" s="744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x14ac:dyDescent="0.2">
      <c r="A215" s="423">
        <f t="shared" si="49"/>
        <v>210</v>
      </c>
      <c r="B215" s="721" t="s">
        <v>6234</v>
      </c>
      <c r="C215" s="655">
        <v>57001</v>
      </c>
      <c r="D215" s="658" t="s">
        <v>721</v>
      </c>
      <c r="E215" s="655" t="s">
        <v>703</v>
      </c>
      <c r="F215" s="546">
        <v>2017</v>
      </c>
      <c r="G215" s="659">
        <v>42986</v>
      </c>
      <c r="H215" s="655" t="s">
        <v>751</v>
      </c>
      <c r="I215" s="655" t="s">
        <v>5765</v>
      </c>
      <c r="J215" s="712"/>
      <c r="K215" s="655" t="s">
        <v>5858</v>
      </c>
      <c r="L215" s="655" t="s">
        <v>6014</v>
      </c>
      <c r="M215" s="660">
        <v>-109913.79</v>
      </c>
      <c r="N215" s="660">
        <v>0</v>
      </c>
      <c r="O215" s="660">
        <v>-17586.21</v>
      </c>
      <c r="P215" s="660">
        <v>-127500</v>
      </c>
      <c r="Q215" s="548"/>
      <c r="R215" s="660">
        <v>-100000</v>
      </c>
      <c r="S215" s="549">
        <f t="shared" si="48"/>
        <v>-27500</v>
      </c>
      <c r="T215" s="113" t="s">
        <v>263</v>
      </c>
      <c r="U215" s="370"/>
      <c r="V215" s="370"/>
      <c r="W215" s="375"/>
      <c r="X215" s="374"/>
      <c r="Y215" s="370"/>
      <c r="Z215" s="371"/>
      <c r="AA215" s="371"/>
      <c r="AB215" s="744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x14ac:dyDescent="0.2">
      <c r="A216" s="423">
        <f t="shared" si="49"/>
        <v>211</v>
      </c>
      <c r="B216" s="721" t="s">
        <v>6235</v>
      </c>
      <c r="C216" s="655">
        <v>57001</v>
      </c>
      <c r="D216" s="658" t="s">
        <v>721</v>
      </c>
      <c r="E216" s="655" t="s">
        <v>703</v>
      </c>
      <c r="F216" s="546">
        <v>2017</v>
      </c>
      <c r="G216" s="659">
        <v>42986</v>
      </c>
      <c r="H216" s="655" t="s">
        <v>5623</v>
      </c>
      <c r="I216" s="655" t="s">
        <v>5765</v>
      </c>
      <c r="J216" s="712"/>
      <c r="K216" s="655" t="s">
        <v>6516</v>
      </c>
      <c r="L216" s="655" t="s">
        <v>6014</v>
      </c>
      <c r="M216" s="660">
        <v>113793.1</v>
      </c>
      <c r="N216" s="660">
        <v>0</v>
      </c>
      <c r="O216" s="660">
        <v>18206.900000000001</v>
      </c>
      <c r="P216" s="660">
        <v>132000</v>
      </c>
      <c r="Q216" s="548"/>
      <c r="R216" s="660">
        <v>100000</v>
      </c>
      <c r="S216" s="549">
        <f t="shared" si="48"/>
        <v>32000</v>
      </c>
      <c r="T216" s="113" t="s">
        <v>263</v>
      </c>
      <c r="U216" s="360"/>
      <c r="V216" s="360"/>
      <c r="W216" s="358"/>
      <c r="X216" s="331"/>
      <c r="Y216" s="360"/>
      <c r="Z216" s="334"/>
      <c r="AA216" s="334"/>
      <c r="AB216" s="744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x14ac:dyDescent="0.2">
      <c r="A217" s="423">
        <f t="shared" si="49"/>
        <v>212</v>
      </c>
      <c r="B217" s="721" t="s">
        <v>6236</v>
      </c>
      <c r="C217" s="655">
        <v>491304</v>
      </c>
      <c r="D217" s="658" t="s">
        <v>721</v>
      </c>
      <c r="E217" s="655" t="s">
        <v>703</v>
      </c>
      <c r="F217" s="546">
        <v>2017</v>
      </c>
      <c r="G217" s="659">
        <v>42989</v>
      </c>
      <c r="H217" s="655" t="s">
        <v>1207</v>
      </c>
      <c r="I217" s="655" t="s">
        <v>6413</v>
      </c>
      <c r="J217" s="712"/>
      <c r="K217" s="655" t="s">
        <v>6517</v>
      </c>
      <c r="L217" s="655" t="s">
        <v>6674</v>
      </c>
      <c r="M217" s="660">
        <v>186096.55</v>
      </c>
      <c r="N217" s="660">
        <v>0</v>
      </c>
      <c r="O217" s="660">
        <v>3903.45</v>
      </c>
      <c r="P217" s="660">
        <v>190000</v>
      </c>
      <c r="Q217" s="548"/>
      <c r="R217" s="660">
        <v>161700</v>
      </c>
      <c r="S217" s="549">
        <f t="shared" si="48"/>
        <v>28300</v>
      </c>
      <c r="T217" s="113" t="s">
        <v>263</v>
      </c>
      <c r="U217" s="360"/>
      <c r="V217" s="360"/>
      <c r="W217" s="358"/>
      <c r="X217" s="331"/>
      <c r="Y217" s="360"/>
      <c r="Z217" s="334"/>
      <c r="AA217" s="334"/>
      <c r="AB217" s="744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x14ac:dyDescent="0.2">
      <c r="A218" s="423">
        <f t="shared" si="49"/>
        <v>213</v>
      </c>
      <c r="B218" s="721" t="s">
        <v>6237</v>
      </c>
      <c r="C218" s="655">
        <v>1520104</v>
      </c>
      <c r="D218" s="658" t="s">
        <v>721</v>
      </c>
      <c r="E218" s="655" t="s">
        <v>703</v>
      </c>
      <c r="F218" s="546">
        <v>2017</v>
      </c>
      <c r="G218" s="659">
        <v>42989</v>
      </c>
      <c r="H218" s="655" t="s">
        <v>2954</v>
      </c>
      <c r="I218" s="655" t="s">
        <v>6414</v>
      </c>
      <c r="J218" s="712"/>
      <c r="K218" s="655" t="s">
        <v>6518</v>
      </c>
      <c r="L218" s="655" t="s">
        <v>6675</v>
      </c>
      <c r="M218" s="660">
        <v>163793.1</v>
      </c>
      <c r="N218" s="660">
        <v>0</v>
      </c>
      <c r="O218" s="660">
        <v>26206.9</v>
      </c>
      <c r="P218" s="660">
        <v>190000</v>
      </c>
      <c r="Q218" s="548"/>
      <c r="R218" s="660">
        <v>142241.38</v>
      </c>
      <c r="S218" s="549">
        <f t="shared" si="48"/>
        <v>47758.619999999995</v>
      </c>
      <c r="T218" s="113" t="s">
        <v>263</v>
      </c>
      <c r="U218" s="354"/>
      <c r="V218" s="354"/>
      <c r="W218" s="355"/>
      <c r="X218" s="330"/>
      <c r="Y218" s="354"/>
      <c r="Z218" s="328"/>
      <c r="AA218" s="328"/>
      <c r="AB218" s="744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x14ac:dyDescent="0.2">
      <c r="A219" s="423">
        <f t="shared" si="49"/>
        <v>214</v>
      </c>
      <c r="B219" s="721" t="s">
        <v>6238</v>
      </c>
      <c r="C219" s="655">
        <v>1041216</v>
      </c>
      <c r="D219" s="658" t="s">
        <v>721</v>
      </c>
      <c r="E219" s="655" t="s">
        <v>703</v>
      </c>
      <c r="F219" s="546">
        <v>2017</v>
      </c>
      <c r="G219" s="659">
        <v>42990</v>
      </c>
      <c r="H219" s="655" t="s">
        <v>751</v>
      </c>
      <c r="I219" s="655" t="s">
        <v>6415</v>
      </c>
      <c r="J219" s="712"/>
      <c r="K219" s="655" t="s">
        <v>6519</v>
      </c>
      <c r="L219" s="655" t="s">
        <v>6676</v>
      </c>
      <c r="M219" s="660">
        <v>-250000</v>
      </c>
      <c r="N219" s="660">
        <v>0</v>
      </c>
      <c r="O219" s="660">
        <v>0</v>
      </c>
      <c r="P219" s="660">
        <v>-250000</v>
      </c>
      <c r="Q219" s="548"/>
      <c r="R219" s="660">
        <v>-250000</v>
      </c>
      <c r="S219" s="549">
        <f t="shared" si="48"/>
        <v>0</v>
      </c>
      <c r="T219" s="113" t="s">
        <v>263</v>
      </c>
      <c r="U219" s="370"/>
      <c r="V219" s="370"/>
      <c r="W219" s="375"/>
      <c r="X219" s="374"/>
      <c r="Y219" s="370"/>
      <c r="Z219" s="371"/>
      <c r="AA219" s="371"/>
      <c r="AB219" s="744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x14ac:dyDescent="0.2">
      <c r="A220" s="423">
        <f t="shared" si="49"/>
        <v>215</v>
      </c>
      <c r="B220" s="721" t="s">
        <v>6239</v>
      </c>
      <c r="C220" s="655">
        <v>1041216</v>
      </c>
      <c r="D220" s="658" t="s">
        <v>721</v>
      </c>
      <c r="E220" s="655" t="s">
        <v>703</v>
      </c>
      <c r="F220" s="546">
        <v>2017</v>
      </c>
      <c r="G220" s="659">
        <v>42990</v>
      </c>
      <c r="H220" s="655" t="s">
        <v>751</v>
      </c>
      <c r="I220" s="655" t="s">
        <v>6415</v>
      </c>
      <c r="J220" s="712"/>
      <c r="K220" s="655" t="s">
        <v>6519</v>
      </c>
      <c r="L220" s="655" t="s">
        <v>6676</v>
      </c>
      <c r="M220" s="660">
        <v>250000</v>
      </c>
      <c r="N220" s="660">
        <v>0</v>
      </c>
      <c r="O220" s="660">
        <v>0</v>
      </c>
      <c r="P220" s="660">
        <v>250000</v>
      </c>
      <c r="Q220" s="548"/>
      <c r="R220" s="660">
        <v>250000</v>
      </c>
      <c r="S220" s="549">
        <f t="shared" si="48"/>
        <v>0</v>
      </c>
      <c r="T220" s="113" t="s">
        <v>263</v>
      </c>
      <c r="U220" s="360"/>
      <c r="V220" s="360"/>
      <c r="W220" s="358"/>
      <c r="X220" s="331"/>
      <c r="Y220" s="360"/>
      <c r="Z220" s="334"/>
      <c r="AA220" s="334"/>
      <c r="AB220" s="744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x14ac:dyDescent="0.2">
      <c r="A221" s="423">
        <f t="shared" si="49"/>
        <v>216</v>
      </c>
      <c r="B221" s="721" t="s">
        <v>6240</v>
      </c>
      <c r="C221" s="655">
        <v>1041216</v>
      </c>
      <c r="D221" s="658" t="s">
        <v>721</v>
      </c>
      <c r="E221" s="655" t="s">
        <v>703</v>
      </c>
      <c r="F221" s="546">
        <v>2017</v>
      </c>
      <c r="G221" s="659">
        <v>42990</v>
      </c>
      <c r="H221" s="655" t="s">
        <v>751</v>
      </c>
      <c r="I221" s="655" t="s">
        <v>6415</v>
      </c>
      <c r="J221" s="712"/>
      <c r="K221" s="655" t="s">
        <v>6519</v>
      </c>
      <c r="L221" s="655" t="s">
        <v>6676</v>
      </c>
      <c r="M221" s="660">
        <v>250000</v>
      </c>
      <c r="N221" s="660">
        <v>0</v>
      </c>
      <c r="O221" s="660">
        <v>0</v>
      </c>
      <c r="P221" s="660">
        <v>250000</v>
      </c>
      <c r="Q221" s="548"/>
      <c r="R221" s="660">
        <v>250000</v>
      </c>
      <c r="S221" s="549">
        <f t="shared" si="48"/>
        <v>0</v>
      </c>
      <c r="T221" s="113" t="s">
        <v>263</v>
      </c>
      <c r="U221" s="370"/>
      <c r="V221" s="370"/>
      <c r="W221" s="375"/>
      <c r="X221" s="374"/>
      <c r="Y221" s="370"/>
      <c r="Z221" s="371"/>
      <c r="AA221" s="371"/>
      <c r="AB221" s="744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x14ac:dyDescent="0.2">
      <c r="A222" s="423">
        <f t="shared" si="49"/>
        <v>217</v>
      </c>
      <c r="B222" s="721" t="s">
        <v>6241</v>
      </c>
      <c r="C222" s="655">
        <v>17001</v>
      </c>
      <c r="D222" s="658" t="s">
        <v>721</v>
      </c>
      <c r="E222" s="655" t="s">
        <v>703</v>
      </c>
      <c r="F222" s="546">
        <v>2017</v>
      </c>
      <c r="G222" s="659">
        <v>42999</v>
      </c>
      <c r="H222" s="655" t="s">
        <v>912</v>
      </c>
      <c r="I222" s="655" t="s">
        <v>6416</v>
      </c>
      <c r="J222" s="712"/>
      <c r="K222" s="655" t="s">
        <v>6520</v>
      </c>
      <c r="L222" s="655" t="s">
        <v>6677</v>
      </c>
      <c r="M222" s="660">
        <v>249896.55</v>
      </c>
      <c r="N222" s="660">
        <v>0</v>
      </c>
      <c r="O222" s="660">
        <v>5103.45</v>
      </c>
      <c r="P222" s="660">
        <v>255000</v>
      </c>
      <c r="Q222" s="548"/>
      <c r="R222" s="660">
        <v>218000</v>
      </c>
      <c r="S222" s="549">
        <f t="shared" si="48"/>
        <v>37000</v>
      </c>
      <c r="T222" s="113" t="s">
        <v>263</v>
      </c>
      <c r="U222" s="370"/>
      <c r="V222" s="370"/>
      <c r="W222" s="375"/>
      <c r="X222" s="374"/>
      <c r="Y222" s="370"/>
      <c r="Z222" s="371"/>
      <c r="AA222" s="371"/>
      <c r="AB222" s="744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x14ac:dyDescent="0.2">
      <c r="A223" s="423">
        <f t="shared" si="49"/>
        <v>218</v>
      </c>
      <c r="B223" s="721" t="s">
        <v>6242</v>
      </c>
      <c r="C223" s="655">
        <v>251206</v>
      </c>
      <c r="D223" s="658" t="s">
        <v>721</v>
      </c>
      <c r="E223" s="655" t="s">
        <v>703</v>
      </c>
      <c r="F223" s="546">
        <v>2017</v>
      </c>
      <c r="G223" s="659">
        <v>42999</v>
      </c>
      <c r="H223" s="655" t="s">
        <v>912</v>
      </c>
      <c r="I223" s="655" t="s">
        <v>6417</v>
      </c>
      <c r="J223" s="712"/>
      <c r="K223" s="655" t="s">
        <v>2422</v>
      </c>
      <c r="L223" s="655" t="s">
        <v>6678</v>
      </c>
      <c r="M223" s="660">
        <v>163241.38</v>
      </c>
      <c r="N223" s="660">
        <v>0</v>
      </c>
      <c r="O223" s="660">
        <v>2758.62</v>
      </c>
      <c r="P223" s="660">
        <v>166000</v>
      </c>
      <c r="Q223" s="548"/>
      <c r="R223" s="660">
        <v>146000</v>
      </c>
      <c r="S223" s="549">
        <f t="shared" si="48"/>
        <v>20000</v>
      </c>
      <c r="T223" s="113" t="s">
        <v>263</v>
      </c>
      <c r="U223" s="370"/>
      <c r="V223" s="370"/>
      <c r="W223" s="375"/>
      <c r="X223" s="374"/>
      <c r="Y223" s="370"/>
      <c r="Z223" s="371"/>
      <c r="AA223" s="371"/>
      <c r="AB223" s="744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x14ac:dyDescent="0.2">
      <c r="A224" s="423">
        <f t="shared" si="49"/>
        <v>219</v>
      </c>
      <c r="B224" s="721" t="s">
        <v>6243</v>
      </c>
      <c r="C224" s="655">
        <v>44604</v>
      </c>
      <c r="D224" s="658" t="s">
        <v>721</v>
      </c>
      <c r="E224" s="655" t="s">
        <v>703</v>
      </c>
      <c r="F224" s="546">
        <v>2017</v>
      </c>
      <c r="G224" s="659">
        <v>42999</v>
      </c>
      <c r="H224" s="655" t="s">
        <v>5623</v>
      </c>
      <c r="I224" s="655" t="s">
        <v>6418</v>
      </c>
      <c r="J224" s="712"/>
      <c r="K224" s="655" t="s">
        <v>6521</v>
      </c>
      <c r="L224" s="655" t="s">
        <v>6679</v>
      </c>
      <c r="M224" s="660">
        <v>116551.72</v>
      </c>
      <c r="N224" s="660">
        <v>0</v>
      </c>
      <c r="O224" s="660">
        <v>3448.28</v>
      </c>
      <c r="P224" s="660">
        <v>120000</v>
      </c>
      <c r="Q224" s="548"/>
      <c r="R224" s="660">
        <v>95000</v>
      </c>
      <c r="S224" s="549">
        <f t="shared" si="48"/>
        <v>25000</v>
      </c>
      <c r="T224" s="113" t="s">
        <v>263</v>
      </c>
      <c r="U224" s="370"/>
      <c r="V224" s="370"/>
      <c r="W224" s="375"/>
      <c r="X224" s="374"/>
      <c r="Y224" s="370"/>
      <c r="Z224" s="371"/>
      <c r="AA224" s="371"/>
      <c r="AB224" s="744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39" s="291" customFormat="1" x14ac:dyDescent="0.2">
      <c r="A225" s="423">
        <f t="shared" si="49"/>
        <v>220</v>
      </c>
      <c r="B225" s="721" t="s">
        <v>6244</v>
      </c>
      <c r="C225" s="655">
        <v>590711</v>
      </c>
      <c r="D225" s="658" t="s">
        <v>721</v>
      </c>
      <c r="E225" s="655" t="s">
        <v>703</v>
      </c>
      <c r="F225" s="546">
        <v>2017</v>
      </c>
      <c r="G225" s="659">
        <v>43000</v>
      </c>
      <c r="H225" s="655" t="s">
        <v>1211</v>
      </c>
      <c r="I225" s="655" t="s">
        <v>6419</v>
      </c>
      <c r="J225" s="712"/>
      <c r="K225" s="655" t="s">
        <v>6522</v>
      </c>
      <c r="L225" s="655" t="s">
        <v>6680</v>
      </c>
      <c r="M225" s="660">
        <v>500068.97</v>
      </c>
      <c r="N225" s="660">
        <v>0</v>
      </c>
      <c r="O225" s="660">
        <v>9931.0300000000007</v>
      </c>
      <c r="P225" s="660">
        <v>510000</v>
      </c>
      <c r="Q225" s="548"/>
      <c r="R225" s="660">
        <v>438000</v>
      </c>
      <c r="S225" s="549">
        <f t="shared" si="48"/>
        <v>72000</v>
      </c>
      <c r="T225" s="113" t="s">
        <v>263</v>
      </c>
      <c r="U225" s="370"/>
      <c r="V225" s="370"/>
      <c r="W225" s="375"/>
      <c r="X225" s="374"/>
      <c r="Y225" s="370"/>
      <c r="Z225" s="371"/>
      <c r="AA225" s="371"/>
      <c r="AB225" s="744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39" s="348" customFormat="1" x14ac:dyDescent="0.2">
      <c r="A226" s="423">
        <f t="shared" si="49"/>
        <v>221</v>
      </c>
      <c r="B226" s="721" t="s">
        <v>6245</v>
      </c>
      <c r="C226" s="655">
        <v>43922</v>
      </c>
      <c r="D226" s="658" t="s">
        <v>721</v>
      </c>
      <c r="E226" s="655" t="s">
        <v>703</v>
      </c>
      <c r="F226" s="546">
        <v>2017</v>
      </c>
      <c r="G226" s="659">
        <v>43004</v>
      </c>
      <c r="H226" s="655" t="s">
        <v>792</v>
      </c>
      <c r="I226" s="655" t="s">
        <v>6420</v>
      </c>
      <c r="J226" s="712"/>
      <c r="K226" s="655" t="s">
        <v>6523</v>
      </c>
      <c r="L226" s="655" t="s">
        <v>6681</v>
      </c>
      <c r="M226" s="660">
        <v>-136620.69</v>
      </c>
      <c r="N226" s="660">
        <v>0</v>
      </c>
      <c r="O226" s="660">
        <v>-1379.31</v>
      </c>
      <c r="P226" s="660">
        <v>-138000</v>
      </c>
      <c r="Q226" s="548"/>
      <c r="R226" s="660">
        <v>-128000</v>
      </c>
      <c r="S226" s="549">
        <f t="shared" si="48"/>
        <v>-10000</v>
      </c>
      <c r="T226" s="113" t="s">
        <v>263</v>
      </c>
      <c r="U226" s="370"/>
      <c r="V226" s="370"/>
      <c r="W226" s="375"/>
      <c r="X226" s="374"/>
      <c r="Y226" s="370"/>
      <c r="Z226" s="371"/>
      <c r="AA226" s="371"/>
      <c r="AB226" s="744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39" s="348" customFormat="1" x14ac:dyDescent="0.2">
      <c r="A227" s="423">
        <f t="shared" si="49"/>
        <v>222</v>
      </c>
      <c r="B227" s="721" t="s">
        <v>6246</v>
      </c>
      <c r="C227" s="655">
        <v>43922</v>
      </c>
      <c r="D227" s="658" t="s">
        <v>721</v>
      </c>
      <c r="E227" s="655" t="s">
        <v>703</v>
      </c>
      <c r="F227" s="546">
        <v>2017</v>
      </c>
      <c r="G227" s="659">
        <v>43004</v>
      </c>
      <c r="H227" s="655" t="s">
        <v>792</v>
      </c>
      <c r="I227" s="655" t="s">
        <v>6420</v>
      </c>
      <c r="J227" s="712"/>
      <c r="K227" s="655" t="s">
        <v>6523</v>
      </c>
      <c r="L227" s="655" t="s">
        <v>6681</v>
      </c>
      <c r="M227" s="660">
        <v>136620.69</v>
      </c>
      <c r="N227" s="660">
        <v>0</v>
      </c>
      <c r="O227" s="660">
        <v>1379.31</v>
      </c>
      <c r="P227" s="660">
        <v>138000</v>
      </c>
      <c r="Q227" s="548"/>
      <c r="R227" s="660">
        <v>128000</v>
      </c>
      <c r="S227" s="549">
        <f t="shared" si="48"/>
        <v>10000</v>
      </c>
      <c r="T227" s="113" t="s">
        <v>263</v>
      </c>
      <c r="U227" s="370"/>
      <c r="V227" s="370"/>
      <c r="W227" s="375"/>
      <c r="X227" s="374"/>
      <c r="Y227" s="370"/>
      <c r="Z227" s="371"/>
      <c r="AA227" s="371"/>
      <c r="AB227" s="744"/>
      <c r="AC227" s="270"/>
      <c r="AD227" s="372"/>
      <c r="AE227" s="270"/>
      <c r="AF227" s="270"/>
      <c r="AG227" s="270"/>
      <c r="AH227" s="350"/>
      <c r="AI227" s="365"/>
      <c r="AJ227" s="330"/>
      <c r="AK227" s="330"/>
      <c r="AL227" s="330"/>
      <c r="AM227" s="330"/>
    </row>
    <row r="228" spans="1:39" s="348" customFormat="1" x14ac:dyDescent="0.2">
      <c r="A228" s="423">
        <f t="shared" si="49"/>
        <v>223</v>
      </c>
      <c r="B228" s="721" t="s">
        <v>6247</v>
      </c>
      <c r="C228" s="655">
        <v>43922</v>
      </c>
      <c r="D228" s="658" t="s">
        <v>721</v>
      </c>
      <c r="E228" s="655" t="s">
        <v>703</v>
      </c>
      <c r="F228" s="546">
        <v>2017</v>
      </c>
      <c r="G228" s="659">
        <v>43004</v>
      </c>
      <c r="H228" s="655" t="s">
        <v>792</v>
      </c>
      <c r="I228" s="655" t="s">
        <v>6420</v>
      </c>
      <c r="J228" s="712"/>
      <c r="K228" s="655" t="s">
        <v>6523</v>
      </c>
      <c r="L228" s="655" t="s">
        <v>6681</v>
      </c>
      <c r="M228" s="660">
        <v>136620.69</v>
      </c>
      <c r="N228" s="660">
        <v>0</v>
      </c>
      <c r="O228" s="660">
        <v>1379.31</v>
      </c>
      <c r="P228" s="660">
        <v>138000</v>
      </c>
      <c r="Q228" s="548"/>
      <c r="R228" s="660">
        <v>128000</v>
      </c>
      <c r="S228" s="549">
        <f t="shared" si="48"/>
        <v>10000</v>
      </c>
      <c r="T228" s="113" t="s">
        <v>263</v>
      </c>
      <c r="U228" s="370"/>
      <c r="V228" s="370"/>
      <c r="W228" s="375"/>
      <c r="X228" s="374"/>
      <c r="Y228" s="370"/>
      <c r="Z228" s="371"/>
      <c r="AA228" s="371"/>
      <c r="AB228" s="744"/>
      <c r="AC228" s="270"/>
      <c r="AD228" s="372"/>
      <c r="AE228" s="270"/>
      <c r="AF228" s="270"/>
      <c r="AG228" s="270"/>
      <c r="AH228" s="350"/>
      <c r="AI228" s="365"/>
      <c r="AJ228" s="330"/>
      <c r="AK228" s="330"/>
      <c r="AL228" s="330"/>
      <c r="AM228" s="330"/>
    </row>
    <row r="229" spans="1:39" s="348" customFormat="1" x14ac:dyDescent="0.2">
      <c r="A229" s="423">
        <f t="shared" si="49"/>
        <v>224</v>
      </c>
      <c r="B229" s="721" t="s">
        <v>6248</v>
      </c>
      <c r="C229" s="655">
        <v>43922</v>
      </c>
      <c r="D229" s="658" t="s">
        <v>721</v>
      </c>
      <c r="E229" s="655" t="s">
        <v>703</v>
      </c>
      <c r="F229" s="546">
        <v>2017</v>
      </c>
      <c r="G229" s="659">
        <v>43005</v>
      </c>
      <c r="H229" s="655" t="s">
        <v>792</v>
      </c>
      <c r="I229" s="655" t="s">
        <v>6420</v>
      </c>
      <c r="J229" s="712"/>
      <c r="K229" s="655" t="s">
        <v>6523</v>
      </c>
      <c r="L229" s="655" t="s">
        <v>6681</v>
      </c>
      <c r="M229" s="660">
        <v>-136620.69</v>
      </c>
      <c r="N229" s="660">
        <v>0</v>
      </c>
      <c r="O229" s="660">
        <v>-1379.31</v>
      </c>
      <c r="P229" s="660">
        <v>-138000</v>
      </c>
      <c r="Q229" s="548"/>
      <c r="R229" s="660">
        <v>-128000</v>
      </c>
      <c r="S229" s="549">
        <f t="shared" si="48"/>
        <v>-10000</v>
      </c>
      <c r="T229" s="113" t="s">
        <v>263</v>
      </c>
      <c r="U229" s="370"/>
      <c r="V229" s="370"/>
      <c r="W229" s="375"/>
      <c r="X229" s="374"/>
      <c r="Y229" s="370"/>
      <c r="Z229" s="371"/>
      <c r="AA229" s="371"/>
      <c r="AB229" s="744"/>
      <c r="AC229" s="270"/>
      <c r="AD229" s="372"/>
      <c r="AE229" s="270"/>
      <c r="AF229" s="270"/>
      <c r="AG229" s="270"/>
      <c r="AH229" s="350"/>
      <c r="AI229" s="365"/>
      <c r="AJ229" s="330"/>
      <c r="AK229" s="330"/>
      <c r="AL229" s="330"/>
      <c r="AM229" s="330"/>
    </row>
    <row r="230" spans="1:39" s="348" customFormat="1" x14ac:dyDescent="0.2">
      <c r="A230" s="423">
        <f t="shared" si="49"/>
        <v>225</v>
      </c>
      <c r="B230" s="721" t="s">
        <v>6249</v>
      </c>
      <c r="C230" s="655">
        <v>43922</v>
      </c>
      <c r="D230" s="658" t="s">
        <v>721</v>
      </c>
      <c r="E230" s="655" t="s">
        <v>703</v>
      </c>
      <c r="F230" s="546">
        <v>2017</v>
      </c>
      <c r="G230" s="659">
        <v>43005</v>
      </c>
      <c r="H230" s="655" t="s">
        <v>792</v>
      </c>
      <c r="I230" s="655" t="s">
        <v>6420</v>
      </c>
      <c r="J230" s="712"/>
      <c r="K230" s="655" t="s">
        <v>6523</v>
      </c>
      <c r="L230" s="655" t="s">
        <v>6681</v>
      </c>
      <c r="M230" s="660">
        <v>136620.69</v>
      </c>
      <c r="N230" s="660">
        <v>0</v>
      </c>
      <c r="O230" s="660">
        <v>1379.31</v>
      </c>
      <c r="P230" s="660">
        <v>138000</v>
      </c>
      <c r="Q230" s="548"/>
      <c r="R230" s="660">
        <v>128000</v>
      </c>
      <c r="S230" s="549">
        <f t="shared" si="48"/>
        <v>10000</v>
      </c>
      <c r="T230" s="113" t="s">
        <v>263</v>
      </c>
      <c r="U230" s="370"/>
      <c r="V230" s="370"/>
      <c r="W230" s="375"/>
      <c r="X230" s="374"/>
      <c r="Y230" s="370"/>
      <c r="Z230" s="371"/>
      <c r="AA230" s="371"/>
      <c r="AB230" s="744"/>
      <c r="AC230" s="270"/>
      <c r="AD230" s="372"/>
      <c r="AE230" s="270"/>
      <c r="AF230" s="270"/>
      <c r="AG230" s="270"/>
      <c r="AH230" s="350"/>
      <c r="AI230" s="365"/>
      <c r="AJ230" s="330"/>
      <c r="AK230" s="330"/>
      <c r="AL230" s="330"/>
      <c r="AM230" s="330"/>
    </row>
    <row r="231" spans="1:39" s="348" customFormat="1" x14ac:dyDescent="0.2">
      <c r="A231" s="423">
        <f t="shared" si="49"/>
        <v>226</v>
      </c>
      <c r="B231" s="721" t="s">
        <v>6250</v>
      </c>
      <c r="C231" s="655">
        <v>251206</v>
      </c>
      <c r="D231" s="658" t="s">
        <v>721</v>
      </c>
      <c r="E231" s="655" t="s">
        <v>703</v>
      </c>
      <c r="F231" s="546">
        <v>2017</v>
      </c>
      <c r="G231" s="659">
        <v>43005</v>
      </c>
      <c r="H231" s="655" t="s">
        <v>912</v>
      </c>
      <c r="I231" s="655" t="s">
        <v>6417</v>
      </c>
      <c r="J231" s="712"/>
      <c r="K231" s="655" t="s">
        <v>2422</v>
      </c>
      <c r="L231" s="655" t="s">
        <v>6678</v>
      </c>
      <c r="M231" s="660">
        <v>-163241.38</v>
      </c>
      <c r="N231" s="660">
        <v>0</v>
      </c>
      <c r="O231" s="660">
        <v>-2758.62</v>
      </c>
      <c r="P231" s="660">
        <v>-166000</v>
      </c>
      <c r="Q231" s="548"/>
      <c r="R231" s="660">
        <v>-146000</v>
      </c>
      <c r="S231" s="549">
        <f t="shared" si="48"/>
        <v>-20000</v>
      </c>
      <c r="T231" s="113" t="s">
        <v>263</v>
      </c>
      <c r="U231" s="370"/>
      <c r="V231" s="370"/>
      <c r="W231" s="375"/>
      <c r="X231" s="374"/>
      <c r="Y231" s="370"/>
      <c r="Z231" s="371"/>
      <c r="AA231" s="371"/>
      <c r="AB231" s="744"/>
      <c r="AC231" s="270"/>
      <c r="AD231" s="372"/>
      <c r="AE231" s="270"/>
      <c r="AF231" s="270"/>
      <c r="AG231" s="270"/>
      <c r="AH231" s="350"/>
      <c r="AI231" s="365"/>
      <c r="AJ231" s="330"/>
      <c r="AK231" s="330"/>
      <c r="AL231" s="330"/>
      <c r="AM231" s="330"/>
    </row>
    <row r="232" spans="1:39" s="348" customFormat="1" x14ac:dyDescent="0.2">
      <c r="A232" s="423">
        <f t="shared" si="49"/>
        <v>227</v>
      </c>
      <c r="B232" s="721" t="s">
        <v>6251</v>
      </c>
      <c r="C232" s="655">
        <v>251206</v>
      </c>
      <c r="D232" s="658" t="s">
        <v>721</v>
      </c>
      <c r="E232" s="655" t="s">
        <v>703</v>
      </c>
      <c r="F232" s="546">
        <v>2017</v>
      </c>
      <c r="G232" s="659">
        <v>43005</v>
      </c>
      <c r="H232" s="655" t="s">
        <v>912</v>
      </c>
      <c r="I232" s="655" t="s">
        <v>6417</v>
      </c>
      <c r="J232" s="712"/>
      <c r="K232" s="655" t="s">
        <v>2422</v>
      </c>
      <c r="L232" s="655" t="s">
        <v>6678</v>
      </c>
      <c r="M232" s="660">
        <v>163241.38</v>
      </c>
      <c r="N232" s="660">
        <v>0</v>
      </c>
      <c r="O232" s="660">
        <v>2758.62</v>
      </c>
      <c r="P232" s="660">
        <v>166000</v>
      </c>
      <c r="Q232" s="548"/>
      <c r="R232" s="660">
        <v>146000</v>
      </c>
      <c r="S232" s="549">
        <f t="shared" si="48"/>
        <v>20000</v>
      </c>
      <c r="T232" s="113" t="s">
        <v>263</v>
      </c>
      <c r="U232" s="370"/>
      <c r="V232" s="370"/>
      <c r="W232" s="375"/>
      <c r="X232" s="374"/>
      <c r="Y232" s="370"/>
      <c r="Z232" s="371"/>
      <c r="AA232" s="371"/>
      <c r="AB232" s="744"/>
      <c r="AC232" s="270"/>
      <c r="AD232" s="372"/>
      <c r="AE232" s="270"/>
      <c r="AF232" s="270"/>
      <c r="AG232" s="270"/>
      <c r="AH232" s="350"/>
      <c r="AI232" s="365"/>
      <c r="AJ232" s="330"/>
      <c r="AK232" s="330"/>
      <c r="AL232" s="330"/>
      <c r="AM232" s="330"/>
    </row>
    <row r="233" spans="1:39" s="348" customFormat="1" x14ac:dyDescent="0.2">
      <c r="A233" s="423">
        <f t="shared" si="49"/>
        <v>228</v>
      </c>
      <c r="B233" s="721" t="s">
        <v>6252</v>
      </c>
      <c r="C233" s="655">
        <v>520515</v>
      </c>
      <c r="D233" s="658" t="s">
        <v>721</v>
      </c>
      <c r="E233" s="655" t="s">
        <v>703</v>
      </c>
      <c r="F233" s="546">
        <v>2016</v>
      </c>
      <c r="G233" s="659">
        <v>43006</v>
      </c>
      <c r="H233" s="655" t="s">
        <v>1211</v>
      </c>
      <c r="I233" s="655" t="s">
        <v>6421</v>
      </c>
      <c r="J233" s="712"/>
      <c r="K233" s="655" t="s">
        <v>6524</v>
      </c>
      <c r="L233" s="655" t="s">
        <v>6682</v>
      </c>
      <c r="M233" s="660">
        <v>373206.9</v>
      </c>
      <c r="N233" s="660">
        <v>0</v>
      </c>
      <c r="O233" s="660">
        <v>1793.1</v>
      </c>
      <c r="P233" s="660">
        <v>375000</v>
      </c>
      <c r="Q233" s="548"/>
      <c r="R233" s="660">
        <v>362000</v>
      </c>
      <c r="S233" s="549">
        <f t="shared" si="48"/>
        <v>13000</v>
      </c>
      <c r="T233" s="113" t="s">
        <v>263</v>
      </c>
      <c r="U233" s="370"/>
      <c r="V233" s="370"/>
      <c r="W233" s="375"/>
      <c r="X233" s="374"/>
      <c r="Y233" s="370"/>
      <c r="Z233" s="371"/>
      <c r="AA233" s="371"/>
      <c r="AB233" s="744"/>
      <c r="AC233" s="270"/>
      <c r="AD233" s="372"/>
      <c r="AE233" s="270"/>
      <c r="AF233" s="270"/>
      <c r="AG233" s="270"/>
      <c r="AH233" s="350"/>
      <c r="AI233" s="365"/>
      <c r="AJ233" s="330"/>
      <c r="AK233" s="330"/>
      <c r="AL233" s="330"/>
      <c r="AM233" s="330"/>
    </row>
    <row r="234" spans="1:39" s="348" customFormat="1" x14ac:dyDescent="0.2">
      <c r="A234" s="423">
        <f t="shared" si="49"/>
        <v>229</v>
      </c>
      <c r="B234" s="721" t="s">
        <v>6253</v>
      </c>
      <c r="C234" s="655">
        <v>39002</v>
      </c>
      <c r="D234" s="658" t="s">
        <v>721</v>
      </c>
      <c r="E234" s="655" t="s">
        <v>703</v>
      </c>
      <c r="F234" s="546">
        <v>2017</v>
      </c>
      <c r="G234" s="659">
        <v>43007</v>
      </c>
      <c r="H234" s="655" t="s">
        <v>5623</v>
      </c>
      <c r="I234" s="655" t="s">
        <v>6422</v>
      </c>
      <c r="J234" s="712"/>
      <c r="K234" s="655" t="s">
        <v>6525</v>
      </c>
      <c r="L234" s="655" t="s">
        <v>6683</v>
      </c>
      <c r="M234" s="660">
        <v>105344.83</v>
      </c>
      <c r="N234" s="660">
        <v>0</v>
      </c>
      <c r="O234" s="660">
        <v>1655.17</v>
      </c>
      <c r="P234" s="660">
        <v>107000</v>
      </c>
      <c r="Q234" s="548"/>
      <c r="R234" s="660">
        <v>95000</v>
      </c>
      <c r="S234" s="549">
        <f t="shared" si="48"/>
        <v>12000</v>
      </c>
      <c r="T234" s="113" t="s">
        <v>263</v>
      </c>
      <c r="U234" s="370"/>
      <c r="V234" s="370"/>
      <c r="W234" s="375"/>
      <c r="X234" s="374"/>
      <c r="Y234" s="370"/>
      <c r="Z234" s="371"/>
      <c r="AA234" s="371"/>
      <c r="AB234" s="744"/>
      <c r="AC234" s="270"/>
      <c r="AD234" s="372"/>
      <c r="AE234" s="270"/>
      <c r="AF234" s="270"/>
      <c r="AG234" s="270"/>
      <c r="AH234" s="350"/>
      <c r="AI234" s="365"/>
      <c r="AJ234" s="330"/>
      <c r="AK234" s="330"/>
      <c r="AL234" s="330"/>
      <c r="AM234" s="330"/>
    </row>
    <row r="235" spans="1:39" s="348" customFormat="1" x14ac:dyDescent="0.2">
      <c r="A235" s="423">
        <f t="shared" si="49"/>
        <v>230</v>
      </c>
      <c r="B235" s="721" t="s">
        <v>6254</v>
      </c>
      <c r="C235" s="655">
        <v>1011010</v>
      </c>
      <c r="D235" s="658" t="s">
        <v>721</v>
      </c>
      <c r="E235" s="655" t="s">
        <v>703</v>
      </c>
      <c r="F235" s="546">
        <v>2017</v>
      </c>
      <c r="G235" s="659">
        <v>43007</v>
      </c>
      <c r="H235" s="655" t="s">
        <v>5623</v>
      </c>
      <c r="I235" s="655" t="s">
        <v>6423</v>
      </c>
      <c r="J235" s="712"/>
      <c r="K235" s="655" t="s">
        <v>6526</v>
      </c>
      <c r="L235" s="655" t="s">
        <v>6684</v>
      </c>
      <c r="M235" s="660">
        <v>163620.69</v>
      </c>
      <c r="N235" s="660">
        <v>0</v>
      </c>
      <c r="O235" s="660">
        <v>1379.31</v>
      </c>
      <c r="P235" s="660">
        <v>165000</v>
      </c>
      <c r="Q235" s="548"/>
      <c r="R235" s="660">
        <v>155000</v>
      </c>
      <c r="S235" s="549">
        <f t="shared" si="48"/>
        <v>10000</v>
      </c>
      <c r="T235" s="113" t="s">
        <v>263</v>
      </c>
      <c r="U235" s="370"/>
      <c r="V235" s="370"/>
      <c r="W235" s="375"/>
      <c r="X235" s="374"/>
      <c r="Y235" s="370"/>
      <c r="Z235" s="371"/>
      <c r="AA235" s="371"/>
      <c r="AB235" s="744"/>
      <c r="AC235" s="270"/>
      <c r="AD235" s="372"/>
      <c r="AE235" s="270"/>
      <c r="AF235" s="270"/>
      <c r="AG235" s="270"/>
      <c r="AH235" s="350"/>
      <c r="AI235" s="365"/>
      <c r="AJ235" s="330"/>
      <c r="AK235" s="330"/>
      <c r="AL235" s="330"/>
      <c r="AM235" s="330"/>
    </row>
    <row r="236" spans="1:39" s="348" customFormat="1" x14ac:dyDescent="0.2">
      <c r="A236" s="423">
        <f t="shared" si="49"/>
        <v>231</v>
      </c>
      <c r="B236" s="721" t="s">
        <v>6255</v>
      </c>
      <c r="C236" s="655">
        <v>520818</v>
      </c>
      <c r="D236" s="658" t="s">
        <v>686</v>
      </c>
      <c r="E236" s="655" t="s">
        <v>4631</v>
      </c>
      <c r="F236" s="546">
        <v>2017</v>
      </c>
      <c r="G236" s="659">
        <v>42980</v>
      </c>
      <c r="H236" s="655" t="s">
        <v>1211</v>
      </c>
      <c r="I236" s="655" t="s">
        <v>6424</v>
      </c>
      <c r="J236" s="712"/>
      <c r="K236" s="655" t="s">
        <v>6527</v>
      </c>
      <c r="L236" s="655" t="s">
        <v>6685</v>
      </c>
      <c r="M236" s="660">
        <v>394896.55</v>
      </c>
      <c r="N236" s="660">
        <v>0</v>
      </c>
      <c r="O236" s="660">
        <v>5103.45</v>
      </c>
      <c r="P236" s="660">
        <v>400000</v>
      </c>
      <c r="Q236" s="548"/>
      <c r="R236" s="660">
        <v>363000</v>
      </c>
      <c r="S236" s="549">
        <f t="shared" si="48"/>
        <v>37000</v>
      </c>
      <c r="T236" s="113" t="s">
        <v>263</v>
      </c>
      <c r="U236" s="370"/>
      <c r="V236" s="370"/>
      <c r="W236" s="375"/>
      <c r="X236" s="374"/>
      <c r="Y236" s="370"/>
      <c r="Z236" s="371"/>
      <c r="AA236" s="371"/>
      <c r="AB236" s="744"/>
      <c r="AC236" s="270"/>
      <c r="AD236" s="372"/>
      <c r="AE236" s="270"/>
      <c r="AF236" s="270"/>
      <c r="AG236" s="270"/>
      <c r="AH236" s="350"/>
      <c r="AI236" s="365"/>
      <c r="AJ236" s="330"/>
      <c r="AK236" s="330"/>
      <c r="AL236" s="330"/>
      <c r="AM236" s="330"/>
    </row>
    <row r="237" spans="1:39" s="348" customFormat="1" x14ac:dyDescent="0.2">
      <c r="A237" s="423">
        <f t="shared" si="49"/>
        <v>232</v>
      </c>
      <c r="B237" s="721" t="s">
        <v>6256</v>
      </c>
      <c r="C237" s="655">
        <v>1520104</v>
      </c>
      <c r="D237" s="658" t="s">
        <v>686</v>
      </c>
      <c r="E237" s="655" t="s">
        <v>4631</v>
      </c>
      <c r="F237" s="546">
        <v>2017</v>
      </c>
      <c r="G237" s="659">
        <v>42982</v>
      </c>
      <c r="H237" s="655" t="s">
        <v>1207</v>
      </c>
      <c r="I237" s="655" t="s">
        <v>6425</v>
      </c>
      <c r="J237" s="712"/>
      <c r="K237" s="655" t="s">
        <v>6528</v>
      </c>
      <c r="L237" s="655" t="s">
        <v>6686</v>
      </c>
      <c r="M237" s="660">
        <v>202586.21</v>
      </c>
      <c r="N237" s="660">
        <v>0</v>
      </c>
      <c r="O237" s="660">
        <v>32413.79</v>
      </c>
      <c r="P237" s="660">
        <v>235000</v>
      </c>
      <c r="Q237" s="548"/>
      <c r="R237" s="660">
        <v>178879.31</v>
      </c>
      <c r="S237" s="549">
        <f t="shared" si="48"/>
        <v>56120.69</v>
      </c>
      <c r="T237" s="113" t="s">
        <v>263</v>
      </c>
      <c r="U237" s="370"/>
      <c r="V237" s="370"/>
      <c r="W237" s="375"/>
      <c r="X237" s="374"/>
      <c r="Y237" s="370"/>
      <c r="Z237" s="371"/>
      <c r="AA237" s="371"/>
      <c r="AB237" s="744"/>
      <c r="AC237" s="270"/>
      <c r="AD237" s="372"/>
      <c r="AE237" s="270"/>
      <c r="AF237" s="270"/>
      <c r="AG237" s="270"/>
      <c r="AH237" s="350"/>
      <c r="AI237" s="365"/>
      <c r="AJ237" s="330"/>
      <c r="AK237" s="330"/>
      <c r="AL237" s="330"/>
      <c r="AM237" s="330"/>
    </row>
    <row r="238" spans="1:39" s="348" customFormat="1" x14ac:dyDescent="0.2">
      <c r="A238" s="423">
        <f t="shared" si="49"/>
        <v>233</v>
      </c>
      <c r="B238" s="721" t="s">
        <v>6257</v>
      </c>
      <c r="C238" s="655">
        <v>520224</v>
      </c>
      <c r="D238" s="658" t="s">
        <v>686</v>
      </c>
      <c r="E238" s="655" t="s">
        <v>4631</v>
      </c>
      <c r="F238" s="546">
        <v>2017</v>
      </c>
      <c r="G238" s="659">
        <v>42983</v>
      </c>
      <c r="H238" s="655" t="s">
        <v>912</v>
      </c>
      <c r="I238" s="655" t="s">
        <v>6426</v>
      </c>
      <c r="J238" s="712"/>
      <c r="K238" s="655" t="s">
        <v>6529</v>
      </c>
      <c r="L238" s="655" t="s">
        <v>6687</v>
      </c>
      <c r="M238" s="660">
        <v>277586.21000000002</v>
      </c>
      <c r="N238" s="660">
        <v>0</v>
      </c>
      <c r="O238" s="660">
        <v>4413.79</v>
      </c>
      <c r="P238" s="660">
        <v>282000</v>
      </c>
      <c r="Q238" s="548"/>
      <c r="R238" s="660">
        <v>250000</v>
      </c>
      <c r="S238" s="549">
        <f t="shared" si="48"/>
        <v>32000</v>
      </c>
      <c r="T238" s="113" t="s">
        <v>263</v>
      </c>
      <c r="U238" s="370"/>
      <c r="V238" s="370"/>
      <c r="W238" s="375"/>
      <c r="X238" s="374"/>
      <c r="Y238" s="370"/>
      <c r="Z238" s="371"/>
      <c r="AA238" s="371"/>
      <c r="AB238" s="744"/>
      <c r="AC238" s="270"/>
      <c r="AD238" s="372"/>
      <c r="AE238" s="270"/>
      <c r="AF238" s="270"/>
      <c r="AG238" s="270"/>
      <c r="AH238" s="350"/>
      <c r="AI238" s="365"/>
      <c r="AJ238" s="330"/>
      <c r="AK238" s="330"/>
      <c r="AL238" s="330"/>
      <c r="AM238" s="330"/>
    </row>
    <row r="239" spans="1:39" s="348" customFormat="1" x14ac:dyDescent="0.2">
      <c r="A239" s="423">
        <f t="shared" si="49"/>
        <v>234</v>
      </c>
      <c r="B239" s="721" t="s">
        <v>6258</v>
      </c>
      <c r="C239" s="655">
        <v>520818</v>
      </c>
      <c r="D239" s="658" t="s">
        <v>686</v>
      </c>
      <c r="E239" s="655" t="s">
        <v>4631</v>
      </c>
      <c r="F239" s="546">
        <v>2017</v>
      </c>
      <c r="G239" s="659">
        <v>42984</v>
      </c>
      <c r="H239" s="655" t="s">
        <v>1211</v>
      </c>
      <c r="I239" s="655" t="s">
        <v>6424</v>
      </c>
      <c r="J239" s="712"/>
      <c r="K239" s="655" t="s">
        <v>6527</v>
      </c>
      <c r="L239" s="655" t="s">
        <v>6685</v>
      </c>
      <c r="M239" s="660">
        <v>-394896.55</v>
      </c>
      <c r="N239" s="660">
        <v>0</v>
      </c>
      <c r="O239" s="660">
        <v>-5103.45</v>
      </c>
      <c r="P239" s="660">
        <v>-400000</v>
      </c>
      <c r="Q239" s="548"/>
      <c r="R239" s="660">
        <v>-363000</v>
      </c>
      <c r="S239" s="549">
        <f t="shared" si="48"/>
        <v>-37000</v>
      </c>
      <c r="T239" s="113" t="s">
        <v>263</v>
      </c>
      <c r="U239" s="370"/>
      <c r="V239" s="370"/>
      <c r="W239" s="375"/>
      <c r="X239" s="374"/>
      <c r="Y239" s="370"/>
      <c r="Z239" s="371"/>
      <c r="AA239" s="371"/>
      <c r="AB239" s="744"/>
      <c r="AC239" s="270"/>
      <c r="AD239" s="372"/>
      <c r="AE239" s="270"/>
      <c r="AF239" s="270"/>
      <c r="AG239" s="270"/>
      <c r="AH239" s="350"/>
      <c r="AI239" s="365"/>
      <c r="AJ239" s="330"/>
      <c r="AK239" s="330"/>
      <c r="AL239" s="330"/>
      <c r="AM239" s="330"/>
    </row>
    <row r="240" spans="1:39" s="348" customFormat="1" x14ac:dyDescent="0.2">
      <c r="A240" s="423">
        <f t="shared" si="49"/>
        <v>235</v>
      </c>
      <c r="B240" s="721" t="s">
        <v>6259</v>
      </c>
      <c r="C240" s="655">
        <v>520818</v>
      </c>
      <c r="D240" s="658" t="s">
        <v>686</v>
      </c>
      <c r="E240" s="655" t="s">
        <v>4631</v>
      </c>
      <c r="F240" s="546">
        <v>2017</v>
      </c>
      <c r="G240" s="659">
        <v>42984</v>
      </c>
      <c r="H240" s="655" t="s">
        <v>1211</v>
      </c>
      <c r="I240" s="655" t="s">
        <v>6424</v>
      </c>
      <c r="J240" s="712"/>
      <c r="K240" s="655" t="s">
        <v>6527</v>
      </c>
      <c r="L240" s="655" t="s">
        <v>6685</v>
      </c>
      <c r="M240" s="660">
        <v>-394896.55</v>
      </c>
      <c r="N240" s="660">
        <v>0</v>
      </c>
      <c r="O240" s="660">
        <v>-5103.45</v>
      </c>
      <c r="P240" s="660">
        <v>-400000</v>
      </c>
      <c r="Q240" s="548"/>
      <c r="R240" s="660">
        <v>-363000</v>
      </c>
      <c r="S240" s="549">
        <f t="shared" si="48"/>
        <v>-37000</v>
      </c>
      <c r="T240" s="113" t="s">
        <v>263</v>
      </c>
      <c r="U240" s="370"/>
      <c r="V240" s="370"/>
      <c r="W240" s="375"/>
      <c r="X240" s="374"/>
      <c r="Y240" s="370"/>
      <c r="Z240" s="371"/>
      <c r="AA240" s="371"/>
      <c r="AB240" s="744"/>
      <c r="AC240" s="270"/>
      <c r="AD240" s="372"/>
      <c r="AE240" s="270"/>
      <c r="AF240" s="270"/>
      <c r="AG240" s="270"/>
      <c r="AH240" s="350"/>
      <c r="AI240" s="365"/>
      <c r="AJ240" s="330"/>
      <c r="AK240" s="330"/>
      <c r="AL240" s="330"/>
      <c r="AM240" s="330"/>
    </row>
    <row r="241" spans="1:39" s="348" customFormat="1" x14ac:dyDescent="0.2">
      <c r="A241" s="423">
        <f t="shared" si="49"/>
        <v>236</v>
      </c>
      <c r="B241" s="721" t="s">
        <v>6260</v>
      </c>
      <c r="C241" s="655">
        <v>520818</v>
      </c>
      <c r="D241" s="658" t="s">
        <v>686</v>
      </c>
      <c r="E241" s="655" t="s">
        <v>4631</v>
      </c>
      <c r="F241" s="546">
        <v>2017</v>
      </c>
      <c r="G241" s="659">
        <v>42984</v>
      </c>
      <c r="H241" s="655" t="s">
        <v>1211</v>
      </c>
      <c r="I241" s="655" t="s">
        <v>6424</v>
      </c>
      <c r="J241" s="712"/>
      <c r="K241" s="655" t="s">
        <v>6527</v>
      </c>
      <c r="L241" s="655" t="s">
        <v>6685</v>
      </c>
      <c r="M241" s="660">
        <v>394896.55</v>
      </c>
      <c r="N241" s="660">
        <v>0</v>
      </c>
      <c r="O241" s="660">
        <v>5103.45</v>
      </c>
      <c r="P241" s="660">
        <v>400000</v>
      </c>
      <c r="Q241" s="548"/>
      <c r="R241" s="660">
        <v>363000</v>
      </c>
      <c r="S241" s="549">
        <f t="shared" si="48"/>
        <v>37000</v>
      </c>
      <c r="T241" s="113" t="s">
        <v>263</v>
      </c>
      <c r="U241" s="370"/>
      <c r="V241" s="370"/>
      <c r="W241" s="375"/>
      <c r="X241" s="374"/>
      <c r="Y241" s="370"/>
      <c r="Z241" s="371"/>
      <c r="AA241" s="371"/>
      <c r="AB241" s="744"/>
      <c r="AC241" s="270"/>
      <c r="AD241" s="372"/>
      <c r="AE241" s="270"/>
      <c r="AF241" s="270"/>
      <c r="AG241" s="270"/>
      <c r="AH241" s="350"/>
      <c r="AI241" s="365"/>
      <c r="AJ241" s="330"/>
      <c r="AK241" s="330"/>
      <c r="AL241" s="330"/>
      <c r="AM241" s="330"/>
    </row>
    <row r="242" spans="1:39" s="348" customFormat="1" x14ac:dyDescent="0.2">
      <c r="A242" s="423">
        <f t="shared" si="49"/>
        <v>237</v>
      </c>
      <c r="B242" s="721" t="s">
        <v>6261</v>
      </c>
      <c r="C242" s="655">
        <v>520818</v>
      </c>
      <c r="D242" s="658" t="s">
        <v>686</v>
      </c>
      <c r="E242" s="655" t="s">
        <v>4631</v>
      </c>
      <c r="F242" s="546">
        <v>2017</v>
      </c>
      <c r="G242" s="659">
        <v>42984</v>
      </c>
      <c r="H242" s="655" t="s">
        <v>1211</v>
      </c>
      <c r="I242" s="655" t="s">
        <v>6424</v>
      </c>
      <c r="J242" s="712"/>
      <c r="K242" s="655" t="s">
        <v>6527</v>
      </c>
      <c r="L242" s="655" t="s">
        <v>6685</v>
      </c>
      <c r="M242" s="660">
        <v>394896.55</v>
      </c>
      <c r="N242" s="660">
        <v>0</v>
      </c>
      <c r="O242" s="660">
        <v>5103.45</v>
      </c>
      <c r="P242" s="660">
        <v>400000</v>
      </c>
      <c r="Q242" s="548"/>
      <c r="R242" s="660">
        <v>363000</v>
      </c>
      <c r="S242" s="549">
        <f t="shared" si="48"/>
        <v>37000</v>
      </c>
      <c r="T242" s="113" t="s">
        <v>263</v>
      </c>
      <c r="U242" s="370"/>
      <c r="V242" s="370"/>
      <c r="W242" s="375"/>
      <c r="X242" s="374"/>
      <c r="Y242" s="370"/>
      <c r="Z242" s="371"/>
      <c r="AA242" s="371"/>
      <c r="AB242" s="744"/>
      <c r="AC242" s="270"/>
      <c r="AD242" s="372"/>
      <c r="AE242" s="270"/>
      <c r="AF242" s="270"/>
      <c r="AG242" s="270"/>
      <c r="AH242" s="350"/>
      <c r="AI242" s="365"/>
      <c r="AJ242" s="330"/>
      <c r="AK242" s="330"/>
      <c r="AL242" s="330"/>
      <c r="AM242" s="330"/>
    </row>
    <row r="243" spans="1:39" s="348" customFormat="1" x14ac:dyDescent="0.2">
      <c r="A243" s="423">
        <f t="shared" si="49"/>
        <v>238</v>
      </c>
      <c r="B243" s="721" t="s">
        <v>6262</v>
      </c>
      <c r="C243" s="655">
        <v>521101</v>
      </c>
      <c r="D243" s="658" t="s">
        <v>686</v>
      </c>
      <c r="E243" s="655" t="s">
        <v>4631</v>
      </c>
      <c r="F243" s="546">
        <v>2017</v>
      </c>
      <c r="G243" s="659">
        <v>42993</v>
      </c>
      <c r="H243" s="655" t="s">
        <v>912</v>
      </c>
      <c r="I243" s="655" t="s">
        <v>6427</v>
      </c>
      <c r="J243" s="712"/>
      <c r="K243" s="655" t="s">
        <v>6530</v>
      </c>
      <c r="L243" s="655" t="s">
        <v>6688</v>
      </c>
      <c r="M243" s="660">
        <v>343793.1</v>
      </c>
      <c r="N243" s="660">
        <v>0</v>
      </c>
      <c r="O243" s="660">
        <v>6206.9</v>
      </c>
      <c r="P243" s="660">
        <v>350000</v>
      </c>
      <c r="Q243" s="548"/>
      <c r="R243" s="660">
        <v>305000</v>
      </c>
      <c r="S243" s="549">
        <f t="shared" si="48"/>
        <v>45000</v>
      </c>
      <c r="T243" s="113" t="s">
        <v>263</v>
      </c>
      <c r="U243" s="370"/>
      <c r="V243" s="370"/>
      <c r="W243" s="375"/>
      <c r="X243" s="374"/>
      <c r="Y243" s="370"/>
      <c r="Z243" s="371"/>
      <c r="AA243" s="371"/>
      <c r="AB243" s="744"/>
      <c r="AC243" s="270"/>
      <c r="AD243" s="372"/>
      <c r="AE243" s="270"/>
      <c r="AF243" s="270"/>
      <c r="AG243" s="270"/>
      <c r="AH243" s="350"/>
      <c r="AI243" s="365"/>
      <c r="AJ243" s="330"/>
      <c r="AK243" s="330"/>
      <c r="AL243" s="330"/>
      <c r="AM243" s="330"/>
    </row>
    <row r="244" spans="1:39" s="348" customFormat="1" x14ac:dyDescent="0.2">
      <c r="A244" s="423">
        <f t="shared" si="49"/>
        <v>239</v>
      </c>
      <c r="B244" s="721" t="s">
        <v>6263</v>
      </c>
      <c r="C244" s="655">
        <v>520223</v>
      </c>
      <c r="D244" s="658" t="s">
        <v>686</v>
      </c>
      <c r="E244" s="655" t="s">
        <v>4631</v>
      </c>
      <c r="F244" s="546">
        <v>2017</v>
      </c>
      <c r="G244" s="659">
        <v>42996</v>
      </c>
      <c r="H244" s="655" t="s">
        <v>1207</v>
      </c>
      <c r="I244" s="655" t="s">
        <v>6428</v>
      </c>
      <c r="J244" s="712"/>
      <c r="K244" s="655" t="s">
        <v>6531</v>
      </c>
      <c r="L244" s="655" t="s">
        <v>6689</v>
      </c>
      <c r="M244" s="660">
        <v>231275.86</v>
      </c>
      <c r="N244" s="660">
        <v>0</v>
      </c>
      <c r="O244" s="660">
        <v>3724.14</v>
      </c>
      <c r="P244" s="660">
        <v>235000</v>
      </c>
      <c r="Q244" s="548"/>
      <c r="R244" s="660">
        <v>208000</v>
      </c>
      <c r="S244" s="549">
        <f t="shared" si="48"/>
        <v>27000</v>
      </c>
      <c r="T244" s="113" t="s">
        <v>263</v>
      </c>
      <c r="U244" s="370"/>
      <c r="V244" s="370"/>
      <c r="W244" s="375"/>
      <c r="X244" s="374"/>
      <c r="Y244" s="370"/>
      <c r="Z244" s="371"/>
      <c r="AA244" s="371"/>
      <c r="AB244" s="744"/>
      <c r="AC244" s="270"/>
      <c r="AD244" s="372"/>
      <c r="AE244" s="270"/>
      <c r="AF244" s="270"/>
      <c r="AG244" s="270"/>
      <c r="AH244" s="350"/>
      <c r="AI244" s="365"/>
      <c r="AJ244" s="330"/>
      <c r="AK244" s="330"/>
      <c r="AL244" s="330"/>
      <c r="AM244" s="330"/>
    </row>
    <row r="245" spans="1:39" s="348" customFormat="1" x14ac:dyDescent="0.2">
      <c r="A245" s="423">
        <f t="shared" si="49"/>
        <v>240</v>
      </c>
      <c r="B245" s="721" t="s">
        <v>6264</v>
      </c>
      <c r="C245" s="655">
        <v>520223</v>
      </c>
      <c r="D245" s="658" t="s">
        <v>686</v>
      </c>
      <c r="E245" s="655" t="s">
        <v>4631</v>
      </c>
      <c r="F245" s="546">
        <v>2017</v>
      </c>
      <c r="G245" s="659">
        <v>42998</v>
      </c>
      <c r="H245" s="655" t="s">
        <v>5623</v>
      </c>
      <c r="I245" s="655" t="s">
        <v>6429</v>
      </c>
      <c r="J245" s="712"/>
      <c r="K245" s="655" t="s">
        <v>6532</v>
      </c>
      <c r="L245" s="655" t="s">
        <v>6690</v>
      </c>
      <c r="M245" s="660">
        <v>227931.03</v>
      </c>
      <c r="N245" s="660">
        <v>0</v>
      </c>
      <c r="O245" s="660">
        <v>2068.9699999999998</v>
      </c>
      <c r="P245" s="660">
        <v>230000</v>
      </c>
      <c r="Q245" s="548"/>
      <c r="R245" s="660">
        <v>215000</v>
      </c>
      <c r="S245" s="549">
        <f t="shared" si="48"/>
        <v>15000</v>
      </c>
      <c r="T245" s="113" t="s">
        <v>263</v>
      </c>
      <c r="U245" s="370"/>
      <c r="V245" s="370"/>
      <c r="W245" s="375"/>
      <c r="X245" s="374"/>
      <c r="Y245" s="370"/>
      <c r="Z245" s="371"/>
      <c r="AA245" s="371"/>
      <c r="AB245" s="744"/>
      <c r="AC245" s="270"/>
      <c r="AD245" s="372"/>
      <c r="AE245" s="270"/>
      <c r="AF245" s="270"/>
      <c r="AG245" s="270"/>
      <c r="AH245" s="350"/>
      <c r="AI245" s="365"/>
      <c r="AJ245" s="330"/>
      <c r="AK245" s="330"/>
      <c r="AL245" s="330"/>
      <c r="AM245" s="330"/>
    </row>
    <row r="246" spans="1:39" s="348" customFormat="1" x14ac:dyDescent="0.2">
      <c r="A246" s="423">
        <f t="shared" si="49"/>
        <v>241</v>
      </c>
      <c r="B246" s="721" t="s">
        <v>6265</v>
      </c>
      <c r="C246" s="655">
        <v>520515</v>
      </c>
      <c r="D246" s="658" t="s">
        <v>686</v>
      </c>
      <c r="E246" s="655" t="s">
        <v>4631</v>
      </c>
      <c r="F246" s="546">
        <v>2017</v>
      </c>
      <c r="G246" s="659">
        <v>42998</v>
      </c>
      <c r="H246" s="655" t="s">
        <v>1207</v>
      </c>
      <c r="I246" s="655" t="s">
        <v>6430</v>
      </c>
      <c r="J246" s="712"/>
      <c r="K246" s="655" t="s">
        <v>6533</v>
      </c>
      <c r="L246" s="655" t="s">
        <v>6691</v>
      </c>
      <c r="M246" s="660">
        <v>448275.86</v>
      </c>
      <c r="N246" s="660">
        <v>0</v>
      </c>
      <c r="O246" s="660">
        <v>71724.14</v>
      </c>
      <c r="P246" s="660">
        <v>520000</v>
      </c>
      <c r="Q246" s="548"/>
      <c r="R246" s="660">
        <v>366379.31</v>
      </c>
      <c r="S246" s="549">
        <f t="shared" si="48"/>
        <v>153620.69</v>
      </c>
      <c r="T246" s="113" t="s">
        <v>263</v>
      </c>
      <c r="U246" s="370"/>
      <c r="V246" s="370"/>
      <c r="W246" s="375"/>
      <c r="X246" s="374"/>
      <c r="Y246" s="370"/>
      <c r="Z246" s="371"/>
      <c r="AA246" s="371"/>
      <c r="AB246" s="744"/>
      <c r="AC246" s="270"/>
      <c r="AD246" s="372"/>
      <c r="AE246" s="270"/>
      <c r="AF246" s="270"/>
      <c r="AG246" s="270"/>
      <c r="AH246" s="350"/>
      <c r="AI246" s="365"/>
      <c r="AJ246" s="330"/>
      <c r="AK246" s="330"/>
      <c r="AL246" s="330"/>
      <c r="AM246" s="330"/>
    </row>
    <row r="247" spans="1:39" s="348" customFormat="1" x14ac:dyDescent="0.2">
      <c r="A247" s="423">
        <f t="shared" si="49"/>
        <v>242</v>
      </c>
      <c r="B247" s="721" t="s">
        <v>6266</v>
      </c>
      <c r="C247" s="655">
        <v>520227</v>
      </c>
      <c r="D247" s="658" t="s">
        <v>686</v>
      </c>
      <c r="E247" s="655" t="s">
        <v>4631</v>
      </c>
      <c r="F247" s="546">
        <v>2017</v>
      </c>
      <c r="G247" s="659">
        <v>42999</v>
      </c>
      <c r="H247" s="655" t="s">
        <v>1207</v>
      </c>
      <c r="I247" s="655" t="s">
        <v>6431</v>
      </c>
      <c r="J247" s="712"/>
      <c r="K247" s="655" t="s">
        <v>6534</v>
      </c>
      <c r="L247" s="655" t="s">
        <v>6692</v>
      </c>
      <c r="M247" s="660">
        <v>-217137.93</v>
      </c>
      <c r="N247" s="660">
        <v>0</v>
      </c>
      <c r="O247" s="660">
        <v>-7862.07</v>
      </c>
      <c r="P247" s="660">
        <v>-225000</v>
      </c>
      <c r="Q247" s="548"/>
      <c r="R247" s="660">
        <v>-168000</v>
      </c>
      <c r="S247" s="549">
        <f t="shared" si="48"/>
        <v>-57000</v>
      </c>
      <c r="T247" s="113" t="s">
        <v>263</v>
      </c>
      <c r="U247" s="370"/>
      <c r="V247" s="370"/>
      <c r="W247" s="375"/>
      <c r="X247" s="374"/>
      <c r="Y247" s="370"/>
      <c r="Z247" s="371"/>
      <c r="AA247" s="371"/>
      <c r="AB247" s="744"/>
      <c r="AC247" s="270"/>
      <c r="AD247" s="372"/>
      <c r="AE247" s="270"/>
      <c r="AF247" s="270"/>
      <c r="AG247" s="270"/>
      <c r="AH247" s="350"/>
      <c r="AI247" s="365"/>
      <c r="AJ247" s="330"/>
      <c r="AK247" s="330"/>
      <c r="AL247" s="330"/>
      <c r="AM247" s="330"/>
    </row>
    <row r="248" spans="1:39" s="348" customFormat="1" x14ac:dyDescent="0.2">
      <c r="A248" s="423">
        <f t="shared" si="49"/>
        <v>243</v>
      </c>
      <c r="B248" s="721" t="s">
        <v>6267</v>
      </c>
      <c r="C248" s="655">
        <v>520227</v>
      </c>
      <c r="D248" s="658" t="s">
        <v>686</v>
      </c>
      <c r="E248" s="655" t="s">
        <v>4631</v>
      </c>
      <c r="F248" s="546">
        <v>2017</v>
      </c>
      <c r="G248" s="659">
        <v>42999</v>
      </c>
      <c r="H248" s="655" t="s">
        <v>1207</v>
      </c>
      <c r="I248" s="655" t="s">
        <v>6431</v>
      </c>
      <c r="J248" s="712"/>
      <c r="K248" s="655" t="s">
        <v>6534</v>
      </c>
      <c r="L248" s="655" t="s">
        <v>6692</v>
      </c>
      <c r="M248" s="660">
        <v>217137.93</v>
      </c>
      <c r="N248" s="660">
        <v>0</v>
      </c>
      <c r="O248" s="660">
        <v>7862.07</v>
      </c>
      <c r="P248" s="660">
        <v>225000</v>
      </c>
      <c r="Q248" s="548"/>
      <c r="R248" s="660">
        <v>168000</v>
      </c>
      <c r="S248" s="549">
        <f t="shared" si="48"/>
        <v>57000</v>
      </c>
      <c r="T248" s="113" t="s">
        <v>263</v>
      </c>
      <c r="U248" s="370"/>
      <c r="V248" s="370"/>
      <c r="W248" s="375"/>
      <c r="X248" s="374"/>
      <c r="Y248" s="370"/>
      <c r="Z248" s="371"/>
      <c r="AA248" s="371"/>
      <c r="AB248" s="744"/>
      <c r="AC248" s="270"/>
      <c r="AD248" s="372"/>
      <c r="AE248" s="270"/>
      <c r="AF248" s="270"/>
      <c r="AG248" s="270"/>
      <c r="AH248" s="350"/>
      <c r="AI248" s="365"/>
      <c r="AJ248" s="330"/>
      <c r="AK248" s="330"/>
      <c r="AL248" s="330"/>
      <c r="AM248" s="330"/>
    </row>
    <row r="249" spans="1:39" s="348" customFormat="1" x14ac:dyDescent="0.2">
      <c r="A249" s="423">
        <f t="shared" si="49"/>
        <v>244</v>
      </c>
      <c r="B249" s="721" t="s">
        <v>6268</v>
      </c>
      <c r="C249" s="655">
        <v>520227</v>
      </c>
      <c r="D249" s="658" t="s">
        <v>686</v>
      </c>
      <c r="E249" s="655" t="s">
        <v>4631</v>
      </c>
      <c r="F249" s="546">
        <v>2017</v>
      </c>
      <c r="G249" s="659">
        <v>42999</v>
      </c>
      <c r="H249" s="655" t="s">
        <v>1207</v>
      </c>
      <c r="I249" s="655" t="s">
        <v>6431</v>
      </c>
      <c r="J249" s="712"/>
      <c r="K249" s="655" t="s">
        <v>6534</v>
      </c>
      <c r="L249" s="655" t="s">
        <v>6692</v>
      </c>
      <c r="M249" s="660">
        <v>217137.93</v>
      </c>
      <c r="N249" s="660">
        <v>0</v>
      </c>
      <c r="O249" s="660">
        <v>7862.07</v>
      </c>
      <c r="P249" s="660">
        <v>225000</v>
      </c>
      <c r="Q249" s="548"/>
      <c r="R249" s="660">
        <v>168000</v>
      </c>
      <c r="S249" s="549">
        <f t="shared" si="48"/>
        <v>57000</v>
      </c>
      <c r="T249" s="113" t="s">
        <v>263</v>
      </c>
      <c r="U249" s="370"/>
      <c r="V249" s="370"/>
      <c r="W249" s="375"/>
      <c r="X249" s="374"/>
      <c r="Y249" s="370"/>
      <c r="Z249" s="371"/>
      <c r="AA249" s="371"/>
      <c r="AB249" s="744"/>
      <c r="AC249" s="270"/>
      <c r="AD249" s="372"/>
      <c r="AE249" s="270"/>
      <c r="AF249" s="270"/>
      <c r="AG249" s="270"/>
      <c r="AH249" s="350"/>
      <c r="AI249" s="365"/>
      <c r="AJ249" s="330"/>
      <c r="AK249" s="330"/>
      <c r="AL249" s="330"/>
      <c r="AM249" s="330"/>
    </row>
    <row r="250" spans="1:39" s="348" customFormat="1" x14ac:dyDescent="0.2">
      <c r="A250" s="423">
        <f t="shared" si="49"/>
        <v>245</v>
      </c>
      <c r="B250" s="721" t="s">
        <v>6269</v>
      </c>
      <c r="C250" s="655">
        <v>521802</v>
      </c>
      <c r="D250" s="658" t="s">
        <v>686</v>
      </c>
      <c r="E250" s="655" t="s">
        <v>4631</v>
      </c>
      <c r="F250" s="546">
        <v>2017</v>
      </c>
      <c r="G250" s="659">
        <v>43000</v>
      </c>
      <c r="H250" s="655" t="s">
        <v>1211</v>
      </c>
      <c r="I250" s="655" t="s">
        <v>6432</v>
      </c>
      <c r="J250" s="712"/>
      <c r="K250" s="655" t="s">
        <v>6535</v>
      </c>
      <c r="L250" s="655" t="s">
        <v>6693</v>
      </c>
      <c r="M250" s="660">
        <v>154137.93</v>
      </c>
      <c r="N250" s="660">
        <v>0</v>
      </c>
      <c r="O250" s="660">
        <v>3862.07</v>
      </c>
      <c r="P250" s="660">
        <v>158000</v>
      </c>
      <c r="Q250" s="548"/>
      <c r="R250" s="660">
        <v>130000</v>
      </c>
      <c r="S250" s="549">
        <f t="shared" si="48"/>
        <v>28000</v>
      </c>
      <c r="T250" s="113" t="s">
        <v>263</v>
      </c>
      <c r="U250" s="370"/>
      <c r="V250" s="370"/>
      <c r="W250" s="375"/>
      <c r="X250" s="374"/>
      <c r="Y250" s="370"/>
      <c r="Z250" s="371"/>
      <c r="AA250" s="371"/>
      <c r="AB250" s="744"/>
      <c r="AC250" s="270"/>
      <c r="AD250" s="372"/>
      <c r="AE250" s="270"/>
      <c r="AF250" s="270"/>
      <c r="AG250" s="270"/>
      <c r="AH250" s="350"/>
      <c r="AI250" s="365"/>
      <c r="AJ250" s="330"/>
      <c r="AK250" s="330"/>
      <c r="AL250" s="330"/>
      <c r="AM250" s="330"/>
    </row>
    <row r="251" spans="1:39" s="348" customFormat="1" x14ac:dyDescent="0.2">
      <c r="A251" s="423">
        <f t="shared" si="49"/>
        <v>246</v>
      </c>
      <c r="B251" s="721" t="s">
        <v>6270</v>
      </c>
      <c r="C251" s="655">
        <v>521908</v>
      </c>
      <c r="D251" s="658" t="s">
        <v>686</v>
      </c>
      <c r="E251" s="655" t="s">
        <v>4631</v>
      </c>
      <c r="F251" s="546">
        <v>2017</v>
      </c>
      <c r="G251" s="659">
        <v>43000</v>
      </c>
      <c r="H251" s="655" t="s">
        <v>5623</v>
      </c>
      <c r="I251" s="655" t="s">
        <v>6433</v>
      </c>
      <c r="J251" s="712"/>
      <c r="K251" s="655" t="s">
        <v>6536</v>
      </c>
      <c r="L251" s="655" t="s">
        <v>6694</v>
      </c>
      <c r="M251" s="660">
        <v>413103.45</v>
      </c>
      <c r="N251" s="660">
        <v>0</v>
      </c>
      <c r="O251" s="660">
        <v>6896.55</v>
      </c>
      <c r="P251" s="660">
        <v>420000</v>
      </c>
      <c r="Q251" s="548"/>
      <c r="R251" s="660">
        <v>370000</v>
      </c>
      <c r="S251" s="549">
        <f t="shared" si="48"/>
        <v>50000</v>
      </c>
      <c r="T251" s="113" t="s">
        <v>263</v>
      </c>
      <c r="U251" s="370"/>
      <c r="V251" s="370"/>
      <c r="W251" s="375"/>
      <c r="X251" s="374"/>
      <c r="Y251" s="370"/>
      <c r="Z251" s="371"/>
      <c r="AA251" s="371"/>
      <c r="AB251" s="744"/>
      <c r="AC251" s="270"/>
      <c r="AD251" s="372"/>
      <c r="AE251" s="270"/>
      <c r="AF251" s="270"/>
      <c r="AG251" s="270"/>
      <c r="AH251" s="350"/>
      <c r="AI251" s="365"/>
      <c r="AJ251" s="330"/>
      <c r="AK251" s="330"/>
      <c r="AL251" s="330"/>
      <c r="AM251" s="330"/>
    </row>
    <row r="252" spans="1:39" s="348" customFormat="1" x14ac:dyDescent="0.2">
      <c r="A252" s="423">
        <f t="shared" si="49"/>
        <v>247</v>
      </c>
      <c r="B252" s="721" t="s">
        <v>6271</v>
      </c>
      <c r="C252" s="655">
        <v>520222</v>
      </c>
      <c r="D252" s="658" t="s">
        <v>686</v>
      </c>
      <c r="E252" s="655" t="s">
        <v>4631</v>
      </c>
      <c r="F252" s="546">
        <v>2017</v>
      </c>
      <c r="G252" s="659">
        <v>43003</v>
      </c>
      <c r="H252" s="655" t="s">
        <v>1207</v>
      </c>
      <c r="I252" s="655" t="s">
        <v>6434</v>
      </c>
      <c r="J252" s="712"/>
      <c r="K252" s="655" t="s">
        <v>6537</v>
      </c>
      <c r="L252" s="655" t="s">
        <v>1816</v>
      </c>
      <c r="M252" s="660">
        <v>242911.72</v>
      </c>
      <c r="N252" s="660">
        <v>0</v>
      </c>
      <c r="O252" s="660">
        <v>4088.28</v>
      </c>
      <c r="P252" s="660">
        <v>247000</v>
      </c>
      <c r="Q252" s="548"/>
      <c r="R252" s="660">
        <v>217360</v>
      </c>
      <c r="S252" s="549">
        <f t="shared" si="48"/>
        <v>29640</v>
      </c>
      <c r="T252" s="113" t="s">
        <v>263</v>
      </c>
      <c r="U252" s="370"/>
      <c r="V252" s="370"/>
      <c r="W252" s="375"/>
      <c r="X252" s="374"/>
      <c r="Y252" s="370"/>
      <c r="Z252" s="371"/>
      <c r="AA252" s="371"/>
      <c r="AB252" s="744"/>
      <c r="AC252" s="270"/>
      <c r="AD252" s="372"/>
      <c r="AE252" s="270"/>
      <c r="AF252" s="270"/>
      <c r="AG252" s="270"/>
      <c r="AH252" s="350"/>
      <c r="AI252" s="365"/>
      <c r="AJ252" s="330"/>
      <c r="AK252" s="330"/>
      <c r="AL252" s="330"/>
      <c r="AM252" s="330"/>
    </row>
    <row r="253" spans="1:39" s="348" customFormat="1" x14ac:dyDescent="0.2">
      <c r="A253" s="423">
        <f t="shared" si="49"/>
        <v>248</v>
      </c>
      <c r="B253" s="721" t="s">
        <v>6272</v>
      </c>
      <c r="C253" s="655">
        <v>520112</v>
      </c>
      <c r="D253" s="658" t="s">
        <v>686</v>
      </c>
      <c r="E253" s="655" t="s">
        <v>4631</v>
      </c>
      <c r="F253" s="546">
        <v>2017</v>
      </c>
      <c r="G253" s="659">
        <v>43003</v>
      </c>
      <c r="H253" s="655" t="s">
        <v>1207</v>
      </c>
      <c r="I253" s="655" t="s">
        <v>6435</v>
      </c>
      <c r="J253" s="712"/>
      <c r="K253" s="655" t="s">
        <v>6538</v>
      </c>
      <c r="L253" s="655" t="s">
        <v>6695</v>
      </c>
      <c r="M253" s="660">
        <v>290862.07</v>
      </c>
      <c r="N253" s="660">
        <v>0</v>
      </c>
      <c r="O253" s="660">
        <v>4137.93</v>
      </c>
      <c r="P253" s="660">
        <v>295000</v>
      </c>
      <c r="Q253" s="548"/>
      <c r="R253" s="660">
        <v>265000</v>
      </c>
      <c r="S253" s="549">
        <f t="shared" si="48"/>
        <v>30000</v>
      </c>
      <c r="T253" s="113" t="s">
        <v>263</v>
      </c>
      <c r="U253" s="370"/>
      <c r="V253" s="370"/>
      <c r="W253" s="375"/>
      <c r="X253" s="374"/>
      <c r="Y253" s="370"/>
      <c r="Z253" s="371"/>
      <c r="AA253" s="371"/>
      <c r="AB253" s="744"/>
      <c r="AC253" s="270"/>
      <c r="AD253" s="372"/>
      <c r="AE253" s="270"/>
      <c r="AF253" s="270"/>
      <c r="AG253" s="270"/>
      <c r="AH253" s="350"/>
      <c r="AI253" s="365"/>
      <c r="AJ253" s="330"/>
      <c r="AK253" s="330"/>
      <c r="AL253" s="330"/>
      <c r="AM253" s="330"/>
    </row>
    <row r="254" spans="1:39" s="348" customFormat="1" x14ac:dyDescent="0.2">
      <c r="A254" s="423">
        <f t="shared" si="49"/>
        <v>249</v>
      </c>
      <c r="B254" s="721" t="s">
        <v>6273</v>
      </c>
      <c r="C254" s="655">
        <v>521802</v>
      </c>
      <c r="D254" s="658" t="s">
        <v>686</v>
      </c>
      <c r="E254" s="655" t="s">
        <v>4631</v>
      </c>
      <c r="F254" s="546">
        <v>2017</v>
      </c>
      <c r="G254" s="659">
        <v>43003</v>
      </c>
      <c r="H254" s="655" t="s">
        <v>1211</v>
      </c>
      <c r="I254" s="655" t="s">
        <v>6432</v>
      </c>
      <c r="J254" s="712"/>
      <c r="K254" s="655" t="s">
        <v>6535</v>
      </c>
      <c r="L254" s="655" t="s">
        <v>6693</v>
      </c>
      <c r="M254" s="660">
        <v>-154137.93</v>
      </c>
      <c r="N254" s="660">
        <v>0</v>
      </c>
      <c r="O254" s="660">
        <v>-3862.07</v>
      </c>
      <c r="P254" s="660">
        <v>-158000</v>
      </c>
      <c r="Q254" s="548"/>
      <c r="R254" s="660">
        <v>-130000</v>
      </c>
      <c r="S254" s="549">
        <f t="shared" si="48"/>
        <v>-28000</v>
      </c>
      <c r="T254" s="113" t="s">
        <v>263</v>
      </c>
      <c r="U254" s="370"/>
      <c r="V254" s="370"/>
      <c r="W254" s="375"/>
      <c r="X254" s="374"/>
      <c r="Y254" s="370"/>
      <c r="Z254" s="371"/>
      <c r="AA254" s="371"/>
      <c r="AB254" s="744"/>
      <c r="AC254" s="270"/>
      <c r="AD254" s="372"/>
      <c r="AE254" s="270"/>
      <c r="AF254" s="270"/>
      <c r="AG254" s="270"/>
      <c r="AH254" s="350"/>
      <c r="AI254" s="365"/>
      <c r="AJ254" s="330"/>
      <c r="AK254" s="330"/>
      <c r="AL254" s="330"/>
      <c r="AM254" s="330"/>
    </row>
    <row r="255" spans="1:39" s="348" customFormat="1" x14ac:dyDescent="0.2">
      <c r="A255" s="423">
        <f t="shared" si="49"/>
        <v>250</v>
      </c>
      <c r="B255" s="721" t="s">
        <v>6274</v>
      </c>
      <c r="C255" s="655">
        <v>521802</v>
      </c>
      <c r="D255" s="658" t="s">
        <v>686</v>
      </c>
      <c r="E255" s="655" t="s">
        <v>4631</v>
      </c>
      <c r="F255" s="546">
        <v>2017</v>
      </c>
      <c r="G255" s="659">
        <v>43003</v>
      </c>
      <c r="H255" s="655" t="s">
        <v>1211</v>
      </c>
      <c r="I255" s="655" t="s">
        <v>6432</v>
      </c>
      <c r="J255" s="712"/>
      <c r="K255" s="655" t="s">
        <v>6535</v>
      </c>
      <c r="L255" s="655" t="s">
        <v>6693</v>
      </c>
      <c r="M255" s="660">
        <v>154137.93</v>
      </c>
      <c r="N255" s="660">
        <v>0</v>
      </c>
      <c r="O255" s="660">
        <v>3862.07</v>
      </c>
      <c r="P255" s="660">
        <v>158000</v>
      </c>
      <c r="Q255" s="548"/>
      <c r="R255" s="660">
        <v>130000</v>
      </c>
      <c r="S255" s="549">
        <f t="shared" si="48"/>
        <v>28000</v>
      </c>
      <c r="T255" s="113" t="s">
        <v>263</v>
      </c>
      <c r="U255" s="370"/>
      <c r="V255" s="370"/>
      <c r="W255" s="375"/>
      <c r="X255" s="374"/>
      <c r="Y255" s="370"/>
      <c r="Z255" s="371"/>
      <c r="AA255" s="371"/>
      <c r="AB255" s="744"/>
      <c r="AC255" s="270"/>
      <c r="AD255" s="372"/>
      <c r="AE255" s="270"/>
      <c r="AF255" s="270"/>
      <c r="AG255" s="270"/>
      <c r="AH255" s="350"/>
      <c r="AI255" s="365"/>
      <c r="AJ255" s="330"/>
      <c r="AK255" s="330"/>
      <c r="AL255" s="330"/>
      <c r="AM255" s="330"/>
    </row>
    <row r="256" spans="1:39" s="348" customFormat="1" x14ac:dyDescent="0.2">
      <c r="A256" s="423">
        <f t="shared" si="49"/>
        <v>251</v>
      </c>
      <c r="B256" s="721" t="s">
        <v>6275</v>
      </c>
      <c r="C256" s="655">
        <v>521802</v>
      </c>
      <c r="D256" s="658" t="s">
        <v>686</v>
      </c>
      <c r="E256" s="655" t="s">
        <v>4631</v>
      </c>
      <c r="F256" s="546">
        <v>2017</v>
      </c>
      <c r="G256" s="659">
        <v>43003</v>
      </c>
      <c r="H256" s="655" t="s">
        <v>6277</v>
      </c>
      <c r="I256" s="655" t="s">
        <v>6436</v>
      </c>
      <c r="J256" s="712"/>
      <c r="K256" s="655" t="s">
        <v>6539</v>
      </c>
      <c r="L256" s="655" t="s">
        <v>6696</v>
      </c>
      <c r="M256" s="660">
        <v>168620.69</v>
      </c>
      <c r="N256" s="660">
        <v>0</v>
      </c>
      <c r="O256" s="660">
        <v>1379.31</v>
      </c>
      <c r="P256" s="660">
        <v>170000</v>
      </c>
      <c r="Q256" s="548"/>
      <c r="R256" s="660">
        <v>160000</v>
      </c>
      <c r="S256" s="549">
        <f t="shared" si="48"/>
        <v>10000</v>
      </c>
      <c r="T256" s="113" t="s">
        <v>263</v>
      </c>
      <c r="U256" s="370"/>
      <c r="V256" s="370"/>
      <c r="W256" s="375"/>
      <c r="X256" s="374"/>
      <c r="Y256" s="370"/>
      <c r="Z256" s="371"/>
      <c r="AA256" s="371"/>
      <c r="AB256" s="744"/>
      <c r="AC256" s="270"/>
      <c r="AD256" s="372"/>
      <c r="AE256" s="270"/>
      <c r="AF256" s="270"/>
      <c r="AG256" s="270"/>
      <c r="AH256" s="350"/>
      <c r="AI256" s="365"/>
      <c r="AJ256" s="330"/>
      <c r="AK256" s="330"/>
      <c r="AL256" s="330"/>
      <c r="AM256" s="330"/>
    </row>
    <row r="257" spans="1:41" s="348" customFormat="1" x14ac:dyDescent="0.2">
      <c r="A257" s="423">
        <f t="shared" si="49"/>
        <v>252</v>
      </c>
      <c r="B257" s="721"/>
      <c r="C257" s="655"/>
      <c r="D257" s="658"/>
      <c r="E257" s="655"/>
      <c r="F257" s="546"/>
      <c r="G257" s="659"/>
      <c r="H257" s="655"/>
      <c r="I257" s="655"/>
      <c r="J257" s="712"/>
      <c r="K257" s="655"/>
      <c r="L257" s="655"/>
      <c r="M257" s="660"/>
      <c r="N257" s="660"/>
      <c r="O257" s="660"/>
      <c r="P257" s="660"/>
      <c r="Q257" s="548"/>
      <c r="R257" s="660"/>
      <c r="S257" s="549"/>
      <c r="T257" s="113"/>
      <c r="U257" s="370"/>
      <c r="V257" s="370"/>
      <c r="W257" s="375"/>
      <c r="X257" s="374"/>
      <c r="Y257" s="370"/>
      <c r="Z257" s="371"/>
      <c r="AA257" s="371"/>
      <c r="AB257" s="744"/>
      <c r="AC257" s="270"/>
      <c r="AD257" s="372"/>
      <c r="AE257" s="270"/>
      <c r="AF257" s="270"/>
      <c r="AG257" s="270"/>
      <c r="AH257" s="350"/>
      <c r="AI257" s="365"/>
      <c r="AJ257" s="330"/>
      <c r="AK257" s="330"/>
      <c r="AL257" s="330"/>
      <c r="AM257" s="330"/>
    </row>
    <row r="258" spans="1:41" s="348" customFormat="1" x14ac:dyDescent="0.2">
      <c r="A258" s="423">
        <f t="shared" si="49"/>
        <v>253</v>
      </c>
      <c r="B258" s="721"/>
      <c r="C258" s="655"/>
      <c r="D258" s="658"/>
      <c r="E258" s="655"/>
      <c r="F258" s="546"/>
      <c r="G258" s="659"/>
      <c r="H258" s="655"/>
      <c r="I258" s="655"/>
      <c r="J258" s="712"/>
      <c r="K258" s="655"/>
      <c r="L258" s="655"/>
      <c r="M258" s="660"/>
      <c r="N258" s="660"/>
      <c r="O258" s="660"/>
      <c r="P258" s="660"/>
      <c r="Q258" s="548"/>
      <c r="R258" s="660"/>
      <c r="S258" s="549"/>
      <c r="T258" s="113"/>
      <c r="U258" s="370"/>
      <c r="V258" s="370"/>
      <c r="W258" s="375"/>
      <c r="X258" s="374"/>
      <c r="Y258" s="370"/>
      <c r="Z258" s="371"/>
      <c r="AA258" s="371"/>
      <c r="AB258" s="744"/>
      <c r="AC258" s="270"/>
      <c r="AD258" s="372"/>
      <c r="AE258" s="270"/>
      <c r="AF258" s="270"/>
      <c r="AG258" s="270"/>
      <c r="AH258" s="350"/>
      <c r="AI258" s="365"/>
      <c r="AJ258" s="330"/>
      <c r="AK258" s="330"/>
      <c r="AL258" s="330"/>
      <c r="AM258" s="330"/>
    </row>
    <row r="259" spans="1:41" s="348" customFormat="1" x14ac:dyDescent="0.2">
      <c r="A259" s="423"/>
      <c r="B259" s="657"/>
      <c r="C259" s="655"/>
      <c r="D259" s="658"/>
      <c r="E259" s="655"/>
      <c r="F259" s="546"/>
      <c r="G259" s="659"/>
      <c r="H259" s="655"/>
      <c r="I259" s="655"/>
      <c r="J259" s="712"/>
      <c r="K259" s="655"/>
      <c r="L259" s="655"/>
      <c r="M259" s="660"/>
      <c r="N259" s="660"/>
      <c r="O259" s="660"/>
      <c r="P259" s="660"/>
      <c r="Q259" s="548"/>
      <c r="R259" s="660"/>
      <c r="S259" s="549"/>
      <c r="T259" s="113"/>
      <c r="U259" s="370"/>
      <c r="V259" s="370"/>
      <c r="W259" s="375"/>
      <c r="X259" s="374"/>
      <c r="Y259" s="370"/>
      <c r="Z259" s="371"/>
      <c r="AA259" s="371"/>
      <c r="AB259" s="744"/>
      <c r="AC259" s="270"/>
      <c r="AD259" s="372"/>
      <c r="AE259" s="270"/>
      <c r="AF259" s="270"/>
      <c r="AG259" s="270"/>
      <c r="AH259" s="350"/>
      <c r="AI259" s="365"/>
      <c r="AJ259" s="330"/>
      <c r="AK259" s="330"/>
      <c r="AL259" s="330"/>
      <c r="AM259" s="330"/>
    </row>
    <row r="260" spans="1:41" s="53" customFormat="1" ht="13.5" thickBot="1" x14ac:dyDescent="0.25">
      <c r="A260" s="48"/>
      <c r="B260" s="557"/>
      <c r="C260" s="558"/>
      <c r="D260" s="558"/>
      <c r="E260" s="559"/>
      <c r="F260" s="559"/>
      <c r="G260" s="560"/>
      <c r="H260" s="559"/>
      <c r="I260" s="559"/>
      <c r="J260" s="559"/>
      <c r="K260" s="559"/>
      <c r="L260" s="559"/>
      <c r="M260" s="561"/>
      <c r="N260" s="561"/>
      <c r="O260" s="561"/>
      <c r="P260" s="561"/>
      <c r="Q260" s="561"/>
      <c r="R260" s="561"/>
      <c r="S260" s="562"/>
      <c r="T260" s="13"/>
      <c r="V260" s="116"/>
      <c r="W260" s="757"/>
      <c r="X260" s="382"/>
      <c r="Y260" s="441"/>
      <c r="Z260" s="438"/>
      <c r="AA260" s="439"/>
      <c r="AB260" s="715"/>
      <c r="AC260" s="396"/>
      <c r="AD260" s="425"/>
      <c r="AE260" s="440"/>
      <c r="AF260" s="439"/>
      <c r="AG260" s="396"/>
      <c r="AH260" s="346"/>
      <c r="AI260" s="313"/>
      <c r="AJ260" s="21"/>
      <c r="AK260" s="21"/>
      <c r="AL260" s="21"/>
      <c r="AM260" s="21"/>
      <c r="AN260" s="21"/>
      <c r="AO260" s="21"/>
    </row>
    <row r="261" spans="1:41" s="53" customFormat="1" x14ac:dyDescent="0.2">
      <c r="A261" s="48"/>
      <c r="B261" s="592"/>
      <c r="C261" s="593"/>
      <c r="D261" s="593"/>
      <c r="E261" s="593"/>
      <c r="F261" s="594"/>
      <c r="G261" s="595"/>
      <c r="H261" s="596"/>
      <c r="I261" s="597"/>
      <c r="J261" s="598"/>
      <c r="K261" s="598"/>
      <c r="L261" s="594"/>
      <c r="M261" s="599"/>
      <c r="N261" s="600"/>
      <c r="O261" s="601"/>
      <c r="P261" s="601"/>
      <c r="Q261" s="601"/>
      <c r="R261" s="602"/>
      <c r="S261" s="603"/>
      <c r="T261" s="13"/>
      <c r="V261" s="116"/>
      <c r="W261" s="757"/>
      <c r="X261" s="271"/>
      <c r="Y261" s="441"/>
      <c r="Z261" s="476"/>
      <c r="AA261" s="472"/>
      <c r="AB261" s="473"/>
      <c r="AC261" s="474"/>
      <c r="AD261" s="436"/>
      <c r="AE261" s="431"/>
      <c r="AF261" s="431"/>
      <c r="AG261" s="440"/>
      <c r="AH261" s="270"/>
      <c r="AI261" s="313"/>
      <c r="AJ261" s="21"/>
      <c r="AK261" s="21"/>
      <c r="AL261" s="21"/>
      <c r="AM261" s="21"/>
      <c r="AN261" s="21"/>
      <c r="AO261" s="21"/>
    </row>
    <row r="262" spans="1:41" s="53" customFormat="1" x14ac:dyDescent="0.2">
      <c r="A262" s="48"/>
      <c r="B262" s="604"/>
      <c r="C262" s="262"/>
      <c r="D262" s="262"/>
      <c r="E262" s="129"/>
      <c r="F262" s="40"/>
      <c r="G262" s="81"/>
      <c r="H262" s="254"/>
      <c r="I262" s="90"/>
      <c r="J262" s="90"/>
      <c r="K262" s="90"/>
      <c r="L262" s="40"/>
      <c r="M262" s="209">
        <f t="shared" ref="M262:S262" si="50">SUM(M6:M260)</f>
        <v>47642154.919999965</v>
      </c>
      <c r="N262" s="209">
        <f t="shared" si="50"/>
        <v>1192997.71</v>
      </c>
      <c r="O262" s="209">
        <f t="shared" si="50"/>
        <v>7061614.8100000033</v>
      </c>
      <c r="P262" s="209">
        <f t="shared" si="50"/>
        <v>55896767.440000013</v>
      </c>
      <c r="Q262" s="209">
        <f t="shared" si="50"/>
        <v>0</v>
      </c>
      <c r="R262" s="209">
        <f t="shared" si="50"/>
        <v>44359941.689999945</v>
      </c>
      <c r="S262" s="605">
        <f t="shared" si="50"/>
        <v>11536825.75</v>
      </c>
      <c r="T262" s="13"/>
      <c r="V262" s="93"/>
      <c r="W262" s="267"/>
      <c r="X262" s="271"/>
      <c r="Y262" s="271"/>
      <c r="Z262" s="476"/>
      <c r="AA262" s="472"/>
      <c r="AB262" s="473"/>
      <c r="AC262" s="474"/>
      <c r="AD262" s="425"/>
      <c r="AE262" s="424"/>
      <c r="AF262" s="424"/>
      <c r="AG262" s="346"/>
      <c r="AH262" s="270"/>
      <c r="AI262" s="313"/>
      <c r="AJ262" s="21"/>
      <c r="AK262" s="21"/>
      <c r="AL262" s="21"/>
      <c r="AM262" s="21"/>
      <c r="AN262" s="21"/>
      <c r="AO262" s="21"/>
    </row>
    <row r="263" spans="1:41" s="53" customFormat="1" ht="13.5" thickBot="1" x14ac:dyDescent="0.25">
      <c r="A263" s="48"/>
      <c r="B263" s="606"/>
      <c r="C263" s="607"/>
      <c r="D263" s="607"/>
      <c r="E263" s="607"/>
      <c r="F263" s="608"/>
      <c r="G263" s="609"/>
      <c r="H263" s="610"/>
      <c r="I263" s="611"/>
      <c r="J263" s="612"/>
      <c r="K263" s="612"/>
      <c r="L263" s="608"/>
      <c r="M263" s="613"/>
      <c r="N263" s="614"/>
      <c r="O263" s="615"/>
      <c r="P263" s="615"/>
      <c r="Q263" s="615"/>
      <c r="R263" s="616"/>
      <c r="S263" s="617"/>
      <c r="T263" s="13"/>
      <c r="V263" s="429"/>
      <c r="W263" s="426"/>
      <c r="X263" s="382"/>
      <c r="Y263" s="442"/>
      <c r="Z263" s="476"/>
      <c r="AA263" s="472"/>
      <c r="AB263" s="473"/>
      <c r="AC263" s="474"/>
      <c r="AD263" s="443"/>
      <c r="AE263" s="439"/>
      <c r="AF263" s="439"/>
      <c r="AG263" s="291"/>
      <c r="AH263" s="270"/>
      <c r="AI263" s="313"/>
      <c r="AJ263" s="21"/>
      <c r="AK263" s="21"/>
      <c r="AL263" s="21"/>
      <c r="AM263" s="21"/>
      <c r="AN263" s="21"/>
      <c r="AO263" s="21"/>
    </row>
    <row r="264" spans="1:41" s="53" customFormat="1" x14ac:dyDescent="0.2">
      <c r="A264" s="48"/>
      <c r="B264" s="305"/>
      <c r="C264" s="233"/>
      <c r="D264" s="233"/>
      <c r="E264" s="113"/>
      <c r="F264" s="48"/>
      <c r="G264" s="49"/>
      <c r="H264" s="256"/>
      <c r="I264" s="133" t="s">
        <v>37</v>
      </c>
      <c r="J264" s="117"/>
      <c r="K264" s="133" t="s">
        <v>37</v>
      </c>
      <c r="L264" s="8" t="s">
        <v>75</v>
      </c>
      <c r="M264" s="410">
        <v>28309146.16</v>
      </c>
      <c r="N264" s="326">
        <f>+N262</f>
        <v>1192997.71</v>
      </c>
      <c r="O264" s="201"/>
      <c r="P264" s="279"/>
      <c r="Q264" s="201"/>
      <c r="R264" s="326">
        <v>27364079.710000001</v>
      </c>
      <c r="S264" s="201">
        <f>SUM(R6:R208)+SUM(Q275:Q276)-R265+Q1</f>
        <v>29685256.459999949</v>
      </c>
      <c r="T264" s="13"/>
      <c r="V264" s="331"/>
      <c r="W264" s="331"/>
      <c r="X264" s="331"/>
      <c r="Y264" s="331"/>
      <c r="Z264" s="759"/>
      <c r="AA264" s="472"/>
      <c r="AB264" s="473"/>
      <c r="AC264" s="474"/>
      <c r="AD264" s="331"/>
      <c r="AE264" s="331"/>
      <c r="AF264" s="351"/>
      <c r="AG264" s="351"/>
      <c r="AH264" s="270"/>
      <c r="AI264" s="313"/>
      <c r="AJ264" s="21"/>
      <c r="AK264" s="21"/>
      <c r="AL264" s="21"/>
      <c r="AM264" s="21"/>
      <c r="AN264" s="21"/>
      <c r="AO264" s="21"/>
    </row>
    <row r="265" spans="1:41" s="53" customFormat="1" x14ac:dyDescent="0.2">
      <c r="A265" s="48"/>
      <c r="B265" s="305"/>
      <c r="C265" s="233"/>
      <c r="D265" s="233"/>
      <c r="E265" s="113"/>
      <c r="F265" s="48"/>
      <c r="G265" s="49"/>
      <c r="H265" s="256"/>
      <c r="I265" s="133" t="s">
        <v>404</v>
      </c>
      <c r="J265" s="117"/>
      <c r="K265" s="133" t="s">
        <v>74</v>
      </c>
      <c r="L265" s="8" t="s">
        <v>75</v>
      </c>
      <c r="M265" s="410">
        <f>12985363.57+322205.89</f>
        <v>13307569.460000001</v>
      </c>
      <c r="N265" s="326"/>
      <c r="O265" s="201"/>
      <c r="P265" s="279"/>
      <c r="Q265" s="201"/>
      <c r="R265" s="326">
        <v>7522946.3200000003</v>
      </c>
      <c r="S265" s="285"/>
      <c r="T265" s="13"/>
      <c r="V265" s="330"/>
      <c r="W265" s="330"/>
      <c r="X265" s="330"/>
      <c r="Y265" s="330"/>
      <c r="Z265" s="758"/>
      <c r="AA265" s="480"/>
      <c r="AB265" s="473"/>
      <c r="AC265" s="472"/>
      <c r="AD265" s="330"/>
      <c r="AE265" s="330"/>
      <c r="AF265" s="348"/>
      <c r="AG265" s="348"/>
      <c r="AH265" s="346"/>
      <c r="AI265" s="363"/>
      <c r="AJ265" s="21"/>
      <c r="AK265" s="21"/>
      <c r="AL265" s="21"/>
      <c r="AM265" s="21"/>
      <c r="AN265" s="21"/>
      <c r="AO265" s="21"/>
    </row>
    <row r="266" spans="1:41" s="53" customFormat="1" x14ac:dyDescent="0.2">
      <c r="A266" s="48"/>
      <c r="B266" s="306"/>
      <c r="C266" s="233"/>
      <c r="D266" s="233"/>
      <c r="E266" s="113"/>
      <c r="F266" s="48"/>
      <c r="G266" s="49"/>
      <c r="H266" s="256"/>
      <c r="I266" s="133" t="s">
        <v>74</v>
      </c>
      <c r="J266" s="117"/>
      <c r="K266" s="133" t="s">
        <v>38</v>
      </c>
      <c r="L266" s="8" t="s">
        <v>75</v>
      </c>
      <c r="M266" s="410">
        <v>6025439.2999999998</v>
      </c>
      <c r="N266" s="201"/>
      <c r="O266" s="201"/>
      <c r="P266" s="279"/>
      <c r="Q266" s="332">
        <f>72*360</f>
        <v>25920</v>
      </c>
      <c r="R266" s="326">
        <v>5857317.5899999999</v>
      </c>
      <c r="S266" s="201" t="e">
        <f>SUM(#REF!)</f>
        <v>#REF!</v>
      </c>
      <c r="T266" s="13"/>
      <c r="U266" s="369"/>
      <c r="V266" s="370"/>
      <c r="W266" s="375"/>
      <c r="X266" s="375"/>
      <c r="Y266" s="375"/>
      <c r="Z266" s="376"/>
      <c r="AA266" s="371"/>
      <c r="AB266" s="744"/>
      <c r="AC266" s="371"/>
      <c r="AD266" s="372"/>
      <c r="AE266" s="371"/>
      <c r="AF266" s="371"/>
      <c r="AG266" s="270"/>
      <c r="AH266" s="272"/>
      <c r="AI266" s="313"/>
      <c r="AJ266" s="21"/>
      <c r="AK266" s="21"/>
      <c r="AL266" s="21"/>
      <c r="AM266" s="21"/>
      <c r="AN266" s="21"/>
      <c r="AO266" s="21"/>
    </row>
    <row r="267" spans="1:41" s="53" customFormat="1" x14ac:dyDescent="0.2">
      <c r="A267" s="48"/>
      <c r="B267" s="306"/>
      <c r="C267" s="233"/>
      <c r="D267" s="233"/>
      <c r="E267" s="113"/>
      <c r="F267" s="48"/>
      <c r="G267" s="49"/>
      <c r="H267" s="256"/>
      <c r="I267" s="133" t="s">
        <v>38</v>
      </c>
      <c r="J267" s="117"/>
      <c r="K267" s="117"/>
      <c r="L267" s="8"/>
      <c r="M267" s="326"/>
      <c r="N267" s="326"/>
      <c r="O267" s="326"/>
      <c r="P267" s="327"/>
      <c r="Q267" s="327"/>
      <c r="R267" s="400">
        <v>8200735.7800000003</v>
      </c>
      <c r="S267" s="401"/>
      <c r="T267" s="380"/>
      <c r="U267" s="369"/>
      <c r="V267" s="370"/>
      <c r="W267" s="375"/>
      <c r="X267" s="375"/>
      <c r="Y267" s="375"/>
      <c r="Z267" s="376"/>
      <c r="AA267" s="371"/>
      <c r="AB267" s="744"/>
      <c r="AC267" s="371"/>
      <c r="AD267" s="372"/>
      <c r="AE267" s="371"/>
      <c r="AF267" s="371"/>
      <c r="AG267" s="270"/>
      <c r="AH267" s="272"/>
      <c r="AI267" s="313"/>
      <c r="AJ267" s="21"/>
      <c r="AK267" s="21"/>
      <c r="AL267" s="21"/>
      <c r="AM267" s="21"/>
      <c r="AN267" s="21"/>
      <c r="AO267" s="21"/>
    </row>
    <row r="268" spans="1:41" s="53" customFormat="1" x14ac:dyDescent="0.2">
      <c r="A268" s="48"/>
      <c r="B268" s="306"/>
      <c r="C268" s="233"/>
      <c r="D268" s="233"/>
      <c r="E268" s="113"/>
      <c r="F268" s="48"/>
      <c r="G268" s="49"/>
      <c r="H268" s="256"/>
      <c r="I268" s="133" t="s">
        <v>405</v>
      </c>
      <c r="J268" s="117"/>
      <c r="K268" s="117"/>
      <c r="L268" s="8"/>
      <c r="M268" s="258">
        <v>0</v>
      </c>
      <c r="N268" s="258"/>
      <c r="O268" s="258"/>
      <c r="P268" s="280"/>
      <c r="Q268" s="280"/>
      <c r="R268" s="400">
        <v>604</v>
      </c>
      <c r="S268" s="401"/>
      <c r="T268" s="13"/>
      <c r="U268" s="320"/>
      <c r="V268" s="354"/>
      <c r="W268" s="355"/>
      <c r="X268" s="355"/>
      <c r="Y268" s="355"/>
      <c r="Z268" s="356"/>
      <c r="AA268" s="328"/>
      <c r="AB268" s="744"/>
      <c r="AC268" s="328"/>
      <c r="AD268" s="333"/>
      <c r="AE268" s="328"/>
      <c r="AF268" s="328"/>
      <c r="AG268" s="346"/>
      <c r="AH268" s="347"/>
      <c r="AI268" s="363"/>
      <c r="AJ268" s="21"/>
      <c r="AK268" s="21"/>
      <c r="AL268" s="21"/>
      <c r="AM268" s="21"/>
      <c r="AN268" s="21"/>
      <c r="AO268" s="21"/>
    </row>
    <row r="269" spans="1:41" s="53" customFormat="1" x14ac:dyDescent="0.2">
      <c r="A269" s="48"/>
      <c r="B269" s="306"/>
      <c r="C269" s="233"/>
      <c r="D269" s="233"/>
      <c r="E269" s="113"/>
      <c r="F269" s="48"/>
      <c r="G269" s="51"/>
      <c r="H269" s="257"/>
      <c r="I269" s="133" t="s">
        <v>39</v>
      </c>
      <c r="J269" s="117"/>
      <c r="K269" s="117"/>
      <c r="L269" s="8"/>
      <c r="M269" s="204">
        <f>SUM(M264:M268)</f>
        <v>47642154.920000002</v>
      </c>
      <c r="N269" s="204">
        <f>SUM(N264:N268)</f>
        <v>1192997.71</v>
      </c>
      <c r="O269" s="204"/>
      <c r="P269" s="204"/>
      <c r="Q269" s="204">
        <f>+Q262-Q264</f>
        <v>0</v>
      </c>
      <c r="R269" s="402">
        <f>+SUM(R264:R268)</f>
        <v>48945683.400000006</v>
      </c>
      <c r="S269" s="285"/>
      <c r="T269" s="13"/>
      <c r="U269" s="369"/>
      <c r="V269" s="370"/>
      <c r="W269" s="375"/>
      <c r="X269" s="375"/>
      <c r="Y269" s="375"/>
      <c r="Z269" s="376"/>
      <c r="AA269" s="371"/>
      <c r="AB269" s="744"/>
      <c r="AC269" s="371"/>
      <c r="AD269" s="372"/>
      <c r="AE269" s="371"/>
      <c r="AF269" s="371"/>
      <c r="AG269" s="270"/>
      <c r="AH269" s="272"/>
      <c r="AI269" s="313"/>
      <c r="AJ269" s="21"/>
      <c r="AK269" s="21"/>
      <c r="AL269" s="21"/>
      <c r="AM269" s="21"/>
      <c r="AN269" s="21"/>
      <c r="AO269" s="21"/>
    </row>
    <row r="270" spans="1:41" s="53" customFormat="1" x14ac:dyDescent="0.2">
      <c r="A270" s="48"/>
      <c r="B270" s="306"/>
      <c r="C270" s="233"/>
      <c r="D270" s="233"/>
      <c r="E270" s="113"/>
      <c r="F270" s="48"/>
      <c r="G270" s="49"/>
      <c r="H270" s="256"/>
      <c r="I270" s="116"/>
      <c r="J270" s="117"/>
      <c r="K270" s="117"/>
      <c r="L270" s="8"/>
      <c r="M270" s="403"/>
      <c r="N270" s="201"/>
      <c r="O270" s="202"/>
      <c r="P270" s="200"/>
      <c r="Q270" s="200"/>
      <c r="R270" s="52"/>
      <c r="S270" s="285"/>
      <c r="T270" s="13"/>
      <c r="U270" s="369"/>
      <c r="V270" s="370"/>
      <c r="W270" s="375"/>
      <c r="X270" s="375"/>
      <c r="Y270" s="375"/>
      <c r="Z270" s="376"/>
      <c r="AA270" s="371"/>
      <c r="AB270" s="744"/>
      <c r="AC270" s="371"/>
      <c r="AD270" s="372"/>
      <c r="AE270" s="371"/>
      <c r="AF270" s="371"/>
      <c r="AG270" s="270"/>
      <c r="AH270" s="272"/>
      <c r="AI270" s="313"/>
      <c r="AJ270" s="21"/>
      <c r="AK270" s="21"/>
      <c r="AL270" s="21"/>
      <c r="AM270" s="21"/>
      <c r="AN270" s="21"/>
      <c r="AO270" s="21"/>
    </row>
    <row r="271" spans="1:41" s="53" customFormat="1" x14ac:dyDescent="0.2">
      <c r="A271" s="48"/>
      <c r="B271" s="306"/>
      <c r="C271" s="233"/>
      <c r="D271" s="233"/>
      <c r="E271" s="113"/>
      <c r="F271" s="48"/>
      <c r="G271" s="49"/>
      <c r="H271" s="256"/>
      <c r="I271" s="116"/>
      <c r="J271" s="117"/>
      <c r="K271" s="117"/>
      <c r="L271" s="8" t="s">
        <v>40</v>
      </c>
      <c r="M271" s="404">
        <f>+M262-M269</f>
        <v>0</v>
      </c>
      <c r="N271" s="404"/>
      <c r="O271" s="202"/>
      <c r="P271" s="200"/>
      <c r="Q271" s="200"/>
      <c r="R271" s="52"/>
      <c r="S271" s="285"/>
      <c r="T271" s="13"/>
      <c r="U271" s="369"/>
      <c r="V271" s="370"/>
      <c r="W271" s="375"/>
      <c r="X271" s="375"/>
      <c r="Y271" s="375"/>
      <c r="Z271" s="376"/>
      <c r="AA271" s="371"/>
      <c r="AB271" s="744"/>
      <c r="AC271" s="371"/>
      <c r="AD271" s="372"/>
      <c r="AE271" s="371"/>
      <c r="AF271" s="371"/>
      <c r="AG271" s="270"/>
      <c r="AH271" s="272"/>
      <c r="AI271" s="313"/>
      <c r="AJ271" s="21"/>
      <c r="AK271" s="21"/>
      <c r="AL271" s="21"/>
      <c r="AM271" s="21"/>
      <c r="AN271" s="21"/>
      <c r="AO271" s="21"/>
    </row>
    <row r="272" spans="1:41" s="53" customFormat="1" x14ac:dyDescent="0.2">
      <c r="A272" s="48"/>
      <c r="B272" s="369"/>
      <c r="C272" s="375"/>
      <c r="D272" s="374"/>
      <c r="E272" s="374"/>
      <c r="F272" s="374"/>
      <c r="G272" s="414"/>
      <c r="H272" s="415"/>
      <c r="I272" s="374"/>
      <c r="J272" s="374"/>
      <c r="K272" s="374"/>
      <c r="L272" s="374"/>
      <c r="M272" s="396"/>
      <c r="N272" s="396"/>
      <c r="O272" s="396"/>
      <c r="P272" s="396"/>
      <c r="Q272" s="401"/>
      <c r="R272" s="405"/>
      <c r="S272" s="406"/>
      <c r="T272" s="13"/>
      <c r="U272" s="369"/>
      <c r="V272" s="370"/>
      <c r="W272" s="375"/>
      <c r="X272" s="375"/>
      <c r="Y272" s="375"/>
      <c r="Z272" s="376"/>
      <c r="AA272" s="371"/>
      <c r="AB272" s="744"/>
      <c r="AC272" s="371"/>
      <c r="AD272" s="372"/>
      <c r="AE272" s="371"/>
      <c r="AF272" s="371"/>
      <c r="AG272" s="270"/>
      <c r="AH272" s="272"/>
      <c r="AI272" s="313"/>
      <c r="AJ272" s="21"/>
      <c r="AK272" s="21"/>
      <c r="AL272" s="21"/>
      <c r="AM272" s="21"/>
      <c r="AN272" s="21"/>
      <c r="AO272" s="21"/>
    </row>
    <row r="273" spans="1:41" s="53" customFormat="1" x14ac:dyDescent="0.2">
      <c r="A273" s="48"/>
      <c r="B273" s="369"/>
      <c r="C273" s="375"/>
      <c r="D273" s="374"/>
      <c r="E273" s="374"/>
      <c r="F273" s="374"/>
      <c r="G273" s="414"/>
      <c r="H273" s="318"/>
      <c r="I273" s="374"/>
      <c r="J273" s="374"/>
      <c r="K273" s="374"/>
      <c r="L273" s="374"/>
      <c r="M273" s="396"/>
      <c r="N273" s="396"/>
      <c r="O273" s="396"/>
      <c r="P273" s="396"/>
      <c r="Q273" s="97"/>
      <c r="R273" s="407"/>
      <c r="S273" s="94"/>
      <c r="T273" s="13"/>
      <c r="U273" s="320"/>
      <c r="V273" s="354"/>
      <c r="W273" s="355"/>
      <c r="X273" s="355"/>
      <c r="Y273" s="355"/>
      <c r="Z273" s="356"/>
      <c r="AA273" s="328"/>
      <c r="AB273" s="744"/>
      <c r="AC273" s="328"/>
      <c r="AD273" s="333"/>
      <c r="AE273" s="328"/>
      <c r="AF273" s="328"/>
      <c r="AG273" s="346"/>
      <c r="AH273" s="272"/>
      <c r="AI273" s="313"/>
      <c r="AJ273" s="21"/>
      <c r="AK273" s="21"/>
      <c r="AL273" s="21"/>
      <c r="AM273" s="21"/>
      <c r="AN273" s="21"/>
      <c r="AO273" s="21"/>
    </row>
    <row r="274" spans="1:41" s="53" customFormat="1" x14ac:dyDescent="0.2">
      <c r="A274" s="48"/>
      <c r="B274" s="369"/>
      <c r="C274" s="375"/>
      <c r="D274" s="374"/>
      <c r="E274" s="374"/>
      <c r="F274" s="374"/>
      <c r="G274" s="414"/>
      <c r="H274" s="318"/>
      <c r="I274" s="374"/>
      <c r="J274" s="374"/>
      <c r="K274" s="374"/>
      <c r="L274" s="297"/>
      <c r="M274" s="396"/>
      <c r="N274" s="396"/>
      <c r="O274" s="396"/>
      <c r="P274" s="396"/>
      <c r="Q274" s="21"/>
      <c r="R274" s="408"/>
      <c r="S274" s="94"/>
      <c r="T274" s="13"/>
      <c r="U274" s="320"/>
      <c r="V274" s="354"/>
      <c r="W274" s="355"/>
      <c r="X274" s="355"/>
      <c r="Y274" s="355"/>
      <c r="Z274" s="356"/>
      <c r="AA274" s="328"/>
      <c r="AB274" s="744"/>
      <c r="AC274" s="328"/>
      <c r="AD274" s="333"/>
      <c r="AE274" s="328"/>
      <c r="AF274" s="328"/>
      <c r="AG274" s="346"/>
      <c r="AH274" s="347"/>
      <c r="AI274" s="363"/>
      <c r="AJ274" s="21"/>
      <c r="AK274" s="21"/>
      <c r="AL274" s="21"/>
      <c r="AM274" s="21"/>
      <c r="AN274" s="21"/>
      <c r="AO274" s="21"/>
    </row>
    <row r="275" spans="1:41" s="53" customFormat="1" x14ac:dyDescent="0.2">
      <c r="A275" s="48"/>
      <c r="B275" s="369"/>
      <c r="C275" s="375"/>
      <c r="D275" s="374"/>
      <c r="E275" s="374"/>
      <c r="F275" s="374"/>
      <c r="G275" s="414"/>
      <c r="H275" s="415"/>
      <c r="I275" s="291"/>
      <c r="J275" s="291"/>
      <c r="K275" s="374"/>
      <c r="L275" s="416"/>
      <c r="M275" s="403"/>
      <c r="N275" s="396"/>
      <c r="O275" s="396"/>
      <c r="P275" s="409"/>
      <c r="Q275" s="50"/>
      <c r="R275" s="407"/>
      <c r="S275" s="97"/>
      <c r="T275" s="13"/>
      <c r="U275" s="369"/>
      <c r="V275" s="370"/>
      <c r="W275" s="375"/>
      <c r="X275" s="375"/>
      <c r="Y275" s="375"/>
      <c r="Z275" s="376"/>
      <c r="AA275" s="371"/>
      <c r="AB275" s="744"/>
      <c r="AC275" s="371"/>
      <c r="AD275" s="372"/>
      <c r="AE275" s="371"/>
      <c r="AF275" s="371"/>
      <c r="AG275" s="270"/>
      <c r="AH275" s="347"/>
      <c r="AI275" s="363"/>
      <c r="AJ275" s="21"/>
      <c r="AK275" s="21"/>
      <c r="AL275" s="21"/>
      <c r="AM275" s="21"/>
      <c r="AN275" s="21"/>
      <c r="AO275" s="21"/>
    </row>
    <row r="276" spans="1:41" s="53" customFormat="1" x14ac:dyDescent="0.2">
      <c r="A276" s="48"/>
      <c r="B276" s="369"/>
      <c r="C276" s="375"/>
      <c r="D276" s="374"/>
      <c r="E276" s="374"/>
      <c r="F276" s="374"/>
      <c r="G276" s="414"/>
      <c r="H276" s="415"/>
      <c r="I276" s="291"/>
      <c r="J276" s="291"/>
      <c r="K276" s="374"/>
      <c r="L276" s="377"/>
      <c r="M276" s="416"/>
      <c r="N276" s="270"/>
      <c r="O276" s="270"/>
      <c r="P276" s="296"/>
      <c r="Q276" s="78"/>
      <c r="S276" s="319"/>
      <c r="T276" s="13"/>
      <c r="U276" s="369"/>
      <c r="V276" s="370"/>
      <c r="W276" s="375"/>
      <c r="X276" s="375"/>
      <c r="Y276" s="375"/>
      <c r="Z276" s="376"/>
      <c r="AA276" s="371"/>
      <c r="AB276" s="744"/>
      <c r="AC276" s="371"/>
      <c r="AD276" s="372"/>
      <c r="AE276" s="371"/>
      <c r="AF276" s="371"/>
      <c r="AG276" s="270"/>
      <c r="AH276" s="272"/>
      <c r="AI276" s="313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69"/>
      <c r="C277" s="375"/>
      <c r="D277" s="374"/>
      <c r="E277" s="374"/>
      <c r="F277" s="374"/>
      <c r="G277" s="414"/>
      <c r="H277" s="415"/>
      <c r="I277" s="291"/>
      <c r="J277" s="291"/>
      <c r="K277" s="374"/>
      <c r="L277" s="291"/>
      <c r="M277" s="291"/>
      <c r="N277" s="270"/>
      <c r="O277" s="270"/>
      <c r="P277" s="387"/>
      <c r="Q277" s="417"/>
      <c r="T277" s="13"/>
      <c r="U277" s="369"/>
      <c r="V277" s="370"/>
      <c r="W277" s="375"/>
      <c r="X277" s="375"/>
      <c r="Y277" s="375"/>
      <c r="Z277" s="376"/>
      <c r="AA277" s="371"/>
      <c r="AB277" s="744"/>
      <c r="AC277" s="371"/>
      <c r="AD277" s="372"/>
      <c r="AE277" s="371"/>
      <c r="AF277" s="371"/>
      <c r="AG277" s="270"/>
      <c r="AH277" s="272"/>
      <c r="AI277" s="313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69"/>
      <c r="C278" s="375"/>
      <c r="D278" s="374"/>
      <c r="E278" s="374"/>
      <c r="F278" s="374"/>
      <c r="G278" s="414"/>
      <c r="H278" s="415"/>
      <c r="I278" s="291"/>
      <c r="J278" s="291"/>
      <c r="L278" s="374"/>
      <c r="M278" s="296"/>
      <c r="N278" s="316"/>
      <c r="O278" s="367"/>
      <c r="P278" s="387"/>
      <c r="Q278" s="417"/>
      <c r="T278" s="13"/>
      <c r="U278" s="369"/>
      <c r="V278" s="370"/>
      <c r="W278" s="375"/>
      <c r="X278" s="375"/>
      <c r="Y278" s="375"/>
      <c r="Z278" s="376"/>
      <c r="AA278" s="371"/>
      <c r="AB278" s="744"/>
      <c r="AC278" s="371"/>
      <c r="AD278" s="372"/>
      <c r="AE278" s="371"/>
      <c r="AF278" s="371"/>
      <c r="AG278" s="270"/>
      <c r="AH278" s="347"/>
      <c r="AI278" s="363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69"/>
      <c r="C279" s="375"/>
      <c r="D279" s="374"/>
      <c r="E279" s="374"/>
      <c r="F279" s="374"/>
      <c r="G279" s="414"/>
      <c r="H279" s="415"/>
      <c r="I279" s="291"/>
      <c r="J279" s="291"/>
      <c r="L279" s="384"/>
      <c r="M279" s="296"/>
      <c r="N279" s="316"/>
      <c r="O279" s="270"/>
      <c r="P279" s="387"/>
      <c r="Q279" s="417"/>
      <c r="T279" s="13"/>
      <c r="U279" s="369"/>
      <c r="V279" s="370"/>
      <c r="W279" s="375"/>
      <c r="X279" s="375"/>
      <c r="Y279" s="375"/>
      <c r="Z279" s="376"/>
      <c r="AA279" s="371"/>
      <c r="AB279" s="744"/>
      <c r="AC279" s="371"/>
      <c r="AD279" s="372"/>
      <c r="AE279" s="371"/>
      <c r="AF279" s="371"/>
      <c r="AG279" s="270"/>
      <c r="AH279" s="272"/>
      <c r="AI279" s="313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69"/>
      <c r="C280" s="375"/>
      <c r="D280" s="374"/>
      <c r="E280" s="374"/>
      <c r="F280" s="374"/>
      <c r="G280" s="414"/>
      <c r="H280" s="415"/>
      <c r="I280" s="291"/>
      <c r="J280" s="291"/>
      <c r="L280" s="374"/>
      <c r="M280" s="296"/>
      <c r="N280" s="316"/>
      <c r="O280" s="270"/>
      <c r="P280" s="387"/>
      <c r="Q280" s="417"/>
      <c r="T280" s="13"/>
      <c r="U280" s="369"/>
      <c r="V280" s="370"/>
      <c r="W280" s="375"/>
      <c r="X280" s="375"/>
      <c r="Y280" s="375"/>
      <c r="Z280" s="376"/>
      <c r="AA280" s="371"/>
      <c r="AB280" s="744"/>
      <c r="AC280" s="371"/>
      <c r="AD280" s="372"/>
      <c r="AE280" s="371"/>
      <c r="AF280" s="371"/>
      <c r="AG280" s="270"/>
      <c r="AH280" s="347"/>
      <c r="AI280" s="363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69"/>
      <c r="C281" s="375"/>
      <c r="D281" s="374"/>
      <c r="E281" s="374"/>
      <c r="F281" s="374"/>
      <c r="G281" s="414"/>
      <c r="H281" s="415"/>
      <c r="I281" s="291"/>
      <c r="J281" s="291"/>
      <c r="L281" s="374"/>
      <c r="M281" s="296"/>
      <c r="N281" s="316"/>
      <c r="O281" s="270"/>
      <c r="P281" s="387"/>
      <c r="Q281" s="417"/>
      <c r="T281" s="13"/>
      <c r="U281" s="369"/>
      <c r="V281" s="370"/>
      <c r="W281" s="375"/>
      <c r="X281" s="375"/>
      <c r="Y281" s="375"/>
      <c r="Z281" s="376"/>
      <c r="AA281" s="371"/>
      <c r="AB281" s="744"/>
      <c r="AC281" s="371"/>
      <c r="AD281" s="372"/>
      <c r="AE281" s="371"/>
      <c r="AF281" s="371"/>
      <c r="AG281" s="270"/>
      <c r="AH281" s="347"/>
      <c r="AI281" s="363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69"/>
      <c r="C282" s="375"/>
      <c r="D282" s="374"/>
      <c r="E282" s="374"/>
      <c r="F282" s="374"/>
      <c r="G282" s="414"/>
      <c r="H282" s="415"/>
      <c r="I282" s="78"/>
      <c r="J282" s="291"/>
      <c r="L282" s="374"/>
      <c r="M282" s="296"/>
      <c r="N282" s="316"/>
      <c r="O282" s="270"/>
      <c r="P282" s="418"/>
      <c r="Q282" s="417"/>
      <c r="T282" s="13"/>
      <c r="U282" s="366"/>
      <c r="V282" s="354"/>
      <c r="W282" s="355"/>
      <c r="X282" s="355"/>
      <c r="Y282" s="355"/>
      <c r="Z282" s="356"/>
      <c r="AA282" s="328"/>
      <c r="AB282" s="744"/>
      <c r="AC282" s="328"/>
      <c r="AD282" s="333"/>
      <c r="AE282" s="328"/>
      <c r="AF282" s="328"/>
      <c r="AG282" s="346"/>
      <c r="AH282" s="347"/>
      <c r="AI282" s="363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69"/>
      <c r="C283" s="375"/>
      <c r="D283" s="374"/>
      <c r="E283" s="374"/>
      <c r="F283" s="374"/>
      <c r="G283" s="414"/>
      <c r="H283" s="415"/>
      <c r="I283" s="78"/>
      <c r="J283" s="291"/>
      <c r="L283" s="374"/>
      <c r="M283" s="296"/>
      <c r="N283" s="316"/>
      <c r="O283" s="270"/>
      <c r="P283" s="387"/>
      <c r="Q283" s="417"/>
      <c r="T283" s="13"/>
      <c r="U283" s="320"/>
      <c r="V283" s="354"/>
      <c r="W283" s="355"/>
      <c r="X283" s="355"/>
      <c r="Y283" s="355"/>
      <c r="Z283" s="356"/>
      <c r="AA283" s="328"/>
      <c r="AB283" s="744"/>
      <c r="AC283" s="328"/>
      <c r="AD283" s="333"/>
      <c r="AE283" s="328"/>
      <c r="AF283" s="328"/>
      <c r="AG283" s="346"/>
      <c r="AH283" s="272"/>
      <c r="AI283" s="313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69"/>
      <c r="C284" s="375"/>
      <c r="D284" s="374"/>
      <c r="E284" s="374"/>
      <c r="F284" s="374"/>
      <c r="G284" s="414"/>
      <c r="H284" s="415"/>
      <c r="I284" s="78"/>
      <c r="J284" s="291"/>
      <c r="L284" s="374"/>
      <c r="M284" s="296"/>
      <c r="N284" s="316"/>
      <c r="O284" s="270"/>
      <c r="P284" s="387"/>
      <c r="Q284" s="417"/>
      <c r="T284" s="13"/>
      <c r="U284" s="320"/>
      <c r="V284" s="354"/>
      <c r="W284" s="355"/>
      <c r="X284" s="355"/>
      <c r="Y284" s="355"/>
      <c r="Z284" s="356"/>
      <c r="AA284" s="328"/>
      <c r="AB284" s="744"/>
      <c r="AC284" s="328"/>
      <c r="AD284" s="333"/>
      <c r="AE284" s="328"/>
      <c r="AF284" s="328"/>
      <c r="AG284" s="346"/>
      <c r="AH284" s="347"/>
      <c r="AI284" s="363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69"/>
      <c r="C285" s="375"/>
      <c r="D285" s="374"/>
      <c r="E285" s="374"/>
      <c r="F285" s="374"/>
      <c r="G285" s="414"/>
      <c r="H285" s="415"/>
      <c r="I285" s="78"/>
      <c r="J285" s="291"/>
      <c r="L285" s="374"/>
      <c r="M285" s="296"/>
      <c r="N285" s="316"/>
      <c r="O285" s="377"/>
      <c r="P285" s="388"/>
      <c r="Q285" s="417"/>
      <c r="T285" s="13"/>
      <c r="U285" s="366"/>
      <c r="V285" s="354"/>
      <c r="W285" s="359"/>
      <c r="X285" s="355"/>
      <c r="Y285" s="355"/>
      <c r="Z285" s="356"/>
      <c r="AA285" s="328"/>
      <c r="AB285" s="744"/>
      <c r="AC285" s="328"/>
      <c r="AD285" s="333"/>
      <c r="AE285" s="328"/>
      <c r="AF285" s="328"/>
      <c r="AG285" s="346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07"/>
      <c r="C286" s="375"/>
      <c r="D286" s="266"/>
      <c r="E286" s="267"/>
      <c r="F286" s="93"/>
      <c r="G286" s="268"/>
      <c r="H286" s="269"/>
      <c r="I286" s="78"/>
      <c r="J286" s="271"/>
      <c r="L286" s="382"/>
      <c r="M286" s="296"/>
      <c r="N286" s="316"/>
      <c r="O286" s="419"/>
      <c r="P286" s="387"/>
      <c r="Q286" s="417"/>
      <c r="T286" s="13"/>
      <c r="U286" s="366"/>
      <c r="V286" s="354"/>
      <c r="W286" s="355"/>
      <c r="X286" s="355"/>
      <c r="Y286" s="355"/>
      <c r="Z286" s="356"/>
      <c r="AA286" s="328"/>
      <c r="AB286" s="744"/>
      <c r="AC286" s="328"/>
      <c r="AD286" s="333"/>
      <c r="AE286" s="328"/>
      <c r="AF286" s="328"/>
      <c r="AG286" s="346"/>
      <c r="AH286" s="272"/>
      <c r="AI286" s="313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7"/>
      <c r="C287" s="375"/>
      <c r="D287" s="266"/>
      <c r="E287" s="267"/>
      <c r="F287" s="93"/>
      <c r="G287" s="268"/>
      <c r="H287" s="269"/>
      <c r="I287" s="78"/>
      <c r="J287" s="271"/>
      <c r="L287" s="271"/>
      <c r="M287" s="296"/>
      <c r="N287" s="316"/>
      <c r="O287" s="419"/>
      <c r="P287" s="387"/>
      <c r="Q287" s="417"/>
      <c r="T287" s="13"/>
      <c r="U287" s="320"/>
      <c r="V287" s="354"/>
      <c r="W287" s="355"/>
      <c r="X287" s="355"/>
      <c r="Y287" s="355"/>
      <c r="Z287" s="356"/>
      <c r="AA287" s="328"/>
      <c r="AB287" s="744"/>
      <c r="AC287" s="328"/>
      <c r="AD287" s="333"/>
      <c r="AE287" s="328"/>
      <c r="AF287" s="328"/>
      <c r="AG287" s="346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7"/>
      <c r="C288" s="375"/>
      <c r="D288" s="266"/>
      <c r="E288" s="267"/>
      <c r="F288" s="93"/>
      <c r="G288" s="268"/>
      <c r="H288" s="269"/>
      <c r="I288" s="78"/>
      <c r="J288" s="271"/>
      <c r="L288" s="271"/>
      <c r="M288" s="296"/>
      <c r="N288" s="316"/>
      <c r="O288" s="419"/>
      <c r="P288" s="387"/>
      <c r="Q288" s="417"/>
      <c r="T288" s="13"/>
      <c r="U288" s="357"/>
      <c r="V288" s="354"/>
      <c r="W288" s="355"/>
      <c r="X288" s="330"/>
      <c r="Y288" s="354"/>
      <c r="Z288" s="356"/>
      <c r="AA288" s="328"/>
      <c r="AB288" s="744"/>
      <c r="AC288" s="346"/>
      <c r="AD288" s="333"/>
      <c r="AE288" s="346"/>
      <c r="AF288" s="346"/>
      <c r="AG288" s="346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7"/>
      <c r="C289" s="375"/>
      <c r="D289" s="266"/>
      <c r="E289" s="267"/>
      <c r="F289" s="93"/>
      <c r="G289" s="268"/>
      <c r="H289" s="269"/>
      <c r="I289" s="78"/>
      <c r="J289" s="271"/>
      <c r="L289" s="382"/>
      <c r="M289" s="296"/>
      <c r="N289" s="316"/>
      <c r="O289" s="377"/>
      <c r="P289" s="387"/>
      <c r="Q289" s="417"/>
      <c r="T289" s="13"/>
      <c r="U289" s="370"/>
      <c r="V289" s="370"/>
      <c r="W289" s="375"/>
      <c r="X289" s="374"/>
      <c r="Y289" s="370"/>
      <c r="Z289" s="376"/>
      <c r="AA289" s="371"/>
      <c r="AB289" s="744"/>
      <c r="AC289" s="270"/>
      <c r="AD289" s="372"/>
      <c r="AE289" s="270"/>
      <c r="AF289" s="270"/>
      <c r="AG289" s="270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69"/>
      <c r="C290" s="375"/>
      <c r="D290" s="374"/>
      <c r="E290" s="374"/>
      <c r="F290" s="374"/>
      <c r="G290" s="414"/>
      <c r="H290" s="415"/>
      <c r="I290" s="78"/>
      <c r="J290" s="291"/>
      <c r="L290" s="271"/>
      <c r="M290" s="296"/>
      <c r="N290" s="316"/>
      <c r="O290" s="377"/>
      <c r="P290" s="388"/>
      <c r="Q290" s="417"/>
      <c r="T290" s="13"/>
      <c r="U290" s="370"/>
      <c r="V290" s="370"/>
      <c r="W290" s="375"/>
      <c r="X290" s="374"/>
      <c r="Y290" s="370"/>
      <c r="Z290" s="376"/>
      <c r="AA290" s="371"/>
      <c r="AB290" s="744"/>
      <c r="AC290" s="270"/>
      <c r="AD290" s="372"/>
      <c r="AE290" s="270"/>
      <c r="AF290" s="270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L291" s="94"/>
      <c r="M291" s="296"/>
      <c r="N291" s="316"/>
      <c r="O291" s="377"/>
      <c r="P291" s="388"/>
      <c r="Q291" s="417"/>
      <c r="T291" s="13"/>
      <c r="U291" s="370"/>
      <c r="V291" s="370"/>
      <c r="W291" s="375"/>
      <c r="X291" s="374"/>
      <c r="Y291" s="370"/>
      <c r="Z291" s="376"/>
      <c r="AA291" s="371"/>
      <c r="AB291" s="744"/>
      <c r="AC291" s="270"/>
      <c r="AD291" s="372"/>
      <c r="AE291" s="270"/>
      <c r="AF291" s="270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L292" s="94"/>
      <c r="M292" s="296"/>
      <c r="N292" s="316"/>
      <c r="O292" s="377"/>
      <c r="P292" s="387"/>
      <c r="Q292" s="417"/>
      <c r="T292" s="13"/>
      <c r="U292" s="370"/>
      <c r="V292" s="370"/>
      <c r="W292" s="375"/>
      <c r="X292" s="374"/>
      <c r="Y292" s="370"/>
      <c r="Z292" s="376"/>
      <c r="AA292" s="371"/>
      <c r="AB292" s="744"/>
      <c r="AC292" s="270"/>
      <c r="AD292" s="372"/>
      <c r="AE292" s="270"/>
      <c r="AF292" s="270"/>
      <c r="AG292" s="270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L293" s="117"/>
      <c r="M293" s="296"/>
      <c r="N293" s="316"/>
      <c r="O293" s="377"/>
      <c r="P293" s="387"/>
      <c r="Q293" s="417"/>
      <c r="T293" s="13"/>
      <c r="U293" s="370"/>
      <c r="V293" s="370"/>
      <c r="W293" s="375"/>
      <c r="X293" s="374"/>
      <c r="Y293" s="370"/>
      <c r="Z293" s="376"/>
      <c r="AA293" s="371"/>
      <c r="AB293" s="744"/>
      <c r="AC293" s="270"/>
      <c r="AD293" s="372"/>
      <c r="AE293" s="270"/>
      <c r="AF293" s="270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L294" s="94"/>
      <c r="M294" s="296"/>
      <c r="N294" s="316"/>
      <c r="O294" s="377"/>
      <c r="P294" s="388"/>
      <c r="Q294" s="417"/>
      <c r="T294" s="13"/>
      <c r="U294" s="370"/>
      <c r="V294" s="370"/>
      <c r="W294" s="375"/>
      <c r="X294" s="374"/>
      <c r="Y294" s="370"/>
      <c r="Z294" s="376"/>
      <c r="AA294" s="371"/>
      <c r="AB294" s="744"/>
      <c r="AC294" s="270"/>
      <c r="AD294" s="372"/>
      <c r="AE294" s="270"/>
      <c r="AF294" s="270"/>
      <c r="AG294" s="270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L295" s="94"/>
      <c r="M295" s="296"/>
      <c r="N295" s="316"/>
      <c r="O295" s="296"/>
      <c r="P295" s="387"/>
      <c r="Q295" s="417"/>
      <c r="T295" s="13"/>
      <c r="U295" s="370"/>
      <c r="V295" s="370"/>
      <c r="W295" s="375"/>
      <c r="X295" s="374"/>
      <c r="Y295" s="370"/>
      <c r="Z295" s="376"/>
      <c r="AA295" s="371"/>
      <c r="AB295" s="744"/>
      <c r="AC295" s="270"/>
      <c r="AD295" s="372"/>
      <c r="AE295" s="270"/>
      <c r="AF295" s="270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06"/>
      <c r="C296" s="233"/>
      <c r="D296" s="233"/>
      <c r="F296" s="13"/>
      <c r="G296" s="13"/>
      <c r="I296" s="298"/>
      <c r="J296" s="21"/>
      <c r="L296" s="94"/>
      <c r="M296" s="296"/>
      <c r="N296" s="316"/>
      <c r="O296" s="296"/>
      <c r="P296" s="388"/>
      <c r="Q296" s="417"/>
      <c r="T296" s="13"/>
      <c r="U296" s="370"/>
      <c r="V296" s="370"/>
      <c r="W296" s="375"/>
      <c r="X296" s="374"/>
      <c r="Y296" s="370"/>
      <c r="Z296" s="376"/>
      <c r="AA296" s="371"/>
      <c r="AB296" s="744"/>
      <c r="AC296" s="270"/>
      <c r="AD296" s="372"/>
      <c r="AE296" s="270"/>
      <c r="AF296" s="270"/>
      <c r="AG296" s="270"/>
      <c r="AH296" s="272"/>
      <c r="AI296" s="313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06"/>
      <c r="C297" s="233"/>
      <c r="D297" s="233"/>
      <c r="F297" s="13"/>
      <c r="G297" s="13"/>
      <c r="I297" s="298"/>
      <c r="J297" s="21"/>
      <c r="L297" s="94"/>
      <c r="M297" s="296"/>
      <c r="N297" s="316"/>
      <c r="O297" s="377"/>
      <c r="P297" s="387"/>
      <c r="Q297" s="417"/>
      <c r="T297" s="13"/>
      <c r="U297" s="370"/>
      <c r="V297" s="370"/>
      <c r="W297" s="375"/>
      <c r="X297" s="374"/>
      <c r="Y297" s="370"/>
      <c r="Z297" s="376"/>
      <c r="AA297" s="371"/>
      <c r="AB297" s="744"/>
      <c r="AC297" s="270"/>
      <c r="AD297" s="372"/>
      <c r="AE297" s="270"/>
      <c r="AF297" s="270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06"/>
      <c r="C298" s="233"/>
      <c r="D298" s="233"/>
      <c r="F298" s="13"/>
      <c r="G298" s="13"/>
      <c r="I298" s="298"/>
      <c r="J298" s="21"/>
      <c r="L298" s="385"/>
      <c r="M298" s="296"/>
      <c r="N298" s="316"/>
      <c r="O298" s="377"/>
      <c r="P298" s="387"/>
      <c r="Q298" s="417"/>
      <c r="T298" s="13"/>
      <c r="U298" s="370"/>
      <c r="V298" s="370"/>
      <c r="W298" s="375"/>
      <c r="X298" s="374"/>
      <c r="Y298" s="370"/>
      <c r="Z298" s="376"/>
      <c r="AA298" s="371"/>
      <c r="AB298" s="744"/>
      <c r="AC298" s="270"/>
      <c r="AD298" s="372"/>
      <c r="AE298" s="270"/>
      <c r="AF298" s="270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06"/>
      <c r="C299" s="233"/>
      <c r="D299" s="233"/>
      <c r="F299" s="13"/>
      <c r="G299" s="13"/>
      <c r="I299" s="298"/>
      <c r="J299" s="21"/>
      <c r="L299" s="94"/>
      <c r="M299" s="296"/>
      <c r="N299" s="316"/>
      <c r="O299" s="377"/>
      <c r="P299" s="387"/>
      <c r="Q299" s="417"/>
      <c r="T299" s="13"/>
      <c r="U299" s="370"/>
      <c r="V299" s="370"/>
      <c r="W299" s="375"/>
      <c r="X299" s="374"/>
      <c r="Y299" s="370"/>
      <c r="Z299" s="376"/>
      <c r="AA299" s="371"/>
      <c r="AB299" s="744"/>
      <c r="AC299" s="270"/>
      <c r="AD299" s="372"/>
      <c r="AE299" s="270"/>
      <c r="AF299" s="270"/>
      <c r="AG299" s="270"/>
      <c r="AH299" s="272"/>
      <c r="AI299" s="31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06"/>
      <c r="C300" s="233"/>
      <c r="D300" s="233"/>
      <c r="F300" s="13"/>
      <c r="G300" s="13"/>
      <c r="I300" s="298"/>
      <c r="J300" s="21"/>
      <c r="L300" s="94"/>
      <c r="M300" s="296"/>
      <c r="N300" s="316"/>
      <c r="O300" s="377"/>
      <c r="P300" s="387"/>
      <c r="Q300" s="417"/>
      <c r="T300" s="13"/>
      <c r="U300" s="370"/>
      <c r="V300" s="370"/>
      <c r="W300" s="375"/>
      <c r="X300" s="374"/>
      <c r="Y300" s="370"/>
      <c r="Z300" s="376"/>
      <c r="AA300" s="371"/>
      <c r="AB300" s="744"/>
      <c r="AC300" s="270"/>
      <c r="AD300" s="372"/>
      <c r="AE300" s="270"/>
      <c r="AF300" s="270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06"/>
      <c r="C301" s="233"/>
      <c r="D301" s="233"/>
      <c r="F301" s="13"/>
      <c r="G301" s="13"/>
      <c r="I301" s="298"/>
      <c r="J301" s="21"/>
      <c r="L301" s="94"/>
      <c r="M301" s="296"/>
      <c r="N301" s="316"/>
      <c r="O301" s="377"/>
      <c r="P301" s="387"/>
      <c r="Q301" s="417"/>
      <c r="T301" s="13"/>
      <c r="U301" s="370"/>
      <c r="V301" s="370"/>
      <c r="W301" s="375"/>
      <c r="X301" s="374"/>
      <c r="Y301" s="370"/>
      <c r="Z301" s="376"/>
      <c r="AA301" s="371"/>
      <c r="AB301" s="744"/>
      <c r="AC301" s="270"/>
      <c r="AD301" s="372"/>
      <c r="AE301" s="270"/>
      <c r="AF301" s="270"/>
      <c r="AG301" s="270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O302" s="296"/>
      <c r="P302" s="387"/>
      <c r="Q302" s="417"/>
      <c r="T302" s="13"/>
      <c r="U302" s="370"/>
      <c r="V302" s="370"/>
      <c r="W302" s="375"/>
      <c r="X302" s="374"/>
      <c r="Y302" s="370"/>
      <c r="Z302" s="376"/>
      <c r="AA302" s="371"/>
      <c r="AB302" s="744"/>
      <c r="AC302" s="270"/>
      <c r="AD302" s="372"/>
      <c r="AE302" s="270"/>
      <c r="AF302" s="270"/>
      <c r="AG302" s="270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O303" s="296"/>
      <c r="P303" s="387"/>
      <c r="Q303" s="417"/>
      <c r="T303" s="13"/>
      <c r="U303" s="370"/>
      <c r="V303" s="370"/>
      <c r="W303" s="375"/>
      <c r="X303" s="374"/>
      <c r="Y303" s="370"/>
      <c r="Z303" s="376"/>
      <c r="AA303" s="371"/>
      <c r="AB303" s="744"/>
      <c r="AC303" s="270"/>
      <c r="AD303" s="372"/>
      <c r="AE303" s="270"/>
      <c r="AF303" s="270"/>
      <c r="AG303" s="270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O304" s="296"/>
      <c r="P304" s="387"/>
      <c r="Q304" s="417"/>
      <c r="T304" s="13"/>
      <c r="U304" s="370"/>
      <c r="V304" s="370"/>
      <c r="W304" s="375"/>
      <c r="X304" s="374"/>
      <c r="Y304" s="370"/>
      <c r="Z304" s="376"/>
      <c r="AA304" s="371"/>
      <c r="AB304" s="744"/>
      <c r="AC304" s="270"/>
      <c r="AD304" s="372"/>
      <c r="AE304" s="270"/>
      <c r="AF304" s="270"/>
      <c r="AG304" s="270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296"/>
      <c r="P305" s="387"/>
      <c r="Q305" s="417"/>
      <c r="T305" s="13"/>
      <c r="U305" s="370"/>
      <c r="V305" s="370"/>
      <c r="W305" s="375"/>
      <c r="X305" s="374"/>
      <c r="Y305" s="370"/>
      <c r="Z305" s="376"/>
      <c r="AA305" s="371"/>
      <c r="AB305" s="744"/>
      <c r="AC305" s="270"/>
      <c r="AD305" s="372"/>
      <c r="AE305" s="270"/>
      <c r="AF305" s="270"/>
      <c r="AG305" s="270"/>
      <c r="AH305" s="272"/>
      <c r="AI305" s="31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362"/>
      <c r="P306" s="387"/>
      <c r="Q306" s="417"/>
      <c r="T306" s="13"/>
      <c r="U306" s="370"/>
      <c r="V306" s="370"/>
      <c r="W306" s="375"/>
      <c r="X306" s="374"/>
      <c r="Y306" s="370"/>
      <c r="Z306" s="376"/>
      <c r="AA306" s="371"/>
      <c r="AB306" s="744"/>
      <c r="AC306" s="270"/>
      <c r="AD306" s="372"/>
      <c r="AE306" s="270"/>
      <c r="AF306" s="270"/>
      <c r="AG306" s="270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296"/>
      <c r="P307" s="387"/>
      <c r="Q307" s="417"/>
      <c r="T307" s="13"/>
      <c r="U307" s="370"/>
      <c r="V307" s="370"/>
      <c r="W307" s="375"/>
      <c r="X307" s="374"/>
      <c r="Y307" s="370"/>
      <c r="Z307" s="376"/>
      <c r="AA307" s="371"/>
      <c r="AB307" s="744"/>
      <c r="AC307" s="270"/>
      <c r="AD307" s="372"/>
      <c r="AE307" s="270"/>
      <c r="AF307" s="270"/>
      <c r="AG307" s="270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N308" s="97"/>
      <c r="O308" s="296"/>
      <c r="P308" s="387"/>
      <c r="Q308" s="417"/>
      <c r="T308" s="13"/>
      <c r="U308" s="370"/>
      <c r="V308" s="370"/>
      <c r="W308" s="375"/>
      <c r="X308" s="374"/>
      <c r="Y308" s="370"/>
      <c r="Z308" s="376"/>
      <c r="AA308" s="371"/>
      <c r="AB308" s="744"/>
      <c r="AC308" s="270"/>
      <c r="AD308" s="372"/>
      <c r="AE308" s="270"/>
      <c r="AF308" s="270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296"/>
      <c r="P309" s="387"/>
      <c r="Q309" s="417"/>
      <c r="T309" s="13"/>
      <c r="U309" s="370"/>
      <c r="V309" s="370"/>
      <c r="W309" s="375"/>
      <c r="X309" s="374"/>
      <c r="Y309" s="370"/>
      <c r="Z309" s="376"/>
      <c r="AA309" s="371"/>
      <c r="AB309" s="744"/>
      <c r="AC309" s="270"/>
      <c r="AD309" s="372"/>
      <c r="AE309" s="270"/>
      <c r="AF309" s="270"/>
      <c r="AG309" s="270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296"/>
      <c r="P310" s="388"/>
      <c r="Q310" s="417"/>
      <c r="T310" s="13"/>
      <c r="U310" s="370"/>
      <c r="V310" s="370"/>
      <c r="W310" s="375"/>
      <c r="X310" s="374"/>
      <c r="Y310" s="370"/>
      <c r="Z310" s="376"/>
      <c r="AA310" s="371"/>
      <c r="AB310" s="744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296"/>
      <c r="P311" s="386"/>
      <c r="Q311" s="420"/>
      <c r="T311" s="13"/>
      <c r="U311" s="370"/>
      <c r="V311" s="370"/>
      <c r="W311" s="375"/>
      <c r="X311" s="374"/>
      <c r="Y311" s="370"/>
      <c r="Z311" s="376"/>
      <c r="AA311" s="371"/>
      <c r="AB311" s="744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296"/>
      <c r="P312" s="387"/>
      <c r="Q312" s="417"/>
      <c r="T312" s="13"/>
      <c r="U312" s="370"/>
      <c r="V312" s="370"/>
      <c r="W312" s="375"/>
      <c r="X312" s="374"/>
      <c r="Y312" s="370"/>
      <c r="Z312" s="376"/>
      <c r="AA312" s="371"/>
      <c r="AB312" s="744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296"/>
      <c r="P313" s="387"/>
      <c r="Q313" s="417"/>
      <c r="T313" s="13"/>
      <c r="U313" s="370"/>
      <c r="V313" s="370"/>
      <c r="W313" s="375"/>
      <c r="X313" s="374"/>
      <c r="Y313" s="370"/>
      <c r="Z313" s="376"/>
      <c r="AA313" s="371"/>
      <c r="AB313" s="744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296"/>
      <c r="P314" s="387"/>
      <c r="Q314" s="417"/>
      <c r="T314" s="13"/>
      <c r="U314" s="370"/>
      <c r="V314" s="370"/>
      <c r="W314" s="375"/>
      <c r="X314" s="374"/>
      <c r="Y314" s="370"/>
      <c r="Z314" s="376"/>
      <c r="AA314" s="371"/>
      <c r="AB314" s="744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296"/>
      <c r="P315" s="387"/>
      <c r="Q315" s="417"/>
      <c r="T315" s="13"/>
      <c r="U315" s="370"/>
      <c r="V315" s="370"/>
      <c r="W315" s="375"/>
      <c r="X315" s="374"/>
      <c r="Y315" s="370"/>
      <c r="Z315" s="376"/>
      <c r="AA315" s="371"/>
      <c r="AB315" s="744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296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744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296"/>
      <c r="P317" s="388"/>
      <c r="Q317" s="417"/>
      <c r="T317" s="13"/>
      <c r="U317" s="370"/>
      <c r="V317" s="370"/>
      <c r="W317" s="375"/>
      <c r="X317" s="374"/>
      <c r="Y317" s="370"/>
      <c r="Z317" s="376"/>
      <c r="AA317" s="371"/>
      <c r="AB317" s="744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296"/>
      <c r="P318" s="387"/>
      <c r="Q318" s="417"/>
      <c r="T318" s="13"/>
      <c r="U318" s="370"/>
      <c r="V318" s="370"/>
      <c r="W318" s="375"/>
      <c r="X318" s="374"/>
      <c r="Y318" s="370"/>
      <c r="Z318" s="376"/>
      <c r="AA318" s="371"/>
      <c r="AB318" s="744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296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744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296"/>
      <c r="P320" s="387"/>
      <c r="Q320" s="417"/>
      <c r="T320" s="13"/>
      <c r="U320" s="370"/>
      <c r="V320" s="370"/>
      <c r="W320" s="375"/>
      <c r="X320" s="374"/>
      <c r="Y320" s="370"/>
      <c r="Z320" s="376"/>
      <c r="AA320" s="371"/>
      <c r="AB320" s="744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296"/>
      <c r="P321" s="387"/>
      <c r="Q321" s="417"/>
      <c r="T321" s="13"/>
      <c r="U321" s="370"/>
      <c r="V321" s="370"/>
      <c r="W321" s="375"/>
      <c r="X321" s="374"/>
      <c r="Y321" s="370"/>
      <c r="Z321" s="376"/>
      <c r="AA321" s="371"/>
      <c r="AB321" s="744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97"/>
      <c r="P322" s="387"/>
      <c r="Q322" s="417"/>
      <c r="T322" s="13"/>
      <c r="U322" s="370"/>
      <c r="V322" s="370"/>
      <c r="W322" s="375"/>
      <c r="X322" s="374"/>
      <c r="Y322" s="370"/>
      <c r="Z322" s="376"/>
      <c r="AA322" s="371"/>
      <c r="AB322" s="744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97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744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388"/>
      <c r="Q324" s="417"/>
      <c r="T324" s="13"/>
      <c r="U324" s="370"/>
      <c r="V324" s="370"/>
      <c r="W324" s="375"/>
      <c r="X324" s="374"/>
      <c r="Y324" s="370"/>
      <c r="Z324" s="376"/>
      <c r="AA324" s="371"/>
      <c r="AB324" s="744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316"/>
      <c r="R325" s="362"/>
      <c r="S325" s="291"/>
      <c r="T325" s="13"/>
      <c r="U325" s="370"/>
      <c r="V325" s="370"/>
      <c r="W325" s="375"/>
      <c r="X325" s="374"/>
      <c r="Y325" s="370"/>
      <c r="Z325" s="376"/>
      <c r="AA325" s="371"/>
      <c r="AB325" s="744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21"/>
      <c r="R326" s="362"/>
      <c r="S326" s="291"/>
      <c r="T326" s="13"/>
      <c r="U326" s="370"/>
      <c r="V326" s="370"/>
      <c r="W326" s="375"/>
      <c r="X326" s="374"/>
      <c r="Y326" s="370"/>
      <c r="Z326" s="376"/>
      <c r="AA326" s="371"/>
      <c r="AB326" s="744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97"/>
      <c r="P327" s="296"/>
      <c r="Q327" s="421"/>
      <c r="R327" s="362"/>
      <c r="S327" s="291"/>
      <c r="T327" s="13"/>
      <c r="U327" s="370"/>
      <c r="V327" s="370"/>
      <c r="W327" s="375"/>
      <c r="X327" s="374"/>
      <c r="Y327" s="370"/>
      <c r="Z327" s="376"/>
      <c r="AA327" s="371"/>
      <c r="AB327" s="744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97"/>
      <c r="P328" s="296"/>
      <c r="Q328" s="421"/>
      <c r="R328" s="362"/>
      <c r="S328" s="291"/>
      <c r="T328" s="13"/>
      <c r="U328" s="370"/>
      <c r="V328" s="370"/>
      <c r="W328" s="375"/>
      <c r="X328" s="374"/>
      <c r="Y328" s="370"/>
      <c r="Z328" s="376"/>
      <c r="AA328" s="371"/>
      <c r="AB328" s="744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97"/>
      <c r="P329" s="296"/>
      <c r="Q329" s="421"/>
      <c r="R329" s="383"/>
      <c r="S329" s="21"/>
      <c r="T329" s="13"/>
      <c r="U329" s="370"/>
      <c r="V329" s="370"/>
      <c r="W329" s="375"/>
      <c r="X329" s="374"/>
      <c r="Y329" s="370"/>
      <c r="Z329" s="376"/>
      <c r="AA329" s="371"/>
      <c r="AB329" s="744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97"/>
      <c r="P330" s="296"/>
      <c r="Q330" s="421"/>
      <c r="R330" s="383"/>
      <c r="S330" s="21"/>
      <c r="T330" s="13"/>
      <c r="U330" s="354"/>
      <c r="V330" s="354"/>
      <c r="W330" s="355"/>
      <c r="X330" s="330"/>
      <c r="Y330" s="354"/>
      <c r="Z330" s="356"/>
      <c r="AA330" s="328"/>
      <c r="AB330" s="744"/>
      <c r="AC330" s="346"/>
      <c r="AD330" s="333"/>
      <c r="AE330" s="346"/>
      <c r="AF330" s="346"/>
      <c r="AG330" s="346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O331" s="97"/>
      <c r="P331" s="296"/>
      <c r="Q331" s="421"/>
      <c r="R331" s="383"/>
      <c r="S331" s="21"/>
      <c r="T331" s="13"/>
      <c r="U331" s="354"/>
      <c r="V331" s="354"/>
      <c r="W331" s="355"/>
      <c r="X331" s="330"/>
      <c r="Y331" s="354"/>
      <c r="Z331" s="356"/>
      <c r="AA331" s="328"/>
      <c r="AB331" s="744"/>
      <c r="AC331" s="346"/>
      <c r="AD331" s="333"/>
      <c r="AE331" s="346"/>
      <c r="AF331" s="346"/>
      <c r="AG331" s="346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O332" s="97"/>
      <c r="P332" s="296"/>
      <c r="Q332" s="421"/>
      <c r="R332" s="383"/>
      <c r="S332" s="21"/>
      <c r="T332" s="13"/>
      <c r="U332" s="381"/>
      <c r="V332" s="381"/>
      <c r="W332" s="375"/>
      <c r="X332" s="374"/>
      <c r="Y332" s="370"/>
      <c r="Z332" s="376"/>
      <c r="AA332" s="371"/>
      <c r="AB332" s="744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97"/>
      <c r="P333" s="296"/>
      <c r="Q333" s="421"/>
      <c r="R333" s="383"/>
      <c r="S333" s="21"/>
      <c r="T333" s="13"/>
      <c r="U333" s="381"/>
      <c r="V333" s="381"/>
      <c r="W333" s="375"/>
      <c r="X333" s="374"/>
      <c r="Y333" s="370"/>
      <c r="Z333" s="376"/>
      <c r="AA333" s="371"/>
      <c r="AB333" s="744"/>
      <c r="AC333" s="270"/>
      <c r="AD333" s="372"/>
      <c r="AE333" s="270"/>
      <c r="AF333" s="270"/>
      <c r="AG333" s="270"/>
      <c r="AH333" s="272"/>
      <c r="AI333" s="389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97"/>
      <c r="P334" s="296"/>
      <c r="Q334" s="421"/>
      <c r="R334" s="383"/>
      <c r="S334" s="21"/>
      <c r="T334" s="13"/>
      <c r="U334" s="381"/>
      <c r="V334" s="381"/>
      <c r="W334" s="375"/>
      <c r="X334" s="374"/>
      <c r="Y334" s="370"/>
      <c r="Z334" s="376"/>
      <c r="AA334" s="371"/>
      <c r="AB334" s="744"/>
      <c r="AC334" s="270"/>
      <c r="AD334" s="372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97"/>
      <c r="P335" s="296"/>
      <c r="Q335" s="421"/>
      <c r="R335" s="383"/>
      <c r="S335" s="21"/>
      <c r="T335" s="13"/>
      <c r="U335" s="381"/>
      <c r="V335" s="381"/>
      <c r="W335" s="375"/>
      <c r="X335" s="374"/>
      <c r="Y335" s="370"/>
      <c r="Z335" s="376"/>
      <c r="AA335" s="371"/>
      <c r="AB335" s="744"/>
      <c r="AC335" s="270"/>
      <c r="AD335" s="372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97"/>
      <c r="P336" s="296"/>
      <c r="Q336" s="421"/>
      <c r="R336" s="383"/>
      <c r="S336" s="21"/>
      <c r="T336" s="13"/>
      <c r="U336" s="381"/>
      <c r="V336" s="381"/>
      <c r="W336" s="375"/>
      <c r="X336" s="374"/>
      <c r="Y336" s="370"/>
      <c r="Z336" s="376"/>
      <c r="AA336" s="371"/>
      <c r="AB336" s="744"/>
      <c r="AC336" s="270"/>
      <c r="AD336" s="372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1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O337" s="97"/>
      <c r="P337" s="296"/>
      <c r="Q337" s="421"/>
      <c r="R337" s="383"/>
      <c r="S337" s="21"/>
      <c r="T337" s="13"/>
      <c r="U337" s="381"/>
      <c r="V337" s="381"/>
      <c r="W337" s="375"/>
      <c r="X337" s="374"/>
      <c r="Y337" s="370"/>
      <c r="Z337" s="376"/>
      <c r="AA337" s="371"/>
      <c r="AB337" s="744"/>
      <c r="AC337" s="270"/>
      <c r="AD337" s="372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1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296"/>
      <c r="Q338" s="421"/>
      <c r="R338" s="383"/>
      <c r="S338" s="21"/>
      <c r="T338" s="13"/>
      <c r="U338" s="381"/>
      <c r="V338" s="381"/>
      <c r="W338" s="375"/>
      <c r="X338" s="374"/>
      <c r="Y338" s="370"/>
      <c r="Z338" s="376"/>
      <c r="AA338" s="371"/>
      <c r="AB338" s="744"/>
      <c r="AC338" s="270"/>
      <c r="AD338" s="372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1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296"/>
      <c r="Q339" s="421"/>
      <c r="R339" s="383"/>
      <c r="S339" s="21"/>
      <c r="T339" s="13"/>
      <c r="U339" s="381"/>
      <c r="V339" s="381"/>
      <c r="W339" s="375"/>
      <c r="X339" s="374"/>
      <c r="Y339" s="370"/>
      <c r="Z339" s="376"/>
      <c r="AA339" s="371"/>
      <c r="AB339" s="744"/>
      <c r="AC339" s="270"/>
      <c r="AD339" s="372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1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296"/>
      <c r="Q340" s="421"/>
      <c r="R340" s="383"/>
      <c r="S340" s="21"/>
      <c r="T340" s="13"/>
      <c r="U340" s="381"/>
      <c r="V340" s="381"/>
      <c r="W340" s="375"/>
      <c r="X340" s="374"/>
      <c r="Y340" s="370"/>
      <c r="Z340" s="376"/>
      <c r="AA340" s="371"/>
      <c r="AB340" s="744"/>
      <c r="AC340" s="270"/>
      <c r="AD340" s="372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421"/>
      <c r="R341" s="383"/>
      <c r="S341" s="21"/>
      <c r="T341" s="13"/>
      <c r="U341" s="381"/>
      <c r="V341" s="381"/>
      <c r="W341" s="375"/>
      <c r="X341" s="374"/>
      <c r="Y341" s="370"/>
      <c r="Z341" s="376"/>
      <c r="AA341" s="371"/>
      <c r="AB341" s="744"/>
      <c r="AC341" s="270"/>
      <c r="AD341" s="372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21"/>
      <c r="R342" s="383"/>
      <c r="S342" s="1"/>
      <c r="T342" s="13"/>
      <c r="U342" s="381"/>
      <c r="V342" s="381"/>
      <c r="W342" s="375"/>
      <c r="X342" s="374"/>
      <c r="Y342" s="370"/>
      <c r="Z342" s="376"/>
      <c r="AA342" s="371"/>
      <c r="AB342" s="744"/>
      <c r="AC342" s="270"/>
      <c r="AD342" s="372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21"/>
      <c r="R343" s="383"/>
      <c r="S343" s="21"/>
      <c r="T343" s="13"/>
      <c r="U343" s="381"/>
      <c r="V343" s="381"/>
      <c r="W343" s="375"/>
      <c r="X343" s="374"/>
      <c r="Y343" s="370"/>
      <c r="Z343" s="376"/>
      <c r="AA343" s="371"/>
      <c r="AB343" s="744"/>
      <c r="AC343" s="270"/>
      <c r="AD343" s="372"/>
      <c r="AE343" s="270"/>
      <c r="AF343" s="2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21"/>
      <c r="R344" s="383"/>
      <c r="S344" s="21"/>
      <c r="T344" s="13"/>
      <c r="U344" s="381"/>
      <c r="V344" s="381"/>
      <c r="W344" s="375"/>
      <c r="X344" s="374"/>
      <c r="Y344" s="370"/>
      <c r="Z344" s="376"/>
      <c r="AA344" s="371"/>
      <c r="AB344" s="744"/>
      <c r="AC344" s="270"/>
      <c r="AD344" s="372"/>
      <c r="AE344" s="270"/>
      <c r="AF344" s="270"/>
      <c r="AG344" s="270"/>
      <c r="AH344" s="272"/>
      <c r="AI344" s="1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21"/>
      <c r="R345" s="383"/>
      <c r="S345" s="21"/>
      <c r="T345" s="13"/>
      <c r="U345" s="381"/>
      <c r="V345" s="381"/>
      <c r="W345" s="375"/>
      <c r="X345" s="374"/>
      <c r="Y345" s="370"/>
      <c r="Z345" s="376"/>
      <c r="AA345" s="371"/>
      <c r="AB345" s="744"/>
      <c r="AC345" s="270"/>
      <c r="AD345" s="372"/>
      <c r="AE345" s="270"/>
      <c r="AF345" s="270"/>
      <c r="AG345" s="270"/>
      <c r="AH345" s="272"/>
      <c r="AI345" s="1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21"/>
      <c r="R346" s="383"/>
      <c r="S346" s="21"/>
      <c r="T346" s="13"/>
      <c r="U346" s="381"/>
      <c r="V346" s="381"/>
      <c r="W346" s="375"/>
      <c r="X346" s="374"/>
      <c r="Y346" s="370"/>
      <c r="Z346" s="376"/>
      <c r="AA346" s="371"/>
      <c r="AB346" s="744"/>
      <c r="AC346" s="270"/>
      <c r="AD346" s="372"/>
      <c r="AE346" s="270"/>
      <c r="AF346" s="270"/>
      <c r="AG346" s="270"/>
      <c r="AH346" s="272"/>
      <c r="AI346" s="1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21"/>
      <c r="R347" s="383"/>
      <c r="S347" s="21"/>
      <c r="T347" s="13"/>
      <c r="U347" s="381"/>
      <c r="V347" s="381"/>
      <c r="W347" s="375"/>
      <c r="X347" s="374"/>
      <c r="Y347" s="370"/>
      <c r="Z347" s="376"/>
      <c r="AA347" s="371"/>
      <c r="AB347" s="744"/>
      <c r="AC347" s="270"/>
      <c r="AD347" s="372"/>
      <c r="AE347" s="270"/>
      <c r="AF347" s="270"/>
      <c r="AG347" s="270"/>
      <c r="AH347" s="272"/>
      <c r="AI347" s="1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21"/>
      <c r="R348" s="383"/>
      <c r="S348" s="21"/>
      <c r="T348" s="13"/>
      <c r="U348" s="381"/>
      <c r="V348" s="381"/>
      <c r="W348" s="375"/>
      <c r="X348" s="374"/>
      <c r="Y348" s="370"/>
      <c r="Z348" s="376"/>
      <c r="AA348" s="371"/>
      <c r="AB348" s="744"/>
      <c r="AC348" s="270"/>
      <c r="AD348" s="372"/>
      <c r="AE348" s="270"/>
      <c r="AF348" s="270"/>
      <c r="AG348" s="270"/>
      <c r="AH348" s="272"/>
      <c r="AI348" s="1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21"/>
      <c r="R349" s="383"/>
      <c r="S349" s="21"/>
      <c r="T349" s="13"/>
      <c r="U349" s="381"/>
      <c r="V349" s="381"/>
      <c r="W349" s="375"/>
      <c r="X349" s="374"/>
      <c r="Y349" s="370"/>
      <c r="Z349" s="376"/>
      <c r="AA349" s="371"/>
      <c r="AB349" s="744"/>
      <c r="AC349" s="270"/>
      <c r="AD349" s="372"/>
      <c r="AE349" s="270"/>
      <c r="AF349" s="270"/>
      <c r="AG349" s="270"/>
      <c r="AH349" s="272"/>
      <c r="AI349" s="1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21"/>
      <c r="R350" s="383"/>
      <c r="S350" s="21"/>
      <c r="T350" s="13"/>
      <c r="U350" s="381"/>
      <c r="V350" s="381"/>
      <c r="W350" s="375"/>
      <c r="X350" s="374"/>
      <c r="Y350" s="370"/>
      <c r="Z350" s="376"/>
      <c r="AA350" s="371"/>
      <c r="AB350" s="744"/>
      <c r="AC350" s="270"/>
      <c r="AD350" s="372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21"/>
      <c r="R351" s="383"/>
      <c r="S351" s="21"/>
      <c r="T351" s="13"/>
      <c r="U351" s="381"/>
      <c r="V351" s="381"/>
      <c r="W351" s="375"/>
      <c r="X351" s="374"/>
      <c r="Y351" s="370"/>
      <c r="Z351" s="376"/>
      <c r="AA351" s="371"/>
      <c r="AB351" s="744"/>
      <c r="AC351" s="270"/>
      <c r="AD351" s="372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21"/>
      <c r="R352" s="383"/>
      <c r="S352" s="21"/>
      <c r="T352" s="13"/>
      <c r="U352" s="381"/>
      <c r="V352" s="381"/>
      <c r="W352" s="375"/>
      <c r="X352" s="374"/>
      <c r="Y352" s="370"/>
      <c r="Z352" s="376"/>
      <c r="AA352" s="371"/>
      <c r="AB352" s="744"/>
      <c r="AC352" s="270"/>
      <c r="AD352" s="372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744"/>
      <c r="AC353" s="270"/>
      <c r="AD353" s="372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744"/>
      <c r="AC354" s="270"/>
      <c r="AD354" s="372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744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744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744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744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744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744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744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744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744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744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744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50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744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50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744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50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744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4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50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744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4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50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744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4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50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744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4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50"/>
      <c r="P372" s="296"/>
      <c r="Q372" s="421"/>
      <c r="R372" s="383"/>
      <c r="S372" s="21"/>
      <c r="T372" s="13"/>
      <c r="U372" s="381"/>
      <c r="V372" s="321"/>
      <c r="W372" s="322"/>
      <c r="X372" s="322"/>
      <c r="Y372" s="322"/>
      <c r="Z372" s="323"/>
      <c r="AA372" s="371"/>
      <c r="AB372" s="744"/>
      <c r="AC372" s="371"/>
      <c r="AD372" s="372"/>
      <c r="AE372" s="371"/>
      <c r="AF372" s="371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4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50"/>
      <c r="P373" s="296"/>
      <c r="Q373" s="421"/>
      <c r="R373" s="383"/>
      <c r="S373" s="21"/>
      <c r="T373" s="13"/>
      <c r="U373" s="381"/>
      <c r="V373" s="321"/>
      <c r="W373" s="322"/>
      <c r="X373" s="322"/>
      <c r="Y373" s="322"/>
      <c r="Z373" s="323"/>
      <c r="AA373" s="371"/>
      <c r="AB373" s="744"/>
      <c r="AC373" s="371"/>
      <c r="AD373" s="372"/>
      <c r="AE373" s="371"/>
      <c r="AF373" s="371"/>
      <c r="AG373" s="270"/>
      <c r="AH373" s="272"/>
      <c r="AI373" s="1"/>
      <c r="AJ373" s="21"/>
      <c r="AK373" s="21"/>
      <c r="AL373" s="21"/>
      <c r="AM373" s="21"/>
      <c r="AN373" s="21"/>
      <c r="AO373" s="21"/>
      <c r="AQ373" s="21"/>
      <c r="AR373" s="21"/>
    </row>
    <row r="374" spans="1:44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50"/>
      <c r="P374" s="296"/>
      <c r="Q374" s="421"/>
      <c r="R374" s="383"/>
      <c r="S374" s="21"/>
      <c r="T374" s="13"/>
      <c r="U374" s="381"/>
      <c r="V374" s="321"/>
      <c r="W374" s="322"/>
      <c r="X374" s="322"/>
      <c r="Y374" s="322"/>
      <c r="Z374" s="323"/>
      <c r="AA374" s="371"/>
      <c r="AB374" s="744"/>
      <c r="AC374" s="371"/>
      <c r="AD374" s="372"/>
      <c r="AE374" s="371"/>
      <c r="AF374" s="371"/>
      <c r="AG374" s="270"/>
      <c r="AH374" s="272"/>
      <c r="AI374" s="1"/>
      <c r="AJ374" s="21"/>
      <c r="AK374" s="21"/>
      <c r="AL374" s="21"/>
      <c r="AM374" s="21"/>
      <c r="AN374" s="21"/>
      <c r="AO374" s="21"/>
      <c r="AQ374" s="21"/>
      <c r="AR374" s="21"/>
    </row>
    <row r="375" spans="1:44" x14ac:dyDescent="0.2">
      <c r="A375" s="48"/>
      <c r="B375" s="306"/>
      <c r="C375" s="233"/>
      <c r="D375" s="233"/>
      <c r="P375" s="296"/>
      <c r="Q375" s="421"/>
      <c r="R375" s="383"/>
      <c r="U375" s="381"/>
      <c r="V375" s="321"/>
      <c r="W375" s="322"/>
      <c r="X375" s="322"/>
      <c r="Y375" s="322"/>
      <c r="Z375" s="323"/>
      <c r="AA375" s="371"/>
      <c r="AB375" s="744"/>
      <c r="AC375" s="371"/>
      <c r="AD375" s="372"/>
      <c r="AE375" s="371"/>
      <c r="AF375" s="371"/>
      <c r="AG375" s="270"/>
      <c r="AH375" s="272"/>
      <c r="AP375" s="53"/>
    </row>
    <row r="376" spans="1:44" x14ac:dyDescent="0.2">
      <c r="A376" s="48"/>
      <c r="B376" s="306"/>
      <c r="C376" s="233"/>
      <c r="D376" s="233"/>
      <c r="P376" s="296"/>
      <c r="Q376" s="421"/>
      <c r="R376" s="383"/>
      <c r="U376" s="381"/>
      <c r="V376" s="321"/>
      <c r="W376" s="322"/>
      <c r="X376" s="322"/>
      <c r="Y376" s="322"/>
      <c r="Z376" s="323"/>
      <c r="AA376" s="371"/>
      <c r="AB376" s="744"/>
      <c r="AC376" s="371"/>
      <c r="AD376" s="372"/>
      <c r="AE376" s="371"/>
      <c r="AF376" s="371"/>
      <c r="AG376" s="270"/>
      <c r="AH376" s="272"/>
      <c r="AP376" s="53"/>
    </row>
    <row r="377" spans="1:44" x14ac:dyDescent="0.2">
      <c r="A377" s="48"/>
      <c r="B377" s="306"/>
      <c r="C377" s="233"/>
      <c r="D377" s="233"/>
      <c r="P377" s="296"/>
      <c r="Q377" s="421"/>
      <c r="R377" s="383"/>
      <c r="U377" s="381"/>
      <c r="V377" s="370"/>
      <c r="W377" s="375"/>
      <c r="X377" s="375"/>
      <c r="Y377" s="375"/>
      <c r="Z377" s="376"/>
      <c r="AA377" s="371"/>
      <c r="AB377" s="744"/>
      <c r="AC377" s="371"/>
      <c r="AD377" s="372"/>
      <c r="AE377" s="371"/>
      <c r="AF377" s="371"/>
      <c r="AG377" s="270"/>
      <c r="AH377" s="272"/>
      <c r="AP377" s="53"/>
    </row>
    <row r="378" spans="1:44" x14ac:dyDescent="0.2">
      <c r="A378" s="48"/>
      <c r="B378" s="306"/>
      <c r="C378" s="233"/>
      <c r="D378" s="233"/>
      <c r="P378" s="296"/>
      <c r="Q378" s="421"/>
      <c r="R378" s="383"/>
      <c r="U378" s="381"/>
      <c r="V378" s="370"/>
      <c r="W378" s="375"/>
      <c r="X378" s="374"/>
      <c r="Y378" s="370"/>
      <c r="Z378" s="376"/>
      <c r="AA378" s="371"/>
      <c r="AB378" s="744"/>
      <c r="AC378" s="270"/>
      <c r="AD378" s="372"/>
      <c r="AE378" s="270"/>
      <c r="AF378" s="270"/>
      <c r="AG378" s="270"/>
      <c r="AH378" s="272"/>
      <c r="AP378" s="53"/>
    </row>
    <row r="379" spans="1:44" x14ac:dyDescent="0.2">
      <c r="A379" s="48"/>
      <c r="B379" s="306"/>
      <c r="C379" s="233"/>
      <c r="D379" s="233"/>
      <c r="P379" s="296"/>
      <c r="Q379" s="421"/>
      <c r="R379" s="383"/>
      <c r="U379" s="381"/>
      <c r="V379" s="370"/>
      <c r="W379" s="375"/>
      <c r="X379" s="374"/>
      <c r="Y379" s="370"/>
      <c r="Z379" s="376"/>
      <c r="AA379" s="371"/>
      <c r="AB379" s="744"/>
      <c r="AC379" s="270"/>
      <c r="AD379" s="372"/>
      <c r="AE379" s="270"/>
      <c r="AF379" s="270"/>
      <c r="AG379" s="270"/>
      <c r="AH379" s="272"/>
      <c r="AP379" s="53"/>
    </row>
    <row r="380" spans="1:44" x14ac:dyDescent="0.2">
      <c r="A380" s="48"/>
      <c r="B380" s="306"/>
      <c r="C380" s="233"/>
      <c r="D380" s="233"/>
      <c r="P380" s="296"/>
      <c r="Q380" s="421"/>
      <c r="R380" s="383"/>
      <c r="U380" s="381"/>
      <c r="V380" s="370"/>
      <c r="W380" s="375"/>
      <c r="X380" s="374"/>
      <c r="Y380" s="370"/>
      <c r="Z380" s="376"/>
      <c r="AA380" s="371"/>
      <c r="AB380" s="744"/>
      <c r="AC380" s="270"/>
      <c r="AD380" s="372"/>
      <c r="AE380" s="270"/>
      <c r="AF380" s="270"/>
      <c r="AG380" s="270"/>
      <c r="AH380" s="272"/>
      <c r="AP380" s="53"/>
    </row>
    <row r="381" spans="1:44" x14ac:dyDescent="0.2">
      <c r="A381" s="48"/>
      <c r="B381" s="306"/>
      <c r="C381" s="233"/>
      <c r="D381" s="233"/>
      <c r="P381" s="296"/>
      <c r="Q381" s="421"/>
      <c r="R381" s="383"/>
      <c r="U381" s="381"/>
      <c r="V381" s="370"/>
      <c r="W381" s="375"/>
      <c r="X381" s="374"/>
      <c r="Y381" s="370"/>
      <c r="Z381" s="376"/>
      <c r="AA381" s="371"/>
      <c r="AB381" s="744"/>
      <c r="AC381" s="270"/>
      <c r="AD381" s="372"/>
      <c r="AE381" s="270"/>
      <c r="AF381" s="270"/>
      <c r="AG381" s="270"/>
      <c r="AH381" s="272"/>
      <c r="AP381" s="53"/>
    </row>
    <row r="382" spans="1:44" x14ac:dyDescent="0.2">
      <c r="A382" s="48"/>
      <c r="B382" s="306"/>
      <c r="C382" s="233"/>
      <c r="D382" s="233"/>
      <c r="P382" s="296"/>
      <c r="Q382" s="421"/>
      <c r="R382" s="383"/>
      <c r="U382" s="381"/>
      <c r="V382" s="370"/>
      <c r="W382" s="375"/>
      <c r="X382" s="374"/>
      <c r="Y382" s="370"/>
      <c r="Z382" s="376"/>
      <c r="AA382" s="371"/>
      <c r="AB382" s="744"/>
      <c r="AC382" s="270"/>
      <c r="AD382" s="372"/>
      <c r="AE382" s="270"/>
      <c r="AF382" s="270"/>
      <c r="AG382" s="270"/>
      <c r="AH382" s="272"/>
      <c r="AP382" s="53"/>
    </row>
    <row r="383" spans="1:44" x14ac:dyDescent="0.2">
      <c r="A383" s="48"/>
      <c r="B383" s="306"/>
      <c r="C383" s="233"/>
      <c r="D383" s="233"/>
      <c r="P383" s="296"/>
      <c r="Q383" s="421"/>
      <c r="R383" s="383"/>
      <c r="U383" s="381"/>
      <c r="V383" s="370"/>
      <c r="W383" s="375"/>
      <c r="X383" s="374"/>
      <c r="Y383" s="370"/>
      <c r="Z383" s="376"/>
      <c r="AA383" s="371"/>
      <c r="AB383" s="744"/>
      <c r="AC383" s="270"/>
      <c r="AD383" s="372"/>
      <c r="AE383" s="270"/>
      <c r="AF383" s="270"/>
      <c r="AG383" s="270"/>
      <c r="AH383" s="272"/>
      <c r="AP383" s="53"/>
      <c r="AQ383" s="53"/>
      <c r="AR383" s="53"/>
    </row>
    <row r="384" spans="1:44" x14ac:dyDescent="0.2">
      <c r="A384" s="48"/>
      <c r="B384" s="306"/>
      <c r="C384" s="233"/>
      <c r="D384" s="233"/>
      <c r="P384" s="296"/>
      <c r="Q384" s="421"/>
      <c r="R384" s="383"/>
      <c r="U384" s="381"/>
      <c r="V384" s="370"/>
      <c r="W384" s="375"/>
      <c r="X384" s="374"/>
      <c r="Y384" s="370"/>
      <c r="Z384" s="376"/>
      <c r="AA384" s="371"/>
      <c r="AB384" s="744"/>
      <c r="AC384" s="270"/>
      <c r="AD384" s="372"/>
      <c r="AE384" s="270"/>
      <c r="AF384" s="270"/>
      <c r="AG384" s="270"/>
      <c r="AH384" s="272"/>
      <c r="AP384" s="53"/>
      <c r="AQ384" s="53"/>
      <c r="AR384" s="53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70"/>
      <c r="W385" s="375"/>
      <c r="X385" s="374"/>
      <c r="Y385" s="370"/>
      <c r="Z385" s="376"/>
      <c r="AA385" s="371"/>
      <c r="AB385" s="744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70"/>
      <c r="W386" s="375"/>
      <c r="X386" s="374"/>
      <c r="Y386" s="370"/>
      <c r="Z386" s="376"/>
      <c r="AA386" s="371"/>
      <c r="AB386" s="744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70"/>
      <c r="W387" s="375"/>
      <c r="X387" s="374"/>
      <c r="Y387" s="370"/>
      <c r="Z387" s="376"/>
      <c r="AA387" s="371"/>
      <c r="AB387" s="744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70"/>
      <c r="W388" s="375"/>
      <c r="X388" s="374"/>
      <c r="Y388" s="370"/>
      <c r="Z388" s="376"/>
      <c r="AA388" s="371"/>
      <c r="AB388" s="744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70"/>
      <c r="W389" s="375"/>
      <c r="X389" s="374"/>
      <c r="Y389" s="370"/>
      <c r="Z389" s="376"/>
      <c r="AA389" s="371"/>
      <c r="AB389" s="744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70"/>
      <c r="W390" s="375"/>
      <c r="X390" s="374"/>
      <c r="Y390" s="370"/>
      <c r="Z390" s="376"/>
      <c r="AA390" s="371"/>
      <c r="AB390" s="744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70"/>
      <c r="W391" s="375"/>
      <c r="X391" s="374"/>
      <c r="Y391" s="370"/>
      <c r="Z391" s="376"/>
      <c r="AA391" s="371"/>
      <c r="AB391" s="744"/>
      <c r="AC391" s="270"/>
      <c r="AD391" s="372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70"/>
      <c r="W392" s="375"/>
      <c r="X392" s="374"/>
      <c r="Y392" s="370"/>
      <c r="Z392" s="376"/>
      <c r="AA392" s="371"/>
      <c r="AB392" s="744"/>
      <c r="AC392" s="270"/>
      <c r="AD392" s="372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21"/>
      <c r="R393" s="383"/>
      <c r="S393" s="21"/>
      <c r="T393" s="13"/>
      <c r="U393" s="381"/>
      <c r="V393" s="370"/>
      <c r="W393" s="375"/>
      <c r="X393" s="374"/>
      <c r="Y393" s="370"/>
      <c r="Z393" s="376"/>
      <c r="AA393" s="371"/>
      <c r="AB393" s="744"/>
      <c r="AC393" s="270"/>
      <c r="AD393" s="372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21"/>
      <c r="R394" s="383"/>
      <c r="S394" s="21"/>
      <c r="T394" s="13"/>
      <c r="U394" s="381"/>
      <c r="V394" s="370"/>
      <c r="W394" s="375"/>
      <c r="X394" s="374"/>
      <c r="Y394" s="370"/>
      <c r="Z394" s="376"/>
      <c r="AA394" s="371"/>
      <c r="AB394" s="744"/>
      <c r="AC394" s="270"/>
      <c r="AD394" s="372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21"/>
      <c r="R395" s="383"/>
      <c r="S395" s="21"/>
      <c r="T395" s="13"/>
      <c r="U395" s="381"/>
      <c r="V395" s="370"/>
      <c r="W395" s="375"/>
      <c r="X395" s="374"/>
      <c r="Y395" s="370"/>
      <c r="Z395" s="376"/>
      <c r="AA395" s="371"/>
      <c r="AB395" s="744"/>
      <c r="AC395" s="270"/>
      <c r="AD395" s="372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21"/>
      <c r="R396" s="383"/>
      <c r="S396" s="21"/>
      <c r="T396" s="13"/>
      <c r="U396" s="381"/>
      <c r="V396" s="370"/>
      <c r="W396" s="375"/>
      <c r="X396" s="374"/>
      <c r="Y396" s="370"/>
      <c r="Z396" s="376"/>
      <c r="AA396" s="371"/>
      <c r="AB396" s="744"/>
      <c r="AC396" s="270"/>
      <c r="AD396" s="372"/>
      <c r="AE396" s="270"/>
      <c r="AF396" s="270"/>
      <c r="AG396" s="270"/>
      <c r="AH396" s="272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421"/>
      <c r="R397" s="383"/>
      <c r="S397" s="21"/>
      <c r="T397" s="13"/>
      <c r="U397" s="381"/>
      <c r="V397" s="370"/>
      <c r="W397" s="375"/>
      <c r="X397" s="374"/>
      <c r="Y397" s="370"/>
      <c r="Z397" s="376"/>
      <c r="AA397" s="371"/>
      <c r="AB397" s="744"/>
      <c r="AC397" s="270"/>
      <c r="AD397" s="372"/>
      <c r="AE397" s="270"/>
      <c r="AF397" s="270"/>
      <c r="AG397" s="270"/>
      <c r="AH397" s="272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421"/>
      <c r="R398" s="383"/>
      <c r="S398" s="21"/>
      <c r="T398" s="13"/>
      <c r="U398" s="381"/>
      <c r="V398" s="370"/>
      <c r="W398" s="375"/>
      <c r="X398" s="374"/>
      <c r="Y398" s="370"/>
      <c r="Z398" s="376"/>
      <c r="AA398" s="371"/>
      <c r="AB398" s="744"/>
      <c r="AC398" s="270"/>
      <c r="AD398" s="372"/>
      <c r="AE398" s="270"/>
      <c r="AF398" s="270"/>
      <c r="AG398" s="270"/>
      <c r="AH398" s="272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296"/>
      <c r="Q399" s="421"/>
      <c r="R399" s="383"/>
      <c r="S399" s="21"/>
      <c r="T399" s="13"/>
      <c r="U399" s="381"/>
      <c r="V399" s="370"/>
      <c r="W399" s="375"/>
      <c r="X399" s="374"/>
      <c r="Y399" s="370"/>
      <c r="Z399" s="376"/>
      <c r="AA399" s="371"/>
      <c r="AB399" s="744"/>
      <c r="AC399" s="270"/>
      <c r="AD399" s="372"/>
      <c r="AE399" s="270"/>
      <c r="AF399" s="270"/>
      <c r="AG399" s="270"/>
      <c r="AH399" s="272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296"/>
      <c r="Q400" s="421"/>
      <c r="R400" s="383"/>
      <c r="S400" s="21"/>
      <c r="T400" s="13"/>
      <c r="U400" s="381"/>
      <c r="V400" s="370"/>
      <c r="W400" s="375"/>
      <c r="X400" s="374"/>
      <c r="Y400" s="370"/>
      <c r="Z400" s="376"/>
      <c r="AA400" s="371"/>
      <c r="AB400" s="744"/>
      <c r="AC400" s="270"/>
      <c r="AD400" s="372"/>
      <c r="AE400" s="270"/>
      <c r="AF400" s="270"/>
      <c r="AG400" s="270"/>
      <c r="AH400" s="315"/>
      <c r="AI400" s="1"/>
      <c r="AJ400" s="21"/>
      <c r="AK400" s="21"/>
      <c r="AL400" s="21"/>
      <c r="AM400" s="21"/>
      <c r="AN400" s="21"/>
      <c r="AO400" s="21"/>
    </row>
    <row r="401" spans="1:41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296"/>
      <c r="Q401" s="316"/>
      <c r="R401" s="383"/>
      <c r="S401" s="21"/>
      <c r="T401" s="13"/>
      <c r="U401" s="381"/>
      <c r="V401" s="370"/>
      <c r="W401" s="375"/>
      <c r="X401" s="374"/>
      <c r="Y401" s="370"/>
      <c r="Z401" s="376"/>
      <c r="AA401" s="371"/>
      <c r="AB401" s="744"/>
      <c r="AC401" s="270"/>
      <c r="AD401" s="372"/>
      <c r="AE401" s="270"/>
      <c r="AF401" s="270"/>
      <c r="AG401" s="270"/>
      <c r="AH401" s="315"/>
      <c r="AI401" s="1"/>
      <c r="AJ401" s="21"/>
      <c r="AK401" s="21"/>
      <c r="AL401" s="21"/>
      <c r="AM401" s="21"/>
      <c r="AN401" s="21"/>
      <c r="AO401" s="21"/>
    </row>
    <row r="402" spans="1:41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296"/>
      <c r="Q402" s="316"/>
      <c r="R402" s="383"/>
      <c r="S402" s="21"/>
      <c r="T402" s="13"/>
      <c r="U402" s="381"/>
      <c r="V402" s="370"/>
      <c r="W402" s="375"/>
      <c r="X402" s="374"/>
      <c r="Y402" s="370"/>
      <c r="Z402" s="376"/>
      <c r="AA402" s="371"/>
      <c r="AB402" s="744"/>
      <c r="AC402" s="270"/>
      <c r="AD402" s="372"/>
      <c r="AE402" s="270"/>
      <c r="AF402" s="270"/>
      <c r="AG402" s="270"/>
      <c r="AH402" s="315"/>
      <c r="AI402" s="1"/>
      <c r="AJ402" s="21"/>
      <c r="AK402" s="21"/>
      <c r="AL402" s="21"/>
      <c r="AM402" s="21"/>
      <c r="AN402" s="21"/>
      <c r="AO402" s="21"/>
    </row>
    <row r="403" spans="1:41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316"/>
      <c r="R403" s="383"/>
      <c r="S403" s="21"/>
      <c r="T403" s="13"/>
      <c r="U403" s="381"/>
      <c r="V403" s="370"/>
      <c r="W403" s="375"/>
      <c r="X403" s="374"/>
      <c r="Y403" s="370"/>
      <c r="Z403" s="376"/>
      <c r="AA403" s="371"/>
      <c r="AB403" s="744"/>
      <c r="AC403" s="270"/>
      <c r="AD403" s="372"/>
      <c r="AE403" s="270"/>
      <c r="AF403" s="270"/>
      <c r="AG403" s="270"/>
      <c r="AH403" s="315"/>
      <c r="AI403" s="1"/>
      <c r="AJ403" s="21"/>
      <c r="AK403" s="21"/>
      <c r="AL403" s="21"/>
      <c r="AM403" s="21"/>
      <c r="AN403" s="21"/>
      <c r="AO403" s="21"/>
    </row>
    <row r="404" spans="1:41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316"/>
      <c r="R404" s="383"/>
      <c r="S404" s="21"/>
      <c r="T404" s="13"/>
      <c r="U404" s="381"/>
      <c r="V404" s="370"/>
      <c r="W404" s="375"/>
      <c r="X404" s="374"/>
      <c r="Y404" s="370"/>
      <c r="Z404" s="376"/>
      <c r="AA404" s="371"/>
      <c r="AB404" s="744"/>
      <c r="AC404" s="270"/>
      <c r="AD404" s="372"/>
      <c r="AE404" s="270"/>
      <c r="AF404" s="270"/>
      <c r="AG404" s="270"/>
      <c r="AH404" s="315"/>
      <c r="AI404" s="1"/>
      <c r="AJ404" s="21"/>
      <c r="AK404" s="21"/>
      <c r="AL404" s="21"/>
      <c r="AM404" s="21"/>
      <c r="AN404" s="21"/>
      <c r="AO404" s="21"/>
    </row>
    <row r="405" spans="1:41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Q405" s="316"/>
      <c r="R405" s="383"/>
      <c r="S405" s="21"/>
      <c r="T405" s="13"/>
      <c r="U405" s="381"/>
      <c r="V405" s="370"/>
      <c r="W405" s="375"/>
      <c r="X405" s="374"/>
      <c r="Y405" s="370"/>
      <c r="Z405" s="376"/>
      <c r="AA405" s="371"/>
      <c r="AB405" s="744"/>
      <c r="AC405" s="270"/>
      <c r="AD405" s="372"/>
      <c r="AE405" s="270"/>
      <c r="AF405" s="270"/>
      <c r="AG405" s="270"/>
      <c r="AH405" s="315"/>
      <c r="AI405" s="1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Q406" s="316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744"/>
      <c r="AC406" s="270"/>
      <c r="AD406" s="372"/>
      <c r="AE406" s="270"/>
      <c r="AF406" s="270"/>
      <c r="AG406" s="270"/>
      <c r="AH406" s="315"/>
      <c r="AI406" s="1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Q407" s="316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744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Q408" s="316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744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Q409" s="316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744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97"/>
      <c r="Q410" s="316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744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97"/>
      <c r="Q411" s="316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744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97"/>
      <c r="Q412" s="316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744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97"/>
      <c r="Q413" s="316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744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97"/>
      <c r="Q414" s="316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744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97"/>
      <c r="Q415" s="316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744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97"/>
      <c r="Q416" s="316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744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2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97"/>
      <c r="Q417" s="316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744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2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97"/>
      <c r="Q418" s="316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744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2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97"/>
      <c r="Q419" s="316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744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2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97"/>
      <c r="Q420" s="316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744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2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6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744"/>
      <c r="AC421" s="270"/>
      <c r="AD421" s="372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  <c r="AP421" s="21"/>
    </row>
    <row r="422" spans="1:42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16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744"/>
      <c r="AC422" s="270"/>
      <c r="AD422" s="372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  <c r="AP422" s="21"/>
    </row>
    <row r="423" spans="1:42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6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744"/>
      <c r="AC423" s="270"/>
      <c r="AD423" s="372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  <c r="AP423" s="21"/>
    </row>
    <row r="424" spans="1:42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6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744"/>
      <c r="AC424" s="270"/>
      <c r="AD424" s="372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  <c r="AP424" s="21"/>
    </row>
    <row r="425" spans="1:42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6"/>
      <c r="R425" s="383"/>
      <c r="S425" s="21"/>
      <c r="T425" s="13"/>
      <c r="U425" s="381"/>
      <c r="V425" s="375"/>
      <c r="W425" s="374"/>
      <c r="X425" s="370"/>
      <c r="Y425" s="376"/>
      <c r="Z425" s="371"/>
      <c r="AA425" s="371"/>
      <c r="AB425" s="745"/>
      <c r="AC425" s="372"/>
      <c r="AD425" s="270"/>
      <c r="AE425" s="270"/>
      <c r="AF425" s="270"/>
      <c r="AG425" s="376"/>
      <c r="AH425" s="272"/>
      <c r="AI425" s="1"/>
      <c r="AJ425" s="21"/>
      <c r="AK425" s="21"/>
      <c r="AL425" s="21"/>
      <c r="AM425" s="21"/>
      <c r="AN425" s="21"/>
      <c r="AO425" s="21"/>
      <c r="AP425" s="21"/>
    </row>
    <row r="426" spans="1:42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6"/>
      <c r="R426" s="383"/>
      <c r="S426" s="21"/>
      <c r="T426" s="13"/>
      <c r="U426" s="381"/>
      <c r="V426" s="375"/>
      <c r="W426" s="374"/>
      <c r="X426" s="370"/>
      <c r="Y426" s="376"/>
      <c r="Z426" s="371"/>
      <c r="AA426" s="371"/>
      <c r="AB426" s="745"/>
      <c r="AC426" s="372"/>
      <c r="AD426" s="270"/>
      <c r="AE426" s="270"/>
      <c r="AF426" s="270"/>
      <c r="AG426" s="376"/>
      <c r="AH426" s="272"/>
      <c r="AI426" s="1"/>
      <c r="AJ426" s="21"/>
      <c r="AK426" s="21"/>
      <c r="AL426" s="21"/>
      <c r="AM426" s="21"/>
      <c r="AN426" s="21"/>
      <c r="AO426" s="21"/>
      <c r="AP426" s="21"/>
    </row>
    <row r="427" spans="1:42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6"/>
      <c r="R427" s="383"/>
      <c r="S427" s="21"/>
      <c r="T427" s="13"/>
      <c r="U427" s="381"/>
      <c r="V427" s="375"/>
      <c r="W427" s="374"/>
      <c r="X427" s="370"/>
      <c r="Y427" s="376"/>
      <c r="Z427" s="371"/>
      <c r="AA427" s="371"/>
      <c r="AB427" s="745"/>
      <c r="AC427" s="372"/>
      <c r="AD427" s="270"/>
      <c r="AE427" s="270"/>
      <c r="AF427" s="270"/>
      <c r="AG427" s="376"/>
      <c r="AH427" s="272"/>
      <c r="AI427" s="1"/>
      <c r="AJ427" s="21"/>
      <c r="AK427" s="21"/>
      <c r="AL427" s="21"/>
      <c r="AM427" s="21"/>
      <c r="AN427" s="21"/>
      <c r="AO427" s="21"/>
      <c r="AP427" s="21"/>
    </row>
    <row r="428" spans="1:42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6"/>
      <c r="R428" s="383"/>
      <c r="S428" s="21"/>
      <c r="T428" s="13"/>
      <c r="U428" s="381"/>
      <c r="V428" s="375"/>
      <c r="W428" s="374"/>
      <c r="X428" s="370"/>
      <c r="Y428" s="376"/>
      <c r="Z428" s="371"/>
      <c r="AA428" s="371"/>
      <c r="AB428" s="745"/>
      <c r="AC428" s="372"/>
      <c r="AD428" s="270"/>
      <c r="AE428" s="270"/>
      <c r="AF428" s="270"/>
      <c r="AG428" s="376"/>
      <c r="AH428" s="272"/>
      <c r="AI428" s="1"/>
      <c r="AJ428" s="21"/>
      <c r="AK428" s="21"/>
      <c r="AL428" s="21"/>
      <c r="AM428" s="21"/>
      <c r="AN428" s="21"/>
      <c r="AO428" s="21"/>
      <c r="AP428" s="21"/>
    </row>
    <row r="429" spans="1:42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6"/>
      <c r="R429" s="383"/>
      <c r="S429" s="21"/>
      <c r="T429" s="13"/>
      <c r="U429" s="381"/>
      <c r="V429" s="375"/>
      <c r="W429" s="374"/>
      <c r="X429" s="370"/>
      <c r="Y429" s="376"/>
      <c r="Z429" s="371"/>
      <c r="AA429" s="371"/>
      <c r="AB429" s="745"/>
      <c r="AC429" s="372"/>
      <c r="AD429" s="270"/>
      <c r="AE429" s="270"/>
      <c r="AF429" s="270"/>
      <c r="AG429" s="376"/>
      <c r="AH429" s="272"/>
      <c r="AI429" s="1"/>
      <c r="AJ429" s="21"/>
      <c r="AK429" s="21"/>
      <c r="AL429" s="21"/>
      <c r="AM429" s="21"/>
      <c r="AN429" s="21"/>
      <c r="AO429" s="21"/>
      <c r="AP429" s="21"/>
    </row>
    <row r="430" spans="1:42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6"/>
      <c r="R430" s="383"/>
      <c r="S430" s="21"/>
      <c r="T430" s="13"/>
      <c r="U430" s="381"/>
      <c r="V430" s="375"/>
      <c r="W430" s="374"/>
      <c r="X430" s="370"/>
      <c r="Y430" s="376"/>
      <c r="Z430" s="371"/>
      <c r="AA430" s="371"/>
      <c r="AB430" s="745"/>
      <c r="AC430" s="372"/>
      <c r="AD430" s="270"/>
      <c r="AE430" s="270"/>
      <c r="AF430" s="270"/>
      <c r="AG430" s="376"/>
      <c r="AH430" s="272"/>
      <c r="AI430" s="1"/>
      <c r="AJ430" s="21"/>
      <c r="AK430" s="21"/>
      <c r="AL430" s="21"/>
      <c r="AM430" s="21"/>
      <c r="AN430" s="21"/>
      <c r="AO430" s="21"/>
      <c r="AP430" s="21"/>
    </row>
    <row r="431" spans="1:42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62"/>
      <c r="R431" s="383"/>
      <c r="S431" s="21"/>
      <c r="T431" s="13"/>
      <c r="U431" s="381"/>
      <c r="V431" s="375"/>
      <c r="W431" s="374"/>
      <c r="X431" s="370"/>
      <c r="Y431" s="376"/>
      <c r="Z431" s="371"/>
      <c r="AA431" s="371"/>
      <c r="AB431" s="745"/>
      <c r="AC431" s="372"/>
      <c r="AD431" s="270"/>
      <c r="AE431" s="270"/>
      <c r="AF431" s="270"/>
      <c r="AG431" s="376"/>
      <c r="AH431" s="272"/>
      <c r="AI431" s="1"/>
      <c r="AJ431" s="21"/>
      <c r="AK431" s="21"/>
      <c r="AL431" s="21"/>
      <c r="AM431" s="21"/>
      <c r="AN431" s="21"/>
      <c r="AO431" s="21"/>
    </row>
    <row r="432" spans="1:42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R432" s="285"/>
      <c r="S432" s="21"/>
      <c r="T432" s="13"/>
      <c r="U432" s="381"/>
      <c r="V432" s="375"/>
      <c r="W432" s="374"/>
      <c r="X432" s="370"/>
      <c r="Y432" s="376"/>
      <c r="Z432" s="371"/>
      <c r="AA432" s="371"/>
      <c r="AB432" s="745"/>
      <c r="AC432" s="372"/>
      <c r="AD432" s="270"/>
      <c r="AE432" s="270"/>
      <c r="AF432" s="270"/>
      <c r="AG432" s="376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R433" s="285"/>
      <c r="S433" s="21"/>
      <c r="T433" s="13"/>
      <c r="U433" s="381"/>
      <c r="V433" s="375"/>
      <c r="W433" s="374"/>
      <c r="X433" s="370"/>
      <c r="Y433" s="376"/>
      <c r="Z433" s="371"/>
      <c r="AA433" s="371"/>
      <c r="AB433" s="745"/>
      <c r="AC433" s="372"/>
      <c r="AD433" s="270"/>
      <c r="AE433" s="270"/>
      <c r="AF433" s="270"/>
      <c r="AG433" s="376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R434" s="285"/>
      <c r="S434" s="21"/>
      <c r="T434" s="13"/>
      <c r="U434" s="381"/>
      <c r="V434" s="375"/>
      <c r="W434" s="374"/>
      <c r="X434" s="370"/>
      <c r="Y434" s="376"/>
      <c r="Z434" s="371"/>
      <c r="AA434" s="371"/>
      <c r="AB434" s="745"/>
      <c r="AC434" s="372"/>
      <c r="AD434" s="270"/>
      <c r="AE434" s="270"/>
      <c r="AF434" s="270"/>
      <c r="AG434" s="376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R435" s="285"/>
      <c r="S435" s="21"/>
      <c r="T435" s="13"/>
      <c r="U435" s="381"/>
      <c r="V435" s="375"/>
      <c r="W435" s="374"/>
      <c r="X435" s="370"/>
      <c r="Y435" s="376"/>
      <c r="Z435" s="371"/>
      <c r="AA435" s="371"/>
      <c r="AB435" s="745"/>
      <c r="AC435" s="372"/>
      <c r="AD435" s="270"/>
      <c r="AE435" s="270"/>
      <c r="AF435" s="270"/>
      <c r="AG435" s="376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R436" s="285"/>
      <c r="S436" s="21"/>
      <c r="T436" s="13"/>
      <c r="U436" s="381"/>
      <c r="V436" s="375"/>
      <c r="W436" s="374"/>
      <c r="X436" s="370"/>
      <c r="Y436" s="376"/>
      <c r="Z436" s="371"/>
      <c r="AA436" s="371"/>
      <c r="AB436" s="745"/>
      <c r="AC436" s="372"/>
      <c r="AD436" s="270"/>
      <c r="AE436" s="270"/>
      <c r="AF436" s="270"/>
      <c r="AG436" s="376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R437" s="285"/>
      <c r="S437" s="21"/>
      <c r="T437" s="13"/>
      <c r="U437" s="381"/>
      <c r="V437" s="375"/>
      <c r="W437" s="374"/>
      <c r="X437" s="370"/>
      <c r="Y437" s="376"/>
      <c r="Z437" s="371"/>
      <c r="AA437" s="371"/>
      <c r="AB437" s="745"/>
      <c r="AC437" s="372"/>
      <c r="AD437" s="270"/>
      <c r="AE437" s="270"/>
      <c r="AF437" s="270"/>
      <c r="AG437" s="376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R438" s="285"/>
      <c r="S438" s="21"/>
      <c r="T438" s="13"/>
      <c r="U438" s="381"/>
      <c r="V438" s="375"/>
      <c r="W438" s="374"/>
      <c r="X438" s="370"/>
      <c r="Y438" s="376"/>
      <c r="Z438" s="371"/>
      <c r="AA438" s="371"/>
      <c r="AB438" s="745"/>
      <c r="AC438" s="372"/>
      <c r="AD438" s="270"/>
      <c r="AE438" s="270"/>
      <c r="AF438" s="270"/>
      <c r="AG438" s="376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50"/>
      <c r="Q439" s="316"/>
      <c r="R439" s="285"/>
      <c r="S439" s="21"/>
      <c r="T439" s="13"/>
      <c r="U439" s="381"/>
      <c r="V439" s="375"/>
      <c r="W439" s="374"/>
      <c r="X439" s="370"/>
      <c r="Y439" s="376"/>
      <c r="Z439" s="371"/>
      <c r="AA439" s="371"/>
      <c r="AB439" s="745"/>
      <c r="AC439" s="372"/>
      <c r="AD439" s="270"/>
      <c r="AE439" s="270"/>
      <c r="AF439" s="270"/>
      <c r="AG439" s="376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50"/>
      <c r="Q440" s="316"/>
      <c r="R440" s="285"/>
      <c r="S440" s="21"/>
      <c r="T440" s="13"/>
      <c r="U440" s="381"/>
      <c r="V440" s="375"/>
      <c r="W440" s="374"/>
      <c r="X440" s="370"/>
      <c r="Y440" s="376"/>
      <c r="Z440" s="371"/>
      <c r="AA440" s="371"/>
      <c r="AB440" s="745"/>
      <c r="AC440" s="372"/>
      <c r="AD440" s="270"/>
      <c r="AE440" s="270"/>
      <c r="AF440" s="270"/>
      <c r="AG440" s="376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50"/>
      <c r="Q441" s="316"/>
      <c r="R441" s="285"/>
      <c r="S441" s="21"/>
      <c r="T441" s="13"/>
      <c r="U441" s="381"/>
      <c r="V441" s="375"/>
      <c r="W441" s="374"/>
      <c r="X441" s="370"/>
      <c r="Y441" s="376"/>
      <c r="Z441" s="371"/>
      <c r="AA441" s="371"/>
      <c r="AB441" s="745"/>
      <c r="AC441" s="372"/>
      <c r="AD441" s="270"/>
      <c r="AE441" s="270"/>
      <c r="AF441" s="270"/>
      <c r="AG441" s="376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50"/>
      <c r="Q442" s="316"/>
      <c r="R442" s="285"/>
      <c r="S442" s="21"/>
      <c r="T442" s="13"/>
      <c r="U442" s="381"/>
      <c r="V442" s="375"/>
      <c r="W442" s="374"/>
      <c r="X442" s="370"/>
      <c r="Y442" s="376"/>
      <c r="Z442" s="371"/>
      <c r="AA442" s="371"/>
      <c r="AB442" s="745"/>
      <c r="AC442" s="372"/>
      <c r="AD442" s="270"/>
      <c r="AE442" s="270"/>
      <c r="AF442" s="270"/>
      <c r="AG442" s="376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50"/>
      <c r="Q443" s="316"/>
      <c r="R443" s="285"/>
      <c r="S443" s="21"/>
      <c r="T443" s="13"/>
      <c r="U443" s="381"/>
      <c r="V443" s="375"/>
      <c r="W443" s="374"/>
      <c r="X443" s="370"/>
      <c r="Y443" s="376"/>
      <c r="Z443" s="371"/>
      <c r="AA443" s="371"/>
      <c r="AB443" s="745"/>
      <c r="AC443" s="372"/>
      <c r="AD443" s="270"/>
      <c r="AE443" s="270"/>
      <c r="AF443" s="270"/>
      <c r="AG443" s="376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50"/>
      <c r="Q444" s="316"/>
      <c r="R444" s="285"/>
      <c r="S444" s="21"/>
      <c r="T444" s="13"/>
      <c r="U444" s="370"/>
      <c r="V444" s="375"/>
      <c r="W444" s="374"/>
      <c r="X444" s="370"/>
      <c r="Y444" s="376"/>
      <c r="Z444" s="371"/>
      <c r="AA444" s="371"/>
      <c r="AB444" s="745"/>
      <c r="AC444" s="372"/>
      <c r="AD444" s="270"/>
      <c r="AE444" s="270"/>
      <c r="AF444" s="270"/>
      <c r="AG444" s="376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50"/>
      <c r="Q445" s="316"/>
      <c r="R445" s="285"/>
      <c r="S445" s="21"/>
      <c r="T445" s="13"/>
      <c r="U445" s="370"/>
      <c r="V445" s="375"/>
      <c r="W445" s="374"/>
      <c r="X445" s="370"/>
      <c r="Y445" s="376"/>
      <c r="Z445" s="371"/>
      <c r="AA445" s="371"/>
      <c r="AB445" s="745"/>
      <c r="AC445" s="372"/>
      <c r="AD445" s="270"/>
      <c r="AE445" s="270"/>
      <c r="AF445" s="270"/>
      <c r="AG445" s="376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50"/>
      <c r="Q446" s="316"/>
      <c r="R446" s="285"/>
      <c r="S446" s="21"/>
      <c r="T446" s="13"/>
      <c r="U446" s="370"/>
      <c r="V446" s="375"/>
      <c r="W446" s="374"/>
      <c r="X446" s="370"/>
      <c r="Y446" s="376"/>
      <c r="Z446" s="371"/>
      <c r="AA446" s="371"/>
      <c r="AB446" s="745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50"/>
      <c r="Q447" s="316"/>
      <c r="R447" s="285"/>
      <c r="S447" s="21"/>
      <c r="T447" s="13"/>
      <c r="U447" s="370"/>
      <c r="V447" s="375"/>
      <c r="W447" s="374"/>
      <c r="X447" s="370"/>
      <c r="Y447" s="376"/>
      <c r="Z447" s="371"/>
      <c r="AA447" s="371"/>
      <c r="AB447" s="745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50"/>
      <c r="Q448" s="316"/>
      <c r="R448" s="285"/>
      <c r="S448" s="21"/>
      <c r="T448" s="13"/>
      <c r="U448" s="370"/>
      <c r="V448" s="375"/>
      <c r="W448" s="374"/>
      <c r="X448" s="370"/>
      <c r="Y448" s="376"/>
      <c r="Z448" s="371"/>
      <c r="AA448" s="371"/>
      <c r="AB448" s="745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50"/>
      <c r="Q449" s="316"/>
      <c r="R449" s="285"/>
      <c r="S449" s="21"/>
      <c r="T449" s="13"/>
      <c r="U449" s="370"/>
      <c r="V449" s="375"/>
      <c r="W449" s="374"/>
      <c r="X449" s="370"/>
      <c r="Y449" s="376"/>
      <c r="Z449" s="371"/>
      <c r="AA449" s="371"/>
      <c r="AB449" s="745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50"/>
      <c r="Q450" s="316"/>
      <c r="R450" s="285"/>
      <c r="S450" s="21"/>
      <c r="T450" s="13"/>
      <c r="U450" s="422"/>
      <c r="V450" s="375"/>
      <c r="W450" s="374"/>
      <c r="X450" s="370"/>
      <c r="Y450" s="376"/>
      <c r="Z450" s="371"/>
      <c r="AA450" s="371"/>
      <c r="AB450" s="745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50"/>
      <c r="Q451" s="316"/>
      <c r="R451" s="285"/>
      <c r="S451" s="21"/>
      <c r="T451" s="13"/>
      <c r="U451" s="422"/>
      <c r="V451" s="375"/>
      <c r="W451" s="374"/>
      <c r="X451" s="370"/>
      <c r="Y451" s="376"/>
      <c r="Z451" s="371"/>
      <c r="AA451" s="371"/>
      <c r="AB451" s="745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50"/>
      <c r="Q452" s="316"/>
      <c r="R452" s="285"/>
      <c r="S452" s="21"/>
      <c r="T452" s="13"/>
      <c r="U452" s="422"/>
      <c r="V452" s="375"/>
      <c r="W452" s="374"/>
      <c r="X452" s="370"/>
      <c r="Y452" s="376"/>
      <c r="Z452" s="371"/>
      <c r="AA452" s="371"/>
      <c r="AB452" s="745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50"/>
      <c r="Q453" s="316"/>
      <c r="R453" s="285"/>
      <c r="S453" s="21"/>
      <c r="T453" s="13"/>
      <c r="U453" s="422"/>
      <c r="V453" s="375"/>
      <c r="W453" s="374"/>
      <c r="X453" s="370"/>
      <c r="Y453" s="376"/>
      <c r="Z453" s="371"/>
      <c r="AA453" s="371"/>
      <c r="AB453" s="745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50"/>
      <c r="Q454" s="316"/>
      <c r="R454" s="285"/>
      <c r="S454" s="21"/>
      <c r="T454" s="13"/>
      <c r="U454" s="422"/>
      <c r="V454" s="375"/>
      <c r="W454" s="374"/>
      <c r="X454" s="370"/>
      <c r="Y454" s="376"/>
      <c r="Z454" s="371"/>
      <c r="AA454" s="371"/>
      <c r="AB454" s="745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6"/>
      <c r="R455" s="285"/>
      <c r="S455" s="21"/>
      <c r="T455" s="13"/>
      <c r="U455" s="422"/>
      <c r="V455" s="375"/>
      <c r="W455" s="374"/>
      <c r="X455" s="370"/>
      <c r="Y455" s="376"/>
      <c r="Z455" s="371"/>
      <c r="AA455" s="371"/>
      <c r="AB455" s="745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4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50"/>
      <c r="Q456" s="316"/>
      <c r="R456" s="285"/>
      <c r="S456" s="21"/>
      <c r="T456" s="13"/>
      <c r="U456" s="422"/>
      <c r="V456" s="375"/>
      <c r="W456" s="374"/>
      <c r="X456" s="370"/>
      <c r="Y456" s="376"/>
      <c r="Z456" s="371"/>
      <c r="AA456" s="371"/>
      <c r="AB456" s="745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4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6"/>
      <c r="R457" s="285"/>
      <c r="S457" s="21"/>
      <c r="T457" s="13"/>
      <c r="U457" s="422"/>
      <c r="V457" s="375"/>
      <c r="W457" s="374"/>
      <c r="X457" s="370"/>
      <c r="Y457" s="376"/>
      <c r="Z457" s="371"/>
      <c r="AA457" s="371"/>
      <c r="AB457" s="745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4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422"/>
      <c r="V458" s="375"/>
      <c r="W458" s="374"/>
      <c r="X458" s="370"/>
      <c r="Y458" s="376"/>
      <c r="Z458" s="371"/>
      <c r="AA458" s="371"/>
      <c r="AB458" s="745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4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422"/>
      <c r="V459" s="375"/>
      <c r="W459" s="374"/>
      <c r="X459" s="370"/>
      <c r="Y459" s="376"/>
      <c r="Z459" s="371"/>
      <c r="AA459" s="371"/>
      <c r="AB459" s="745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</row>
    <row r="460" spans="1:44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1"/>
      <c r="AC460" s="64"/>
      <c r="AD460" s="50"/>
      <c r="AE460" s="50"/>
      <c r="AF460" s="19"/>
      <c r="AG460" s="376"/>
      <c r="AH460" s="272"/>
      <c r="AI460" s="1"/>
      <c r="AJ460" s="21"/>
      <c r="AK460" s="21"/>
      <c r="AL460" s="21"/>
      <c r="AM460" s="21"/>
      <c r="AN460" s="21"/>
      <c r="AO460" s="21"/>
    </row>
    <row r="461" spans="1:44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1"/>
      <c r="AC461" s="64"/>
      <c r="AD461" s="50"/>
      <c r="AE461" s="50"/>
      <c r="AF461" s="19"/>
      <c r="AG461" s="376"/>
      <c r="AH461" s="272"/>
      <c r="AI461" s="1"/>
      <c r="AJ461" s="21"/>
      <c r="AK461" s="21"/>
      <c r="AL461" s="21"/>
      <c r="AM461" s="21"/>
      <c r="AN461" s="21"/>
      <c r="AO461" s="21"/>
    </row>
    <row r="462" spans="1:44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1"/>
      <c r="AC462" s="64"/>
      <c r="AD462" s="50"/>
      <c r="AE462" s="50"/>
      <c r="AF462" s="19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4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1"/>
      <c r="AC463" s="64"/>
      <c r="AD463" s="50"/>
      <c r="AE463" s="50"/>
      <c r="AF463" s="19"/>
      <c r="AG463" s="376"/>
      <c r="AH463" s="272"/>
      <c r="AI463" s="1"/>
      <c r="AJ463" s="21"/>
      <c r="AK463" s="21"/>
      <c r="AL463" s="21"/>
      <c r="AM463" s="21"/>
      <c r="AN463" s="21"/>
      <c r="AO463" s="21"/>
      <c r="AQ463" s="308"/>
      <c r="AR463" s="308"/>
    </row>
    <row r="464" spans="1:44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1"/>
      <c r="AC464" s="64"/>
      <c r="AD464" s="50"/>
      <c r="AE464" s="50"/>
      <c r="AF464" s="19"/>
      <c r="AG464" s="376"/>
      <c r="AH464" s="272"/>
      <c r="AI464" s="1"/>
      <c r="AJ464" s="21"/>
      <c r="AK464" s="21"/>
      <c r="AL464" s="21"/>
      <c r="AM464" s="21"/>
      <c r="AN464" s="21"/>
      <c r="AO464" s="21"/>
      <c r="AQ464" s="308"/>
      <c r="AR464" s="308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1"/>
      <c r="AC465" s="64"/>
      <c r="AD465" s="50"/>
      <c r="AE465" s="50"/>
      <c r="AF465" s="19"/>
      <c r="AG465" s="376"/>
      <c r="AH465" s="272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1"/>
      <c r="AC466" s="64"/>
      <c r="AD466" s="50"/>
      <c r="AE466" s="50"/>
      <c r="AF466" s="19"/>
      <c r="AG466" s="376"/>
      <c r="AH466" s="272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1"/>
      <c r="AC467" s="64"/>
      <c r="AD467" s="50"/>
      <c r="AE467" s="50"/>
      <c r="AF467" s="19"/>
      <c r="AG467" s="120"/>
      <c r="AH467" s="272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1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1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1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1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1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1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1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1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1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1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1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1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1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1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1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1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1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1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1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1"/>
      <c r="AC533" s="64"/>
      <c r="AD533" s="50"/>
      <c r="AE533" s="50"/>
      <c r="AF533" s="19"/>
      <c r="AG533" s="123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23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C623" s="263"/>
      <c r="D623" s="26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C624" s="263"/>
      <c r="D624" s="26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4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4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4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4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4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4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4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4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  <c r="AQ650" s="21"/>
      <c r="AR650" s="21"/>
    </row>
    <row r="651" spans="1:44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  <c r="AQ651" s="21"/>
      <c r="AR651" s="21"/>
    </row>
    <row r="652" spans="1:44" x14ac:dyDescent="0.2">
      <c r="A652" s="48"/>
      <c r="AP652" s="308"/>
    </row>
    <row r="653" spans="1:44" x14ac:dyDescent="0.2">
      <c r="A653" s="48"/>
      <c r="AP653" s="308"/>
    </row>
    <row r="654" spans="1:44" x14ac:dyDescent="0.2">
      <c r="A654" s="48"/>
      <c r="AP654" s="308"/>
    </row>
    <row r="655" spans="1:44" x14ac:dyDescent="0.2">
      <c r="A655" s="48"/>
      <c r="AP655" s="308"/>
    </row>
    <row r="656" spans="1:44" x14ac:dyDescent="0.2">
      <c r="A656" s="48"/>
      <c r="AP656" s="308"/>
    </row>
    <row r="657" spans="1:44" x14ac:dyDescent="0.2">
      <c r="A657" s="48"/>
      <c r="AP657" s="308"/>
    </row>
    <row r="658" spans="1:44" x14ac:dyDescent="0.2">
      <c r="A658" s="48"/>
      <c r="AP658" s="308"/>
      <c r="AQ658" s="308"/>
      <c r="AR658" s="308"/>
    </row>
    <row r="659" spans="1:44" x14ac:dyDescent="0.2">
      <c r="A659" s="48"/>
      <c r="AP659" s="308"/>
      <c r="AQ659" s="308"/>
      <c r="AR659" s="308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4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4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4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  <c r="AQ685" s="21"/>
      <c r="AR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  <c r="AQ686" s="21"/>
      <c r="AR686" s="21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2" x14ac:dyDescent="0.2">
      <c r="A689" s="48"/>
      <c r="AP689" s="308"/>
    </row>
    <row r="690" spans="1:42" x14ac:dyDescent="0.2">
      <c r="A690" s="48"/>
      <c r="AP690" s="308"/>
    </row>
    <row r="691" spans="1:42" x14ac:dyDescent="0.2">
      <c r="A691" s="48"/>
      <c r="AP691" s="308"/>
    </row>
    <row r="692" spans="1:42" x14ac:dyDescent="0.2">
      <c r="A692" s="48"/>
      <c r="AP692" s="308"/>
    </row>
    <row r="693" spans="1:42" x14ac:dyDescent="0.2">
      <c r="A693" s="48"/>
      <c r="AP693" s="308"/>
    </row>
    <row r="694" spans="1:42" x14ac:dyDescent="0.2">
      <c r="A694" s="48"/>
      <c r="AP694" s="308"/>
    </row>
    <row r="695" spans="1:42" x14ac:dyDescent="0.2">
      <c r="A695" s="48"/>
      <c r="AP695" s="308"/>
    </row>
    <row r="696" spans="1:42" x14ac:dyDescent="0.2">
      <c r="A696" s="48"/>
      <c r="AP696" s="308"/>
    </row>
    <row r="697" spans="1:42" x14ac:dyDescent="0.2">
      <c r="A697" s="48"/>
      <c r="AP697" s="308"/>
    </row>
    <row r="698" spans="1:42" x14ac:dyDescent="0.2">
      <c r="A698" s="48"/>
    </row>
    <row r="699" spans="1:42" x14ac:dyDescent="0.2">
      <c r="A699" s="48"/>
    </row>
    <row r="700" spans="1:42" x14ac:dyDescent="0.2">
      <c r="A700" s="48"/>
    </row>
    <row r="701" spans="1:42" x14ac:dyDescent="0.2">
      <c r="A701" s="48"/>
    </row>
    <row r="702" spans="1:42" x14ac:dyDescent="0.2">
      <c r="A702" s="48"/>
    </row>
    <row r="703" spans="1:42" x14ac:dyDescent="0.2">
      <c r="A703" s="48"/>
    </row>
    <row r="704" spans="1:42" x14ac:dyDescent="0.2">
      <c r="A704" s="48"/>
    </row>
    <row r="705" spans="1:42" x14ac:dyDescent="0.2">
      <c r="A705" s="4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  <c r="AP716" s="308"/>
    </row>
    <row r="717" spans="1:42" x14ac:dyDescent="0.2">
      <c r="A717" s="48"/>
      <c r="AP717" s="308"/>
    </row>
    <row r="718" spans="1:42" x14ac:dyDescent="0.2">
      <c r="A718" s="48"/>
      <c r="AP718" s="308"/>
    </row>
    <row r="719" spans="1:42" x14ac:dyDescent="0.2">
      <c r="A719" s="48"/>
      <c r="AP719" s="308"/>
    </row>
    <row r="720" spans="1:42" x14ac:dyDescent="0.2">
      <c r="A720" s="48"/>
      <c r="AP720" s="308"/>
    </row>
    <row r="721" spans="1:45" x14ac:dyDescent="0.2">
      <c r="A721" s="48"/>
      <c r="AP721" s="308"/>
    </row>
    <row r="722" spans="1:45" x14ac:dyDescent="0.2">
      <c r="A722" s="48"/>
      <c r="AP722" s="308"/>
    </row>
    <row r="723" spans="1:45" x14ac:dyDescent="0.2">
      <c r="A723" s="48"/>
      <c r="AP723" s="308"/>
    </row>
    <row r="724" spans="1:45" x14ac:dyDescent="0.2">
      <c r="A724" s="48"/>
      <c r="AP724" s="308"/>
    </row>
    <row r="725" spans="1:45" x14ac:dyDescent="0.2">
      <c r="A725" s="48"/>
      <c r="AP725" s="308"/>
    </row>
    <row r="726" spans="1:45" x14ac:dyDescent="0.2">
      <c r="A726" s="48"/>
      <c r="AP726" s="308"/>
    </row>
    <row r="727" spans="1:45" x14ac:dyDescent="0.2">
      <c r="A727" s="48"/>
      <c r="AP727" s="308"/>
    </row>
    <row r="728" spans="1:45" x14ac:dyDescent="0.2">
      <c r="A728" s="48"/>
      <c r="AP728" s="308"/>
    </row>
    <row r="729" spans="1:45" x14ac:dyDescent="0.2">
      <c r="A729" s="48"/>
      <c r="AP729" s="308"/>
    </row>
    <row r="730" spans="1:45" x14ac:dyDescent="0.2">
      <c r="A730" s="48"/>
      <c r="AP730" s="308"/>
    </row>
    <row r="731" spans="1:45" x14ac:dyDescent="0.2">
      <c r="A731" s="48"/>
      <c r="AP731" s="308"/>
    </row>
    <row r="732" spans="1:45" x14ac:dyDescent="0.2">
      <c r="A732" s="48"/>
      <c r="AP732" s="308"/>
    </row>
    <row r="733" spans="1:45" x14ac:dyDescent="0.2">
      <c r="A733" s="48"/>
    </row>
    <row r="734" spans="1:45" x14ac:dyDescent="0.2">
      <c r="A734" s="48"/>
    </row>
    <row r="735" spans="1:45" x14ac:dyDescent="0.2">
      <c r="A735" s="48"/>
    </row>
    <row r="736" spans="1:45" s="308" customFormat="1" x14ac:dyDescent="0.2">
      <c r="A736" s="48"/>
      <c r="C736" s="263"/>
      <c r="D736" s="263"/>
      <c r="E736" s="53"/>
      <c r="F736" s="13"/>
      <c r="G736" s="13"/>
      <c r="H736" s="53"/>
      <c r="I736" s="298"/>
      <c r="J736" s="21"/>
      <c r="K736" s="21"/>
      <c r="L736" s="13"/>
      <c r="M736" s="50"/>
      <c r="N736" s="97"/>
      <c r="O736" s="50"/>
      <c r="P736" s="50"/>
      <c r="Q736" s="316"/>
      <c r="R736" s="285"/>
      <c r="S736" s="21"/>
      <c r="T736" s="13"/>
      <c r="U736" s="13"/>
      <c r="V736" s="21"/>
      <c r="W736" s="21"/>
      <c r="X736" s="21"/>
      <c r="Y736" s="260"/>
      <c r="Z736" s="177"/>
      <c r="AA736" s="177"/>
      <c r="AB736" s="61"/>
      <c r="AC736" s="64"/>
      <c r="AD736" s="50"/>
      <c r="AE736" s="50"/>
      <c r="AF736" s="19"/>
      <c r="AG736" s="120"/>
      <c r="AH736" s="119"/>
      <c r="AI736" s="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1:45" s="308" customFormat="1" x14ac:dyDescent="0.2">
      <c r="A737" s="48"/>
      <c r="C737" s="263"/>
      <c r="D737" s="263"/>
      <c r="E737" s="53"/>
      <c r="F737" s="13"/>
      <c r="G737" s="13"/>
      <c r="H737" s="53"/>
      <c r="I737" s="298"/>
      <c r="J737" s="21"/>
      <c r="K737" s="21"/>
      <c r="L737" s="13"/>
      <c r="M737" s="50"/>
      <c r="N737" s="97"/>
      <c r="O737" s="50"/>
      <c r="P737" s="50"/>
      <c r="Q737" s="316"/>
      <c r="R737" s="285"/>
      <c r="S737" s="21"/>
      <c r="T737" s="13"/>
      <c r="U737" s="13"/>
      <c r="V737" s="21"/>
      <c r="W737" s="21"/>
      <c r="X737" s="21"/>
      <c r="Y737" s="260"/>
      <c r="Z737" s="177"/>
      <c r="AA737" s="177"/>
      <c r="AB737" s="61"/>
      <c r="AC737" s="64"/>
      <c r="AD737" s="50"/>
      <c r="AE737" s="50"/>
      <c r="AF737" s="19"/>
      <c r="AG737" s="120"/>
      <c r="AH737" s="119"/>
      <c r="AI737" s="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</sheetData>
  <autoFilter ref="A5:T258">
    <filterColumn colId="3" showButton="0"/>
  </autoFilter>
  <sortState ref="B6:T97">
    <sortCondition ref="C6:C97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8"/>
  <sheetViews>
    <sheetView topLeftCell="R97" workbookViewId="0">
      <selection activeCell="W104" sqref="W104"/>
    </sheetView>
  </sheetViews>
  <sheetFormatPr baseColWidth="10" defaultRowHeight="12.75" outlineLevelCol="1" x14ac:dyDescent="0.2"/>
  <cols>
    <col min="1" max="1" width="6.42578125" style="13" bestFit="1" customWidth="1"/>
    <col min="2" max="2" width="8.1406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9.85546875" style="177" bestFit="1" customWidth="1" outlineLevel="1"/>
    <col min="27" max="27" width="12" style="177" bestFit="1" customWidth="1" outlineLevel="1"/>
    <col min="28" max="28" width="4.4257812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74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74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7372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74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7363</v>
      </c>
      <c r="V4" s="67"/>
      <c r="W4" s="67"/>
      <c r="Y4" s="21"/>
      <c r="Z4" s="260"/>
      <c r="AB4" s="74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310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720" t="s">
        <v>7191</v>
      </c>
      <c r="C6" s="771">
        <v>520109</v>
      </c>
      <c r="D6" s="771">
        <v>2593</v>
      </c>
      <c r="E6" s="771" t="s">
        <v>685</v>
      </c>
      <c r="F6" s="539">
        <v>2018</v>
      </c>
      <c r="G6" s="772">
        <v>43034</v>
      </c>
      <c r="H6" s="771" t="s">
        <v>739</v>
      </c>
      <c r="I6" s="771" t="s">
        <v>6336</v>
      </c>
      <c r="J6" s="712"/>
      <c r="K6" s="771" t="s">
        <v>6475</v>
      </c>
      <c r="L6" s="771" t="s">
        <v>6598</v>
      </c>
      <c r="M6" s="773">
        <v>-395529.4</v>
      </c>
      <c r="N6" s="773">
        <v>-19901.63</v>
      </c>
      <c r="O6" s="773">
        <v>-66468.97</v>
      </c>
      <c r="P6" s="773">
        <v>-481900</v>
      </c>
      <c r="Q6" s="541"/>
      <c r="R6" s="773">
        <v>-342617.49</v>
      </c>
      <c r="S6" s="542">
        <f t="shared" ref="S6:S69" si="0">+P6-R6</f>
        <v>-139282.51</v>
      </c>
      <c r="T6" s="267" t="s">
        <v>1266</v>
      </c>
      <c r="U6" s="621" t="str">
        <f>+B6</f>
        <v>ZA04394</v>
      </c>
      <c r="V6" s="622" t="str">
        <f>+I6</f>
        <v>0050-TCN18</v>
      </c>
      <c r="W6" s="621">
        <f>+C6</f>
        <v>520109</v>
      </c>
      <c r="X6" s="621" t="str">
        <f>+E6</f>
        <v>CAMRY XLE 4 -DOOR</v>
      </c>
      <c r="Y6" s="622">
        <f>+F6</f>
        <v>2018</v>
      </c>
      <c r="Z6" s="623">
        <f>+M6</f>
        <v>-395529.4</v>
      </c>
      <c r="AA6" s="624"/>
      <c r="AB6" s="663"/>
      <c r="AC6" s="624">
        <v>0</v>
      </c>
      <c r="AD6" s="625">
        <v>0</v>
      </c>
      <c r="AE6" s="632">
        <v>0</v>
      </c>
      <c r="AF6" s="632">
        <f>+N6</f>
        <v>-19901.63</v>
      </c>
      <c r="AG6" s="632">
        <f>+N6-AF6</f>
        <v>0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721" t="s">
        <v>7194</v>
      </c>
      <c r="C7" s="771">
        <v>520115</v>
      </c>
      <c r="D7" s="771">
        <v>2594</v>
      </c>
      <c r="E7" s="771" t="s">
        <v>720</v>
      </c>
      <c r="F7" s="546">
        <v>2018</v>
      </c>
      <c r="G7" s="772">
        <v>43033</v>
      </c>
      <c r="H7" s="771" t="s">
        <v>819</v>
      </c>
      <c r="I7" s="771" t="s">
        <v>6835</v>
      </c>
      <c r="J7" s="712"/>
      <c r="K7" s="771" t="s">
        <v>6837</v>
      </c>
      <c r="L7" s="771" t="s">
        <v>6836</v>
      </c>
      <c r="M7" s="773">
        <v>403850.23999999999</v>
      </c>
      <c r="N7" s="773">
        <v>21149.759999999998</v>
      </c>
      <c r="O7" s="773">
        <v>68000</v>
      </c>
      <c r="P7" s="773">
        <v>493000</v>
      </c>
      <c r="Q7" s="548"/>
      <c r="R7" s="773">
        <v>360668.33</v>
      </c>
      <c r="S7" s="549">
        <f t="shared" si="0"/>
        <v>132331.66999999998</v>
      </c>
      <c r="T7" s="267" t="s">
        <v>1932</v>
      </c>
      <c r="U7" s="626" t="str">
        <f t="shared" ref="U7:U70" si="1">+B7</f>
        <v>AA12145</v>
      </c>
      <c r="V7" s="627" t="str">
        <f t="shared" ref="V7:V70" si="2">+I7</f>
        <v>0046-TCN18</v>
      </c>
      <c r="W7" s="626">
        <f t="shared" ref="W7:W70" si="3">+C7</f>
        <v>520115</v>
      </c>
      <c r="X7" s="626" t="str">
        <f t="shared" ref="X7:Y70" si="4">+E7</f>
        <v>CAMRY XLE</v>
      </c>
      <c r="Y7" s="627">
        <f t="shared" si="4"/>
        <v>2018</v>
      </c>
      <c r="Z7" s="628">
        <f t="shared" ref="Z7:Z70" si="5">+M7</f>
        <v>403850.23999999999</v>
      </c>
      <c r="AA7" s="629"/>
      <c r="AB7" s="664"/>
      <c r="AC7" s="629">
        <f t="shared" ref="AC7" si="6">VLOOKUP(Z7,TARIFA,1)</f>
        <v>344993.21</v>
      </c>
      <c r="AD7" s="630">
        <f t="shared" ref="AD7" si="7">VLOOKUP(Z7,TARIFA,4)</f>
        <v>0.15</v>
      </c>
      <c r="AE7" s="555">
        <f t="shared" ref="AE7" si="8">VLOOKUP(Z7,TARIFA,3)</f>
        <v>12321.2</v>
      </c>
      <c r="AF7" s="555">
        <f t="shared" ref="AF7" si="9">IF(Z7&lt;281240.78,(((Z7-AC7)*AD7+AE7)/2),(Z7-AC7)*AD7+AE7)</f>
        <v>21149.754499999995</v>
      </c>
      <c r="AG7" s="555">
        <f t="shared" ref="AG7:AG70" si="10">+N7-AF7</f>
        <v>5.5000000029394869E-3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721" t="s">
        <v>7126</v>
      </c>
      <c r="C8" s="771">
        <v>520220</v>
      </c>
      <c r="D8" s="771">
        <v>1794</v>
      </c>
      <c r="E8" s="771" t="s">
        <v>687</v>
      </c>
      <c r="F8" s="546">
        <v>2017</v>
      </c>
      <c r="G8" s="772">
        <v>43013</v>
      </c>
      <c r="H8" s="771" t="s">
        <v>817</v>
      </c>
      <c r="I8" s="771" t="s">
        <v>1546</v>
      </c>
      <c r="J8" s="712"/>
      <c r="K8" s="771" t="s">
        <v>6736</v>
      </c>
      <c r="L8" s="771" t="s">
        <v>1808</v>
      </c>
      <c r="M8" s="773">
        <v>251713.88</v>
      </c>
      <c r="N8" s="773">
        <v>2596.46</v>
      </c>
      <c r="O8" s="773">
        <v>40689.660000000003</v>
      </c>
      <c r="P8" s="773">
        <v>295000</v>
      </c>
      <c r="Q8" s="548"/>
      <c r="R8" s="773">
        <v>230475.74</v>
      </c>
      <c r="S8" s="549">
        <f t="shared" si="0"/>
        <v>64524.260000000009</v>
      </c>
      <c r="T8" s="113" t="s">
        <v>1932</v>
      </c>
      <c r="U8" s="626" t="str">
        <f t="shared" si="1"/>
        <v>AA12031</v>
      </c>
      <c r="V8" s="627" t="str">
        <f t="shared" si="2"/>
        <v>0771-TCN17</v>
      </c>
      <c r="W8" s="626">
        <f t="shared" si="3"/>
        <v>520220</v>
      </c>
      <c r="X8" s="626" t="str">
        <f t="shared" si="4"/>
        <v>COROLLA LE AT</v>
      </c>
      <c r="Y8" s="627">
        <f t="shared" si="4"/>
        <v>2017</v>
      </c>
      <c r="Z8" s="628">
        <f t="shared" si="5"/>
        <v>251713.88</v>
      </c>
      <c r="AA8" s="629"/>
      <c r="AB8" s="664"/>
      <c r="AC8" s="629">
        <f t="shared" ref="AC8:AC69" si="12">VLOOKUP(Z8,TARIFA,1)</f>
        <v>246423.66</v>
      </c>
      <c r="AD8" s="630">
        <f t="shared" ref="AD8:AD69" si="13">VLOOKUP(Z8,TARIFA,4)</f>
        <v>0.05</v>
      </c>
      <c r="AE8" s="555">
        <f t="shared" ref="AE8:AE69" si="14">VLOOKUP(Z8,TARIFA,3)</f>
        <v>4928.3900000000003</v>
      </c>
      <c r="AF8" s="555">
        <f t="shared" ref="AF8:AF24" si="15">IF(Z8&lt;281240.78,(((Z8-AC8)*AD8+AE8)/2),(Z8-AC8)*AD8+AE8)</f>
        <v>2596.4505000000004</v>
      </c>
      <c r="AG8" s="555">
        <f t="shared" si="10"/>
        <v>9.499999999661668E-3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721" t="s">
        <v>7130</v>
      </c>
      <c r="C9" s="771">
        <v>520220</v>
      </c>
      <c r="D9" s="771">
        <v>1794</v>
      </c>
      <c r="E9" s="771" t="s">
        <v>687</v>
      </c>
      <c r="F9" s="546">
        <v>2017</v>
      </c>
      <c r="G9" s="772">
        <v>43034</v>
      </c>
      <c r="H9" s="771" t="s">
        <v>4285</v>
      </c>
      <c r="I9" s="771" t="s">
        <v>6740</v>
      </c>
      <c r="J9" s="712"/>
      <c r="K9" s="771" t="s">
        <v>6743</v>
      </c>
      <c r="L9" s="771" t="s">
        <v>6741</v>
      </c>
      <c r="M9" s="773">
        <v>256171.42</v>
      </c>
      <c r="N9" s="773">
        <v>2707.89</v>
      </c>
      <c r="O9" s="773">
        <v>41420.69</v>
      </c>
      <c r="P9" s="773">
        <v>300300</v>
      </c>
      <c r="Q9" s="548"/>
      <c r="R9" s="773">
        <v>239904.6</v>
      </c>
      <c r="S9" s="549">
        <f t="shared" si="0"/>
        <v>60395.399999999994</v>
      </c>
      <c r="T9" s="113" t="s">
        <v>1932</v>
      </c>
      <c r="U9" s="626" t="str">
        <f t="shared" si="1"/>
        <v>AA12161</v>
      </c>
      <c r="V9" s="627" t="str">
        <f t="shared" si="2"/>
        <v>1291-TCN17</v>
      </c>
      <c r="W9" s="626">
        <f t="shared" si="3"/>
        <v>520220</v>
      </c>
      <c r="X9" s="626" t="str">
        <f t="shared" si="4"/>
        <v>COROLLA LE AT</v>
      </c>
      <c r="Y9" s="627">
        <f t="shared" si="4"/>
        <v>2017</v>
      </c>
      <c r="Z9" s="628">
        <f t="shared" si="5"/>
        <v>256171.42</v>
      </c>
      <c r="AA9" s="629"/>
      <c r="AB9" s="664"/>
      <c r="AC9" s="629">
        <f t="shared" si="12"/>
        <v>246423.66</v>
      </c>
      <c r="AD9" s="630">
        <f t="shared" si="13"/>
        <v>0.05</v>
      </c>
      <c r="AE9" s="555">
        <f t="shared" si="14"/>
        <v>4928.3900000000003</v>
      </c>
      <c r="AF9" s="555">
        <f t="shared" si="15"/>
        <v>2707.8890000000006</v>
      </c>
      <c r="AG9" s="555">
        <f t="shared" si="10"/>
        <v>9.9999999929423211E-4</v>
      </c>
      <c r="AH9" s="361"/>
      <c r="AI9" s="313"/>
    </row>
    <row r="10" spans="1:45" s="291" customFormat="1" x14ac:dyDescent="0.2">
      <c r="A10" s="423">
        <f t="shared" si="11"/>
        <v>5</v>
      </c>
      <c r="B10" s="721" t="s">
        <v>7127</v>
      </c>
      <c r="C10" s="771">
        <v>520220</v>
      </c>
      <c r="D10" s="771">
        <v>1794</v>
      </c>
      <c r="E10" s="771" t="s">
        <v>687</v>
      </c>
      <c r="F10" s="546">
        <v>2017</v>
      </c>
      <c r="G10" s="772">
        <v>43020</v>
      </c>
      <c r="H10" s="771" t="s">
        <v>739</v>
      </c>
      <c r="I10" s="771" t="s">
        <v>6737</v>
      </c>
      <c r="J10" s="712"/>
      <c r="K10" s="771" t="s">
        <v>6739</v>
      </c>
      <c r="L10" s="771" t="s">
        <v>6738</v>
      </c>
      <c r="M10" s="773">
        <v>272992.27</v>
      </c>
      <c r="N10" s="773">
        <v>3128.42</v>
      </c>
      <c r="O10" s="773">
        <v>44179.31</v>
      </c>
      <c r="P10" s="773">
        <v>320300</v>
      </c>
      <c r="Q10" s="548"/>
      <c r="R10" s="773">
        <v>240260.25</v>
      </c>
      <c r="S10" s="549">
        <f t="shared" si="0"/>
        <v>80039.75</v>
      </c>
      <c r="T10" s="113" t="s">
        <v>1932</v>
      </c>
      <c r="U10" s="626" t="str">
        <f t="shared" si="1"/>
        <v>AA12059</v>
      </c>
      <c r="V10" s="627" t="str">
        <f t="shared" si="2"/>
        <v>1910-TCN17</v>
      </c>
      <c r="W10" s="626">
        <f t="shared" si="3"/>
        <v>520220</v>
      </c>
      <c r="X10" s="626" t="str">
        <f t="shared" si="4"/>
        <v>COROLLA LE AT</v>
      </c>
      <c r="Y10" s="627">
        <f t="shared" si="4"/>
        <v>2017</v>
      </c>
      <c r="Z10" s="628">
        <f t="shared" si="5"/>
        <v>272992.27</v>
      </c>
      <c r="AA10" s="629"/>
      <c r="AB10" s="664"/>
      <c r="AC10" s="629">
        <f t="shared" si="12"/>
        <v>246423.66</v>
      </c>
      <c r="AD10" s="630">
        <f t="shared" si="13"/>
        <v>0.05</v>
      </c>
      <c r="AE10" s="555">
        <f t="shared" si="14"/>
        <v>4928.3900000000003</v>
      </c>
      <c r="AF10" s="555">
        <f t="shared" si="15"/>
        <v>3128.4102500000008</v>
      </c>
      <c r="AG10" s="555">
        <f t="shared" si="10"/>
        <v>9.7499999992578523E-3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721" t="s">
        <v>7131</v>
      </c>
      <c r="C11" s="771">
        <v>520220</v>
      </c>
      <c r="D11" s="771">
        <v>1794</v>
      </c>
      <c r="E11" s="771" t="s">
        <v>687</v>
      </c>
      <c r="F11" s="546">
        <v>2017</v>
      </c>
      <c r="G11" s="772">
        <v>43034</v>
      </c>
      <c r="H11" s="771" t="s">
        <v>774</v>
      </c>
      <c r="I11" s="771" t="s">
        <v>6744</v>
      </c>
      <c r="J11" s="712"/>
      <c r="K11" s="771" t="s">
        <v>6746</v>
      </c>
      <c r="L11" s="771" t="s">
        <v>6745</v>
      </c>
      <c r="M11" s="773">
        <v>256171.42</v>
      </c>
      <c r="N11" s="773">
        <v>2707.89</v>
      </c>
      <c r="O11" s="773">
        <v>41420.69</v>
      </c>
      <c r="P11" s="773">
        <v>300300</v>
      </c>
      <c r="Q11" s="548"/>
      <c r="R11" s="773">
        <v>240260.08</v>
      </c>
      <c r="S11" s="549">
        <f t="shared" si="0"/>
        <v>60039.920000000013</v>
      </c>
      <c r="T11" s="113" t="s">
        <v>1932</v>
      </c>
      <c r="U11" s="626" t="str">
        <f t="shared" si="1"/>
        <v>AA12160</v>
      </c>
      <c r="V11" s="627" t="str">
        <f t="shared" si="2"/>
        <v>1929-TCN17</v>
      </c>
      <c r="W11" s="626">
        <f t="shared" si="3"/>
        <v>520220</v>
      </c>
      <c r="X11" s="626" t="str">
        <f t="shared" si="4"/>
        <v>COROLLA LE AT</v>
      </c>
      <c r="Y11" s="627">
        <f t="shared" si="4"/>
        <v>2017</v>
      </c>
      <c r="Z11" s="628">
        <f t="shared" si="5"/>
        <v>256171.42</v>
      </c>
      <c r="AA11" s="629">
        <f>+Z11+Z10+Z9+Z8+Z7+Z6</f>
        <v>1045369.83</v>
      </c>
      <c r="AB11" s="664">
        <v>4</v>
      </c>
      <c r="AC11" s="629">
        <f t="shared" si="12"/>
        <v>246423.66</v>
      </c>
      <c r="AD11" s="630">
        <f t="shared" si="13"/>
        <v>0.05</v>
      </c>
      <c r="AE11" s="555">
        <f t="shared" si="14"/>
        <v>4928.3900000000003</v>
      </c>
      <c r="AF11" s="555">
        <f t="shared" si="15"/>
        <v>2707.8890000000006</v>
      </c>
      <c r="AG11" s="555">
        <f t="shared" si="10"/>
        <v>9.9999999929423211E-4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721" t="s">
        <v>7135</v>
      </c>
      <c r="C12" s="771">
        <v>520223</v>
      </c>
      <c r="D12" s="771">
        <v>1796</v>
      </c>
      <c r="E12" s="771" t="s">
        <v>689</v>
      </c>
      <c r="F12" s="546">
        <v>2017</v>
      </c>
      <c r="G12" s="772">
        <v>43035</v>
      </c>
      <c r="H12" s="771" t="s">
        <v>764</v>
      </c>
      <c r="I12" s="771" t="s">
        <v>6752</v>
      </c>
      <c r="J12" s="712"/>
      <c r="K12" s="771" t="s">
        <v>6754</v>
      </c>
      <c r="L12" s="771" t="s">
        <v>6753</v>
      </c>
      <c r="M12" s="773">
        <v>237794.47</v>
      </c>
      <c r="N12" s="773">
        <v>2377.94</v>
      </c>
      <c r="O12" s="773">
        <v>38427.589999999997</v>
      </c>
      <c r="P12" s="773">
        <v>278600</v>
      </c>
      <c r="Q12" s="548"/>
      <c r="R12" s="773">
        <v>223601.53</v>
      </c>
      <c r="S12" s="549">
        <f t="shared" si="0"/>
        <v>54998.47</v>
      </c>
      <c r="T12" s="113" t="s">
        <v>1932</v>
      </c>
      <c r="U12" s="626" t="str">
        <f t="shared" si="1"/>
        <v>AA12170</v>
      </c>
      <c r="V12" s="627" t="str">
        <f t="shared" si="2"/>
        <v>1934-TCN17</v>
      </c>
      <c r="W12" s="626">
        <f t="shared" si="3"/>
        <v>520223</v>
      </c>
      <c r="X12" s="626" t="str">
        <f t="shared" si="4"/>
        <v>COROLLA BASE AT</v>
      </c>
      <c r="Y12" s="627">
        <f t="shared" si="4"/>
        <v>2017</v>
      </c>
      <c r="Z12" s="628">
        <f t="shared" si="5"/>
        <v>237794.47</v>
      </c>
      <c r="AA12" s="629"/>
      <c r="AB12" s="664"/>
      <c r="AC12" s="629">
        <f t="shared" si="12"/>
        <v>0.01</v>
      </c>
      <c r="AD12" s="630">
        <f t="shared" si="13"/>
        <v>0.02</v>
      </c>
      <c r="AE12" s="555">
        <f t="shared" si="14"/>
        <v>0</v>
      </c>
      <c r="AF12" s="555">
        <f t="shared" si="15"/>
        <v>2377.9445999999998</v>
      </c>
      <c r="AG12" s="555">
        <f t="shared" si="10"/>
        <v>-4.5999999997548002E-3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721" t="s">
        <v>7132</v>
      </c>
      <c r="C13" s="771">
        <v>520223</v>
      </c>
      <c r="D13" s="771">
        <v>1796</v>
      </c>
      <c r="E13" s="771" t="s">
        <v>689</v>
      </c>
      <c r="F13" s="546">
        <v>2017</v>
      </c>
      <c r="G13" s="772">
        <v>43010</v>
      </c>
      <c r="H13" s="771" t="s">
        <v>2213</v>
      </c>
      <c r="I13" s="771" t="s">
        <v>6747</v>
      </c>
      <c r="J13" s="712"/>
      <c r="K13" s="771" t="s">
        <v>6749</v>
      </c>
      <c r="L13" s="771" t="s">
        <v>6748</v>
      </c>
      <c r="M13" s="773">
        <v>237794.47</v>
      </c>
      <c r="N13" s="773">
        <v>2377.94</v>
      </c>
      <c r="O13" s="773">
        <v>38427.589999999997</v>
      </c>
      <c r="P13" s="773">
        <v>278600</v>
      </c>
      <c r="Q13" s="548"/>
      <c r="R13" s="773">
        <v>220611.08</v>
      </c>
      <c r="S13" s="549">
        <f t="shared" si="0"/>
        <v>57988.920000000013</v>
      </c>
      <c r="T13" s="113" t="s">
        <v>1932</v>
      </c>
      <c r="U13" s="626" t="str">
        <f t="shared" si="1"/>
        <v>AA11998</v>
      </c>
      <c r="V13" s="627" t="str">
        <f t="shared" si="2"/>
        <v>1858-TCN17</v>
      </c>
      <c r="W13" s="626">
        <f t="shared" si="3"/>
        <v>520223</v>
      </c>
      <c r="X13" s="626" t="str">
        <f t="shared" si="4"/>
        <v>COROLLA BASE AT</v>
      </c>
      <c r="Y13" s="627">
        <f t="shared" si="4"/>
        <v>2017</v>
      </c>
      <c r="Z13" s="628">
        <f t="shared" si="5"/>
        <v>237794.47</v>
      </c>
      <c r="AA13" s="629">
        <f>+Z13+Z12-7467.78</f>
        <v>468121.16</v>
      </c>
      <c r="AB13" s="664">
        <v>2</v>
      </c>
      <c r="AC13" s="629">
        <f t="shared" ref="AC13" si="16">VLOOKUP(Z13,TARIFA,1)</f>
        <v>0.01</v>
      </c>
      <c r="AD13" s="630">
        <f t="shared" ref="AD13" si="17">VLOOKUP(Z13,TARIFA,4)</f>
        <v>0.02</v>
      </c>
      <c r="AE13" s="555">
        <f t="shared" ref="AE13" si="18">VLOOKUP(Z13,TARIFA,3)</f>
        <v>0</v>
      </c>
      <c r="AF13" s="555">
        <f t="shared" ref="AF13" si="19">IF(Z13&lt;281240.78,(((Z13-AC13)*AD13+AE13)/2),(Z13-AC13)*AD13+AE13)</f>
        <v>2377.9445999999998</v>
      </c>
      <c r="AG13" s="555">
        <f t="shared" si="10"/>
        <v>-4.5999999997548002E-3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721" t="s">
        <v>7120</v>
      </c>
      <c r="C14" s="771">
        <v>520224</v>
      </c>
      <c r="D14" s="771">
        <v>1781</v>
      </c>
      <c r="E14" s="771" t="s">
        <v>690</v>
      </c>
      <c r="F14" s="546">
        <v>2017</v>
      </c>
      <c r="G14" s="772">
        <v>43034</v>
      </c>
      <c r="H14" s="771" t="s">
        <v>2954</v>
      </c>
      <c r="I14" s="771" t="s">
        <v>6286</v>
      </c>
      <c r="J14" s="712"/>
      <c r="K14" s="771" t="s">
        <v>6443</v>
      </c>
      <c r="L14" s="771" t="s">
        <v>6548</v>
      </c>
      <c r="M14" s="773">
        <v>-266852.65999999997</v>
      </c>
      <c r="N14" s="773">
        <v>-2974.93</v>
      </c>
      <c r="O14" s="773">
        <v>-43172.41</v>
      </c>
      <c r="P14" s="773">
        <v>-313000</v>
      </c>
      <c r="Q14" s="548"/>
      <c r="R14" s="773">
        <v>-247778.87</v>
      </c>
      <c r="S14" s="549">
        <f t="shared" si="0"/>
        <v>-65221.130000000005</v>
      </c>
      <c r="T14" s="267" t="s">
        <v>1266</v>
      </c>
      <c r="U14" s="626" t="str">
        <f t="shared" si="1"/>
        <v>ZA04395</v>
      </c>
      <c r="V14" s="627" t="str">
        <f t="shared" si="2"/>
        <v>1628-TCN17</v>
      </c>
      <c r="W14" s="626">
        <f t="shared" si="3"/>
        <v>520224</v>
      </c>
      <c r="X14" s="626" t="str">
        <f t="shared" si="4"/>
        <v>COROLLA SE MT</v>
      </c>
      <c r="Y14" s="627">
        <f t="shared" si="4"/>
        <v>2017</v>
      </c>
      <c r="Z14" s="628">
        <f t="shared" si="5"/>
        <v>-266852.65999999997</v>
      </c>
      <c r="AA14" s="629"/>
      <c r="AB14" s="664"/>
      <c r="AC14" s="629"/>
      <c r="AD14" s="630"/>
      <c r="AE14" s="555"/>
      <c r="AF14" s="555">
        <f>+N14</f>
        <v>-2974.93</v>
      </c>
      <c r="AG14" s="555">
        <f t="shared" si="10"/>
        <v>0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721" t="s">
        <v>7119</v>
      </c>
      <c r="C15" s="771">
        <v>520232</v>
      </c>
      <c r="D15" s="771">
        <v>1781</v>
      </c>
      <c r="E15" s="771" t="s">
        <v>690</v>
      </c>
      <c r="F15" s="546">
        <v>2018</v>
      </c>
      <c r="G15" s="772">
        <v>43025</v>
      </c>
      <c r="H15" s="771" t="s">
        <v>4285</v>
      </c>
      <c r="I15" s="771" t="s">
        <v>6730</v>
      </c>
      <c r="J15" s="712"/>
      <c r="K15" s="771" t="s">
        <v>6732</v>
      </c>
      <c r="L15" s="771" t="s">
        <v>6731</v>
      </c>
      <c r="M15" s="773">
        <v>259385.88</v>
      </c>
      <c r="N15" s="773">
        <v>2788.26</v>
      </c>
      <c r="O15" s="773">
        <v>41947.86</v>
      </c>
      <c r="P15" s="773">
        <v>304122</v>
      </c>
      <c r="Q15" s="548"/>
      <c r="R15" s="773">
        <v>250328.62</v>
      </c>
      <c r="S15" s="549">
        <f t="shared" si="0"/>
        <v>53793.380000000005</v>
      </c>
      <c r="T15" s="113" t="s">
        <v>1932</v>
      </c>
      <c r="U15" s="626" t="str">
        <f t="shared" si="1"/>
        <v>AA12092</v>
      </c>
      <c r="V15" s="627" t="str">
        <f t="shared" si="2"/>
        <v>0080-TCN18</v>
      </c>
      <c r="W15" s="626">
        <f t="shared" si="3"/>
        <v>520232</v>
      </c>
      <c r="X15" s="626" t="str">
        <f t="shared" si="4"/>
        <v>COROLLA SE MT</v>
      </c>
      <c r="Y15" s="627">
        <f t="shared" si="4"/>
        <v>2018</v>
      </c>
      <c r="Z15" s="628">
        <f t="shared" si="5"/>
        <v>259385.88</v>
      </c>
      <c r="AA15" s="555"/>
      <c r="AB15" s="664"/>
      <c r="AC15" s="629">
        <f t="shared" ref="AC15" si="20">VLOOKUP(Z15,TARIFA,1)</f>
        <v>246423.66</v>
      </c>
      <c r="AD15" s="630">
        <f t="shared" ref="AD15" si="21">VLOOKUP(Z15,TARIFA,4)</f>
        <v>0.05</v>
      </c>
      <c r="AE15" s="555">
        <f t="shared" ref="AE15" si="22">VLOOKUP(Z15,TARIFA,3)</f>
        <v>4928.3900000000003</v>
      </c>
      <c r="AF15" s="555">
        <f t="shared" ref="AF15" si="23">IF(Z15&lt;281240.78,(((Z15-AC15)*AD15+AE15)/2),(Z15-AC15)*AD15+AE15)</f>
        <v>2788.2505000000001</v>
      </c>
      <c r="AG15" s="555">
        <f t="shared" si="10"/>
        <v>9.5000000001164153E-3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721" t="s">
        <v>7233</v>
      </c>
      <c r="C16" s="771">
        <v>520504</v>
      </c>
      <c r="D16" s="771">
        <v>5396</v>
      </c>
      <c r="E16" s="771" t="s">
        <v>132</v>
      </c>
      <c r="F16" s="546">
        <v>2017</v>
      </c>
      <c r="G16" s="772">
        <v>43036</v>
      </c>
      <c r="H16" s="771" t="s">
        <v>5623</v>
      </c>
      <c r="I16" s="771" t="s">
        <v>6883</v>
      </c>
      <c r="J16" s="712"/>
      <c r="K16" s="771" t="s">
        <v>6885</v>
      </c>
      <c r="L16" s="771" t="s">
        <v>6884</v>
      </c>
      <c r="M16" s="773">
        <v>459200.49</v>
      </c>
      <c r="N16" s="773">
        <v>29765.03</v>
      </c>
      <c r="O16" s="773">
        <v>78234.48</v>
      </c>
      <c r="P16" s="773">
        <v>567200</v>
      </c>
      <c r="Q16" s="548"/>
      <c r="R16" s="773">
        <v>426248.19</v>
      </c>
      <c r="S16" s="549">
        <f t="shared" si="0"/>
        <v>140951.81</v>
      </c>
      <c r="T16" s="113" t="s">
        <v>1932</v>
      </c>
      <c r="U16" s="626" t="str">
        <f t="shared" si="1"/>
        <v>AA12175</v>
      </c>
      <c r="V16" s="627" t="str">
        <f t="shared" si="2"/>
        <v>1936-TCN17</v>
      </c>
      <c r="W16" s="626">
        <f t="shared" si="3"/>
        <v>520504</v>
      </c>
      <c r="X16" s="626" t="str">
        <f t="shared" si="4"/>
        <v>SIENNA XLE</v>
      </c>
      <c r="Y16" s="627">
        <f t="shared" si="4"/>
        <v>2017</v>
      </c>
      <c r="Z16" s="628">
        <f t="shared" si="5"/>
        <v>459200.49</v>
      </c>
      <c r="AA16" s="629">
        <f>+Z16</f>
        <v>459200.49</v>
      </c>
      <c r="AB16" s="664">
        <v>1</v>
      </c>
      <c r="AC16" s="629">
        <f t="shared" si="12"/>
        <v>443562.4</v>
      </c>
      <c r="AD16" s="630">
        <f t="shared" si="13"/>
        <v>0.17</v>
      </c>
      <c r="AE16" s="555">
        <f t="shared" si="14"/>
        <v>27106.55</v>
      </c>
      <c r="AF16" s="555">
        <f t="shared" si="15"/>
        <v>29765.025299999994</v>
      </c>
      <c r="AG16" s="555">
        <f t="shared" si="10"/>
        <v>4.7000000049592927E-3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721" t="s">
        <v>7224</v>
      </c>
      <c r="C17" s="771">
        <v>520512</v>
      </c>
      <c r="D17" s="771">
        <v>5394</v>
      </c>
      <c r="E17" s="771" t="s">
        <v>223</v>
      </c>
      <c r="F17" s="546">
        <v>2017</v>
      </c>
      <c r="G17" s="772">
        <v>43025</v>
      </c>
      <c r="H17" s="771" t="s">
        <v>792</v>
      </c>
      <c r="I17" s="771" t="s">
        <v>6866</v>
      </c>
      <c r="J17" s="712"/>
      <c r="K17" s="771" t="s">
        <v>6868</v>
      </c>
      <c r="L17" s="771" t="s">
        <v>6867</v>
      </c>
      <c r="M17" s="773">
        <v>442380.98</v>
      </c>
      <c r="N17" s="773">
        <v>26929.360000000001</v>
      </c>
      <c r="O17" s="773">
        <v>75089.66</v>
      </c>
      <c r="P17" s="773">
        <v>544400</v>
      </c>
      <c r="Q17" s="548"/>
      <c r="R17" s="773">
        <v>392350.54</v>
      </c>
      <c r="S17" s="549">
        <f t="shared" si="0"/>
        <v>152049.46000000002</v>
      </c>
      <c r="T17" s="267" t="s">
        <v>1932</v>
      </c>
      <c r="U17" s="626" t="str">
        <f t="shared" si="1"/>
        <v>AA12091</v>
      </c>
      <c r="V17" s="627" t="str">
        <f t="shared" si="2"/>
        <v>1866-TCN17</v>
      </c>
      <c r="W17" s="626">
        <f t="shared" si="3"/>
        <v>520512</v>
      </c>
      <c r="X17" s="626" t="str">
        <f t="shared" si="4"/>
        <v>SIENNA LE</v>
      </c>
      <c r="Y17" s="627">
        <f t="shared" si="4"/>
        <v>2017</v>
      </c>
      <c r="Z17" s="628">
        <f t="shared" si="5"/>
        <v>442380.98</v>
      </c>
      <c r="AA17" s="629">
        <f>+Z17</f>
        <v>442380.98</v>
      </c>
      <c r="AB17" s="664">
        <v>1</v>
      </c>
      <c r="AC17" s="629">
        <f t="shared" si="12"/>
        <v>344993.21</v>
      </c>
      <c r="AD17" s="630">
        <f t="shared" si="13"/>
        <v>0.15</v>
      </c>
      <c r="AE17" s="555">
        <f t="shared" si="14"/>
        <v>12321.2</v>
      </c>
      <c r="AF17" s="555">
        <f>+N17</f>
        <v>26929.360000000001</v>
      </c>
      <c r="AG17" s="555">
        <f t="shared" si="10"/>
        <v>0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721" t="s">
        <v>7228</v>
      </c>
      <c r="C18" s="771">
        <v>520513</v>
      </c>
      <c r="D18" s="771">
        <v>5396</v>
      </c>
      <c r="E18" s="771" t="s">
        <v>132</v>
      </c>
      <c r="F18" s="546">
        <v>2017</v>
      </c>
      <c r="G18" s="772">
        <v>43033</v>
      </c>
      <c r="H18" s="771" t="s">
        <v>2216</v>
      </c>
      <c r="I18" s="771" t="s">
        <v>6874</v>
      </c>
      <c r="J18" s="712"/>
      <c r="K18" s="771" t="s">
        <v>6876</v>
      </c>
      <c r="L18" s="771" t="s">
        <v>6875</v>
      </c>
      <c r="M18" s="773">
        <v>459200.49</v>
      </c>
      <c r="N18" s="773">
        <v>29765.03</v>
      </c>
      <c r="O18" s="773">
        <v>78234.48</v>
      </c>
      <c r="P18" s="773">
        <v>567200</v>
      </c>
      <c r="Q18" s="548"/>
      <c r="R18" s="773">
        <v>426602.67</v>
      </c>
      <c r="S18" s="549">
        <f t="shared" si="0"/>
        <v>140597.33000000002</v>
      </c>
      <c r="T18" s="113" t="s">
        <v>1932</v>
      </c>
      <c r="U18" s="626" t="str">
        <f t="shared" si="1"/>
        <v>AA12151</v>
      </c>
      <c r="V18" s="627" t="str">
        <f t="shared" si="2"/>
        <v>1927-TCN17</v>
      </c>
      <c r="W18" s="626">
        <f t="shared" si="3"/>
        <v>520513</v>
      </c>
      <c r="X18" s="626" t="str">
        <f t="shared" si="4"/>
        <v>SIENNA XLE</v>
      </c>
      <c r="Y18" s="627">
        <f t="shared" si="4"/>
        <v>2017</v>
      </c>
      <c r="Z18" s="628">
        <f t="shared" si="5"/>
        <v>459200.49</v>
      </c>
      <c r="AA18" s="629"/>
      <c r="AB18" s="664"/>
      <c r="AC18" s="629">
        <f t="shared" si="12"/>
        <v>443562.4</v>
      </c>
      <c r="AD18" s="630">
        <f t="shared" si="13"/>
        <v>0.17</v>
      </c>
      <c r="AE18" s="555">
        <f t="shared" si="14"/>
        <v>27106.55</v>
      </c>
      <c r="AF18" s="555">
        <f t="shared" ref="AF18:AF20" si="24">IF(Z18&lt;281240.78,(((Z18-AC18)*AD18+AE18)/2),(Z18-AC18)*AD18+AE18)</f>
        <v>29765.025299999994</v>
      </c>
      <c r="AG18" s="555">
        <f t="shared" si="10"/>
        <v>4.7000000049592927E-3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721" t="s">
        <v>7231</v>
      </c>
      <c r="C19" s="771">
        <v>520513</v>
      </c>
      <c r="D19" s="771">
        <v>5396</v>
      </c>
      <c r="E19" s="771" t="s">
        <v>132</v>
      </c>
      <c r="F19" s="546">
        <v>2017</v>
      </c>
      <c r="G19" s="772">
        <v>43033</v>
      </c>
      <c r="H19" s="771" t="s">
        <v>6880</v>
      </c>
      <c r="I19" s="771" t="s">
        <v>6877</v>
      </c>
      <c r="J19" s="712"/>
      <c r="K19" s="771" t="s">
        <v>6879</v>
      </c>
      <c r="L19" s="771" t="s">
        <v>6878</v>
      </c>
      <c r="M19" s="773">
        <v>459200.49</v>
      </c>
      <c r="N19" s="773">
        <v>29765.03</v>
      </c>
      <c r="O19" s="773">
        <v>78234.48</v>
      </c>
      <c r="P19" s="773">
        <v>567200</v>
      </c>
      <c r="Q19" s="548"/>
      <c r="R19" s="773">
        <v>426603.83</v>
      </c>
      <c r="S19" s="549">
        <f t="shared" si="0"/>
        <v>140596.16999999998</v>
      </c>
      <c r="T19" s="113" t="s">
        <v>1932</v>
      </c>
      <c r="U19" s="626" t="str">
        <f t="shared" si="1"/>
        <v>AA12150</v>
      </c>
      <c r="V19" s="627" t="str">
        <f t="shared" si="2"/>
        <v>1928-TCN17</v>
      </c>
      <c r="W19" s="626">
        <f t="shared" si="3"/>
        <v>520513</v>
      </c>
      <c r="X19" s="626" t="str">
        <f t="shared" si="4"/>
        <v>SIENNA XLE</v>
      </c>
      <c r="Y19" s="627">
        <f t="shared" si="4"/>
        <v>2017</v>
      </c>
      <c r="Z19" s="628">
        <f t="shared" si="5"/>
        <v>459200.49</v>
      </c>
      <c r="AA19" s="629"/>
      <c r="AB19" s="664"/>
      <c r="AC19" s="629">
        <f t="shared" si="12"/>
        <v>443562.4</v>
      </c>
      <c r="AD19" s="630">
        <f t="shared" si="13"/>
        <v>0.17</v>
      </c>
      <c r="AE19" s="555">
        <f t="shared" si="14"/>
        <v>27106.55</v>
      </c>
      <c r="AF19" s="555">
        <f t="shared" si="24"/>
        <v>29765.025299999994</v>
      </c>
      <c r="AG19" s="555">
        <f t="shared" si="10"/>
        <v>4.7000000049592927E-3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721" t="s">
        <v>7226</v>
      </c>
      <c r="C20" s="771">
        <v>520513</v>
      </c>
      <c r="D20" s="771">
        <v>5396</v>
      </c>
      <c r="E20" s="771" t="s">
        <v>132</v>
      </c>
      <c r="F20" s="546">
        <v>2017</v>
      </c>
      <c r="G20" s="772">
        <v>43010</v>
      </c>
      <c r="H20" s="771" t="s">
        <v>3694</v>
      </c>
      <c r="I20" s="771" t="s">
        <v>6869</v>
      </c>
      <c r="J20" s="712"/>
      <c r="K20" s="771" t="s">
        <v>6871</v>
      </c>
      <c r="L20" s="771" t="s">
        <v>6870</v>
      </c>
      <c r="M20" s="773">
        <v>459200.49</v>
      </c>
      <c r="N20" s="773">
        <v>29765.03</v>
      </c>
      <c r="O20" s="773">
        <v>78234.48</v>
      </c>
      <c r="P20" s="773">
        <v>567200</v>
      </c>
      <c r="Q20" s="548"/>
      <c r="R20" s="773">
        <v>426221.11</v>
      </c>
      <c r="S20" s="549">
        <f t="shared" si="0"/>
        <v>140978.89000000001</v>
      </c>
      <c r="T20" s="113" t="s">
        <v>1932</v>
      </c>
      <c r="U20" s="626" t="str">
        <f t="shared" si="1"/>
        <v>AA12006</v>
      </c>
      <c r="V20" s="627" t="str">
        <f t="shared" si="2"/>
        <v>1587-TCN17</v>
      </c>
      <c r="W20" s="626">
        <f t="shared" si="3"/>
        <v>520513</v>
      </c>
      <c r="X20" s="626" t="str">
        <f t="shared" si="4"/>
        <v>SIENNA XLE</v>
      </c>
      <c r="Y20" s="627">
        <f t="shared" si="4"/>
        <v>2017</v>
      </c>
      <c r="Z20" s="628">
        <f t="shared" si="5"/>
        <v>459200.49</v>
      </c>
      <c r="AA20" s="629">
        <f>+Z20+Z19+Z18</f>
        <v>1377601.47</v>
      </c>
      <c r="AB20" s="664">
        <v>3</v>
      </c>
      <c r="AC20" s="629">
        <f t="shared" si="12"/>
        <v>443562.4</v>
      </c>
      <c r="AD20" s="630">
        <f t="shared" si="13"/>
        <v>0.17</v>
      </c>
      <c r="AE20" s="555">
        <f t="shared" si="14"/>
        <v>27106.55</v>
      </c>
      <c r="AF20" s="555">
        <f t="shared" si="24"/>
        <v>29765.025299999994</v>
      </c>
      <c r="AG20" s="555">
        <f t="shared" si="10"/>
        <v>4.7000000049592927E-3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721" t="s">
        <v>7235</v>
      </c>
      <c r="C21" s="771">
        <v>520514</v>
      </c>
      <c r="D21" s="771">
        <v>5398</v>
      </c>
      <c r="E21" s="771" t="s">
        <v>117</v>
      </c>
      <c r="F21" s="546">
        <v>2017</v>
      </c>
      <c r="G21" s="772">
        <v>43025</v>
      </c>
      <c r="H21" s="771" t="s">
        <v>727</v>
      </c>
      <c r="I21" s="771" t="s">
        <v>6888</v>
      </c>
      <c r="J21" s="712"/>
      <c r="K21" s="771" t="s">
        <v>3168</v>
      </c>
      <c r="L21" s="771" t="s">
        <v>6889</v>
      </c>
      <c r="M21" s="773">
        <v>505324.86</v>
      </c>
      <c r="N21" s="773">
        <v>37606.17</v>
      </c>
      <c r="O21" s="773">
        <v>86868.97</v>
      </c>
      <c r="P21" s="773">
        <v>629800</v>
      </c>
      <c r="Q21" s="548"/>
      <c r="R21" s="773">
        <v>467192.12</v>
      </c>
      <c r="S21" s="549">
        <f t="shared" si="0"/>
        <v>162607.88</v>
      </c>
      <c r="T21" s="113" t="s">
        <v>1932</v>
      </c>
      <c r="U21" s="626" t="str">
        <f t="shared" si="1"/>
        <v>AA12097</v>
      </c>
      <c r="V21" s="627" t="str">
        <f t="shared" si="2"/>
        <v>1916-TCN17</v>
      </c>
      <c r="W21" s="626">
        <f t="shared" si="3"/>
        <v>520514</v>
      </c>
      <c r="X21" s="626" t="str">
        <f t="shared" si="4"/>
        <v>SIENNA XLE PIEL</v>
      </c>
      <c r="Y21" s="627">
        <f t="shared" si="4"/>
        <v>2017</v>
      </c>
      <c r="Z21" s="628">
        <f t="shared" si="5"/>
        <v>505324.86</v>
      </c>
      <c r="AA21" s="629"/>
      <c r="AB21" s="664"/>
      <c r="AC21" s="629">
        <f t="shared" si="12"/>
        <v>443562.4</v>
      </c>
      <c r="AD21" s="630">
        <f t="shared" si="13"/>
        <v>0.17</v>
      </c>
      <c r="AE21" s="555">
        <f t="shared" si="14"/>
        <v>27106.55</v>
      </c>
      <c r="AF21" s="555">
        <f t="shared" si="15"/>
        <v>37606.168199999993</v>
      </c>
      <c r="AG21" s="555">
        <f t="shared" si="10"/>
        <v>1.8000000054598786E-3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721" t="s">
        <v>7238</v>
      </c>
      <c r="C22" s="771">
        <v>520514</v>
      </c>
      <c r="D22" s="771">
        <v>5398</v>
      </c>
      <c r="E22" s="771" t="s">
        <v>117</v>
      </c>
      <c r="F22" s="546">
        <v>2017</v>
      </c>
      <c r="G22" s="772">
        <v>43031</v>
      </c>
      <c r="H22" s="771" t="s">
        <v>764</v>
      </c>
      <c r="I22" s="771" t="s">
        <v>6891</v>
      </c>
      <c r="J22" s="712"/>
      <c r="K22" s="771" t="s">
        <v>6893</v>
      </c>
      <c r="L22" s="771" t="s">
        <v>6892</v>
      </c>
      <c r="M22" s="773">
        <v>483367.9</v>
      </c>
      <c r="N22" s="773">
        <v>33873.480000000003</v>
      </c>
      <c r="O22" s="773">
        <v>82758.62</v>
      </c>
      <c r="P22" s="773">
        <v>600000</v>
      </c>
      <c r="Q22" s="548"/>
      <c r="R22" s="773">
        <v>456016.94</v>
      </c>
      <c r="S22" s="549">
        <f t="shared" si="0"/>
        <v>143983.06</v>
      </c>
      <c r="T22" s="113" t="s">
        <v>1932</v>
      </c>
      <c r="U22" s="626" t="str">
        <f t="shared" si="1"/>
        <v>AA12131</v>
      </c>
      <c r="V22" s="627" t="str">
        <f t="shared" si="2"/>
        <v>1116-TCN17</v>
      </c>
      <c r="W22" s="626">
        <f t="shared" si="3"/>
        <v>520514</v>
      </c>
      <c r="X22" s="626" t="str">
        <f t="shared" si="4"/>
        <v>SIENNA XLE PIEL</v>
      </c>
      <c r="Y22" s="627">
        <f t="shared" si="4"/>
        <v>2017</v>
      </c>
      <c r="Z22" s="628">
        <f t="shared" si="5"/>
        <v>483367.9</v>
      </c>
      <c r="AA22" s="629"/>
      <c r="AB22" s="664"/>
      <c r="AC22" s="629">
        <f t="shared" si="12"/>
        <v>443562.4</v>
      </c>
      <c r="AD22" s="630">
        <f t="shared" si="13"/>
        <v>0.17</v>
      </c>
      <c r="AE22" s="555">
        <f t="shared" si="14"/>
        <v>27106.55</v>
      </c>
      <c r="AF22" s="555">
        <f>IF(Z22&lt;281240.78,(((Z22-AC22)*AD22+AE22)/2),(Z22-AC22)*AD22+AE22)</f>
        <v>33873.485000000001</v>
      </c>
      <c r="AG22" s="555">
        <f t="shared" si="10"/>
        <v>-4.9999999973806553E-3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721" t="s">
        <v>7234</v>
      </c>
      <c r="C23" s="771">
        <v>520514</v>
      </c>
      <c r="D23" s="771">
        <v>5398</v>
      </c>
      <c r="E23" s="771" t="s">
        <v>117</v>
      </c>
      <c r="F23" s="546">
        <v>2017</v>
      </c>
      <c r="G23" s="772">
        <v>43024</v>
      </c>
      <c r="H23" s="771" t="s">
        <v>727</v>
      </c>
      <c r="I23" s="771" t="s">
        <v>6886</v>
      </c>
      <c r="J23" s="712"/>
      <c r="K23" s="771" t="s">
        <v>3168</v>
      </c>
      <c r="L23" s="771" t="s">
        <v>6887</v>
      </c>
      <c r="M23" s="773">
        <v>505324.86</v>
      </c>
      <c r="N23" s="773">
        <v>37606.17</v>
      </c>
      <c r="O23" s="773">
        <v>86868.97</v>
      </c>
      <c r="P23" s="773">
        <v>629800</v>
      </c>
      <c r="Q23" s="548"/>
      <c r="R23" s="773">
        <v>466837.64</v>
      </c>
      <c r="S23" s="549">
        <f t="shared" si="0"/>
        <v>162962.35999999999</v>
      </c>
      <c r="T23" s="267" t="s">
        <v>1932</v>
      </c>
      <c r="U23" s="626" t="str">
        <f t="shared" si="1"/>
        <v>AA12080</v>
      </c>
      <c r="V23" s="627" t="str">
        <f t="shared" si="2"/>
        <v>1906-TCN17</v>
      </c>
      <c r="W23" s="626">
        <f t="shared" si="3"/>
        <v>520514</v>
      </c>
      <c r="X23" s="626" t="str">
        <f t="shared" si="4"/>
        <v>SIENNA XLE PIEL</v>
      </c>
      <c r="Y23" s="627">
        <f t="shared" si="4"/>
        <v>2017</v>
      </c>
      <c r="Z23" s="628">
        <f t="shared" si="5"/>
        <v>505324.86</v>
      </c>
      <c r="AA23" s="629">
        <f>+Z23+Z22+Z21</f>
        <v>1494017.62</v>
      </c>
      <c r="AB23" s="664">
        <v>3</v>
      </c>
      <c r="AC23" s="629">
        <f t="shared" si="12"/>
        <v>443562.4</v>
      </c>
      <c r="AD23" s="630">
        <f t="shared" si="13"/>
        <v>0.17</v>
      </c>
      <c r="AE23" s="555">
        <f t="shared" si="14"/>
        <v>27106.55</v>
      </c>
      <c r="AF23" s="555">
        <f>IF(Z23&lt;281240.78,(((Z23-AC23)*AD23+AE23)/2),(Z23-AC23)*AD23+AE23)</f>
        <v>37606.168199999993</v>
      </c>
      <c r="AG23" s="555">
        <f t="shared" si="10"/>
        <v>1.8000000054598786E-3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721" t="s">
        <v>7197</v>
      </c>
      <c r="C24" s="771">
        <v>520815</v>
      </c>
      <c r="D24" s="771">
        <v>4492</v>
      </c>
      <c r="E24" s="771" t="s">
        <v>694</v>
      </c>
      <c r="F24" s="546">
        <v>2017</v>
      </c>
      <c r="G24" s="772">
        <v>43010</v>
      </c>
      <c r="H24" s="771" t="s">
        <v>817</v>
      </c>
      <c r="I24" s="771" t="s">
        <v>6842</v>
      </c>
      <c r="J24" s="712"/>
      <c r="K24" s="771" t="s">
        <v>6844</v>
      </c>
      <c r="L24" s="771" t="s">
        <v>6843</v>
      </c>
      <c r="M24" s="773">
        <v>346054.14</v>
      </c>
      <c r="N24" s="773">
        <v>12480.34</v>
      </c>
      <c r="O24" s="773">
        <v>57365.52</v>
      </c>
      <c r="P24" s="773">
        <v>415900</v>
      </c>
      <c r="Q24" s="548"/>
      <c r="R24" s="773">
        <v>311605.18</v>
      </c>
      <c r="S24" s="549">
        <f t="shared" si="0"/>
        <v>104294.82</v>
      </c>
      <c r="T24" s="113" t="s">
        <v>1932</v>
      </c>
      <c r="U24" s="626" t="str">
        <f t="shared" si="1"/>
        <v>AA12007</v>
      </c>
      <c r="V24" s="627" t="str">
        <f t="shared" si="2"/>
        <v>1692-TCN17</v>
      </c>
      <c r="W24" s="626">
        <f t="shared" si="3"/>
        <v>520815</v>
      </c>
      <c r="X24" s="626" t="str">
        <f t="shared" si="4"/>
        <v>RAV4 L4 AWD XLE</v>
      </c>
      <c r="Y24" s="627">
        <f t="shared" si="4"/>
        <v>2017</v>
      </c>
      <c r="Z24" s="628">
        <f t="shared" si="5"/>
        <v>346054.14</v>
      </c>
      <c r="AA24" s="629"/>
      <c r="AB24" s="664"/>
      <c r="AC24" s="629">
        <f t="shared" si="12"/>
        <v>344993.21</v>
      </c>
      <c r="AD24" s="630">
        <f t="shared" si="13"/>
        <v>0.15</v>
      </c>
      <c r="AE24" s="555">
        <f t="shared" si="14"/>
        <v>12321.2</v>
      </c>
      <c r="AF24" s="555">
        <f t="shared" si="15"/>
        <v>12480.3395</v>
      </c>
      <c r="AG24" s="555">
        <f t="shared" si="10"/>
        <v>5.0000000010186341E-4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721" t="s">
        <v>7200</v>
      </c>
      <c r="C25" s="771">
        <v>520815</v>
      </c>
      <c r="D25" s="771">
        <v>4492</v>
      </c>
      <c r="E25" s="771" t="s">
        <v>694</v>
      </c>
      <c r="F25" s="546">
        <v>2017</v>
      </c>
      <c r="G25" s="772">
        <v>43022</v>
      </c>
      <c r="H25" s="771" t="s">
        <v>819</v>
      </c>
      <c r="I25" s="771" t="s">
        <v>6845</v>
      </c>
      <c r="J25" s="712"/>
      <c r="K25" s="771" t="s">
        <v>830</v>
      </c>
      <c r="L25" s="771" t="s">
        <v>6846</v>
      </c>
      <c r="M25" s="773">
        <v>339484</v>
      </c>
      <c r="N25" s="773">
        <v>11770.31</v>
      </c>
      <c r="O25" s="773">
        <v>56200.69</v>
      </c>
      <c r="P25" s="773">
        <v>407455</v>
      </c>
      <c r="Q25" s="548"/>
      <c r="R25" s="773">
        <v>311605.18</v>
      </c>
      <c r="S25" s="549">
        <f t="shared" si="0"/>
        <v>95849.82</v>
      </c>
      <c r="T25" s="113" t="s">
        <v>1932</v>
      </c>
      <c r="U25" s="626" t="str">
        <f t="shared" si="1"/>
        <v>AA12072</v>
      </c>
      <c r="V25" s="627" t="str">
        <f t="shared" si="2"/>
        <v>1690-TCN17</v>
      </c>
      <c r="W25" s="626">
        <f t="shared" si="3"/>
        <v>520815</v>
      </c>
      <c r="X25" s="626" t="str">
        <f t="shared" si="4"/>
        <v>RAV4 L4 AWD XLE</v>
      </c>
      <c r="Y25" s="627">
        <f t="shared" si="4"/>
        <v>2017</v>
      </c>
      <c r="Z25" s="628">
        <f t="shared" si="5"/>
        <v>339484</v>
      </c>
      <c r="AA25" s="629"/>
      <c r="AB25" s="664"/>
      <c r="AC25" s="629">
        <f>VLOOKUP(Z25,TARIFA,1)</f>
        <v>295708.34000000003</v>
      </c>
      <c r="AD25" s="630">
        <f>VLOOKUP(Z25,TARIFA,4)</f>
        <v>0.1</v>
      </c>
      <c r="AE25" s="555">
        <f>VLOOKUP(Z25,TARIFA,3)</f>
        <v>7392.74</v>
      </c>
      <c r="AF25" s="555">
        <f>IF(Z25&lt;281240.78,(((Z25-AC25)*AD25+AE25)/2),(Z25-AC25)*AD25+AE25)</f>
        <v>11770.305999999997</v>
      </c>
      <c r="AG25" s="555">
        <f>+N25-AF25</f>
        <v>4.0000000026338967E-3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721" t="s">
        <v>7201</v>
      </c>
      <c r="C26" s="771">
        <v>520815</v>
      </c>
      <c r="D26" s="771">
        <v>4492</v>
      </c>
      <c r="E26" s="771" t="s">
        <v>694</v>
      </c>
      <c r="F26" s="546">
        <v>2018</v>
      </c>
      <c r="G26" s="772">
        <v>43033</v>
      </c>
      <c r="H26" s="771" t="s">
        <v>819</v>
      </c>
      <c r="I26" s="771" t="s">
        <v>6847</v>
      </c>
      <c r="J26" s="712"/>
      <c r="K26" s="771" t="s">
        <v>1008</v>
      </c>
      <c r="L26" s="771" t="s">
        <v>6848</v>
      </c>
      <c r="M26" s="773">
        <v>360072.13</v>
      </c>
      <c r="N26" s="773">
        <v>14583.04</v>
      </c>
      <c r="O26" s="773">
        <v>59944.83</v>
      </c>
      <c r="P26" s="773">
        <v>434600</v>
      </c>
      <c r="Q26" s="548"/>
      <c r="R26" s="773">
        <v>315812.58</v>
      </c>
      <c r="S26" s="549">
        <f t="shared" si="0"/>
        <v>118787.41999999998</v>
      </c>
      <c r="T26" s="113" t="s">
        <v>1932</v>
      </c>
      <c r="U26" s="626" t="str">
        <f t="shared" si="1"/>
        <v>AA12147</v>
      </c>
      <c r="V26" s="627" t="str">
        <f t="shared" si="2"/>
        <v>0143-TCN18</v>
      </c>
      <c r="W26" s="626">
        <f t="shared" si="3"/>
        <v>520815</v>
      </c>
      <c r="X26" s="626" t="str">
        <f t="shared" si="4"/>
        <v>RAV4 L4 AWD XLE</v>
      </c>
      <c r="Y26" s="627">
        <f t="shared" si="4"/>
        <v>2018</v>
      </c>
      <c r="Z26" s="628">
        <f t="shared" si="5"/>
        <v>360072.13</v>
      </c>
      <c r="AA26" s="629">
        <f>+Z26+Z25+Z24</f>
        <v>1045610.27</v>
      </c>
      <c r="AB26" s="664">
        <v>3</v>
      </c>
      <c r="AC26" s="629">
        <f t="shared" ref="AC26:AC41" si="25">VLOOKUP(Z26,TARIFA,1)</f>
        <v>344993.21</v>
      </c>
      <c r="AD26" s="630">
        <f t="shared" ref="AD26:AD41" si="26">VLOOKUP(Z26,TARIFA,4)</f>
        <v>0.15</v>
      </c>
      <c r="AE26" s="555">
        <f t="shared" ref="AE26:AE41" si="27">VLOOKUP(Z26,TARIFA,3)</f>
        <v>12321.2</v>
      </c>
      <c r="AF26" s="555">
        <f t="shared" ref="AF26:AF27" si="28">IF(Z26&lt;281240.78,(((Z26-AC26)*AD26+AE26)/2),(Z26-AC26)*AD26+AE26)</f>
        <v>14583.037999999999</v>
      </c>
      <c r="AG26" s="555">
        <f t="shared" ref="AG26:AG29" si="29">+N26-AF26</f>
        <v>2.000000002226443E-3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721" t="s">
        <v>7208</v>
      </c>
      <c r="C27" s="771">
        <v>520816</v>
      </c>
      <c r="D27" s="771">
        <v>4497</v>
      </c>
      <c r="E27" s="771" t="s">
        <v>695</v>
      </c>
      <c r="F27" s="546">
        <v>2017</v>
      </c>
      <c r="G27" s="772">
        <v>43019</v>
      </c>
      <c r="H27" s="771" t="s">
        <v>2214</v>
      </c>
      <c r="I27" s="771" t="s">
        <v>6855</v>
      </c>
      <c r="J27" s="712"/>
      <c r="K27" s="771" t="s">
        <v>6857</v>
      </c>
      <c r="L27" s="771" t="s">
        <v>6856</v>
      </c>
      <c r="M27" s="773">
        <v>419067.64</v>
      </c>
      <c r="N27" s="773">
        <v>23432.36</v>
      </c>
      <c r="O27" s="773">
        <v>70800</v>
      </c>
      <c r="P27" s="773">
        <v>513300</v>
      </c>
      <c r="Q27" s="548"/>
      <c r="R27" s="773">
        <v>376786.75</v>
      </c>
      <c r="S27" s="549">
        <f t="shared" si="0"/>
        <v>136513.25</v>
      </c>
      <c r="T27" s="267" t="s">
        <v>1932</v>
      </c>
      <c r="U27" s="626" t="str">
        <f t="shared" si="1"/>
        <v>AA12055</v>
      </c>
      <c r="V27" s="627" t="str">
        <f t="shared" si="2"/>
        <v>1908-TCN17</v>
      </c>
      <c r="W27" s="626">
        <f t="shared" si="3"/>
        <v>520816</v>
      </c>
      <c r="X27" s="626" t="str">
        <f t="shared" si="4"/>
        <v>RAV4 L4 AWD LIMITED</v>
      </c>
      <c r="Y27" s="627">
        <f t="shared" si="4"/>
        <v>2017</v>
      </c>
      <c r="Z27" s="628">
        <f t="shared" si="5"/>
        <v>419067.64</v>
      </c>
      <c r="AA27" s="629">
        <f>+Z27</f>
        <v>419067.64</v>
      </c>
      <c r="AB27" s="664">
        <v>1</v>
      </c>
      <c r="AC27" s="629">
        <f t="shared" si="25"/>
        <v>344993.21</v>
      </c>
      <c r="AD27" s="630">
        <f t="shared" si="26"/>
        <v>0.15</v>
      </c>
      <c r="AE27" s="555">
        <f t="shared" si="27"/>
        <v>12321.2</v>
      </c>
      <c r="AF27" s="555">
        <f t="shared" si="28"/>
        <v>23432.3645</v>
      </c>
      <c r="AG27" s="555">
        <f t="shared" si="29"/>
        <v>-4.4999999990977813E-3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721" t="s">
        <v>7160</v>
      </c>
      <c r="C28" s="771">
        <v>520908</v>
      </c>
      <c r="D28" s="771">
        <v>2008</v>
      </c>
      <c r="E28" s="771" t="s">
        <v>697</v>
      </c>
      <c r="F28" s="546">
        <v>2017</v>
      </c>
      <c r="G28" s="772">
        <v>43034</v>
      </c>
      <c r="H28" s="771" t="s">
        <v>4285</v>
      </c>
      <c r="I28" s="771" t="s">
        <v>6797</v>
      </c>
      <c r="J28" s="712"/>
      <c r="K28" s="771" t="s">
        <v>6742</v>
      </c>
      <c r="L28" s="771" t="s">
        <v>6798</v>
      </c>
      <c r="M28" s="773">
        <v>203534.48</v>
      </c>
      <c r="N28" s="773">
        <v>0</v>
      </c>
      <c r="O28" s="773">
        <v>32565.52</v>
      </c>
      <c r="P28" s="773">
        <v>236100</v>
      </c>
      <c r="Q28" s="548"/>
      <c r="R28" s="773">
        <v>189108.39</v>
      </c>
      <c r="S28" s="549">
        <f t="shared" si="0"/>
        <v>46991.609999999986</v>
      </c>
      <c r="T28" s="113" t="s">
        <v>1932</v>
      </c>
      <c r="U28" s="626" t="str">
        <f t="shared" si="1"/>
        <v>AA12155</v>
      </c>
      <c r="V28" s="627" t="str">
        <f t="shared" si="2"/>
        <v>1579-TCN17</v>
      </c>
      <c r="W28" s="626">
        <f t="shared" si="3"/>
        <v>520908</v>
      </c>
      <c r="X28" s="626" t="str">
        <f t="shared" si="4"/>
        <v>YARIS HB S MT</v>
      </c>
      <c r="Y28" s="627">
        <f t="shared" si="4"/>
        <v>2017</v>
      </c>
      <c r="Z28" s="628">
        <f t="shared" si="5"/>
        <v>203534.48</v>
      </c>
      <c r="AA28" s="629"/>
      <c r="AB28" s="664"/>
      <c r="AC28" s="629">
        <f>VLOOKUP(Z28,TARIFA,1)</f>
        <v>0.01</v>
      </c>
      <c r="AD28" s="630">
        <f>VLOOKUP(Z28,TARIFA,4)</f>
        <v>0.02</v>
      </c>
      <c r="AE28" s="629">
        <f>VLOOKUP(Z28,TARIFA,3)</f>
        <v>0</v>
      </c>
      <c r="AF28" s="629">
        <f t="shared" ref="AF28:AF34" si="30">+N28</f>
        <v>0</v>
      </c>
      <c r="AG28" s="555">
        <f t="shared" si="29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721" t="s">
        <v>7159</v>
      </c>
      <c r="C29" s="771">
        <v>520908</v>
      </c>
      <c r="D29" s="771">
        <v>2008</v>
      </c>
      <c r="E29" s="771" t="s">
        <v>697</v>
      </c>
      <c r="F29" s="546">
        <v>2017</v>
      </c>
      <c r="G29" s="772">
        <v>43020</v>
      </c>
      <c r="H29" s="771" t="s">
        <v>5621</v>
      </c>
      <c r="I29" s="771" t="s">
        <v>6794</v>
      </c>
      <c r="J29" s="712"/>
      <c r="K29" s="771" t="s">
        <v>6796</v>
      </c>
      <c r="L29" s="771" t="s">
        <v>6795</v>
      </c>
      <c r="M29" s="773">
        <v>203534.48</v>
      </c>
      <c r="N29" s="773">
        <v>0</v>
      </c>
      <c r="O29" s="773">
        <v>32565.52</v>
      </c>
      <c r="P29" s="773">
        <v>236100</v>
      </c>
      <c r="Q29" s="548"/>
      <c r="R29" s="773">
        <v>189107.53</v>
      </c>
      <c r="S29" s="549">
        <f t="shared" si="0"/>
        <v>46992.47</v>
      </c>
      <c r="T29" s="113" t="s">
        <v>1932</v>
      </c>
      <c r="U29" s="626" t="str">
        <f t="shared" si="1"/>
        <v>AA12060</v>
      </c>
      <c r="V29" s="627" t="str">
        <f t="shared" si="2"/>
        <v>1626-TCN17</v>
      </c>
      <c r="W29" s="626">
        <f t="shared" si="3"/>
        <v>520908</v>
      </c>
      <c r="X29" s="626" t="str">
        <f t="shared" si="4"/>
        <v>YARIS HB S MT</v>
      </c>
      <c r="Y29" s="627">
        <f t="shared" si="4"/>
        <v>2017</v>
      </c>
      <c r="Z29" s="628">
        <f t="shared" si="5"/>
        <v>203534.48</v>
      </c>
      <c r="AA29" s="629"/>
      <c r="AB29" s="664"/>
      <c r="AC29" s="629">
        <f>VLOOKUP(Z29,TARIFA,1)</f>
        <v>0.01</v>
      </c>
      <c r="AD29" s="630">
        <f>VLOOKUP(Z29,TARIFA,4)</f>
        <v>0.02</v>
      </c>
      <c r="AE29" s="629">
        <f>VLOOKUP(Z29,TARIFA,3)</f>
        <v>0</v>
      </c>
      <c r="AF29" s="629">
        <f t="shared" si="30"/>
        <v>0</v>
      </c>
      <c r="AG29" s="555">
        <f t="shared" si="29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721" t="s">
        <v>7161</v>
      </c>
      <c r="C30" s="771">
        <v>520908</v>
      </c>
      <c r="D30" s="771">
        <v>2008</v>
      </c>
      <c r="E30" s="771" t="s">
        <v>697</v>
      </c>
      <c r="F30" s="546">
        <v>2017</v>
      </c>
      <c r="G30" s="772">
        <v>43034</v>
      </c>
      <c r="H30" s="771" t="s">
        <v>739</v>
      </c>
      <c r="I30" s="771" t="s">
        <v>6317</v>
      </c>
      <c r="J30" s="712"/>
      <c r="K30" s="771" t="s">
        <v>6799</v>
      </c>
      <c r="L30" s="771" t="s">
        <v>6579</v>
      </c>
      <c r="M30" s="773">
        <v>203534.48</v>
      </c>
      <c r="N30" s="773">
        <v>0</v>
      </c>
      <c r="O30" s="773">
        <v>32565.52</v>
      </c>
      <c r="P30" s="773">
        <v>236100</v>
      </c>
      <c r="Q30" s="548"/>
      <c r="R30" s="773">
        <v>189107.53</v>
      </c>
      <c r="S30" s="549">
        <f t="shared" si="0"/>
        <v>46992.47</v>
      </c>
      <c r="T30" s="113" t="s">
        <v>1932</v>
      </c>
      <c r="U30" s="626" t="str">
        <f t="shared" si="1"/>
        <v>AA12152</v>
      </c>
      <c r="V30" s="627" t="str">
        <f t="shared" si="2"/>
        <v>1640-TCN17</v>
      </c>
      <c r="W30" s="626">
        <f t="shared" si="3"/>
        <v>520908</v>
      </c>
      <c r="X30" s="626" t="str">
        <f t="shared" si="4"/>
        <v>YARIS HB S MT</v>
      </c>
      <c r="Y30" s="627">
        <f t="shared" si="4"/>
        <v>2017</v>
      </c>
      <c r="Z30" s="628">
        <f t="shared" si="5"/>
        <v>203534.48</v>
      </c>
      <c r="AA30" s="629">
        <f>+Z30+Z29+Z28</f>
        <v>610603.44000000006</v>
      </c>
      <c r="AB30" s="763">
        <v>3</v>
      </c>
      <c r="AC30" s="629">
        <f>VLOOKUP(Z30,TARIFA,1)</f>
        <v>0.01</v>
      </c>
      <c r="AD30" s="630">
        <f>VLOOKUP(Z30,TARIFA,4)</f>
        <v>0.02</v>
      </c>
      <c r="AE30" s="629">
        <f>VLOOKUP(Z30,TARIFA,3)</f>
        <v>0</v>
      </c>
      <c r="AF30" s="629">
        <f t="shared" si="30"/>
        <v>0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721" t="s">
        <v>7164</v>
      </c>
      <c r="C31" s="771">
        <v>520909</v>
      </c>
      <c r="D31" s="771">
        <v>2009</v>
      </c>
      <c r="E31" s="771" t="s">
        <v>698</v>
      </c>
      <c r="F31" s="546">
        <v>2017</v>
      </c>
      <c r="G31" s="772">
        <v>43019</v>
      </c>
      <c r="H31" s="771" t="s">
        <v>788</v>
      </c>
      <c r="I31" s="771" t="s">
        <v>6800</v>
      </c>
      <c r="J31" s="712"/>
      <c r="K31" s="771" t="s">
        <v>6802</v>
      </c>
      <c r="L31" s="771" t="s">
        <v>6801</v>
      </c>
      <c r="M31" s="773">
        <v>215431.03</v>
      </c>
      <c r="N31" s="773">
        <v>0</v>
      </c>
      <c r="O31" s="773">
        <v>34468.97</v>
      </c>
      <c r="P31" s="773">
        <v>249900</v>
      </c>
      <c r="Q31" s="548"/>
      <c r="R31" s="773">
        <v>201322.01</v>
      </c>
      <c r="S31" s="549">
        <f t="shared" si="0"/>
        <v>48577.989999999991</v>
      </c>
      <c r="T31" s="113" t="s">
        <v>1932</v>
      </c>
      <c r="U31" s="626" t="str">
        <f t="shared" si="1"/>
        <v>AA12057</v>
      </c>
      <c r="V31" s="627" t="str">
        <f t="shared" si="2"/>
        <v>1743-TCN17</v>
      </c>
      <c r="W31" s="626">
        <f t="shared" si="3"/>
        <v>520909</v>
      </c>
      <c r="X31" s="626" t="str">
        <f t="shared" si="4"/>
        <v>YARIS HB S CVT</v>
      </c>
      <c r="Y31" s="627">
        <f t="shared" si="4"/>
        <v>2017</v>
      </c>
      <c r="Z31" s="628">
        <f t="shared" si="5"/>
        <v>215431.03</v>
      </c>
      <c r="AA31" s="629"/>
      <c r="AB31" s="755"/>
      <c r="AC31" s="629">
        <f>VLOOKUP(Z31,TARIFA,1)</f>
        <v>0.01</v>
      </c>
      <c r="AD31" s="630">
        <f>VLOOKUP(Z31,TARIFA,4)</f>
        <v>0.02</v>
      </c>
      <c r="AE31" s="629">
        <f>VLOOKUP(Z31,TARIFA,3)</f>
        <v>0</v>
      </c>
      <c r="AF31" s="629">
        <f t="shared" si="30"/>
        <v>0</v>
      </c>
      <c r="AG31" s="555">
        <f>+N31-AF31</f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721" t="s">
        <v>7166</v>
      </c>
      <c r="C32" s="771">
        <v>520909</v>
      </c>
      <c r="D32" s="771">
        <v>2009</v>
      </c>
      <c r="E32" s="771" t="s">
        <v>698</v>
      </c>
      <c r="F32" s="546">
        <v>2017</v>
      </c>
      <c r="G32" s="772">
        <v>43034</v>
      </c>
      <c r="H32" s="771" t="s">
        <v>774</v>
      </c>
      <c r="I32" s="771" t="s">
        <v>6805</v>
      </c>
      <c r="J32" s="712"/>
      <c r="K32" s="771" t="s">
        <v>6807</v>
      </c>
      <c r="L32" s="771" t="s">
        <v>6806</v>
      </c>
      <c r="M32" s="773">
        <v>215431.03</v>
      </c>
      <c r="N32" s="773">
        <v>0</v>
      </c>
      <c r="O32" s="773">
        <v>34468.97</v>
      </c>
      <c r="P32" s="773">
        <v>249900</v>
      </c>
      <c r="Q32" s="548"/>
      <c r="R32" s="773">
        <v>201322.01</v>
      </c>
      <c r="S32" s="549">
        <f t="shared" si="0"/>
        <v>48577.989999999991</v>
      </c>
      <c r="T32" s="113" t="s">
        <v>1932</v>
      </c>
      <c r="U32" s="626" t="str">
        <f t="shared" si="1"/>
        <v>AA12159</v>
      </c>
      <c r="V32" s="627" t="str">
        <f t="shared" si="2"/>
        <v>1606-TCN17</v>
      </c>
      <c r="W32" s="626">
        <f t="shared" si="3"/>
        <v>520909</v>
      </c>
      <c r="X32" s="626" t="str">
        <f t="shared" si="4"/>
        <v>YARIS HB S CVT</v>
      </c>
      <c r="Y32" s="627">
        <f t="shared" si="4"/>
        <v>2017</v>
      </c>
      <c r="Z32" s="628">
        <f t="shared" si="5"/>
        <v>215431.03</v>
      </c>
      <c r="AA32" s="629">
        <f>+Z32+Z31</f>
        <v>430862.06</v>
      </c>
      <c r="AB32" s="763">
        <v>2</v>
      </c>
      <c r="AC32" s="629">
        <f>VLOOKUP(Z32,TARIFA,1)</f>
        <v>0.01</v>
      </c>
      <c r="AD32" s="630">
        <f>VLOOKUP(Z32,TARIFA,4)</f>
        <v>0.02</v>
      </c>
      <c r="AE32" s="629">
        <f>VLOOKUP(Z32,TARIFA,3)</f>
        <v>0</v>
      </c>
      <c r="AF32" s="629">
        <f t="shared" si="30"/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721" t="s">
        <v>7104</v>
      </c>
      <c r="C33" s="771">
        <v>521101</v>
      </c>
      <c r="D33" s="771">
        <v>1251</v>
      </c>
      <c r="E33" s="771" t="s">
        <v>700</v>
      </c>
      <c r="F33" s="546">
        <v>2017</v>
      </c>
      <c r="G33" s="772">
        <v>43032</v>
      </c>
      <c r="H33" s="771" t="s">
        <v>5622</v>
      </c>
      <c r="I33" s="771" t="s">
        <v>6282</v>
      </c>
      <c r="J33" s="712"/>
      <c r="K33" s="771" t="s">
        <v>6440</v>
      </c>
      <c r="L33" s="771" t="s">
        <v>6544</v>
      </c>
      <c r="M33" s="773">
        <v>-323620.69</v>
      </c>
      <c r="N33" s="773">
        <v>0</v>
      </c>
      <c r="O33" s="773">
        <v>-51779.31</v>
      </c>
      <c r="P33" s="773">
        <v>-375400</v>
      </c>
      <c r="Q33" s="548"/>
      <c r="R33" s="773">
        <v>-300393</v>
      </c>
      <c r="S33" s="549">
        <f t="shared" si="0"/>
        <v>-75007</v>
      </c>
      <c r="T33" s="267" t="s">
        <v>1266</v>
      </c>
      <c r="U33" s="626" t="str">
        <f t="shared" si="1"/>
        <v>ZA04385</v>
      </c>
      <c r="V33" s="627" t="str">
        <f t="shared" si="2"/>
        <v>1857-TCN17</v>
      </c>
      <c r="W33" s="626">
        <f t="shared" si="3"/>
        <v>521101</v>
      </c>
      <c r="X33" s="626" t="str">
        <f t="shared" si="4"/>
        <v>PRIUS HYBRID BASE</v>
      </c>
      <c r="Y33" s="627">
        <f t="shared" si="4"/>
        <v>2017</v>
      </c>
      <c r="Z33" s="628">
        <f t="shared" si="5"/>
        <v>-323620.69</v>
      </c>
      <c r="AA33" s="629"/>
      <c r="AB33" s="755"/>
      <c r="AC33" s="629" t="e">
        <f t="shared" si="25"/>
        <v>#N/A</v>
      </c>
      <c r="AD33" s="630" t="e">
        <f t="shared" si="26"/>
        <v>#N/A</v>
      </c>
      <c r="AE33" s="555" t="e">
        <f t="shared" si="27"/>
        <v>#N/A</v>
      </c>
      <c r="AF33" s="555">
        <f t="shared" si="30"/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721" t="s">
        <v>7115</v>
      </c>
      <c r="C34" s="771">
        <v>521101</v>
      </c>
      <c r="D34" s="771">
        <v>1253</v>
      </c>
      <c r="E34" s="771" t="s">
        <v>30</v>
      </c>
      <c r="F34" s="546">
        <v>2017</v>
      </c>
      <c r="G34" s="772">
        <v>43032</v>
      </c>
      <c r="H34" s="771" t="s">
        <v>819</v>
      </c>
      <c r="I34" s="771" t="s">
        <v>6725</v>
      </c>
      <c r="J34" s="712"/>
      <c r="K34" s="771" t="s">
        <v>6727</v>
      </c>
      <c r="L34" s="771" t="s">
        <v>6726</v>
      </c>
      <c r="M34" s="773">
        <v>358620.69</v>
      </c>
      <c r="N34" s="773">
        <v>0</v>
      </c>
      <c r="O34" s="773">
        <v>57379.31</v>
      </c>
      <c r="P34" s="773">
        <v>416000</v>
      </c>
      <c r="Q34" s="548"/>
      <c r="R34" s="773">
        <v>344834.35</v>
      </c>
      <c r="S34" s="549">
        <f t="shared" si="0"/>
        <v>71165.650000000023</v>
      </c>
      <c r="T34" s="113" t="s">
        <v>1932</v>
      </c>
      <c r="U34" s="626" t="str">
        <f t="shared" si="1"/>
        <v>AA12135</v>
      </c>
      <c r="V34" s="627" t="str">
        <f t="shared" si="2"/>
        <v>1268-TCN17</v>
      </c>
      <c r="W34" s="626">
        <f t="shared" si="3"/>
        <v>521101</v>
      </c>
      <c r="X34" s="626" t="str">
        <f t="shared" si="4"/>
        <v>PRIUS</v>
      </c>
      <c r="Y34" s="627">
        <f t="shared" si="4"/>
        <v>2017</v>
      </c>
      <c r="Z34" s="628">
        <f t="shared" si="5"/>
        <v>358620.69</v>
      </c>
      <c r="AA34" s="629"/>
      <c r="AB34" s="755"/>
      <c r="AC34" s="629"/>
      <c r="AD34" s="630"/>
      <c r="AE34" s="555"/>
      <c r="AF34" s="555">
        <f t="shared" si="30"/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721" t="s">
        <v>7114</v>
      </c>
      <c r="C35" s="771">
        <v>521101</v>
      </c>
      <c r="D35" s="771">
        <v>1253</v>
      </c>
      <c r="E35" s="771" t="s">
        <v>30</v>
      </c>
      <c r="F35" s="546">
        <v>2017</v>
      </c>
      <c r="G35" s="772">
        <v>43029</v>
      </c>
      <c r="H35" s="771" t="s">
        <v>1211</v>
      </c>
      <c r="I35" s="771" t="s">
        <v>1541</v>
      </c>
      <c r="J35" s="712"/>
      <c r="K35" s="771" t="s">
        <v>6724</v>
      </c>
      <c r="L35" s="771" t="s">
        <v>1803</v>
      </c>
      <c r="M35" s="773">
        <v>349137.93</v>
      </c>
      <c r="N35" s="773">
        <v>0</v>
      </c>
      <c r="O35" s="773">
        <v>55862.07</v>
      </c>
      <c r="P35" s="773">
        <v>405000</v>
      </c>
      <c r="Q35" s="548"/>
      <c r="R35" s="773">
        <v>326020.56</v>
      </c>
      <c r="S35" s="549">
        <f t="shared" si="0"/>
        <v>78979.44</v>
      </c>
      <c r="T35" s="113" t="s">
        <v>1932</v>
      </c>
      <c r="U35" s="626" t="str">
        <f t="shared" si="1"/>
        <v>AA12125</v>
      </c>
      <c r="V35" s="627" t="str">
        <f t="shared" si="2"/>
        <v>0887-TCN17</v>
      </c>
      <c r="W35" s="626">
        <f t="shared" si="3"/>
        <v>521101</v>
      </c>
      <c r="X35" s="626" t="str">
        <f t="shared" si="4"/>
        <v>PRIUS</v>
      </c>
      <c r="Y35" s="627">
        <f t="shared" si="4"/>
        <v>2017</v>
      </c>
      <c r="Z35" s="628">
        <f t="shared" si="5"/>
        <v>349137.93</v>
      </c>
      <c r="AA35" s="629"/>
      <c r="AB35" s="755"/>
      <c r="AC35" s="629">
        <f t="shared" ref="AC35:AC38" si="31">VLOOKUP(Z35,TARIFA,1)</f>
        <v>344993.21</v>
      </c>
      <c r="AD35" s="630">
        <f t="shared" ref="AD35:AD38" si="32">VLOOKUP(Z35,TARIFA,4)</f>
        <v>0.15</v>
      </c>
      <c r="AE35" s="555">
        <f t="shared" ref="AE35:AE38" si="33">VLOOKUP(Z35,TARIFA,3)</f>
        <v>12321.2</v>
      </c>
      <c r="AF35" s="555">
        <f t="shared" ref="AF35:AF38" si="34">+N35</f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721" t="s">
        <v>7103</v>
      </c>
      <c r="C36" s="771">
        <v>521101</v>
      </c>
      <c r="D36" s="771">
        <v>1251</v>
      </c>
      <c r="E36" s="771" t="s">
        <v>700</v>
      </c>
      <c r="F36" s="546">
        <v>2017</v>
      </c>
      <c r="G36" s="772">
        <v>43031</v>
      </c>
      <c r="H36" s="771" t="s">
        <v>727</v>
      </c>
      <c r="I36" s="771" t="s">
        <v>6712</v>
      </c>
      <c r="J36" s="712"/>
      <c r="K36" s="771" t="s">
        <v>6714</v>
      </c>
      <c r="L36" s="771" t="s">
        <v>6713</v>
      </c>
      <c r="M36" s="773">
        <v>323620.69</v>
      </c>
      <c r="N36" s="773">
        <v>0</v>
      </c>
      <c r="O36" s="773">
        <v>51779.31</v>
      </c>
      <c r="P36" s="773">
        <v>375400</v>
      </c>
      <c r="Q36" s="548"/>
      <c r="R36" s="773">
        <v>300393.01</v>
      </c>
      <c r="S36" s="549">
        <f t="shared" si="0"/>
        <v>75006.989999999991</v>
      </c>
      <c r="T36" s="113" t="s">
        <v>1932</v>
      </c>
      <c r="U36" s="626" t="str">
        <f t="shared" si="1"/>
        <v>AA12127</v>
      </c>
      <c r="V36" s="627" t="str">
        <f t="shared" si="2"/>
        <v>1921-TCN17</v>
      </c>
      <c r="W36" s="626">
        <f t="shared" si="3"/>
        <v>521101</v>
      </c>
      <c r="X36" s="626" t="str">
        <f t="shared" si="4"/>
        <v>PRIUS HYBRID BASE</v>
      </c>
      <c r="Y36" s="627">
        <f t="shared" si="4"/>
        <v>2017</v>
      </c>
      <c r="Z36" s="628">
        <f t="shared" si="5"/>
        <v>323620.69</v>
      </c>
      <c r="AA36" s="629"/>
      <c r="AB36" s="755"/>
      <c r="AC36" s="629">
        <f t="shared" si="31"/>
        <v>295708.34000000003</v>
      </c>
      <c r="AD36" s="630">
        <f t="shared" si="32"/>
        <v>0.1</v>
      </c>
      <c r="AE36" s="555">
        <f t="shared" si="33"/>
        <v>7392.74</v>
      </c>
      <c r="AF36" s="555">
        <f t="shared" si="34"/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721" t="s">
        <v>7108</v>
      </c>
      <c r="C37" s="771">
        <v>521101</v>
      </c>
      <c r="D37" s="771">
        <v>1253</v>
      </c>
      <c r="E37" s="771" t="s">
        <v>30</v>
      </c>
      <c r="F37" s="546">
        <v>2017</v>
      </c>
      <c r="G37" s="772">
        <v>43019</v>
      </c>
      <c r="H37" s="771" t="s">
        <v>774</v>
      </c>
      <c r="I37" s="771" t="s">
        <v>6719</v>
      </c>
      <c r="J37" s="712"/>
      <c r="K37" s="771" t="s">
        <v>6721</v>
      </c>
      <c r="L37" s="771" t="s">
        <v>6720</v>
      </c>
      <c r="M37" s="773">
        <v>374137.93</v>
      </c>
      <c r="N37" s="773">
        <v>0</v>
      </c>
      <c r="O37" s="773">
        <v>59862.07</v>
      </c>
      <c r="P37" s="773">
        <v>434000</v>
      </c>
      <c r="Q37" s="548"/>
      <c r="R37" s="773">
        <v>344834.35</v>
      </c>
      <c r="S37" s="549">
        <f t="shared" si="0"/>
        <v>89165.650000000023</v>
      </c>
      <c r="T37" s="113" t="s">
        <v>1932</v>
      </c>
      <c r="U37" s="626" t="str">
        <f t="shared" si="1"/>
        <v>AA12056</v>
      </c>
      <c r="V37" s="627" t="str">
        <f t="shared" si="2"/>
        <v>1770-TCN17</v>
      </c>
      <c r="W37" s="626">
        <f t="shared" si="3"/>
        <v>521101</v>
      </c>
      <c r="X37" s="626" t="str">
        <f t="shared" si="4"/>
        <v>PRIUS</v>
      </c>
      <c r="Y37" s="627">
        <f t="shared" si="4"/>
        <v>2017</v>
      </c>
      <c r="Z37" s="628">
        <f t="shared" si="5"/>
        <v>374137.93</v>
      </c>
      <c r="AA37" s="629"/>
      <c r="AB37" s="755"/>
      <c r="AC37" s="629">
        <f t="shared" si="31"/>
        <v>344993.21</v>
      </c>
      <c r="AD37" s="630">
        <f t="shared" si="32"/>
        <v>0.15</v>
      </c>
      <c r="AE37" s="555">
        <f t="shared" si="33"/>
        <v>12321.2</v>
      </c>
      <c r="AF37" s="555">
        <f t="shared" si="34"/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721" t="s">
        <v>7113</v>
      </c>
      <c r="C38" s="771">
        <v>521101</v>
      </c>
      <c r="D38" s="771">
        <v>1253</v>
      </c>
      <c r="E38" s="771" t="s">
        <v>30</v>
      </c>
      <c r="F38" s="546">
        <v>2017</v>
      </c>
      <c r="G38" s="772">
        <v>43022</v>
      </c>
      <c r="H38" s="771" t="s">
        <v>819</v>
      </c>
      <c r="I38" s="771" t="s">
        <v>6722</v>
      </c>
      <c r="J38" s="712"/>
      <c r="K38" s="771" t="s">
        <v>830</v>
      </c>
      <c r="L38" s="771" t="s">
        <v>6723</v>
      </c>
      <c r="M38" s="773">
        <v>369353.45</v>
      </c>
      <c r="N38" s="773">
        <v>0</v>
      </c>
      <c r="O38" s="773">
        <v>59096.55</v>
      </c>
      <c r="P38" s="773">
        <v>428450</v>
      </c>
      <c r="Q38" s="548"/>
      <c r="R38" s="773">
        <v>344834.35</v>
      </c>
      <c r="S38" s="549">
        <f t="shared" si="0"/>
        <v>83615.650000000023</v>
      </c>
      <c r="T38" s="113" t="s">
        <v>1932</v>
      </c>
      <c r="U38" s="626" t="str">
        <f t="shared" si="1"/>
        <v>AA12073</v>
      </c>
      <c r="V38" s="627" t="str">
        <f t="shared" si="2"/>
        <v>1266-TCN17</v>
      </c>
      <c r="W38" s="626">
        <f t="shared" si="3"/>
        <v>521101</v>
      </c>
      <c r="X38" s="626" t="str">
        <f t="shared" si="4"/>
        <v>PRIUS</v>
      </c>
      <c r="Y38" s="627">
        <f t="shared" si="4"/>
        <v>2017</v>
      </c>
      <c r="Z38" s="628">
        <f t="shared" si="5"/>
        <v>369353.45</v>
      </c>
      <c r="AA38" s="629">
        <f>+SUM(Z33:Z38)</f>
        <v>1451250</v>
      </c>
      <c r="AB38" s="764">
        <v>4</v>
      </c>
      <c r="AC38" s="629">
        <f t="shared" si="31"/>
        <v>344993.21</v>
      </c>
      <c r="AD38" s="630">
        <f t="shared" si="32"/>
        <v>0.15</v>
      </c>
      <c r="AE38" s="555">
        <f t="shared" si="33"/>
        <v>12321.2</v>
      </c>
      <c r="AF38" s="555">
        <f t="shared" si="34"/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721" t="s">
        <v>7140</v>
      </c>
      <c r="C39" s="771">
        <v>521702</v>
      </c>
      <c r="D39" s="771">
        <v>2005</v>
      </c>
      <c r="E39" s="771" t="s">
        <v>701</v>
      </c>
      <c r="F39" s="546">
        <v>2017</v>
      </c>
      <c r="G39" s="772">
        <v>43021</v>
      </c>
      <c r="H39" s="771" t="s">
        <v>792</v>
      </c>
      <c r="I39" s="771" t="s">
        <v>5664</v>
      </c>
      <c r="J39" s="712"/>
      <c r="K39" s="771" t="s">
        <v>5803</v>
      </c>
      <c r="L39" s="771" t="s">
        <v>5913</v>
      </c>
      <c r="M39" s="773">
        <v>-183620.69</v>
      </c>
      <c r="N39" s="773">
        <v>0</v>
      </c>
      <c r="O39" s="773">
        <v>-29379.31</v>
      </c>
      <c r="P39" s="773">
        <v>-213000</v>
      </c>
      <c r="Q39" s="548"/>
      <c r="R39" s="773">
        <v>-166508.04</v>
      </c>
      <c r="S39" s="549">
        <f t="shared" si="0"/>
        <v>-46491.959999999992</v>
      </c>
      <c r="T39" s="113" t="s">
        <v>1266</v>
      </c>
      <c r="U39" s="626" t="str">
        <f t="shared" si="1"/>
        <v>ZA04357</v>
      </c>
      <c r="V39" s="627" t="str">
        <f t="shared" si="2"/>
        <v>1735-TCN17</v>
      </c>
      <c r="W39" s="626">
        <f t="shared" si="3"/>
        <v>521702</v>
      </c>
      <c r="X39" s="626" t="str">
        <f t="shared" si="4"/>
        <v>YARIS CORE MT, SEDAN</v>
      </c>
      <c r="Y39" s="627">
        <f t="shared" si="4"/>
        <v>2017</v>
      </c>
      <c r="Z39" s="628">
        <f t="shared" si="5"/>
        <v>-183620.69</v>
      </c>
      <c r="AA39" s="629"/>
      <c r="AB39" s="755"/>
      <c r="AC39" s="629" t="e">
        <f t="shared" ref="AC39" si="35">VLOOKUP(Z39,TARIFA,1)</f>
        <v>#N/A</v>
      </c>
      <c r="AD39" s="630" t="e">
        <f t="shared" ref="AD39" si="36">VLOOKUP(Z39,TARIFA,4)</f>
        <v>#N/A</v>
      </c>
      <c r="AE39" s="555" t="e">
        <f t="shared" ref="AE39" si="37">VLOOKUP(Z39,TARIFA,3)</f>
        <v>#N/A</v>
      </c>
      <c r="AF39" s="555">
        <f t="shared" ref="AF39" si="38">+N39</f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721" t="s">
        <v>7144</v>
      </c>
      <c r="C40" s="771">
        <v>521702</v>
      </c>
      <c r="D40" s="771">
        <v>2005</v>
      </c>
      <c r="E40" s="771" t="s">
        <v>701</v>
      </c>
      <c r="F40" s="546">
        <v>2017</v>
      </c>
      <c r="G40" s="772">
        <v>43039</v>
      </c>
      <c r="H40" s="771" t="s">
        <v>774</v>
      </c>
      <c r="I40" s="771" t="s">
        <v>5664</v>
      </c>
      <c r="J40" s="712"/>
      <c r="K40" s="771" t="s">
        <v>6768</v>
      </c>
      <c r="L40" s="771" t="s">
        <v>5913</v>
      </c>
      <c r="M40" s="773">
        <v>185344.83</v>
      </c>
      <c r="N40" s="773">
        <v>0</v>
      </c>
      <c r="O40" s="773">
        <v>29655.17</v>
      </c>
      <c r="P40" s="773">
        <v>215000</v>
      </c>
      <c r="Q40" s="548"/>
      <c r="R40" s="773">
        <v>166508.04</v>
      </c>
      <c r="S40" s="549">
        <f t="shared" si="0"/>
        <v>48491.959999999992</v>
      </c>
      <c r="T40" s="113" t="s">
        <v>1932</v>
      </c>
      <c r="U40" s="626" t="str">
        <f t="shared" si="1"/>
        <v>AA12190</v>
      </c>
      <c r="V40" s="627" t="str">
        <f t="shared" si="2"/>
        <v>1735-TCN17</v>
      </c>
      <c r="W40" s="626">
        <f t="shared" si="3"/>
        <v>521702</v>
      </c>
      <c r="X40" s="626" t="str">
        <f t="shared" si="4"/>
        <v>YARIS CORE MT, SEDAN</v>
      </c>
      <c r="Y40" s="627">
        <f t="shared" si="4"/>
        <v>2017</v>
      </c>
      <c r="Z40" s="628">
        <f t="shared" si="5"/>
        <v>185344.83</v>
      </c>
      <c r="AA40" s="629"/>
      <c r="AB40" s="755"/>
      <c r="AC40" s="629">
        <f t="shared" si="25"/>
        <v>0.01</v>
      </c>
      <c r="AD40" s="630">
        <f t="shared" si="26"/>
        <v>0.02</v>
      </c>
      <c r="AE40" s="555">
        <f t="shared" si="27"/>
        <v>0</v>
      </c>
      <c r="AF40" s="555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721" t="s">
        <v>7143</v>
      </c>
      <c r="C41" s="771">
        <v>521702</v>
      </c>
      <c r="D41" s="771">
        <v>2005</v>
      </c>
      <c r="E41" s="771" t="s">
        <v>701</v>
      </c>
      <c r="F41" s="546">
        <v>2017</v>
      </c>
      <c r="G41" s="772">
        <v>43035</v>
      </c>
      <c r="H41" s="771" t="s">
        <v>2215</v>
      </c>
      <c r="I41" s="771" t="s">
        <v>6765</v>
      </c>
      <c r="J41" s="712"/>
      <c r="K41" s="771" t="s">
        <v>6767</v>
      </c>
      <c r="L41" s="771" t="s">
        <v>6766</v>
      </c>
      <c r="M41" s="773">
        <v>185344.83</v>
      </c>
      <c r="N41" s="773">
        <v>0</v>
      </c>
      <c r="O41" s="773">
        <v>29655.17</v>
      </c>
      <c r="P41" s="773">
        <v>215000</v>
      </c>
      <c r="Q41" s="548"/>
      <c r="R41" s="773">
        <v>168114.24</v>
      </c>
      <c r="S41" s="549">
        <f t="shared" si="0"/>
        <v>46885.760000000009</v>
      </c>
      <c r="T41" s="113" t="s">
        <v>1932</v>
      </c>
      <c r="U41" s="626" t="str">
        <f t="shared" si="1"/>
        <v>AA12167</v>
      </c>
      <c r="V41" s="627" t="str">
        <f t="shared" si="2"/>
        <v>1932-TCN17</v>
      </c>
      <c r="W41" s="626">
        <f t="shared" si="3"/>
        <v>521702</v>
      </c>
      <c r="X41" s="626" t="str">
        <f t="shared" si="4"/>
        <v>YARIS CORE MT, SEDAN</v>
      </c>
      <c r="Y41" s="627">
        <f t="shared" si="4"/>
        <v>2017</v>
      </c>
      <c r="Z41" s="628">
        <f t="shared" si="5"/>
        <v>185344.83</v>
      </c>
      <c r="AA41" s="629"/>
      <c r="AB41" s="755"/>
      <c r="AC41" s="629">
        <f t="shared" si="25"/>
        <v>0.01</v>
      </c>
      <c r="AD41" s="630">
        <f t="shared" si="26"/>
        <v>0.02</v>
      </c>
      <c r="AE41" s="629">
        <f t="shared" si="27"/>
        <v>0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721" t="s">
        <v>7141</v>
      </c>
      <c r="C42" s="771">
        <v>521702</v>
      </c>
      <c r="D42" s="771">
        <v>2005</v>
      </c>
      <c r="E42" s="771" t="s">
        <v>701</v>
      </c>
      <c r="F42" s="546">
        <v>2017</v>
      </c>
      <c r="G42" s="772">
        <v>43021</v>
      </c>
      <c r="H42" s="771" t="s">
        <v>792</v>
      </c>
      <c r="I42" s="771" t="s">
        <v>6761</v>
      </c>
      <c r="J42" s="712"/>
      <c r="K42" s="771" t="s">
        <v>5803</v>
      </c>
      <c r="L42" s="771" t="s">
        <v>6762</v>
      </c>
      <c r="M42" s="773">
        <v>183620.69</v>
      </c>
      <c r="N42" s="773">
        <v>0</v>
      </c>
      <c r="O42" s="773">
        <v>29379.31</v>
      </c>
      <c r="P42" s="773">
        <v>213000</v>
      </c>
      <c r="Q42" s="548"/>
      <c r="R42" s="773">
        <v>168469.72</v>
      </c>
      <c r="S42" s="549">
        <f t="shared" si="0"/>
        <v>44530.28</v>
      </c>
      <c r="T42" s="113" t="s">
        <v>1932</v>
      </c>
      <c r="U42" s="626" t="str">
        <f t="shared" si="1"/>
        <v>AA12064</v>
      </c>
      <c r="V42" s="627" t="str">
        <f t="shared" si="2"/>
        <v>1905-TCN17</v>
      </c>
      <c r="W42" s="626">
        <f t="shared" si="3"/>
        <v>521702</v>
      </c>
      <c r="X42" s="626" t="str">
        <f t="shared" si="4"/>
        <v>YARIS CORE MT, SEDAN</v>
      </c>
      <c r="Y42" s="627">
        <f t="shared" si="4"/>
        <v>2017</v>
      </c>
      <c r="Z42" s="628">
        <f t="shared" si="5"/>
        <v>183620.69</v>
      </c>
      <c r="AA42" s="629"/>
      <c r="AB42" s="755"/>
      <c r="AC42" s="629">
        <f t="shared" si="12"/>
        <v>0.01</v>
      </c>
      <c r="AD42" s="630">
        <f t="shared" si="13"/>
        <v>0.02</v>
      </c>
      <c r="AE42" s="555">
        <f t="shared" si="14"/>
        <v>0</v>
      </c>
      <c r="AF42" s="555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721" t="s">
        <v>7138</v>
      </c>
      <c r="C43" s="771">
        <v>521702</v>
      </c>
      <c r="D43" s="771">
        <v>2005</v>
      </c>
      <c r="E43" s="771" t="s">
        <v>701</v>
      </c>
      <c r="F43" s="546">
        <v>2017</v>
      </c>
      <c r="G43" s="772">
        <v>43018</v>
      </c>
      <c r="H43" s="771" t="s">
        <v>2216</v>
      </c>
      <c r="I43" s="771" t="s">
        <v>6756</v>
      </c>
      <c r="J43" s="712"/>
      <c r="K43" s="771" t="s">
        <v>6758</v>
      </c>
      <c r="L43" s="771" t="s">
        <v>6757</v>
      </c>
      <c r="M43" s="773">
        <v>185344.83</v>
      </c>
      <c r="N43" s="773">
        <v>0</v>
      </c>
      <c r="O43" s="773">
        <v>29655.17</v>
      </c>
      <c r="P43" s="773">
        <v>215000</v>
      </c>
      <c r="Q43" s="548"/>
      <c r="R43" s="773">
        <v>168114.24</v>
      </c>
      <c r="S43" s="549">
        <f t="shared" si="0"/>
        <v>46885.760000000009</v>
      </c>
      <c r="T43" s="113" t="s">
        <v>1932</v>
      </c>
      <c r="U43" s="626" t="str">
        <f t="shared" si="1"/>
        <v>AA12043</v>
      </c>
      <c r="V43" s="627" t="str">
        <f t="shared" si="2"/>
        <v>1835-TCN17</v>
      </c>
      <c r="W43" s="626">
        <f t="shared" si="3"/>
        <v>521702</v>
      </c>
      <c r="X43" s="626" t="str">
        <f t="shared" si="4"/>
        <v>YARIS CORE MT, SEDAN</v>
      </c>
      <c r="Y43" s="627">
        <f t="shared" si="4"/>
        <v>2017</v>
      </c>
      <c r="Z43" s="628">
        <f t="shared" si="5"/>
        <v>185344.83</v>
      </c>
      <c r="AA43" s="629">
        <f>+SUM(Z39:Z43)</f>
        <v>556034.49</v>
      </c>
      <c r="AB43" s="763">
        <v>3</v>
      </c>
      <c r="AC43" s="629">
        <f t="shared" si="12"/>
        <v>0.01</v>
      </c>
      <c r="AD43" s="630">
        <f t="shared" si="13"/>
        <v>0.02</v>
      </c>
      <c r="AE43" s="555">
        <f t="shared" si="14"/>
        <v>0</v>
      </c>
      <c r="AF43" s="555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721" t="s">
        <v>7151</v>
      </c>
      <c r="C44" s="771">
        <v>521707</v>
      </c>
      <c r="D44" s="771">
        <v>2006</v>
      </c>
      <c r="E44" s="771" t="s">
        <v>702</v>
      </c>
      <c r="F44" s="546">
        <v>2017</v>
      </c>
      <c r="G44" s="772">
        <v>43024</v>
      </c>
      <c r="H44" s="771" t="s">
        <v>819</v>
      </c>
      <c r="I44" s="771" t="s">
        <v>6783</v>
      </c>
      <c r="J44" s="712"/>
      <c r="K44" s="771" t="s">
        <v>6785</v>
      </c>
      <c r="L44" s="771" t="s">
        <v>6784</v>
      </c>
      <c r="M44" s="773">
        <v>202586.21</v>
      </c>
      <c r="N44" s="773">
        <v>0</v>
      </c>
      <c r="O44" s="773">
        <v>32413.79</v>
      </c>
      <c r="P44" s="773">
        <v>235000</v>
      </c>
      <c r="Q44" s="548"/>
      <c r="R44" s="773">
        <v>183052.26</v>
      </c>
      <c r="S44" s="549">
        <f t="shared" si="0"/>
        <v>51947.739999999991</v>
      </c>
      <c r="T44" s="113" t="s">
        <v>1932</v>
      </c>
      <c r="U44" s="626" t="str">
        <f t="shared" si="1"/>
        <v>AA12082</v>
      </c>
      <c r="V44" s="627" t="str">
        <f t="shared" si="2"/>
        <v>1663-TCN17</v>
      </c>
      <c r="W44" s="626">
        <f t="shared" si="3"/>
        <v>521707</v>
      </c>
      <c r="X44" s="626" t="str">
        <f t="shared" si="4"/>
        <v>YARIS CORE,SEDAN CVT.</v>
      </c>
      <c r="Y44" s="627">
        <f t="shared" si="4"/>
        <v>2017</v>
      </c>
      <c r="Z44" s="628">
        <f t="shared" si="5"/>
        <v>202586.21</v>
      </c>
      <c r="AA44" s="629"/>
      <c r="AB44" s="755"/>
      <c r="AC44" s="629">
        <f t="shared" si="12"/>
        <v>0.01</v>
      </c>
      <c r="AD44" s="630">
        <f t="shared" si="13"/>
        <v>0.02</v>
      </c>
      <c r="AE44" s="629">
        <f t="shared" si="14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721" t="s">
        <v>7152</v>
      </c>
      <c r="C45" s="771">
        <v>521707</v>
      </c>
      <c r="D45" s="771">
        <v>2006</v>
      </c>
      <c r="E45" s="771" t="s">
        <v>702</v>
      </c>
      <c r="F45" s="546">
        <v>2017</v>
      </c>
      <c r="G45" s="772">
        <v>43027</v>
      </c>
      <c r="H45" s="771" t="s">
        <v>788</v>
      </c>
      <c r="I45" s="771" t="s">
        <v>6786</v>
      </c>
      <c r="J45" s="712"/>
      <c r="K45" s="771" t="s">
        <v>1022</v>
      </c>
      <c r="L45" s="771" t="s">
        <v>6787</v>
      </c>
      <c r="M45" s="773">
        <v>202586.21</v>
      </c>
      <c r="N45" s="773">
        <v>0</v>
      </c>
      <c r="O45" s="773">
        <v>32413.79</v>
      </c>
      <c r="P45" s="773">
        <v>235000</v>
      </c>
      <c r="Q45" s="548"/>
      <c r="R45" s="773">
        <v>183052.26</v>
      </c>
      <c r="S45" s="549">
        <f t="shared" si="0"/>
        <v>51947.739999999991</v>
      </c>
      <c r="T45" s="113" t="s">
        <v>1932</v>
      </c>
      <c r="U45" s="626" t="str">
        <f t="shared" si="1"/>
        <v>AA12109</v>
      </c>
      <c r="V45" s="627" t="str">
        <f t="shared" si="2"/>
        <v>1664-TCN17</v>
      </c>
      <c r="W45" s="626">
        <f t="shared" si="3"/>
        <v>521707</v>
      </c>
      <c r="X45" s="626" t="str">
        <f t="shared" si="4"/>
        <v>YARIS CORE,SEDAN CVT.</v>
      </c>
      <c r="Y45" s="627">
        <f t="shared" si="4"/>
        <v>2017</v>
      </c>
      <c r="Z45" s="628">
        <f t="shared" si="5"/>
        <v>202586.21</v>
      </c>
      <c r="AA45" s="629"/>
      <c r="AB45" s="755"/>
      <c r="AC45" s="629">
        <f t="shared" si="12"/>
        <v>0.01</v>
      </c>
      <c r="AD45" s="630">
        <f t="shared" si="13"/>
        <v>0.02</v>
      </c>
      <c r="AE45" s="629">
        <f t="shared" si="14"/>
        <v>0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721" t="s">
        <v>7150</v>
      </c>
      <c r="C46" s="771">
        <v>521707</v>
      </c>
      <c r="D46" s="771">
        <v>2006</v>
      </c>
      <c r="E46" s="771" t="s">
        <v>702</v>
      </c>
      <c r="F46" s="546">
        <v>2017</v>
      </c>
      <c r="G46" s="772">
        <v>43018</v>
      </c>
      <c r="H46" s="771" t="s">
        <v>739</v>
      </c>
      <c r="I46" s="771" t="s">
        <v>6780</v>
      </c>
      <c r="J46" s="712"/>
      <c r="K46" s="771" t="s">
        <v>6782</v>
      </c>
      <c r="L46" s="771" t="s">
        <v>6781</v>
      </c>
      <c r="M46" s="773">
        <v>202586.21</v>
      </c>
      <c r="N46" s="773">
        <v>0</v>
      </c>
      <c r="O46" s="773">
        <v>32413.79</v>
      </c>
      <c r="P46" s="773">
        <v>235000</v>
      </c>
      <c r="Q46" s="548"/>
      <c r="R46" s="773">
        <v>183052.26</v>
      </c>
      <c r="S46" s="549">
        <f t="shared" si="0"/>
        <v>51947.739999999991</v>
      </c>
      <c r="T46" s="113" t="s">
        <v>1932</v>
      </c>
      <c r="U46" s="626" t="str">
        <f t="shared" si="1"/>
        <v>AA12048</v>
      </c>
      <c r="V46" s="627" t="str">
        <f t="shared" si="2"/>
        <v>1516-TCN17</v>
      </c>
      <c r="W46" s="626">
        <f t="shared" si="3"/>
        <v>521707</v>
      </c>
      <c r="X46" s="626" t="str">
        <f t="shared" si="4"/>
        <v>YARIS CORE,SEDAN CVT.</v>
      </c>
      <c r="Y46" s="627">
        <f t="shared" si="4"/>
        <v>2017</v>
      </c>
      <c r="Z46" s="628">
        <f t="shared" si="5"/>
        <v>202586.21</v>
      </c>
      <c r="AA46" s="629">
        <f>+Z46+Z45+Z44</f>
        <v>607758.63</v>
      </c>
      <c r="AB46" s="763">
        <v>3</v>
      </c>
      <c r="AC46" s="629">
        <f t="shared" si="12"/>
        <v>0.01</v>
      </c>
      <c r="AD46" s="630">
        <f t="shared" si="13"/>
        <v>0.02</v>
      </c>
      <c r="AE46" s="629">
        <f t="shared" si="14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721" t="s">
        <v>7170</v>
      </c>
      <c r="C47" s="771">
        <v>521801</v>
      </c>
      <c r="D47" s="771">
        <v>2201</v>
      </c>
      <c r="E47" s="771" t="s">
        <v>704</v>
      </c>
      <c r="F47" s="546">
        <v>2017</v>
      </c>
      <c r="G47" s="772">
        <v>43011</v>
      </c>
      <c r="H47" s="771" t="s">
        <v>5621</v>
      </c>
      <c r="I47" s="771" t="s">
        <v>5674</v>
      </c>
      <c r="J47" s="712"/>
      <c r="K47" s="771" t="s">
        <v>6808</v>
      </c>
      <c r="L47" s="771" t="s">
        <v>5923</v>
      </c>
      <c r="M47" s="773">
        <v>195948.28</v>
      </c>
      <c r="N47" s="773">
        <v>0</v>
      </c>
      <c r="O47" s="773">
        <v>31351.72</v>
      </c>
      <c r="P47" s="773">
        <v>227300</v>
      </c>
      <c r="Q47" s="548"/>
      <c r="R47" s="773">
        <v>183633.22</v>
      </c>
      <c r="S47" s="549">
        <f t="shared" si="0"/>
        <v>43666.78</v>
      </c>
      <c r="T47" s="113" t="s">
        <v>1932</v>
      </c>
      <c r="U47" s="626" t="str">
        <f t="shared" si="1"/>
        <v>AA12010</v>
      </c>
      <c r="V47" s="627" t="str">
        <f t="shared" si="2"/>
        <v>1563-TCN17</v>
      </c>
      <c r="W47" s="626">
        <f t="shared" si="3"/>
        <v>521801</v>
      </c>
      <c r="X47" s="626" t="str">
        <f t="shared" si="4"/>
        <v>AVANZA HI 5MT</v>
      </c>
      <c r="Y47" s="627">
        <f t="shared" si="4"/>
        <v>2017</v>
      </c>
      <c r="Z47" s="628">
        <f t="shared" si="5"/>
        <v>195948.28</v>
      </c>
      <c r="AA47" s="629">
        <f>+Z47</f>
        <v>195948.28</v>
      </c>
      <c r="AB47" s="763">
        <v>1</v>
      </c>
      <c r="AC47" s="629">
        <f t="shared" si="12"/>
        <v>0.01</v>
      </c>
      <c r="AD47" s="630">
        <f t="shared" si="13"/>
        <v>0.02</v>
      </c>
      <c r="AE47" s="629">
        <f t="shared" si="14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721" t="s">
        <v>7176</v>
      </c>
      <c r="C48" s="771">
        <v>521802</v>
      </c>
      <c r="D48" s="771">
        <v>2202</v>
      </c>
      <c r="E48" s="771" t="s">
        <v>703</v>
      </c>
      <c r="F48" s="546">
        <v>2017</v>
      </c>
      <c r="G48" s="772">
        <v>43014</v>
      </c>
      <c r="H48" s="771" t="s">
        <v>2954</v>
      </c>
      <c r="I48" s="771" t="s">
        <v>6812</v>
      </c>
      <c r="J48" s="712"/>
      <c r="K48" s="771" t="s">
        <v>6814</v>
      </c>
      <c r="L48" s="771" t="s">
        <v>6813</v>
      </c>
      <c r="M48" s="773">
        <v>200431.03</v>
      </c>
      <c r="N48" s="773">
        <v>0</v>
      </c>
      <c r="O48" s="773">
        <v>32068.97</v>
      </c>
      <c r="P48" s="773">
        <v>232500</v>
      </c>
      <c r="Q48" s="548"/>
      <c r="R48" s="773">
        <v>190092.9</v>
      </c>
      <c r="S48" s="549">
        <f t="shared" si="0"/>
        <v>42407.100000000006</v>
      </c>
      <c r="T48" s="113" t="s">
        <v>1932</v>
      </c>
      <c r="U48" s="626" t="str">
        <f t="shared" si="1"/>
        <v>AA12037</v>
      </c>
      <c r="V48" s="627" t="str">
        <f t="shared" si="2"/>
        <v>1900-TCN17</v>
      </c>
      <c r="W48" s="626">
        <f t="shared" si="3"/>
        <v>521802</v>
      </c>
      <c r="X48" s="626" t="str">
        <f t="shared" si="4"/>
        <v>AVANZA HI 4AT</v>
      </c>
      <c r="Y48" s="627">
        <f t="shared" si="4"/>
        <v>2017</v>
      </c>
      <c r="Z48" s="628">
        <f t="shared" si="5"/>
        <v>200431.03</v>
      </c>
      <c r="AA48" s="629"/>
      <c r="AB48" s="755"/>
      <c r="AC48" s="629">
        <f t="shared" si="12"/>
        <v>0.01</v>
      </c>
      <c r="AD48" s="630">
        <f t="shared" si="13"/>
        <v>0.02</v>
      </c>
      <c r="AE48" s="629">
        <f t="shared" si="14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721" t="s">
        <v>7184</v>
      </c>
      <c r="C49" s="771">
        <v>521802</v>
      </c>
      <c r="D49" s="771">
        <v>2204</v>
      </c>
      <c r="E49" s="771" t="s">
        <v>705</v>
      </c>
      <c r="F49" s="546">
        <v>2018</v>
      </c>
      <c r="G49" s="772">
        <v>43038</v>
      </c>
      <c r="H49" s="771" t="s">
        <v>810</v>
      </c>
      <c r="I49" s="771" t="s">
        <v>6827</v>
      </c>
      <c r="J49" s="712"/>
      <c r="K49" s="771" t="s">
        <v>6829</v>
      </c>
      <c r="L49" s="771" t="s">
        <v>6828</v>
      </c>
      <c r="M49" s="773">
        <v>232417.21</v>
      </c>
      <c r="N49" s="773">
        <v>2324.17</v>
      </c>
      <c r="O49" s="773">
        <v>37558.620000000003</v>
      </c>
      <c r="P49" s="773">
        <v>272300</v>
      </c>
      <c r="Q49" s="548"/>
      <c r="R49" s="773">
        <v>210301.82</v>
      </c>
      <c r="S49" s="549">
        <f t="shared" si="0"/>
        <v>61998.179999999993</v>
      </c>
      <c r="T49" s="113" t="s">
        <v>1932</v>
      </c>
      <c r="U49" s="626" t="str">
        <f t="shared" si="1"/>
        <v>AA12183</v>
      </c>
      <c r="V49" s="627" t="str">
        <f t="shared" si="2"/>
        <v>0151-TCN18</v>
      </c>
      <c r="W49" s="626">
        <f t="shared" si="3"/>
        <v>521802</v>
      </c>
      <c r="X49" s="626" t="str">
        <f t="shared" si="4"/>
        <v>AVANZA LIMITED</v>
      </c>
      <c r="Y49" s="627">
        <f t="shared" si="4"/>
        <v>2018</v>
      </c>
      <c r="Z49" s="628">
        <f t="shared" si="5"/>
        <v>232417.21</v>
      </c>
      <c r="AA49" s="629"/>
      <c r="AB49" s="755"/>
      <c r="AC49" s="629">
        <f t="shared" si="12"/>
        <v>0.01</v>
      </c>
      <c r="AD49" s="630">
        <f t="shared" si="13"/>
        <v>0.02</v>
      </c>
      <c r="AE49" s="629">
        <f t="shared" si="14"/>
        <v>0</v>
      </c>
      <c r="AF49" s="629">
        <f t="shared" ref="AF49:AF50" si="39">+N49</f>
        <v>2324.17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721" t="s">
        <v>7180</v>
      </c>
      <c r="C50" s="771">
        <v>521802</v>
      </c>
      <c r="D50" s="771">
        <v>2202</v>
      </c>
      <c r="E50" s="771" t="s">
        <v>703</v>
      </c>
      <c r="F50" s="546">
        <v>2017</v>
      </c>
      <c r="G50" s="772">
        <v>43038</v>
      </c>
      <c r="H50" s="771" t="s">
        <v>6820</v>
      </c>
      <c r="I50" s="771" t="s">
        <v>6817</v>
      </c>
      <c r="J50" s="712"/>
      <c r="K50" s="771" t="s">
        <v>6819</v>
      </c>
      <c r="L50" s="771" t="s">
        <v>6818</v>
      </c>
      <c r="M50" s="773">
        <v>196120.69</v>
      </c>
      <c r="N50" s="773">
        <v>0</v>
      </c>
      <c r="O50" s="773">
        <v>31379.31</v>
      </c>
      <c r="P50" s="773">
        <v>227500</v>
      </c>
      <c r="Q50" s="548"/>
      <c r="R50" s="773">
        <v>188022.32</v>
      </c>
      <c r="S50" s="549">
        <f t="shared" si="0"/>
        <v>39477.679999999993</v>
      </c>
      <c r="T50" s="267" t="s">
        <v>1932</v>
      </c>
      <c r="U50" s="626" t="str">
        <f t="shared" si="1"/>
        <v>AA12179</v>
      </c>
      <c r="V50" s="627" t="str">
        <f t="shared" si="2"/>
        <v>1813-TCN17</v>
      </c>
      <c r="W50" s="626">
        <f t="shared" si="3"/>
        <v>521802</v>
      </c>
      <c r="X50" s="626" t="str">
        <f t="shared" si="4"/>
        <v>AVANZA HI 4AT</v>
      </c>
      <c r="Y50" s="627">
        <f t="shared" si="4"/>
        <v>2017</v>
      </c>
      <c r="Z50" s="628">
        <f t="shared" si="5"/>
        <v>196120.69</v>
      </c>
      <c r="AA50" s="629"/>
      <c r="AB50" s="755"/>
      <c r="AC50" s="629">
        <f t="shared" si="12"/>
        <v>0.01</v>
      </c>
      <c r="AD50" s="630">
        <f t="shared" si="13"/>
        <v>0.02</v>
      </c>
      <c r="AE50" s="555">
        <f t="shared" si="14"/>
        <v>0</v>
      </c>
      <c r="AF50" s="629">
        <f t="shared" si="39"/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721" t="s">
        <v>7175</v>
      </c>
      <c r="C51" s="771">
        <v>521802</v>
      </c>
      <c r="D51" s="771">
        <v>2202</v>
      </c>
      <c r="E51" s="771" t="s">
        <v>703</v>
      </c>
      <c r="F51" s="546">
        <v>2017</v>
      </c>
      <c r="G51" s="772">
        <v>43014</v>
      </c>
      <c r="H51" s="771" t="s">
        <v>819</v>
      </c>
      <c r="I51" s="771" t="s">
        <v>6809</v>
      </c>
      <c r="J51" s="712"/>
      <c r="K51" s="771" t="s">
        <v>6811</v>
      </c>
      <c r="L51" s="771" t="s">
        <v>6810</v>
      </c>
      <c r="M51" s="773">
        <v>200431.03</v>
      </c>
      <c r="N51" s="773">
        <v>0</v>
      </c>
      <c r="O51" s="773">
        <v>32068.97</v>
      </c>
      <c r="P51" s="773">
        <v>232500</v>
      </c>
      <c r="Q51" s="548"/>
      <c r="R51" s="773">
        <v>188022.32</v>
      </c>
      <c r="S51" s="549">
        <f t="shared" si="0"/>
        <v>44477.679999999993</v>
      </c>
      <c r="T51" s="267" t="s">
        <v>1932</v>
      </c>
      <c r="U51" s="626" t="str">
        <f t="shared" si="1"/>
        <v>AA12033</v>
      </c>
      <c r="V51" s="627" t="str">
        <f t="shared" si="2"/>
        <v>1523-TCN17</v>
      </c>
      <c r="W51" s="626">
        <f t="shared" si="3"/>
        <v>521802</v>
      </c>
      <c r="X51" s="626" t="str">
        <f t="shared" si="4"/>
        <v>AVANZA HI 4AT</v>
      </c>
      <c r="Y51" s="627">
        <f t="shared" si="4"/>
        <v>2017</v>
      </c>
      <c r="Z51" s="628">
        <f t="shared" si="5"/>
        <v>200431.03</v>
      </c>
      <c r="AA51" s="629"/>
      <c r="AB51" s="755"/>
      <c r="AC51" s="629">
        <f t="shared" si="12"/>
        <v>0.01</v>
      </c>
      <c r="AD51" s="630">
        <f t="shared" si="13"/>
        <v>0.02</v>
      </c>
      <c r="AE51" s="555">
        <f t="shared" si="14"/>
        <v>0</v>
      </c>
      <c r="AF51" s="555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721" t="s">
        <v>7177</v>
      </c>
      <c r="C52" s="771">
        <v>521802</v>
      </c>
      <c r="D52" s="771">
        <v>2202</v>
      </c>
      <c r="E52" s="771" t="s">
        <v>703</v>
      </c>
      <c r="F52" s="546">
        <v>2017</v>
      </c>
      <c r="G52" s="772">
        <v>43025</v>
      </c>
      <c r="H52" s="771" t="s">
        <v>2215</v>
      </c>
      <c r="I52" s="771" t="s">
        <v>6815</v>
      </c>
      <c r="J52" s="712"/>
      <c r="K52" s="771" t="s">
        <v>5818</v>
      </c>
      <c r="L52" s="771" t="s">
        <v>6816</v>
      </c>
      <c r="M52" s="773">
        <v>200431.03</v>
      </c>
      <c r="N52" s="773">
        <v>0</v>
      </c>
      <c r="O52" s="773">
        <v>32068.97</v>
      </c>
      <c r="P52" s="773">
        <v>232500</v>
      </c>
      <c r="Q52" s="548"/>
      <c r="R52" s="773">
        <v>190092.86</v>
      </c>
      <c r="S52" s="549">
        <f t="shared" si="0"/>
        <v>42407.140000000014</v>
      </c>
      <c r="T52" s="113" t="s">
        <v>1932</v>
      </c>
      <c r="U52" s="626" t="str">
        <f t="shared" si="1"/>
        <v>AA12086</v>
      </c>
      <c r="V52" s="627" t="str">
        <f t="shared" si="2"/>
        <v>1915-TCN17</v>
      </c>
      <c r="W52" s="626">
        <f t="shared" si="3"/>
        <v>521802</v>
      </c>
      <c r="X52" s="626" t="str">
        <f t="shared" si="4"/>
        <v>AVANZA HI 4AT</v>
      </c>
      <c r="Y52" s="627">
        <f t="shared" si="4"/>
        <v>2017</v>
      </c>
      <c r="Z52" s="628">
        <f t="shared" si="5"/>
        <v>200431.03</v>
      </c>
      <c r="AA52" s="629"/>
      <c r="AB52" s="755"/>
      <c r="AC52" s="629">
        <f t="shared" si="12"/>
        <v>0.01</v>
      </c>
      <c r="AD52" s="630">
        <f t="shared" si="13"/>
        <v>0.02</v>
      </c>
      <c r="AE52" s="555">
        <f t="shared" si="14"/>
        <v>0</v>
      </c>
      <c r="AF52" s="555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721" t="s">
        <v>7186</v>
      </c>
      <c r="C53" s="771">
        <v>521802</v>
      </c>
      <c r="D53" s="771">
        <v>2204</v>
      </c>
      <c r="E53" s="771" t="s">
        <v>705</v>
      </c>
      <c r="F53" s="546">
        <v>2017</v>
      </c>
      <c r="G53" s="772">
        <v>43038</v>
      </c>
      <c r="H53" s="771" t="s">
        <v>5623</v>
      </c>
      <c r="I53" s="771" t="s">
        <v>6825</v>
      </c>
      <c r="J53" s="712"/>
      <c r="K53" s="771" t="s">
        <v>2460</v>
      </c>
      <c r="L53" s="771" t="s">
        <v>6826</v>
      </c>
      <c r="M53" s="773">
        <v>223706.9</v>
      </c>
      <c r="N53" s="773">
        <v>0</v>
      </c>
      <c r="O53" s="773">
        <v>35793.1</v>
      </c>
      <c r="P53" s="773">
        <v>259500</v>
      </c>
      <c r="Q53" s="548"/>
      <c r="R53" s="773">
        <v>210300.79</v>
      </c>
      <c r="S53" s="549">
        <f t="shared" si="0"/>
        <v>49199.209999999992</v>
      </c>
      <c r="T53" s="113" t="s">
        <v>1932</v>
      </c>
      <c r="U53" s="626" t="str">
        <f t="shared" si="1"/>
        <v>AA12180</v>
      </c>
      <c r="V53" s="627" t="str">
        <f t="shared" si="2"/>
        <v>1832-TCN17</v>
      </c>
      <c r="W53" s="626">
        <f t="shared" si="3"/>
        <v>521802</v>
      </c>
      <c r="X53" s="626" t="str">
        <f t="shared" si="4"/>
        <v>AVANZA LIMITED</v>
      </c>
      <c r="Y53" s="627">
        <f t="shared" si="4"/>
        <v>2017</v>
      </c>
      <c r="Z53" s="628">
        <f t="shared" si="5"/>
        <v>223706.9</v>
      </c>
      <c r="AA53" s="629">
        <f>+SUM(Z48:Z53)</f>
        <v>1253537.8899999999</v>
      </c>
      <c r="AB53" s="765">
        <v>6</v>
      </c>
      <c r="AC53" s="629">
        <f t="shared" si="12"/>
        <v>0.01</v>
      </c>
      <c r="AD53" s="630">
        <f t="shared" si="13"/>
        <v>0.02</v>
      </c>
      <c r="AE53" s="555">
        <f t="shared" si="14"/>
        <v>0</v>
      </c>
      <c r="AF53" s="555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721" t="s">
        <v>7189</v>
      </c>
      <c r="C54" s="771">
        <v>521907</v>
      </c>
      <c r="D54" s="771">
        <v>2204</v>
      </c>
      <c r="E54" s="771" t="s">
        <v>705</v>
      </c>
      <c r="F54" s="546">
        <v>2018</v>
      </c>
      <c r="G54" s="772">
        <v>43039</v>
      </c>
      <c r="H54" s="771" t="s">
        <v>739</v>
      </c>
      <c r="I54" s="771" t="s">
        <v>6830</v>
      </c>
      <c r="J54" s="712"/>
      <c r="K54" s="771" t="s">
        <v>6832</v>
      </c>
      <c r="L54" s="771" t="s">
        <v>6831</v>
      </c>
      <c r="M54" s="773">
        <v>232417.21</v>
      </c>
      <c r="N54" s="773">
        <v>2324.17</v>
      </c>
      <c r="O54" s="773">
        <v>37558.620000000003</v>
      </c>
      <c r="P54" s="773">
        <v>272300</v>
      </c>
      <c r="Q54" s="548"/>
      <c r="R54" s="773">
        <v>210300.79</v>
      </c>
      <c r="S54" s="549">
        <f t="shared" si="0"/>
        <v>61999.209999999992</v>
      </c>
      <c r="T54" s="113" t="s">
        <v>1932</v>
      </c>
      <c r="U54" s="626" t="str">
        <f t="shared" si="1"/>
        <v>AA12198</v>
      </c>
      <c r="V54" s="627" t="str">
        <f t="shared" si="2"/>
        <v>0154-TCN18</v>
      </c>
      <c r="W54" s="626">
        <f t="shared" si="3"/>
        <v>521907</v>
      </c>
      <c r="X54" s="626" t="str">
        <f t="shared" si="4"/>
        <v>AVANZA LIMITED</v>
      </c>
      <c r="Y54" s="627">
        <f t="shared" si="4"/>
        <v>2018</v>
      </c>
      <c r="Z54" s="628">
        <f t="shared" si="5"/>
        <v>232417.21</v>
      </c>
      <c r="AA54" s="629">
        <f>+Z54</f>
        <v>232417.21</v>
      </c>
      <c r="AB54" s="755">
        <v>1</v>
      </c>
      <c r="AC54" s="629">
        <f t="shared" si="12"/>
        <v>0.01</v>
      </c>
      <c r="AD54" s="630">
        <f t="shared" si="13"/>
        <v>0.02</v>
      </c>
      <c r="AE54" s="555">
        <f t="shared" si="14"/>
        <v>0</v>
      </c>
      <c r="AF54" s="629">
        <f t="shared" ref="AF54" si="40">+N54</f>
        <v>2324.17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721" t="s">
        <v>7251</v>
      </c>
      <c r="C55" s="771">
        <v>521908</v>
      </c>
      <c r="D55" s="771">
        <v>6980</v>
      </c>
      <c r="E55" s="771" t="s">
        <v>706</v>
      </c>
      <c r="F55" s="546">
        <v>2017</v>
      </c>
      <c r="G55" s="772">
        <v>43031</v>
      </c>
      <c r="H55" s="771" t="s">
        <v>774</v>
      </c>
      <c r="I55" s="771" t="s">
        <v>6911</v>
      </c>
      <c r="J55" s="712"/>
      <c r="K55" s="771" t="s">
        <v>6913</v>
      </c>
      <c r="L55" s="771" t="s">
        <v>6912</v>
      </c>
      <c r="M55" s="773">
        <v>498177.8</v>
      </c>
      <c r="N55" s="773">
        <v>36391.17</v>
      </c>
      <c r="O55" s="773">
        <v>85531.03</v>
      </c>
      <c r="P55" s="773">
        <v>620100</v>
      </c>
      <c r="Q55" s="548"/>
      <c r="R55" s="773">
        <v>460361.18</v>
      </c>
      <c r="S55" s="549">
        <f t="shared" si="0"/>
        <v>159738.82</v>
      </c>
      <c r="T55" s="113" t="s">
        <v>1932</v>
      </c>
      <c r="U55" s="626" t="str">
        <f t="shared" si="1"/>
        <v>AA12128</v>
      </c>
      <c r="V55" s="627" t="str">
        <f t="shared" si="2"/>
        <v>1694-TCN17</v>
      </c>
      <c r="W55" s="626">
        <f t="shared" si="3"/>
        <v>521908</v>
      </c>
      <c r="X55" s="626" t="str">
        <f t="shared" si="4"/>
        <v>HIGHLANDER  XLE</v>
      </c>
      <c r="Y55" s="627">
        <f t="shared" si="4"/>
        <v>2017</v>
      </c>
      <c r="Z55" s="628">
        <f t="shared" si="5"/>
        <v>498177.8</v>
      </c>
      <c r="AA55" s="629">
        <f>+Z55</f>
        <v>498177.8</v>
      </c>
      <c r="AB55" s="755">
        <v>1</v>
      </c>
      <c r="AC55" s="629">
        <f t="shared" si="12"/>
        <v>443562.4</v>
      </c>
      <c r="AD55" s="630">
        <f t="shared" si="13"/>
        <v>0.17</v>
      </c>
      <c r="AE55" s="555">
        <f t="shared" si="14"/>
        <v>27106.55</v>
      </c>
      <c r="AF55" s="555">
        <f t="shared" ref="AF55" si="41">IF(Z55&lt;281240.78,(((Z55-AC55)*AD55+AE55)/2),(Z55-AC55)*AD55+AE55)</f>
        <v>36391.167999999991</v>
      </c>
      <c r="AG55" s="555">
        <f t="shared" si="10"/>
        <v>2.0000000076834112E-3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721" t="s">
        <v>7102</v>
      </c>
      <c r="C56" s="771">
        <v>522401</v>
      </c>
      <c r="D56" s="771">
        <v>1062</v>
      </c>
      <c r="E56" s="771" t="s">
        <v>709</v>
      </c>
      <c r="F56" s="546">
        <v>2018</v>
      </c>
      <c r="G56" s="772">
        <v>43034</v>
      </c>
      <c r="H56" s="771" t="s">
        <v>819</v>
      </c>
      <c r="I56" s="771" t="s">
        <v>6279</v>
      </c>
      <c r="J56" s="712"/>
      <c r="K56" s="771" t="s">
        <v>6438</v>
      </c>
      <c r="L56" s="771" t="s">
        <v>6541</v>
      </c>
      <c r="M56" s="773">
        <v>-234892.46</v>
      </c>
      <c r="N56" s="773">
        <v>-2348.92</v>
      </c>
      <c r="O56" s="773">
        <v>-37958.620000000003</v>
      </c>
      <c r="P56" s="773">
        <v>-275200</v>
      </c>
      <c r="Q56" s="548"/>
      <c r="R56" s="773">
        <v>-212490.67</v>
      </c>
      <c r="S56" s="549">
        <f t="shared" si="0"/>
        <v>-62709.329999999987</v>
      </c>
      <c r="T56" s="113" t="s">
        <v>1266</v>
      </c>
      <c r="U56" s="626" t="str">
        <f t="shared" si="1"/>
        <v>ZA04390</v>
      </c>
      <c r="V56" s="627" t="str">
        <f t="shared" si="2"/>
        <v>0045-TCN18</v>
      </c>
      <c r="W56" s="626">
        <f t="shared" si="3"/>
        <v>522401</v>
      </c>
      <c r="X56" s="626" t="str">
        <f t="shared" si="4"/>
        <v>YARIS XLE R AT</v>
      </c>
      <c r="Y56" s="627">
        <f t="shared" si="4"/>
        <v>2018</v>
      </c>
      <c r="Z56" s="628">
        <f t="shared" si="5"/>
        <v>-234892.46</v>
      </c>
      <c r="AA56" s="629"/>
      <c r="AB56" s="755"/>
      <c r="AC56" s="629" t="e">
        <f t="shared" si="12"/>
        <v>#N/A</v>
      </c>
      <c r="AD56" s="630" t="e">
        <f t="shared" si="13"/>
        <v>#N/A</v>
      </c>
      <c r="AE56" s="555" t="e">
        <f t="shared" si="14"/>
        <v>#N/A</v>
      </c>
      <c r="AF56" s="555">
        <f>+N56</f>
        <v>-2348.92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721" t="s">
        <v>7100</v>
      </c>
      <c r="C57" s="771">
        <v>522403</v>
      </c>
      <c r="D57" s="771">
        <v>1060</v>
      </c>
      <c r="E57" s="771" t="s">
        <v>5617</v>
      </c>
      <c r="F57" s="546">
        <v>2017</v>
      </c>
      <c r="G57" s="772">
        <v>43017</v>
      </c>
      <c r="H57" s="771" t="s">
        <v>2213</v>
      </c>
      <c r="I57" s="771" t="s">
        <v>6707</v>
      </c>
      <c r="J57" s="712"/>
      <c r="K57" s="771" t="s">
        <v>6709</v>
      </c>
      <c r="L57" s="771" t="s">
        <v>6708</v>
      </c>
      <c r="M57" s="773">
        <v>212241.38</v>
      </c>
      <c r="N57" s="773">
        <v>0</v>
      </c>
      <c r="O57" s="773">
        <v>33958.620000000003</v>
      </c>
      <c r="P57" s="773">
        <v>246200</v>
      </c>
      <c r="Q57" s="548"/>
      <c r="R57" s="773">
        <v>192306.02</v>
      </c>
      <c r="S57" s="549">
        <f t="shared" si="0"/>
        <v>53893.98000000001</v>
      </c>
      <c r="T57" s="267" t="s">
        <v>1932</v>
      </c>
      <c r="U57" s="626" t="str">
        <f t="shared" si="1"/>
        <v>AA12040</v>
      </c>
      <c r="V57" s="627" t="str">
        <f t="shared" si="2"/>
        <v>1861-TCN17</v>
      </c>
      <c r="W57" s="626">
        <f t="shared" si="3"/>
        <v>522403</v>
      </c>
      <c r="X57" s="626" t="str">
        <f t="shared" si="4"/>
        <v>YARIS R LE MT</v>
      </c>
      <c r="Y57" s="627">
        <f t="shared" si="4"/>
        <v>2017</v>
      </c>
      <c r="Z57" s="628">
        <f t="shared" si="5"/>
        <v>212241.38</v>
      </c>
      <c r="AA57" s="555"/>
      <c r="AB57" s="755"/>
      <c r="AC57" s="629"/>
      <c r="AD57" s="630"/>
      <c r="AE57" s="555"/>
      <c r="AF57" s="555">
        <f>+N57</f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721" t="s">
        <v>7277</v>
      </c>
      <c r="C58" s="771">
        <v>1520104</v>
      </c>
      <c r="D58" s="771">
        <v>7493</v>
      </c>
      <c r="E58" s="771" t="s">
        <v>6945</v>
      </c>
      <c r="F58" s="546">
        <v>2017</v>
      </c>
      <c r="G58" s="772">
        <v>43028</v>
      </c>
      <c r="H58" s="771" t="s">
        <v>817</v>
      </c>
      <c r="I58" s="771" t="s">
        <v>6954</v>
      </c>
      <c r="J58" s="712"/>
      <c r="K58" s="771" t="s">
        <v>6956</v>
      </c>
      <c r="L58" s="771" t="s">
        <v>6955</v>
      </c>
      <c r="M58" s="773">
        <v>241789.82</v>
      </c>
      <c r="N58" s="773">
        <v>12089.49</v>
      </c>
      <c r="O58" s="773">
        <v>40620.69</v>
      </c>
      <c r="P58" s="773">
        <v>294500</v>
      </c>
      <c r="Q58" s="548"/>
      <c r="R58" s="773">
        <v>229061.05</v>
      </c>
      <c r="S58" s="549">
        <f t="shared" si="0"/>
        <v>65438.950000000012</v>
      </c>
      <c r="T58" s="113" t="s">
        <v>1932</v>
      </c>
      <c r="U58" s="626" t="str">
        <f t="shared" si="1"/>
        <v>AA12117</v>
      </c>
      <c r="V58" s="627" t="str">
        <f t="shared" si="2"/>
        <v>1877-TCN17</v>
      </c>
      <c r="W58" s="626">
        <f t="shared" si="3"/>
        <v>1520104</v>
      </c>
      <c r="X58" s="626" t="str">
        <f t="shared" si="4"/>
        <v>HILUX CABINA SENCILLA 5MT 4X2 AC</v>
      </c>
      <c r="Y58" s="627">
        <f t="shared" si="4"/>
        <v>2017</v>
      </c>
      <c r="Z58" s="628">
        <f t="shared" si="5"/>
        <v>241789.82</v>
      </c>
      <c r="AA58" s="629">
        <f>+Z58+Z57+Z56</f>
        <v>219138.74000000002</v>
      </c>
      <c r="AB58" s="762">
        <v>1</v>
      </c>
      <c r="AC58" s="629">
        <f t="shared" si="12"/>
        <v>0.01</v>
      </c>
      <c r="AD58" s="630">
        <f t="shared" si="13"/>
        <v>0.02</v>
      </c>
      <c r="AE58" s="555">
        <f t="shared" si="14"/>
        <v>0</v>
      </c>
      <c r="AF58" s="629">
        <f t="shared" ref="AF58:AF61" si="42">+N58</f>
        <v>12089.49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721" t="s">
        <v>7280</v>
      </c>
      <c r="C59" s="771">
        <v>1520105</v>
      </c>
      <c r="D59" s="771">
        <v>7494</v>
      </c>
      <c r="E59" s="771" t="s">
        <v>712</v>
      </c>
      <c r="F59" s="546">
        <v>2018</v>
      </c>
      <c r="G59" s="772">
        <v>43026</v>
      </c>
      <c r="H59" s="771" t="s">
        <v>819</v>
      </c>
      <c r="I59" s="771" t="s">
        <v>6962</v>
      </c>
      <c r="J59" s="712"/>
      <c r="K59" s="771" t="s">
        <v>830</v>
      </c>
      <c r="L59" s="771" t="s">
        <v>6963</v>
      </c>
      <c r="M59" s="773">
        <v>238587.85</v>
      </c>
      <c r="N59" s="773">
        <v>11929.39</v>
      </c>
      <c r="O59" s="773">
        <v>40082.76</v>
      </c>
      <c r="P59" s="773">
        <v>290600</v>
      </c>
      <c r="Q59" s="548"/>
      <c r="R59" s="773">
        <v>218704.67</v>
      </c>
      <c r="S59" s="549">
        <f t="shared" si="0"/>
        <v>71895.329999999987</v>
      </c>
      <c r="T59" s="267" t="s">
        <v>1932</v>
      </c>
      <c r="U59" s="626" t="str">
        <f t="shared" si="1"/>
        <v>AA12105</v>
      </c>
      <c r="V59" s="627" t="str">
        <f t="shared" si="2"/>
        <v>0119-TCN18</v>
      </c>
      <c r="W59" s="626">
        <f t="shared" si="3"/>
        <v>1520105</v>
      </c>
      <c r="X59" s="626" t="str">
        <f t="shared" si="4"/>
        <v>HILUX PICK UP CHASSIS CAB</v>
      </c>
      <c r="Y59" s="627">
        <f t="shared" si="4"/>
        <v>2018</v>
      </c>
      <c r="Z59" s="628">
        <f t="shared" si="5"/>
        <v>238587.85</v>
      </c>
      <c r="AA59" s="629"/>
      <c r="AB59" s="755"/>
      <c r="AC59" s="629">
        <f t="shared" si="12"/>
        <v>0.01</v>
      </c>
      <c r="AD59" s="630">
        <f t="shared" si="13"/>
        <v>0.02</v>
      </c>
      <c r="AE59" s="629">
        <f t="shared" si="14"/>
        <v>0</v>
      </c>
      <c r="AF59" s="629">
        <f t="shared" si="42"/>
        <v>11929.39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721" t="s">
        <v>7282</v>
      </c>
      <c r="C60" s="771">
        <v>1520105</v>
      </c>
      <c r="D60" s="771">
        <v>7494</v>
      </c>
      <c r="E60" s="771" t="s">
        <v>712</v>
      </c>
      <c r="F60" s="546">
        <v>2018</v>
      </c>
      <c r="G60" s="772">
        <v>43039</v>
      </c>
      <c r="H60" s="771" t="s">
        <v>810</v>
      </c>
      <c r="I60" s="771" t="s">
        <v>6967</v>
      </c>
      <c r="J60" s="712"/>
      <c r="K60" s="771" t="s">
        <v>6969</v>
      </c>
      <c r="L60" s="771" t="s">
        <v>6968</v>
      </c>
      <c r="M60" s="773">
        <v>238587.85</v>
      </c>
      <c r="N60" s="773">
        <v>11929.39</v>
      </c>
      <c r="O60" s="773">
        <v>40082.76</v>
      </c>
      <c r="P60" s="773">
        <v>290600</v>
      </c>
      <c r="Q60" s="548"/>
      <c r="R60" s="773">
        <v>218704.67</v>
      </c>
      <c r="S60" s="549">
        <f t="shared" si="0"/>
        <v>71895.329999999987</v>
      </c>
      <c r="T60" s="113" t="s">
        <v>1932</v>
      </c>
      <c r="U60" s="626" t="str">
        <f t="shared" si="1"/>
        <v>AA12200</v>
      </c>
      <c r="V60" s="627" t="str">
        <f t="shared" si="2"/>
        <v>0120-TCN18</v>
      </c>
      <c r="W60" s="626">
        <f t="shared" si="3"/>
        <v>1520105</v>
      </c>
      <c r="X60" s="626" t="str">
        <f t="shared" si="4"/>
        <v>HILUX PICK UP CHASSIS CAB</v>
      </c>
      <c r="Y60" s="627">
        <f t="shared" si="4"/>
        <v>2018</v>
      </c>
      <c r="Z60" s="628">
        <f t="shared" si="5"/>
        <v>238587.85</v>
      </c>
      <c r="AA60" s="629"/>
      <c r="AB60" s="755"/>
      <c r="AC60" s="629">
        <f t="shared" si="12"/>
        <v>0.01</v>
      </c>
      <c r="AD60" s="630">
        <f t="shared" si="13"/>
        <v>0.02</v>
      </c>
      <c r="AE60" s="629">
        <f t="shared" si="14"/>
        <v>0</v>
      </c>
      <c r="AF60" s="629">
        <f t="shared" si="42"/>
        <v>11929.39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721" t="s">
        <v>7281</v>
      </c>
      <c r="C61" s="771">
        <v>1520105</v>
      </c>
      <c r="D61" s="771">
        <v>7494</v>
      </c>
      <c r="E61" s="771" t="s">
        <v>712</v>
      </c>
      <c r="F61" s="546">
        <v>2018</v>
      </c>
      <c r="G61" s="772">
        <v>43027</v>
      </c>
      <c r="H61" s="771" t="s">
        <v>727</v>
      </c>
      <c r="I61" s="771" t="s">
        <v>6964</v>
      </c>
      <c r="J61" s="712"/>
      <c r="K61" s="771" t="s">
        <v>6966</v>
      </c>
      <c r="L61" s="771" t="s">
        <v>6965</v>
      </c>
      <c r="M61" s="773">
        <v>238587.85</v>
      </c>
      <c r="N61" s="773">
        <v>11929.39</v>
      </c>
      <c r="O61" s="773">
        <v>40082.76</v>
      </c>
      <c r="P61" s="773">
        <v>290600</v>
      </c>
      <c r="Q61" s="548"/>
      <c r="R61" s="773">
        <v>219059.16</v>
      </c>
      <c r="S61" s="549">
        <f t="shared" si="0"/>
        <v>71540.84</v>
      </c>
      <c r="T61" s="113" t="s">
        <v>1932</v>
      </c>
      <c r="U61" s="626" t="str">
        <f t="shared" si="1"/>
        <v>AA12112</v>
      </c>
      <c r="V61" s="627" t="str">
        <f t="shared" si="2"/>
        <v>0126-TCN18</v>
      </c>
      <c r="W61" s="626">
        <f t="shared" si="3"/>
        <v>1520105</v>
      </c>
      <c r="X61" s="626" t="str">
        <f t="shared" si="4"/>
        <v>HILUX PICK UP CHASSIS CAB</v>
      </c>
      <c r="Y61" s="627">
        <f t="shared" si="4"/>
        <v>2018</v>
      </c>
      <c r="Z61" s="628">
        <f t="shared" si="5"/>
        <v>238587.85</v>
      </c>
      <c r="AA61" s="629"/>
      <c r="AB61" s="755"/>
      <c r="AC61" s="629">
        <f t="shared" si="12"/>
        <v>0.01</v>
      </c>
      <c r="AD61" s="630">
        <f t="shared" si="13"/>
        <v>0.02</v>
      </c>
      <c r="AE61" s="629">
        <f t="shared" si="14"/>
        <v>0</v>
      </c>
      <c r="AF61" s="629">
        <f t="shared" si="42"/>
        <v>11929.39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721" t="s">
        <v>7279</v>
      </c>
      <c r="C62" s="771">
        <v>1520105</v>
      </c>
      <c r="D62" s="771">
        <v>7494</v>
      </c>
      <c r="E62" s="771" t="s">
        <v>712</v>
      </c>
      <c r="F62" s="546">
        <v>2018</v>
      </c>
      <c r="G62" s="772">
        <v>43026</v>
      </c>
      <c r="H62" s="771" t="s">
        <v>2214</v>
      </c>
      <c r="I62" s="771" t="s">
        <v>6959</v>
      </c>
      <c r="J62" s="712"/>
      <c r="K62" s="771" t="s">
        <v>6961</v>
      </c>
      <c r="L62" s="771" t="s">
        <v>6960</v>
      </c>
      <c r="M62" s="773">
        <v>238587.85</v>
      </c>
      <c r="N62" s="773">
        <v>11929.39</v>
      </c>
      <c r="O62" s="773">
        <v>40082.76</v>
      </c>
      <c r="P62" s="773">
        <v>290600</v>
      </c>
      <c r="Q62" s="548"/>
      <c r="R62" s="773">
        <v>218704.67</v>
      </c>
      <c r="S62" s="549">
        <f t="shared" si="0"/>
        <v>71895.329999999987</v>
      </c>
      <c r="T62" s="113" t="s">
        <v>1932</v>
      </c>
      <c r="U62" s="626" t="str">
        <f t="shared" si="1"/>
        <v>AA12103</v>
      </c>
      <c r="V62" s="627" t="str">
        <f t="shared" si="2"/>
        <v>0118-TCN18</v>
      </c>
      <c r="W62" s="626">
        <f t="shared" si="3"/>
        <v>1520105</v>
      </c>
      <c r="X62" s="626" t="str">
        <f t="shared" si="4"/>
        <v>HILUX PICK UP CHASSIS CAB</v>
      </c>
      <c r="Y62" s="627">
        <f t="shared" si="4"/>
        <v>2018</v>
      </c>
      <c r="Z62" s="777">
        <f t="shared" si="5"/>
        <v>238587.85</v>
      </c>
      <c r="AA62" s="629"/>
      <c r="AB62" s="755"/>
      <c r="AC62" s="779">
        <f t="shared" si="12"/>
        <v>0.01</v>
      </c>
      <c r="AD62" s="726">
        <f t="shared" si="13"/>
        <v>0.02</v>
      </c>
      <c r="AE62" s="727">
        <f t="shared" si="14"/>
        <v>0</v>
      </c>
      <c r="AF62" s="727">
        <f t="shared" ref="AF62:AF65" si="43">+N62</f>
        <v>11929.39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721" t="s">
        <v>7283</v>
      </c>
      <c r="C63" s="771">
        <v>1520105</v>
      </c>
      <c r="D63" s="771">
        <v>7494</v>
      </c>
      <c r="E63" s="771" t="s">
        <v>712</v>
      </c>
      <c r="F63" s="546">
        <v>2018</v>
      </c>
      <c r="G63" s="772">
        <v>43039</v>
      </c>
      <c r="H63" s="771" t="s">
        <v>5129</v>
      </c>
      <c r="I63" s="771" t="s">
        <v>6970</v>
      </c>
      <c r="J63" s="712"/>
      <c r="K63" s="771" t="s">
        <v>6972</v>
      </c>
      <c r="L63" s="771" t="s">
        <v>6971</v>
      </c>
      <c r="M63" s="773">
        <v>238587.85</v>
      </c>
      <c r="N63" s="773">
        <v>11929.39</v>
      </c>
      <c r="O63" s="773">
        <v>40082.76</v>
      </c>
      <c r="P63" s="773">
        <v>290600</v>
      </c>
      <c r="Q63" s="548"/>
      <c r="R63" s="773">
        <v>218704.68</v>
      </c>
      <c r="S63" s="549">
        <f t="shared" si="0"/>
        <v>71895.320000000007</v>
      </c>
      <c r="T63" s="113" t="s">
        <v>1932</v>
      </c>
      <c r="U63" s="626" t="str">
        <f t="shared" si="1"/>
        <v>AA12206</v>
      </c>
      <c r="V63" s="627" t="str">
        <f t="shared" si="2"/>
        <v>0181-TCN18</v>
      </c>
      <c r="W63" s="626">
        <f t="shared" si="3"/>
        <v>1520105</v>
      </c>
      <c r="X63" s="626" t="str">
        <f t="shared" si="4"/>
        <v>HILUX PICK UP CHASSIS CAB</v>
      </c>
      <c r="Y63" s="627">
        <f t="shared" si="4"/>
        <v>2018</v>
      </c>
      <c r="Z63" s="777">
        <f t="shared" si="5"/>
        <v>238587.85</v>
      </c>
      <c r="AA63" s="629">
        <f>+SUM(Z59:Z63)</f>
        <v>1192939.25</v>
      </c>
      <c r="AB63" s="762">
        <v>5</v>
      </c>
      <c r="AC63" s="779">
        <f t="shared" si="12"/>
        <v>0.01</v>
      </c>
      <c r="AD63" s="726">
        <f t="shared" si="13"/>
        <v>0.02</v>
      </c>
      <c r="AE63" s="727">
        <f t="shared" si="14"/>
        <v>0</v>
      </c>
      <c r="AF63" s="727">
        <f t="shared" si="43"/>
        <v>11929.39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721" t="s">
        <v>7311</v>
      </c>
      <c r="C64" s="771">
        <v>1520107</v>
      </c>
      <c r="D64" s="771">
        <v>7495</v>
      </c>
      <c r="E64" s="771" t="s">
        <v>718</v>
      </c>
      <c r="F64" s="546">
        <v>2018</v>
      </c>
      <c r="G64" s="772">
        <v>43039</v>
      </c>
      <c r="H64" s="771" t="s">
        <v>792</v>
      </c>
      <c r="I64" s="771" t="s">
        <v>7021</v>
      </c>
      <c r="J64" s="712"/>
      <c r="K64" s="771" t="s">
        <v>7020</v>
      </c>
      <c r="L64" s="771" t="s">
        <v>7022</v>
      </c>
      <c r="M64" s="773">
        <v>302298.84999999998</v>
      </c>
      <c r="N64" s="773">
        <v>15114.94</v>
      </c>
      <c r="O64" s="773">
        <v>50786.21</v>
      </c>
      <c r="P64" s="773">
        <v>368200</v>
      </c>
      <c r="Q64" s="548"/>
      <c r="R64" s="773">
        <v>267271.96000000002</v>
      </c>
      <c r="S64" s="549">
        <f t="shared" si="0"/>
        <v>100928.03999999998</v>
      </c>
      <c r="T64" s="113" t="s">
        <v>1932</v>
      </c>
      <c r="U64" s="626" t="str">
        <f t="shared" si="1"/>
        <v>AA12195</v>
      </c>
      <c r="V64" s="627" t="str">
        <f t="shared" si="2"/>
        <v>0147-TCN18</v>
      </c>
      <c r="W64" s="626">
        <f t="shared" si="3"/>
        <v>1520107</v>
      </c>
      <c r="X64" s="626" t="str">
        <f t="shared" si="4"/>
        <v>HILUX PICK UP D CAB SR A/C</v>
      </c>
      <c r="Y64" s="627">
        <f t="shared" si="4"/>
        <v>2018</v>
      </c>
      <c r="Z64" s="777">
        <f t="shared" si="5"/>
        <v>302298.84999999998</v>
      </c>
      <c r="AA64" s="629"/>
      <c r="AB64" s="755"/>
      <c r="AC64" s="779">
        <f t="shared" si="12"/>
        <v>295708.34000000003</v>
      </c>
      <c r="AD64" s="726">
        <f t="shared" si="13"/>
        <v>0.1</v>
      </c>
      <c r="AE64" s="727">
        <f t="shared" si="14"/>
        <v>7392.74</v>
      </c>
      <c r="AF64" s="727">
        <f t="shared" si="43"/>
        <v>15114.94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721" t="s">
        <v>7313</v>
      </c>
      <c r="C65" s="771">
        <v>1520107</v>
      </c>
      <c r="D65" s="771">
        <v>7495</v>
      </c>
      <c r="E65" s="771" t="s">
        <v>718</v>
      </c>
      <c r="F65" s="546">
        <v>2018</v>
      </c>
      <c r="G65" s="772">
        <v>43039</v>
      </c>
      <c r="H65" s="771" t="s">
        <v>739</v>
      </c>
      <c r="I65" s="771" t="s">
        <v>7018</v>
      </c>
      <c r="J65" s="712"/>
      <c r="K65" s="771" t="s">
        <v>7023</v>
      </c>
      <c r="L65" s="771" t="s">
        <v>7019</v>
      </c>
      <c r="M65" s="773">
        <v>302298.84999999998</v>
      </c>
      <c r="N65" s="773">
        <v>15114.94</v>
      </c>
      <c r="O65" s="773">
        <v>50786.21</v>
      </c>
      <c r="P65" s="773">
        <v>368200</v>
      </c>
      <c r="Q65" s="548"/>
      <c r="R65" s="773">
        <v>267626.44</v>
      </c>
      <c r="S65" s="549">
        <f t="shared" si="0"/>
        <v>100573.56</v>
      </c>
      <c r="T65" s="113" t="s">
        <v>1932</v>
      </c>
      <c r="U65" s="626" t="str">
        <f t="shared" si="1"/>
        <v>AA12197</v>
      </c>
      <c r="V65" s="627" t="str">
        <f t="shared" si="2"/>
        <v>0149-TCN18</v>
      </c>
      <c r="W65" s="626">
        <f t="shared" si="3"/>
        <v>1520107</v>
      </c>
      <c r="X65" s="626" t="str">
        <f t="shared" si="4"/>
        <v>HILUX PICK UP D CAB SR A/C</v>
      </c>
      <c r="Y65" s="627">
        <f t="shared" si="4"/>
        <v>2018</v>
      </c>
      <c r="Z65" s="777">
        <f t="shared" si="5"/>
        <v>302298.84999999998</v>
      </c>
      <c r="AA65" s="629"/>
      <c r="AB65" s="755"/>
      <c r="AC65" s="779">
        <f t="shared" si="12"/>
        <v>295708.34000000003</v>
      </c>
      <c r="AD65" s="726">
        <f t="shared" si="13"/>
        <v>0.1</v>
      </c>
      <c r="AE65" s="727">
        <f t="shared" si="14"/>
        <v>7392.74</v>
      </c>
      <c r="AF65" s="727">
        <f t="shared" si="43"/>
        <v>15114.94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721" t="s">
        <v>7314</v>
      </c>
      <c r="C66" s="771">
        <v>1520107</v>
      </c>
      <c r="D66" s="771">
        <v>7495</v>
      </c>
      <c r="E66" s="771" t="s">
        <v>718</v>
      </c>
      <c r="F66" s="546">
        <v>2018</v>
      </c>
      <c r="G66" s="772">
        <v>43039</v>
      </c>
      <c r="H66" s="771" t="s">
        <v>2954</v>
      </c>
      <c r="I66" s="771" t="s">
        <v>7024</v>
      </c>
      <c r="J66" s="712"/>
      <c r="K66" s="771" t="s">
        <v>7026</v>
      </c>
      <c r="L66" s="771" t="s">
        <v>7025</v>
      </c>
      <c r="M66" s="773">
        <v>302298.84999999998</v>
      </c>
      <c r="N66" s="773">
        <v>15114.94</v>
      </c>
      <c r="O66" s="773">
        <v>50786.21</v>
      </c>
      <c r="P66" s="773">
        <v>368200</v>
      </c>
      <c r="Q66" s="548"/>
      <c r="R66" s="773">
        <v>267271.96000000002</v>
      </c>
      <c r="S66" s="549">
        <f t="shared" si="0"/>
        <v>100928.03999999998</v>
      </c>
      <c r="T66" s="113" t="s">
        <v>1932</v>
      </c>
      <c r="U66" s="626" t="str">
        <f t="shared" si="1"/>
        <v>AA12199</v>
      </c>
      <c r="V66" s="627" t="str">
        <f t="shared" si="2"/>
        <v>0156-TCN18</v>
      </c>
      <c r="W66" s="626">
        <f t="shared" si="3"/>
        <v>1520107</v>
      </c>
      <c r="X66" s="626" t="str">
        <f t="shared" si="4"/>
        <v>HILUX PICK UP D CAB SR A/C</v>
      </c>
      <c r="Y66" s="627">
        <f t="shared" si="4"/>
        <v>2018</v>
      </c>
      <c r="Z66" s="777">
        <f t="shared" si="5"/>
        <v>302298.84999999998</v>
      </c>
      <c r="AA66" s="629">
        <f>+SUM(Z64:Z66)</f>
        <v>906896.54999999993</v>
      </c>
      <c r="AB66" s="762">
        <v>3</v>
      </c>
      <c r="AC66" s="780">
        <f t="shared" si="12"/>
        <v>295708.34000000003</v>
      </c>
      <c r="AD66" s="630">
        <f t="shared" si="13"/>
        <v>0.1</v>
      </c>
      <c r="AE66" s="555">
        <f t="shared" si="14"/>
        <v>7392.74</v>
      </c>
      <c r="AF66" s="555">
        <f t="shared" ref="AF66:AF94" si="44">+N66</f>
        <v>15114.94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721" t="s">
        <v>7248</v>
      </c>
      <c r="C67" s="771">
        <v>1520202</v>
      </c>
      <c r="D67" s="771">
        <v>5611</v>
      </c>
      <c r="E67" s="771" t="s">
        <v>225</v>
      </c>
      <c r="F67" s="546">
        <v>2018</v>
      </c>
      <c r="G67" s="772">
        <v>43034</v>
      </c>
      <c r="H67" s="771" t="s">
        <v>2216</v>
      </c>
      <c r="I67" s="771" t="s">
        <v>6906</v>
      </c>
      <c r="J67" s="712"/>
      <c r="K67" s="771" t="s">
        <v>6908</v>
      </c>
      <c r="L67" s="771" t="s">
        <v>6907</v>
      </c>
      <c r="M67" s="773">
        <v>394255.04</v>
      </c>
      <c r="N67" s="773">
        <v>19710.48</v>
      </c>
      <c r="O67" s="773">
        <v>66234.48</v>
      </c>
      <c r="P67" s="773">
        <v>480200</v>
      </c>
      <c r="Q67" s="548"/>
      <c r="R67" s="773">
        <v>349193.41</v>
      </c>
      <c r="S67" s="549">
        <f t="shared" si="0"/>
        <v>131006.59000000003</v>
      </c>
      <c r="T67" s="267" t="s">
        <v>1932</v>
      </c>
      <c r="U67" s="626" t="str">
        <f t="shared" si="1"/>
        <v>AA12162</v>
      </c>
      <c r="V67" s="627" t="str">
        <f t="shared" si="2"/>
        <v>0142-TCN18</v>
      </c>
      <c r="W67" s="626">
        <f t="shared" si="3"/>
        <v>1520202</v>
      </c>
      <c r="X67" s="626" t="str">
        <f t="shared" si="4"/>
        <v>HIACE PANEL 15 PASAJ AC</v>
      </c>
      <c r="Y67" s="627">
        <f t="shared" si="4"/>
        <v>2018</v>
      </c>
      <c r="Z67" s="777">
        <f t="shared" si="5"/>
        <v>394255.04</v>
      </c>
      <c r="AA67" s="629"/>
      <c r="AB67" s="755"/>
      <c r="AC67" s="780">
        <f t="shared" si="12"/>
        <v>344993.21</v>
      </c>
      <c r="AD67" s="630">
        <f t="shared" si="13"/>
        <v>0.15</v>
      </c>
      <c r="AE67" s="555">
        <f t="shared" si="14"/>
        <v>12321.2</v>
      </c>
      <c r="AF67" s="555">
        <f t="shared" si="44"/>
        <v>19710.48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721" t="s">
        <v>7243</v>
      </c>
      <c r="C68" s="771">
        <v>1520202</v>
      </c>
      <c r="D68" s="771">
        <v>5601</v>
      </c>
      <c r="E68" s="771" t="s">
        <v>221</v>
      </c>
      <c r="F68" s="546">
        <v>2018</v>
      </c>
      <c r="G68" s="772">
        <v>43034</v>
      </c>
      <c r="H68" s="771" t="s">
        <v>2214</v>
      </c>
      <c r="I68" s="771" t="s">
        <v>6898</v>
      </c>
      <c r="J68" s="712"/>
      <c r="K68" s="771" t="s">
        <v>6900</v>
      </c>
      <c r="L68" s="771" t="s">
        <v>6899</v>
      </c>
      <c r="M68" s="773">
        <v>329064.03999999998</v>
      </c>
      <c r="N68" s="773">
        <v>16453.2</v>
      </c>
      <c r="O68" s="773">
        <v>55282.76</v>
      </c>
      <c r="P68" s="773">
        <v>400800</v>
      </c>
      <c r="Q68" s="548"/>
      <c r="R68" s="773">
        <v>291825.32</v>
      </c>
      <c r="S68" s="549">
        <f t="shared" si="0"/>
        <v>108974.68</v>
      </c>
      <c r="T68" s="113" t="s">
        <v>1932</v>
      </c>
      <c r="U68" s="626" t="str">
        <f t="shared" si="1"/>
        <v>AA12153</v>
      </c>
      <c r="V68" s="627" t="str">
        <f t="shared" si="2"/>
        <v>0141-TCN18</v>
      </c>
      <c r="W68" s="626">
        <f t="shared" si="3"/>
        <v>1520202</v>
      </c>
      <c r="X68" s="626" t="str">
        <f t="shared" si="4"/>
        <v>HIACE PANEL SUPER LARGA</v>
      </c>
      <c r="Y68" s="627">
        <f t="shared" si="4"/>
        <v>2018</v>
      </c>
      <c r="Z68" s="777">
        <f t="shared" si="5"/>
        <v>329064.03999999998</v>
      </c>
      <c r="AA68" s="629"/>
      <c r="AB68" s="755"/>
      <c r="AC68" s="780">
        <f t="shared" si="12"/>
        <v>295708.34000000003</v>
      </c>
      <c r="AD68" s="630">
        <f t="shared" si="13"/>
        <v>0.1</v>
      </c>
      <c r="AE68" s="555">
        <f t="shared" si="14"/>
        <v>7392.74</v>
      </c>
      <c r="AF68" s="555">
        <f t="shared" si="44"/>
        <v>16453.2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721" t="s">
        <v>7247</v>
      </c>
      <c r="C69" s="771">
        <v>1520202</v>
      </c>
      <c r="D69" s="771">
        <v>5611</v>
      </c>
      <c r="E69" s="771" t="s">
        <v>225</v>
      </c>
      <c r="F69" s="546">
        <v>2018</v>
      </c>
      <c r="G69" s="772">
        <v>43027</v>
      </c>
      <c r="H69" s="771" t="s">
        <v>817</v>
      </c>
      <c r="I69" s="771" t="s">
        <v>6904</v>
      </c>
      <c r="J69" s="712"/>
      <c r="K69" s="771" t="s">
        <v>6495</v>
      </c>
      <c r="L69" s="771" t="s">
        <v>6905</v>
      </c>
      <c r="M69" s="773">
        <v>394255.04</v>
      </c>
      <c r="N69" s="773">
        <v>19710.48</v>
      </c>
      <c r="O69" s="773">
        <v>66234.48</v>
      </c>
      <c r="P69" s="773">
        <v>480200</v>
      </c>
      <c r="Q69" s="548"/>
      <c r="R69" s="773">
        <v>349193.41</v>
      </c>
      <c r="S69" s="549">
        <f t="shared" si="0"/>
        <v>131006.59000000003</v>
      </c>
      <c r="T69" s="113" t="s">
        <v>1932</v>
      </c>
      <c r="U69" s="626" t="str">
        <f t="shared" si="1"/>
        <v>AA12108</v>
      </c>
      <c r="V69" s="627" t="str">
        <f t="shared" si="2"/>
        <v>0116-TCN18</v>
      </c>
      <c r="W69" s="626">
        <f t="shared" si="3"/>
        <v>1520202</v>
      </c>
      <c r="X69" s="626" t="str">
        <f t="shared" si="4"/>
        <v>HIACE PANEL 15 PASAJ AC</v>
      </c>
      <c r="Y69" s="627">
        <f t="shared" si="4"/>
        <v>2018</v>
      </c>
      <c r="Z69" s="777">
        <f t="shared" si="5"/>
        <v>394255.04</v>
      </c>
      <c r="AA69" s="629"/>
      <c r="AB69" s="755"/>
      <c r="AC69" s="780">
        <f t="shared" si="12"/>
        <v>344993.21</v>
      </c>
      <c r="AD69" s="630">
        <f t="shared" si="13"/>
        <v>0.15</v>
      </c>
      <c r="AE69" s="555">
        <f t="shared" si="14"/>
        <v>12321.2</v>
      </c>
      <c r="AF69" s="555">
        <f t="shared" si="44"/>
        <v>19710.48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721" t="s">
        <v>7246</v>
      </c>
      <c r="C70" s="771">
        <v>1520202</v>
      </c>
      <c r="D70" s="771">
        <v>5611</v>
      </c>
      <c r="E70" s="771" t="s">
        <v>225</v>
      </c>
      <c r="F70" s="546">
        <v>2018</v>
      </c>
      <c r="G70" s="772">
        <v>43026</v>
      </c>
      <c r="H70" s="771" t="s">
        <v>2216</v>
      </c>
      <c r="I70" s="771" t="s">
        <v>6901</v>
      </c>
      <c r="J70" s="712"/>
      <c r="K70" s="771" t="s">
        <v>6903</v>
      </c>
      <c r="L70" s="771" t="s">
        <v>6902</v>
      </c>
      <c r="M70" s="773">
        <v>394255.04</v>
      </c>
      <c r="N70" s="773">
        <v>19710.48</v>
      </c>
      <c r="O70" s="773">
        <v>66234.48</v>
      </c>
      <c r="P70" s="773">
        <v>480200</v>
      </c>
      <c r="Q70" s="548"/>
      <c r="R70" s="773">
        <v>349547.89</v>
      </c>
      <c r="S70" s="549">
        <f t="shared" ref="S70:S133" si="45">+P70-R70</f>
        <v>130652.10999999999</v>
      </c>
      <c r="T70" s="267" t="s">
        <v>1932</v>
      </c>
      <c r="U70" s="626" t="str">
        <f t="shared" si="1"/>
        <v>AA12106</v>
      </c>
      <c r="V70" s="627" t="str">
        <f t="shared" si="2"/>
        <v>0117-TCN18</v>
      </c>
      <c r="W70" s="626">
        <f t="shared" si="3"/>
        <v>1520202</v>
      </c>
      <c r="X70" s="626" t="str">
        <f t="shared" si="4"/>
        <v>HIACE PANEL 15 PASAJ AC</v>
      </c>
      <c r="Y70" s="627">
        <f t="shared" si="4"/>
        <v>2018</v>
      </c>
      <c r="Z70" s="777">
        <f t="shared" si="5"/>
        <v>394255.04</v>
      </c>
      <c r="AA70" s="629">
        <f>+SUM(Z67:Z70)</f>
        <v>1511829.16</v>
      </c>
      <c r="AB70" s="762">
        <v>4</v>
      </c>
      <c r="AC70" s="780">
        <f t="shared" ref="AC70:AC94" si="46">VLOOKUP(Z70,TARIFA,1)</f>
        <v>344993.21</v>
      </c>
      <c r="AD70" s="630">
        <f t="shared" ref="AD70:AD94" si="47">VLOOKUP(Z70,TARIFA,4)</f>
        <v>0.15</v>
      </c>
      <c r="AE70" s="555">
        <f t="shared" ref="AE70:AE94" si="48">VLOOKUP(Z70,TARIFA,3)</f>
        <v>12321.2</v>
      </c>
      <c r="AF70" s="555">
        <f t="shared" si="44"/>
        <v>19710.48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721" t="s">
        <v>7263</v>
      </c>
      <c r="C71" s="771">
        <v>1520302</v>
      </c>
      <c r="D71" s="771">
        <v>7441</v>
      </c>
      <c r="E71" s="771" t="s">
        <v>715</v>
      </c>
      <c r="F71" s="546">
        <v>2017</v>
      </c>
      <c r="G71" s="772">
        <v>43027</v>
      </c>
      <c r="H71" s="771" t="s">
        <v>788</v>
      </c>
      <c r="I71" s="771" t="s">
        <v>6928</v>
      </c>
      <c r="J71" s="712"/>
      <c r="K71" s="771" t="s">
        <v>1022</v>
      </c>
      <c r="L71" s="771" t="s">
        <v>6929</v>
      </c>
      <c r="M71" s="773">
        <v>499178.98</v>
      </c>
      <c r="N71" s="773">
        <v>24958.95</v>
      </c>
      <c r="O71" s="773">
        <v>83862.070000000007</v>
      </c>
      <c r="P71" s="773">
        <v>608000</v>
      </c>
      <c r="Q71" s="548"/>
      <c r="R71" s="773">
        <v>470878.28</v>
      </c>
      <c r="S71" s="549">
        <f t="shared" si="45"/>
        <v>137121.71999999997</v>
      </c>
      <c r="T71" s="267" t="s">
        <v>1932</v>
      </c>
      <c r="U71" s="626" t="str">
        <f t="shared" ref="U71:U94" si="49">+B71</f>
        <v>AA12111</v>
      </c>
      <c r="V71" s="627" t="str">
        <f t="shared" ref="V71:V94" si="50">+I71</f>
        <v>1918-TCN17</v>
      </c>
      <c r="W71" s="626">
        <f t="shared" ref="W71:W94" si="51">+C71</f>
        <v>1520302</v>
      </c>
      <c r="X71" s="626" t="str">
        <f t="shared" ref="X71:Y86" si="52">+E71</f>
        <v>TACOMA 4X4</v>
      </c>
      <c r="Y71" s="627">
        <f t="shared" si="52"/>
        <v>2017</v>
      </c>
      <c r="Z71" s="777">
        <f t="shared" ref="Z71:Z94" si="53">+M71</f>
        <v>499178.98</v>
      </c>
      <c r="AA71" s="629"/>
      <c r="AB71" s="755"/>
      <c r="AC71" s="780">
        <f t="shared" si="46"/>
        <v>443562.4</v>
      </c>
      <c r="AD71" s="630">
        <f t="shared" si="47"/>
        <v>0.17</v>
      </c>
      <c r="AE71" s="555">
        <f t="shared" si="48"/>
        <v>27106.55</v>
      </c>
      <c r="AF71" s="555">
        <f t="shared" si="44"/>
        <v>24958.95</v>
      </c>
      <c r="AG71" s="555">
        <f t="shared" ref="AG71:AG94" si="54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55">+A71+1</f>
        <v>67</v>
      </c>
      <c r="B72" s="721" t="s">
        <v>7265</v>
      </c>
      <c r="C72" s="771">
        <v>1520302</v>
      </c>
      <c r="D72" s="771">
        <v>7441</v>
      </c>
      <c r="E72" s="771" t="s">
        <v>715</v>
      </c>
      <c r="F72" s="546">
        <v>2017</v>
      </c>
      <c r="G72" s="772">
        <v>43038</v>
      </c>
      <c r="H72" s="771" t="s">
        <v>2214</v>
      </c>
      <c r="I72" s="771" t="s">
        <v>6932</v>
      </c>
      <c r="J72" s="712"/>
      <c r="K72" s="771" t="s">
        <v>6934</v>
      </c>
      <c r="L72" s="771" t="s">
        <v>6933</v>
      </c>
      <c r="M72" s="773">
        <v>532019.69999999995</v>
      </c>
      <c r="N72" s="773">
        <v>26600.99</v>
      </c>
      <c r="O72" s="773">
        <v>89379.31</v>
      </c>
      <c r="P72" s="773">
        <v>648000</v>
      </c>
      <c r="Q72" s="548"/>
      <c r="R72" s="773">
        <v>471232.76</v>
      </c>
      <c r="S72" s="549">
        <f t="shared" si="45"/>
        <v>176767.24</v>
      </c>
      <c r="T72" s="113" t="s">
        <v>1932</v>
      </c>
      <c r="U72" s="626" t="str">
        <f t="shared" si="49"/>
        <v>AA12186</v>
      </c>
      <c r="V72" s="627" t="str">
        <f t="shared" si="50"/>
        <v>1938-TCN17</v>
      </c>
      <c r="W72" s="626">
        <f t="shared" si="51"/>
        <v>1520302</v>
      </c>
      <c r="X72" s="626" t="str">
        <f t="shared" si="52"/>
        <v>TACOMA 4X4</v>
      </c>
      <c r="Y72" s="627">
        <f t="shared" si="52"/>
        <v>2017</v>
      </c>
      <c r="Z72" s="777">
        <f t="shared" si="53"/>
        <v>532019.69999999995</v>
      </c>
      <c r="AA72" s="629">
        <f>+Z72+Z71</f>
        <v>1031198.6799999999</v>
      </c>
      <c r="AB72" s="762">
        <v>2</v>
      </c>
      <c r="AC72" s="779">
        <f t="shared" si="46"/>
        <v>443562.4</v>
      </c>
      <c r="AD72" s="726">
        <f t="shared" si="47"/>
        <v>0.17</v>
      </c>
      <c r="AE72" s="727">
        <f t="shared" si="48"/>
        <v>27106.55</v>
      </c>
      <c r="AF72" s="727">
        <f t="shared" si="44"/>
        <v>26600.99</v>
      </c>
      <c r="AG72" s="555">
        <f t="shared" si="54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55"/>
        <v>68</v>
      </c>
      <c r="B73" s="721" t="s">
        <v>7255</v>
      </c>
      <c r="C73" s="771">
        <v>1520304</v>
      </c>
      <c r="D73" s="771">
        <v>7440</v>
      </c>
      <c r="E73" s="771" t="s">
        <v>1520</v>
      </c>
      <c r="F73" s="546">
        <v>2017</v>
      </c>
      <c r="G73" s="772">
        <v>43035</v>
      </c>
      <c r="H73" s="771" t="s">
        <v>817</v>
      </c>
      <c r="I73" s="771" t="s">
        <v>6922</v>
      </c>
      <c r="J73" s="712"/>
      <c r="K73" s="771" t="s">
        <v>6924</v>
      </c>
      <c r="L73" s="771" t="s">
        <v>6923</v>
      </c>
      <c r="M73" s="773">
        <v>586781.61</v>
      </c>
      <c r="N73" s="773">
        <v>29339.08</v>
      </c>
      <c r="O73" s="773">
        <v>98579.31</v>
      </c>
      <c r="P73" s="773">
        <v>714700</v>
      </c>
      <c r="Q73" s="548"/>
      <c r="R73" s="773">
        <v>519067.76</v>
      </c>
      <c r="S73" s="549">
        <f t="shared" si="45"/>
        <v>195632.24</v>
      </c>
      <c r="T73" s="113" t="s">
        <v>1932</v>
      </c>
      <c r="U73" s="626" t="str">
        <f t="shared" si="49"/>
        <v>AA12164</v>
      </c>
      <c r="V73" s="627" t="str">
        <f t="shared" si="50"/>
        <v>1924-TCN17</v>
      </c>
      <c r="W73" s="626">
        <f t="shared" si="51"/>
        <v>1520304</v>
      </c>
      <c r="X73" s="626" t="str">
        <f t="shared" si="52"/>
        <v>TACOMA EDICION ESPECIAL</v>
      </c>
      <c r="Y73" s="627">
        <f t="shared" si="52"/>
        <v>2017</v>
      </c>
      <c r="Z73" s="777">
        <f t="shared" si="53"/>
        <v>586781.61</v>
      </c>
      <c r="AA73" s="629"/>
      <c r="AB73" s="755"/>
      <c r="AC73" s="779">
        <f t="shared" si="46"/>
        <v>443562.4</v>
      </c>
      <c r="AD73" s="726">
        <f t="shared" si="47"/>
        <v>0.17</v>
      </c>
      <c r="AE73" s="727">
        <f t="shared" si="48"/>
        <v>27106.55</v>
      </c>
      <c r="AF73" s="727">
        <f t="shared" si="44"/>
        <v>29339.08</v>
      </c>
      <c r="AG73" s="555">
        <f t="shared" si="54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55"/>
        <v>69</v>
      </c>
      <c r="B74" s="721" t="s">
        <v>7253</v>
      </c>
      <c r="C74" s="771">
        <v>1520304</v>
      </c>
      <c r="D74" s="771">
        <v>7440</v>
      </c>
      <c r="E74" s="771" t="s">
        <v>1520</v>
      </c>
      <c r="F74" s="546">
        <v>2017</v>
      </c>
      <c r="G74" s="772">
        <v>43022</v>
      </c>
      <c r="H74" s="771" t="s">
        <v>727</v>
      </c>
      <c r="I74" s="771" t="s">
        <v>6917</v>
      </c>
      <c r="J74" s="712"/>
      <c r="K74" s="771" t="s">
        <v>6916</v>
      </c>
      <c r="L74" s="771" t="s">
        <v>6918</v>
      </c>
      <c r="M74" s="773">
        <v>550082.1</v>
      </c>
      <c r="N74" s="773">
        <v>27504.11</v>
      </c>
      <c r="O74" s="773">
        <v>92413.79</v>
      </c>
      <c r="P74" s="773">
        <v>670000</v>
      </c>
      <c r="Q74" s="548"/>
      <c r="R74" s="773">
        <v>519067.76</v>
      </c>
      <c r="S74" s="549">
        <f t="shared" si="45"/>
        <v>150932.24</v>
      </c>
      <c r="T74" s="113" t="s">
        <v>1932</v>
      </c>
      <c r="U74" s="626" t="str">
        <f t="shared" si="49"/>
        <v>AA12077</v>
      </c>
      <c r="V74" s="627" t="str">
        <f t="shared" si="50"/>
        <v>1876-TCN17</v>
      </c>
      <c r="W74" s="626">
        <f t="shared" si="51"/>
        <v>1520304</v>
      </c>
      <c r="X74" s="626" t="str">
        <f t="shared" si="52"/>
        <v>TACOMA EDICION ESPECIAL</v>
      </c>
      <c r="Y74" s="627">
        <f t="shared" si="52"/>
        <v>2017</v>
      </c>
      <c r="Z74" s="777">
        <f t="shared" si="53"/>
        <v>550082.1</v>
      </c>
      <c r="AA74" s="629"/>
      <c r="AB74" s="755"/>
      <c r="AC74" s="779">
        <f t="shared" si="46"/>
        <v>443562.4</v>
      </c>
      <c r="AD74" s="726">
        <f t="shared" si="47"/>
        <v>0.17</v>
      </c>
      <c r="AE74" s="727">
        <f t="shared" si="48"/>
        <v>27106.55</v>
      </c>
      <c r="AF74" s="727">
        <f t="shared" si="44"/>
        <v>27504.11</v>
      </c>
      <c r="AG74" s="555">
        <f t="shared" si="54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55"/>
        <v>70</v>
      </c>
      <c r="B75" s="721" t="s">
        <v>7252</v>
      </c>
      <c r="C75" s="771">
        <v>1520304</v>
      </c>
      <c r="D75" s="771">
        <v>7440</v>
      </c>
      <c r="E75" s="771" t="s">
        <v>1520</v>
      </c>
      <c r="F75" s="546">
        <v>2017</v>
      </c>
      <c r="G75" s="772">
        <v>43021</v>
      </c>
      <c r="H75" s="771" t="s">
        <v>727</v>
      </c>
      <c r="I75" s="771" t="s">
        <v>6914</v>
      </c>
      <c r="J75" s="712"/>
      <c r="K75" s="771" t="s">
        <v>6916</v>
      </c>
      <c r="L75" s="771" t="s">
        <v>6915</v>
      </c>
      <c r="M75" s="773">
        <v>550082.1</v>
      </c>
      <c r="N75" s="773">
        <v>27504.11</v>
      </c>
      <c r="O75" s="773">
        <v>92413.79</v>
      </c>
      <c r="P75" s="773">
        <v>670000</v>
      </c>
      <c r="Q75" s="548"/>
      <c r="R75" s="773">
        <v>512878.24</v>
      </c>
      <c r="S75" s="549">
        <f t="shared" si="45"/>
        <v>157121.76</v>
      </c>
      <c r="T75" s="267" t="s">
        <v>1932</v>
      </c>
      <c r="U75" s="626" t="str">
        <f t="shared" si="49"/>
        <v>AA12067</v>
      </c>
      <c r="V75" s="627" t="str">
        <f t="shared" si="50"/>
        <v>1699-TCN17</v>
      </c>
      <c r="W75" s="626">
        <f t="shared" si="51"/>
        <v>1520304</v>
      </c>
      <c r="X75" s="626" t="str">
        <f t="shared" si="52"/>
        <v>TACOMA EDICION ESPECIAL</v>
      </c>
      <c r="Y75" s="627">
        <f t="shared" si="52"/>
        <v>2017</v>
      </c>
      <c r="Z75" s="777">
        <f t="shared" si="53"/>
        <v>550082.1</v>
      </c>
      <c r="AA75" s="629"/>
      <c r="AB75" s="755"/>
      <c r="AC75" s="779">
        <f t="shared" si="46"/>
        <v>443562.4</v>
      </c>
      <c r="AD75" s="726">
        <f t="shared" si="47"/>
        <v>0.17</v>
      </c>
      <c r="AE75" s="727">
        <f t="shared" si="48"/>
        <v>27106.55</v>
      </c>
      <c r="AF75" s="727">
        <f t="shared" si="44"/>
        <v>27504.11</v>
      </c>
      <c r="AG75" s="555">
        <f t="shared" si="54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55"/>
        <v>71</v>
      </c>
      <c r="B76" s="721" t="s">
        <v>7254</v>
      </c>
      <c r="C76" s="771">
        <v>1520304</v>
      </c>
      <c r="D76" s="771">
        <v>7440</v>
      </c>
      <c r="E76" s="771" t="s">
        <v>1520</v>
      </c>
      <c r="F76" s="546">
        <v>2017</v>
      </c>
      <c r="G76" s="772">
        <v>43032</v>
      </c>
      <c r="H76" s="771" t="s">
        <v>3694</v>
      </c>
      <c r="I76" s="771" t="s">
        <v>6919</v>
      </c>
      <c r="J76" s="712"/>
      <c r="K76" s="771" t="s">
        <v>6921</v>
      </c>
      <c r="L76" s="771" t="s">
        <v>6920</v>
      </c>
      <c r="M76" s="773">
        <v>550082.1</v>
      </c>
      <c r="N76" s="773">
        <v>27504.11</v>
      </c>
      <c r="O76" s="773">
        <v>92413.79</v>
      </c>
      <c r="P76" s="773">
        <v>670000</v>
      </c>
      <c r="Q76" s="548"/>
      <c r="R76" s="773">
        <v>519423.24</v>
      </c>
      <c r="S76" s="549">
        <f t="shared" si="45"/>
        <v>150576.76</v>
      </c>
      <c r="T76" s="113" t="s">
        <v>1932</v>
      </c>
      <c r="U76" s="626" t="str">
        <f t="shared" si="49"/>
        <v>AA12136</v>
      </c>
      <c r="V76" s="627" t="str">
        <f t="shared" si="50"/>
        <v>1799-TCN17</v>
      </c>
      <c r="W76" s="626">
        <f t="shared" si="51"/>
        <v>1520304</v>
      </c>
      <c r="X76" s="626" t="str">
        <f t="shared" si="52"/>
        <v>TACOMA EDICION ESPECIAL</v>
      </c>
      <c r="Y76" s="627">
        <f t="shared" si="52"/>
        <v>2017</v>
      </c>
      <c r="Z76" s="777">
        <f t="shared" si="53"/>
        <v>550082.1</v>
      </c>
      <c r="AA76" s="629">
        <f>+SUM(Z73:Z76)</f>
        <v>2237027.91</v>
      </c>
      <c r="AB76" s="762">
        <v>4</v>
      </c>
      <c r="AC76" s="779">
        <f t="shared" si="46"/>
        <v>443562.4</v>
      </c>
      <c r="AD76" s="726">
        <f t="shared" si="47"/>
        <v>0.17</v>
      </c>
      <c r="AE76" s="727">
        <f t="shared" si="48"/>
        <v>27106.55</v>
      </c>
      <c r="AF76" s="727">
        <f t="shared" si="44"/>
        <v>27504.11</v>
      </c>
      <c r="AG76" s="555">
        <f t="shared" si="54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55"/>
        <v>72</v>
      </c>
      <c r="B77" s="721" t="s">
        <v>7260</v>
      </c>
      <c r="C77" s="771">
        <v>1520306</v>
      </c>
      <c r="D77" s="771">
        <v>7441</v>
      </c>
      <c r="E77" s="771" t="s">
        <v>715</v>
      </c>
      <c r="F77" s="546">
        <v>2017</v>
      </c>
      <c r="G77" s="772">
        <v>43010</v>
      </c>
      <c r="H77" s="771" t="s">
        <v>810</v>
      </c>
      <c r="I77" s="771" t="s">
        <v>6925</v>
      </c>
      <c r="J77" s="712"/>
      <c r="K77" s="771" t="s">
        <v>6927</v>
      </c>
      <c r="L77" s="771" t="s">
        <v>6926</v>
      </c>
      <c r="M77" s="773">
        <v>532019.69999999995</v>
      </c>
      <c r="N77" s="773">
        <v>26600.99</v>
      </c>
      <c r="O77" s="773">
        <v>89379.31</v>
      </c>
      <c r="P77" s="773">
        <v>648000</v>
      </c>
      <c r="Q77" s="548"/>
      <c r="R77" s="773">
        <v>465265.62</v>
      </c>
      <c r="S77" s="549">
        <f t="shared" si="45"/>
        <v>182734.38</v>
      </c>
      <c r="T77" s="113" t="s">
        <v>1932</v>
      </c>
      <c r="U77" s="626" t="str">
        <f t="shared" si="49"/>
        <v>AA12008</v>
      </c>
      <c r="V77" s="627" t="str">
        <f t="shared" si="50"/>
        <v>1894-TCN17</v>
      </c>
      <c r="W77" s="626">
        <f t="shared" si="51"/>
        <v>1520306</v>
      </c>
      <c r="X77" s="626" t="str">
        <f t="shared" si="52"/>
        <v>TACOMA 4X4</v>
      </c>
      <c r="Y77" s="627">
        <f t="shared" si="52"/>
        <v>2017</v>
      </c>
      <c r="Z77" s="777">
        <f t="shared" si="53"/>
        <v>532019.69999999995</v>
      </c>
      <c r="AA77" s="629">
        <f>+Z77</f>
        <v>532019.69999999995</v>
      </c>
      <c r="AB77" s="762">
        <v>1</v>
      </c>
      <c r="AC77" s="779">
        <f t="shared" si="46"/>
        <v>443562.4</v>
      </c>
      <c r="AD77" s="726">
        <f t="shared" si="47"/>
        <v>0.17</v>
      </c>
      <c r="AE77" s="727">
        <f t="shared" si="48"/>
        <v>27106.55</v>
      </c>
      <c r="AF77" s="727">
        <f t="shared" si="44"/>
        <v>26600.99</v>
      </c>
      <c r="AG77" s="555">
        <f t="shared" si="54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55"/>
        <v>73</v>
      </c>
      <c r="B78" s="721" t="s">
        <v>7321</v>
      </c>
      <c r="C78" s="771">
        <v>1520603</v>
      </c>
      <c r="D78" s="771">
        <v>7497</v>
      </c>
      <c r="E78" s="771" t="s">
        <v>5619</v>
      </c>
      <c r="F78" s="546">
        <v>2017</v>
      </c>
      <c r="G78" s="772">
        <v>43025</v>
      </c>
      <c r="H78" s="771" t="s">
        <v>739</v>
      </c>
      <c r="I78" s="771" t="s">
        <v>7034</v>
      </c>
      <c r="J78" s="712"/>
      <c r="K78" s="771" t="s">
        <v>3918</v>
      </c>
      <c r="L78" s="771" t="s">
        <v>7035</v>
      </c>
      <c r="M78" s="773">
        <v>268801.31</v>
      </c>
      <c r="N78" s="773">
        <v>13440.07</v>
      </c>
      <c r="O78" s="773">
        <v>45158.62</v>
      </c>
      <c r="P78" s="773">
        <v>327400</v>
      </c>
      <c r="Q78" s="548"/>
      <c r="R78" s="773">
        <v>247641.05</v>
      </c>
      <c r="S78" s="549">
        <f t="shared" si="45"/>
        <v>79758.950000000012</v>
      </c>
      <c r="T78" s="113" t="s">
        <v>1932</v>
      </c>
      <c r="U78" s="626" t="str">
        <f t="shared" si="49"/>
        <v>AA12095</v>
      </c>
      <c r="V78" s="627" t="str">
        <f t="shared" si="50"/>
        <v>1898-TCN17</v>
      </c>
      <c r="W78" s="626">
        <f t="shared" si="51"/>
        <v>1520603</v>
      </c>
      <c r="X78" s="626" t="str">
        <f t="shared" si="52"/>
        <v>HILUX 4X2 DOBLE CABINA BASE</v>
      </c>
      <c r="Y78" s="627">
        <f t="shared" si="52"/>
        <v>2017</v>
      </c>
      <c r="Z78" s="777">
        <f t="shared" si="53"/>
        <v>268801.31</v>
      </c>
      <c r="AA78" s="629"/>
      <c r="AB78" s="755"/>
      <c r="AC78" s="779">
        <f t="shared" si="46"/>
        <v>246423.66</v>
      </c>
      <c r="AD78" s="726">
        <f t="shared" si="47"/>
        <v>0.05</v>
      </c>
      <c r="AE78" s="727">
        <f t="shared" si="48"/>
        <v>4928.3900000000003</v>
      </c>
      <c r="AF78" s="727">
        <f t="shared" si="44"/>
        <v>13440.07</v>
      </c>
      <c r="AG78" s="555">
        <f t="shared" si="54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55"/>
        <v>74</v>
      </c>
      <c r="B79" s="721" t="s">
        <v>7324</v>
      </c>
      <c r="C79" s="771">
        <v>1520603</v>
      </c>
      <c r="D79" s="771">
        <v>7497</v>
      </c>
      <c r="E79" s="771" t="s">
        <v>5619</v>
      </c>
      <c r="F79" s="546">
        <v>2017</v>
      </c>
      <c r="G79" s="772">
        <v>43031</v>
      </c>
      <c r="H79" s="771" t="s">
        <v>810</v>
      </c>
      <c r="I79" s="771" t="s">
        <v>7032</v>
      </c>
      <c r="J79" s="712"/>
      <c r="K79" s="771" t="s">
        <v>3194</v>
      </c>
      <c r="L79" s="771" t="s">
        <v>7033</v>
      </c>
      <c r="M79" s="773">
        <v>268801.31</v>
      </c>
      <c r="N79" s="773">
        <v>13440.07</v>
      </c>
      <c r="O79" s="773">
        <v>45158.62</v>
      </c>
      <c r="P79" s="773">
        <v>327400</v>
      </c>
      <c r="Q79" s="548"/>
      <c r="R79" s="773">
        <v>257188.43</v>
      </c>
      <c r="S79" s="549">
        <f t="shared" si="45"/>
        <v>70211.570000000007</v>
      </c>
      <c r="T79" s="113" t="s">
        <v>1932</v>
      </c>
      <c r="U79" s="626" t="str">
        <f t="shared" si="49"/>
        <v>AA12129</v>
      </c>
      <c r="V79" s="627" t="str">
        <f t="shared" si="50"/>
        <v>1890-TCN17</v>
      </c>
      <c r="W79" s="626">
        <f t="shared" si="51"/>
        <v>1520603</v>
      </c>
      <c r="X79" s="626" t="str">
        <f t="shared" si="52"/>
        <v>HILUX 4X2 DOBLE CABINA BASE</v>
      </c>
      <c r="Y79" s="627">
        <f t="shared" si="52"/>
        <v>2017</v>
      </c>
      <c r="Z79" s="777">
        <f t="shared" si="53"/>
        <v>268801.31</v>
      </c>
      <c r="AA79" s="629">
        <f>+Z79+Z78</f>
        <v>537602.62</v>
      </c>
      <c r="AB79" s="762">
        <v>2</v>
      </c>
      <c r="AC79" s="779">
        <f t="shared" si="46"/>
        <v>246423.66</v>
      </c>
      <c r="AD79" s="726">
        <f t="shared" si="47"/>
        <v>0.05</v>
      </c>
      <c r="AE79" s="727">
        <f t="shared" si="48"/>
        <v>4928.3900000000003</v>
      </c>
      <c r="AF79" s="727">
        <f t="shared" si="44"/>
        <v>13440.07</v>
      </c>
      <c r="AG79" s="555">
        <f t="shared" si="54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55"/>
        <v>75</v>
      </c>
      <c r="B80" s="721" t="s">
        <v>7292</v>
      </c>
      <c r="C80" s="771">
        <v>1520604</v>
      </c>
      <c r="D80" s="771">
        <v>7495</v>
      </c>
      <c r="E80" s="771" t="s">
        <v>718</v>
      </c>
      <c r="F80" s="546">
        <v>2017</v>
      </c>
      <c r="G80" s="772">
        <v>43025</v>
      </c>
      <c r="H80" s="771" t="s">
        <v>2215</v>
      </c>
      <c r="I80" s="771" t="s">
        <v>6989</v>
      </c>
      <c r="J80" s="712"/>
      <c r="K80" s="771" t="s">
        <v>6991</v>
      </c>
      <c r="L80" s="771" t="s">
        <v>6990</v>
      </c>
      <c r="M80" s="773">
        <v>296880.13</v>
      </c>
      <c r="N80" s="773">
        <v>14844.01</v>
      </c>
      <c r="O80" s="773">
        <v>49875.86</v>
      </c>
      <c r="P80" s="773">
        <v>361600</v>
      </c>
      <c r="Q80" s="548"/>
      <c r="R80" s="773">
        <v>262450.93</v>
      </c>
      <c r="S80" s="549">
        <f t="shared" si="45"/>
        <v>99149.07</v>
      </c>
      <c r="T80" s="113" t="s">
        <v>1932</v>
      </c>
      <c r="U80" s="626" t="str">
        <f t="shared" si="49"/>
        <v>AA12093</v>
      </c>
      <c r="V80" s="627" t="str">
        <f t="shared" si="50"/>
        <v>1597-TCN17</v>
      </c>
      <c r="W80" s="626">
        <f t="shared" si="51"/>
        <v>1520604</v>
      </c>
      <c r="X80" s="626" t="str">
        <f t="shared" si="52"/>
        <v>HILUX PICK UP D CAB SR A/C</v>
      </c>
      <c r="Y80" s="627">
        <f t="shared" si="52"/>
        <v>2017</v>
      </c>
      <c r="Z80" s="777">
        <f t="shared" si="53"/>
        <v>296880.13</v>
      </c>
      <c r="AA80" s="629"/>
      <c r="AB80" s="755"/>
      <c r="AC80" s="780">
        <f t="shared" si="46"/>
        <v>295708.34000000003</v>
      </c>
      <c r="AD80" s="630">
        <f t="shared" si="47"/>
        <v>0.1</v>
      </c>
      <c r="AE80" s="555">
        <f t="shared" si="48"/>
        <v>7392.74</v>
      </c>
      <c r="AF80" s="555">
        <f t="shared" si="44"/>
        <v>14844.01</v>
      </c>
      <c r="AG80" s="555">
        <f t="shared" si="54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55"/>
        <v>76</v>
      </c>
      <c r="B81" s="721" t="s">
        <v>7300</v>
      </c>
      <c r="C81" s="771">
        <v>1520604</v>
      </c>
      <c r="D81" s="771">
        <v>7495</v>
      </c>
      <c r="E81" s="771" t="s">
        <v>718</v>
      </c>
      <c r="F81" s="546">
        <v>2017</v>
      </c>
      <c r="G81" s="772">
        <v>43031</v>
      </c>
      <c r="H81" s="771" t="s">
        <v>2216</v>
      </c>
      <c r="I81" s="771" t="s">
        <v>6981</v>
      </c>
      <c r="J81" s="712"/>
      <c r="K81" s="771" t="s">
        <v>6983</v>
      </c>
      <c r="L81" s="771" t="s">
        <v>6982</v>
      </c>
      <c r="M81" s="773">
        <v>287973.71999999997</v>
      </c>
      <c r="N81" s="773">
        <v>14398.69</v>
      </c>
      <c r="O81" s="773">
        <v>48379.59</v>
      </c>
      <c r="P81" s="773">
        <v>350752</v>
      </c>
      <c r="Q81" s="548"/>
      <c r="R81" s="773">
        <v>262450.93</v>
      </c>
      <c r="S81" s="549">
        <f t="shared" si="45"/>
        <v>88301.07</v>
      </c>
      <c r="T81" s="113" t="s">
        <v>1932</v>
      </c>
      <c r="U81" s="722" t="str">
        <f t="shared" si="49"/>
        <v>AA12130</v>
      </c>
      <c r="V81" s="723" t="str">
        <f t="shared" si="50"/>
        <v>1818-TCN17</v>
      </c>
      <c r="W81" s="722">
        <f t="shared" si="51"/>
        <v>1520604</v>
      </c>
      <c r="X81" s="722" t="str">
        <f t="shared" si="52"/>
        <v>HILUX PICK UP D CAB SR A/C</v>
      </c>
      <c r="Y81" s="723">
        <f t="shared" si="52"/>
        <v>2017</v>
      </c>
      <c r="Z81" s="778">
        <f t="shared" si="53"/>
        <v>287973.71999999997</v>
      </c>
      <c r="AA81" s="629"/>
      <c r="AB81" s="755"/>
      <c r="AC81" s="779">
        <f t="shared" si="46"/>
        <v>246423.66</v>
      </c>
      <c r="AD81" s="726">
        <f t="shared" si="47"/>
        <v>0.05</v>
      </c>
      <c r="AE81" s="727">
        <f t="shared" si="48"/>
        <v>4928.3900000000003</v>
      </c>
      <c r="AF81" s="727">
        <f t="shared" si="44"/>
        <v>14398.69</v>
      </c>
      <c r="AG81" s="727">
        <f t="shared" si="54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55"/>
        <v>77</v>
      </c>
      <c r="B82" s="721" t="s">
        <v>7305</v>
      </c>
      <c r="C82" s="771">
        <v>1520604</v>
      </c>
      <c r="D82" s="771">
        <v>7495</v>
      </c>
      <c r="E82" s="771" t="s">
        <v>718</v>
      </c>
      <c r="F82" s="546">
        <v>2018</v>
      </c>
      <c r="G82" s="772">
        <v>43035</v>
      </c>
      <c r="H82" s="771" t="s">
        <v>2216</v>
      </c>
      <c r="I82" s="771" t="s">
        <v>7009</v>
      </c>
      <c r="J82" s="712"/>
      <c r="K82" s="771" t="s">
        <v>7011</v>
      </c>
      <c r="L82" s="771" t="s">
        <v>7010</v>
      </c>
      <c r="M82" s="773">
        <v>302298.84999999998</v>
      </c>
      <c r="N82" s="773">
        <v>15114.94</v>
      </c>
      <c r="O82" s="773">
        <v>50786.21</v>
      </c>
      <c r="P82" s="773">
        <v>368200</v>
      </c>
      <c r="Q82" s="548"/>
      <c r="R82" s="773">
        <v>267271.96000000002</v>
      </c>
      <c r="S82" s="549">
        <f t="shared" si="45"/>
        <v>100928.03999999998</v>
      </c>
      <c r="T82" s="113" t="s">
        <v>1932</v>
      </c>
      <c r="U82" s="722" t="str">
        <f t="shared" si="49"/>
        <v>AA12165</v>
      </c>
      <c r="V82" s="723" t="str">
        <f t="shared" si="50"/>
        <v>0144-TCN18</v>
      </c>
      <c r="W82" s="722">
        <f t="shared" si="51"/>
        <v>1520604</v>
      </c>
      <c r="X82" s="722" t="str">
        <f t="shared" si="52"/>
        <v>HILUX PICK UP D CAB SR A/C</v>
      </c>
      <c r="Y82" s="723">
        <f t="shared" si="52"/>
        <v>2018</v>
      </c>
      <c r="Z82" s="778">
        <f t="shared" si="53"/>
        <v>302298.84999999998</v>
      </c>
      <c r="AA82" s="629"/>
      <c r="AB82" s="755"/>
      <c r="AC82" s="779">
        <f t="shared" si="46"/>
        <v>295708.34000000003</v>
      </c>
      <c r="AD82" s="726">
        <f t="shared" si="47"/>
        <v>0.1</v>
      </c>
      <c r="AE82" s="727">
        <f t="shared" si="48"/>
        <v>7392.74</v>
      </c>
      <c r="AF82" s="727">
        <f t="shared" si="44"/>
        <v>15114.94</v>
      </c>
      <c r="AG82" s="727">
        <f t="shared" si="54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3">
        <f t="shared" si="55"/>
        <v>78</v>
      </c>
      <c r="B83" s="721" t="s">
        <v>7295</v>
      </c>
      <c r="C83" s="771">
        <v>1520604</v>
      </c>
      <c r="D83" s="771">
        <v>7495</v>
      </c>
      <c r="E83" s="771" t="s">
        <v>718</v>
      </c>
      <c r="F83" s="546">
        <v>2017</v>
      </c>
      <c r="G83" s="772">
        <v>43027</v>
      </c>
      <c r="H83" s="771" t="s">
        <v>774</v>
      </c>
      <c r="I83" s="771" t="s">
        <v>6998</v>
      </c>
      <c r="J83" s="712"/>
      <c r="K83" s="771" t="s">
        <v>7000</v>
      </c>
      <c r="L83" s="771" t="s">
        <v>6999</v>
      </c>
      <c r="M83" s="773">
        <v>296880.13</v>
      </c>
      <c r="N83" s="773">
        <v>14844.01</v>
      </c>
      <c r="O83" s="773">
        <v>49875.86</v>
      </c>
      <c r="P83" s="773">
        <v>361600</v>
      </c>
      <c r="Q83" s="548"/>
      <c r="R83" s="773">
        <v>262450.93</v>
      </c>
      <c r="S83" s="549">
        <f t="shared" si="45"/>
        <v>99149.07</v>
      </c>
      <c r="T83" s="113" t="s">
        <v>1932</v>
      </c>
      <c r="U83" s="722" t="str">
        <f t="shared" si="49"/>
        <v>AA12113</v>
      </c>
      <c r="V83" s="723" t="str">
        <f t="shared" si="50"/>
        <v>1821-TCN17</v>
      </c>
      <c r="W83" s="722">
        <f t="shared" si="51"/>
        <v>1520604</v>
      </c>
      <c r="X83" s="722" t="str">
        <f t="shared" si="52"/>
        <v>HILUX PICK UP D CAB SR A/C</v>
      </c>
      <c r="Y83" s="723">
        <f t="shared" si="52"/>
        <v>2017</v>
      </c>
      <c r="Z83" s="778">
        <f t="shared" si="53"/>
        <v>296880.13</v>
      </c>
      <c r="AA83" s="629"/>
      <c r="AB83" s="755"/>
      <c r="AC83" s="779">
        <f t="shared" si="46"/>
        <v>295708.34000000003</v>
      </c>
      <c r="AD83" s="726">
        <f t="shared" si="47"/>
        <v>0.1</v>
      </c>
      <c r="AE83" s="727">
        <f t="shared" si="48"/>
        <v>7392.74</v>
      </c>
      <c r="AF83" s="727">
        <f t="shared" si="44"/>
        <v>14844.01</v>
      </c>
      <c r="AG83" s="727">
        <f t="shared" si="54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x14ac:dyDescent="0.2">
      <c r="A84" s="423">
        <f t="shared" si="55"/>
        <v>79</v>
      </c>
      <c r="B84" s="721" t="s">
        <v>7317</v>
      </c>
      <c r="C84" s="771">
        <v>1520604</v>
      </c>
      <c r="D84" s="771">
        <v>7495</v>
      </c>
      <c r="E84" s="771" t="s">
        <v>718</v>
      </c>
      <c r="F84" s="546">
        <v>2017</v>
      </c>
      <c r="G84" s="772">
        <v>43039</v>
      </c>
      <c r="H84" s="771" t="s">
        <v>2216</v>
      </c>
      <c r="I84" s="771" t="s">
        <v>7027</v>
      </c>
      <c r="J84" s="712"/>
      <c r="K84" s="771" t="s">
        <v>7029</v>
      </c>
      <c r="L84" s="771" t="s">
        <v>7028</v>
      </c>
      <c r="M84" s="773">
        <v>296880.13</v>
      </c>
      <c r="N84" s="773">
        <v>14844.01</v>
      </c>
      <c r="O84" s="773">
        <v>49875.86</v>
      </c>
      <c r="P84" s="773">
        <v>361600</v>
      </c>
      <c r="Q84" s="548"/>
      <c r="R84" s="773">
        <v>262805.40999999997</v>
      </c>
      <c r="S84" s="549">
        <f t="shared" si="45"/>
        <v>98794.590000000026</v>
      </c>
      <c r="T84" s="113" t="s">
        <v>1932</v>
      </c>
      <c r="U84" s="722" t="str">
        <f t="shared" si="49"/>
        <v>AA12208</v>
      </c>
      <c r="V84" s="723" t="str">
        <f t="shared" si="50"/>
        <v>1935-TCN17</v>
      </c>
      <c r="W84" s="722">
        <f t="shared" si="51"/>
        <v>1520604</v>
      </c>
      <c r="X84" s="722" t="str">
        <f t="shared" si="52"/>
        <v>HILUX PICK UP D CAB SR A/C</v>
      </c>
      <c r="Y84" s="723">
        <f t="shared" si="52"/>
        <v>2017</v>
      </c>
      <c r="Z84" s="778">
        <f t="shared" si="53"/>
        <v>296880.13</v>
      </c>
      <c r="AA84" s="629"/>
      <c r="AB84" s="755"/>
      <c r="AC84" s="779">
        <f t="shared" si="46"/>
        <v>295708.34000000003</v>
      </c>
      <c r="AD84" s="726">
        <f t="shared" si="47"/>
        <v>0.1</v>
      </c>
      <c r="AE84" s="727">
        <f t="shared" si="48"/>
        <v>7392.74</v>
      </c>
      <c r="AF84" s="727">
        <f t="shared" si="44"/>
        <v>14844.01</v>
      </c>
      <c r="AG84" s="727">
        <f t="shared" si="54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x14ac:dyDescent="0.2">
      <c r="A85" s="423">
        <f t="shared" si="55"/>
        <v>80</v>
      </c>
      <c r="B85" s="721" t="s">
        <v>7286</v>
      </c>
      <c r="C85" s="771">
        <v>1520604</v>
      </c>
      <c r="D85" s="771">
        <v>7495</v>
      </c>
      <c r="E85" s="771" t="s">
        <v>718</v>
      </c>
      <c r="F85" s="546">
        <v>2017</v>
      </c>
      <c r="G85" s="772">
        <v>43017</v>
      </c>
      <c r="H85" s="771" t="s">
        <v>739</v>
      </c>
      <c r="I85" s="771" t="s">
        <v>6978</v>
      </c>
      <c r="J85" s="712"/>
      <c r="K85" s="771" t="s">
        <v>6980</v>
      </c>
      <c r="L85" s="771" t="s">
        <v>6979</v>
      </c>
      <c r="M85" s="773">
        <v>296880.13</v>
      </c>
      <c r="N85" s="773">
        <v>14844.01</v>
      </c>
      <c r="O85" s="773">
        <v>49875.86</v>
      </c>
      <c r="P85" s="773">
        <v>361600</v>
      </c>
      <c r="Q85" s="548"/>
      <c r="R85" s="773">
        <v>262450.93</v>
      </c>
      <c r="S85" s="549">
        <f t="shared" si="45"/>
        <v>99149.07</v>
      </c>
      <c r="T85" s="113" t="s">
        <v>1932</v>
      </c>
      <c r="U85" s="722" t="str">
        <f t="shared" si="49"/>
        <v>AA12041</v>
      </c>
      <c r="V85" s="723" t="str">
        <f t="shared" si="50"/>
        <v>1595-TCN17</v>
      </c>
      <c r="W85" s="722">
        <f t="shared" si="51"/>
        <v>1520604</v>
      </c>
      <c r="X85" s="722" t="str">
        <f t="shared" si="52"/>
        <v>HILUX PICK UP D CAB SR A/C</v>
      </c>
      <c r="Y85" s="723">
        <f t="shared" si="52"/>
        <v>2017</v>
      </c>
      <c r="Z85" s="778">
        <f t="shared" si="53"/>
        <v>296880.13</v>
      </c>
      <c r="AA85" s="629"/>
      <c r="AB85" s="755"/>
      <c r="AC85" s="779">
        <f t="shared" si="46"/>
        <v>295708.34000000003</v>
      </c>
      <c r="AD85" s="726">
        <f t="shared" si="47"/>
        <v>0.1</v>
      </c>
      <c r="AE85" s="727">
        <f t="shared" si="48"/>
        <v>7392.74</v>
      </c>
      <c r="AF85" s="727">
        <f t="shared" si="44"/>
        <v>14844.01</v>
      </c>
      <c r="AG85" s="727">
        <f t="shared" si="54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x14ac:dyDescent="0.2">
      <c r="A86" s="423">
        <f t="shared" si="55"/>
        <v>81</v>
      </c>
      <c r="B86" s="721" t="s">
        <v>7298</v>
      </c>
      <c r="C86" s="771">
        <v>1520604</v>
      </c>
      <c r="D86" s="771">
        <v>7495</v>
      </c>
      <c r="E86" s="771" t="s">
        <v>718</v>
      </c>
      <c r="F86" s="546">
        <v>2017</v>
      </c>
      <c r="G86" s="772">
        <v>43031</v>
      </c>
      <c r="H86" s="771" t="s">
        <v>5129</v>
      </c>
      <c r="I86" s="771" t="s">
        <v>6986</v>
      </c>
      <c r="J86" s="712"/>
      <c r="K86" s="771" t="s">
        <v>830</v>
      </c>
      <c r="L86" s="771" t="s">
        <v>6987</v>
      </c>
      <c r="M86" s="773">
        <v>296880.13</v>
      </c>
      <c r="N86" s="773">
        <v>14844.01</v>
      </c>
      <c r="O86" s="773">
        <v>49875.86</v>
      </c>
      <c r="P86" s="773">
        <v>361600</v>
      </c>
      <c r="Q86" s="548"/>
      <c r="R86" s="773">
        <v>262450.93</v>
      </c>
      <c r="S86" s="549">
        <f t="shared" si="45"/>
        <v>99149.07</v>
      </c>
      <c r="T86" s="267" t="s">
        <v>1932</v>
      </c>
      <c r="U86" s="722" t="str">
        <f t="shared" si="49"/>
        <v>AA12126</v>
      </c>
      <c r="V86" s="723" t="str">
        <f t="shared" si="50"/>
        <v>1596-TCN17</v>
      </c>
      <c r="W86" s="722">
        <f t="shared" si="51"/>
        <v>1520604</v>
      </c>
      <c r="X86" s="722" t="str">
        <f t="shared" si="52"/>
        <v>HILUX PICK UP D CAB SR A/C</v>
      </c>
      <c r="Y86" s="723">
        <f t="shared" si="52"/>
        <v>2017</v>
      </c>
      <c r="Z86" s="778">
        <f t="shared" si="53"/>
        <v>296880.13</v>
      </c>
      <c r="AA86" s="629"/>
      <c r="AB86" s="755"/>
      <c r="AC86" s="779">
        <f t="shared" si="46"/>
        <v>295708.34000000003</v>
      </c>
      <c r="AD86" s="726">
        <f t="shared" si="47"/>
        <v>0.1</v>
      </c>
      <c r="AE86" s="727">
        <f t="shared" si="48"/>
        <v>7392.74</v>
      </c>
      <c r="AF86" s="727">
        <f t="shared" si="44"/>
        <v>14844.01</v>
      </c>
      <c r="AG86" s="727">
        <f t="shared" si="54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x14ac:dyDescent="0.2">
      <c r="A87" s="423">
        <f t="shared" si="55"/>
        <v>82</v>
      </c>
      <c r="B87" s="721" t="s">
        <v>7293</v>
      </c>
      <c r="C87" s="771">
        <v>1520604</v>
      </c>
      <c r="D87" s="771">
        <v>7495</v>
      </c>
      <c r="E87" s="771" t="s">
        <v>718</v>
      </c>
      <c r="F87" s="546">
        <v>2017</v>
      </c>
      <c r="G87" s="772">
        <v>43025</v>
      </c>
      <c r="H87" s="771" t="s">
        <v>774</v>
      </c>
      <c r="I87" s="771" t="s">
        <v>6992</v>
      </c>
      <c r="J87" s="712"/>
      <c r="K87" s="771" t="s">
        <v>6994</v>
      </c>
      <c r="L87" s="771" t="s">
        <v>6993</v>
      </c>
      <c r="M87" s="773">
        <v>296880.13</v>
      </c>
      <c r="N87" s="773">
        <v>14844.01</v>
      </c>
      <c r="O87" s="773">
        <v>49875.86</v>
      </c>
      <c r="P87" s="773">
        <v>361600</v>
      </c>
      <c r="Q87" s="548"/>
      <c r="R87" s="773">
        <v>262450.93</v>
      </c>
      <c r="S87" s="549">
        <f t="shared" si="45"/>
        <v>99149.07</v>
      </c>
      <c r="T87" s="113" t="s">
        <v>1932</v>
      </c>
      <c r="U87" s="722" t="str">
        <f t="shared" si="49"/>
        <v>AA12096</v>
      </c>
      <c r="V87" s="723" t="str">
        <f t="shared" si="50"/>
        <v>1820-TCN17</v>
      </c>
      <c r="W87" s="722">
        <f t="shared" si="51"/>
        <v>1520604</v>
      </c>
      <c r="X87" s="722" t="str">
        <f t="shared" ref="X87:Y94" si="56">+E87</f>
        <v>HILUX PICK UP D CAB SR A/C</v>
      </c>
      <c r="Y87" s="723">
        <f t="shared" si="56"/>
        <v>2017</v>
      </c>
      <c r="Z87" s="778">
        <f t="shared" si="53"/>
        <v>296880.13</v>
      </c>
      <c r="AA87" s="629"/>
      <c r="AB87" s="755"/>
      <c r="AC87" s="779">
        <f t="shared" si="46"/>
        <v>295708.34000000003</v>
      </c>
      <c r="AD87" s="726">
        <f t="shared" si="47"/>
        <v>0.1</v>
      </c>
      <c r="AE87" s="727">
        <f t="shared" si="48"/>
        <v>7392.74</v>
      </c>
      <c r="AF87" s="727">
        <f t="shared" si="44"/>
        <v>14844.01</v>
      </c>
      <c r="AG87" s="727">
        <f t="shared" si="54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x14ac:dyDescent="0.2">
      <c r="A88" s="423">
        <f t="shared" si="55"/>
        <v>83</v>
      </c>
      <c r="B88" s="721" t="s">
        <v>7307</v>
      </c>
      <c r="C88" s="771">
        <v>1520604</v>
      </c>
      <c r="D88" s="771">
        <v>7495</v>
      </c>
      <c r="E88" s="771" t="s">
        <v>718</v>
      </c>
      <c r="F88" s="546">
        <v>2017</v>
      </c>
      <c r="G88" s="772">
        <v>43035</v>
      </c>
      <c r="H88" s="771" t="s">
        <v>6820</v>
      </c>
      <c r="I88" s="771" t="s">
        <v>7015</v>
      </c>
      <c r="J88" s="712"/>
      <c r="K88" s="771" t="s">
        <v>7017</v>
      </c>
      <c r="L88" s="771" t="s">
        <v>7016</v>
      </c>
      <c r="M88" s="773">
        <v>296880.13</v>
      </c>
      <c r="N88" s="773">
        <v>14844.01</v>
      </c>
      <c r="O88" s="773">
        <v>49875.86</v>
      </c>
      <c r="P88" s="773">
        <v>361600</v>
      </c>
      <c r="Q88" s="548"/>
      <c r="R88" s="773">
        <v>262450.93</v>
      </c>
      <c r="S88" s="549">
        <f t="shared" si="45"/>
        <v>99149.07</v>
      </c>
      <c r="T88" s="444" t="s">
        <v>1932</v>
      </c>
      <c r="U88" s="722" t="str">
        <f t="shared" si="49"/>
        <v>AA12173</v>
      </c>
      <c r="V88" s="723" t="str">
        <f t="shared" si="50"/>
        <v>1811-TCN17</v>
      </c>
      <c r="W88" s="722">
        <f t="shared" si="51"/>
        <v>1520604</v>
      </c>
      <c r="X88" s="722" t="str">
        <f t="shared" si="56"/>
        <v>HILUX PICK UP D CAB SR A/C</v>
      </c>
      <c r="Y88" s="723">
        <f t="shared" si="56"/>
        <v>2017</v>
      </c>
      <c r="Z88" s="778">
        <f t="shared" si="53"/>
        <v>296880.13</v>
      </c>
      <c r="AA88" s="629"/>
      <c r="AB88" s="755"/>
      <c r="AC88" s="779">
        <f t="shared" si="46"/>
        <v>295708.34000000003</v>
      </c>
      <c r="AD88" s="726">
        <f t="shared" si="47"/>
        <v>0.1</v>
      </c>
      <c r="AE88" s="727">
        <f t="shared" si="48"/>
        <v>7392.74</v>
      </c>
      <c r="AF88" s="727">
        <f t="shared" si="44"/>
        <v>14844.01</v>
      </c>
      <c r="AG88" s="727">
        <f t="shared" si="54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x14ac:dyDescent="0.2">
      <c r="A89" s="423">
        <f t="shared" si="55"/>
        <v>84</v>
      </c>
      <c r="B89" s="721" t="s">
        <v>7301</v>
      </c>
      <c r="C89" s="771">
        <v>1520604</v>
      </c>
      <c r="D89" s="771">
        <v>7495</v>
      </c>
      <c r="E89" s="771" t="s">
        <v>718</v>
      </c>
      <c r="F89" s="546">
        <v>2018</v>
      </c>
      <c r="G89" s="772">
        <v>43032</v>
      </c>
      <c r="H89" s="771" t="s">
        <v>2216</v>
      </c>
      <c r="I89" s="771" t="s">
        <v>7003</v>
      </c>
      <c r="J89" s="712"/>
      <c r="K89" s="771" t="s">
        <v>7005</v>
      </c>
      <c r="L89" s="771" t="s">
        <v>7004</v>
      </c>
      <c r="M89" s="773">
        <v>302298.84999999998</v>
      </c>
      <c r="N89" s="773">
        <v>15114.94</v>
      </c>
      <c r="O89" s="773">
        <v>50786.21</v>
      </c>
      <c r="P89" s="773">
        <v>368200</v>
      </c>
      <c r="Q89" s="548"/>
      <c r="R89" s="773">
        <v>267271.61</v>
      </c>
      <c r="S89" s="549">
        <f t="shared" si="45"/>
        <v>100928.39000000001</v>
      </c>
      <c r="T89" s="113" t="s">
        <v>1932</v>
      </c>
      <c r="U89" s="722" t="str">
        <f t="shared" si="49"/>
        <v>AA12137</v>
      </c>
      <c r="V89" s="723" t="str">
        <f t="shared" si="50"/>
        <v>0139-TCN18</v>
      </c>
      <c r="W89" s="722">
        <f t="shared" si="51"/>
        <v>1520604</v>
      </c>
      <c r="X89" s="722" t="str">
        <f t="shared" si="56"/>
        <v>HILUX PICK UP D CAB SR A/C</v>
      </c>
      <c r="Y89" s="723">
        <f t="shared" si="56"/>
        <v>2018</v>
      </c>
      <c r="Z89" s="778">
        <f t="shared" si="53"/>
        <v>302298.84999999998</v>
      </c>
      <c r="AA89" s="629"/>
      <c r="AB89" s="755"/>
      <c r="AC89" s="779">
        <f t="shared" si="46"/>
        <v>295708.34000000003</v>
      </c>
      <c r="AD89" s="726">
        <f t="shared" si="47"/>
        <v>0.1</v>
      </c>
      <c r="AE89" s="727">
        <f t="shared" si="48"/>
        <v>7392.74</v>
      </c>
      <c r="AF89" s="727">
        <f t="shared" si="44"/>
        <v>15114.94</v>
      </c>
      <c r="AG89" s="727">
        <f t="shared" si="54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x14ac:dyDescent="0.2">
      <c r="A90" s="423">
        <f t="shared" si="55"/>
        <v>85</v>
      </c>
      <c r="B90" s="721" t="s">
        <v>7309</v>
      </c>
      <c r="C90" s="771">
        <v>1520604</v>
      </c>
      <c r="D90" s="771">
        <v>7495</v>
      </c>
      <c r="E90" s="771" t="s">
        <v>718</v>
      </c>
      <c r="F90" s="546">
        <v>2018</v>
      </c>
      <c r="G90" s="772">
        <v>43038</v>
      </c>
      <c r="H90" s="771" t="s">
        <v>817</v>
      </c>
      <c r="I90" s="771" t="s">
        <v>7006</v>
      </c>
      <c r="J90" s="712"/>
      <c r="K90" s="771" t="s">
        <v>7008</v>
      </c>
      <c r="L90" s="771" t="s">
        <v>7007</v>
      </c>
      <c r="M90" s="773">
        <v>302298.84999999998</v>
      </c>
      <c r="N90" s="773">
        <v>15114.94</v>
      </c>
      <c r="O90" s="773">
        <v>50786.21</v>
      </c>
      <c r="P90" s="773">
        <v>368200</v>
      </c>
      <c r="Q90" s="548"/>
      <c r="R90" s="773">
        <v>267271.96000000002</v>
      </c>
      <c r="S90" s="549">
        <f t="shared" si="45"/>
        <v>100928.03999999998</v>
      </c>
      <c r="T90" s="113" t="s">
        <v>1932</v>
      </c>
      <c r="U90" s="722" t="str">
        <f t="shared" si="49"/>
        <v>AA12178</v>
      </c>
      <c r="V90" s="723" t="str">
        <f t="shared" si="50"/>
        <v>0140-TCN18</v>
      </c>
      <c r="W90" s="722">
        <f t="shared" si="51"/>
        <v>1520604</v>
      </c>
      <c r="X90" s="722" t="str">
        <f t="shared" si="56"/>
        <v>HILUX PICK UP D CAB SR A/C</v>
      </c>
      <c r="Y90" s="723">
        <f t="shared" si="56"/>
        <v>2018</v>
      </c>
      <c r="Z90" s="778">
        <f t="shared" si="53"/>
        <v>302298.84999999998</v>
      </c>
      <c r="AA90" s="629"/>
      <c r="AB90" s="755"/>
      <c r="AC90" s="779">
        <f t="shared" si="46"/>
        <v>295708.34000000003</v>
      </c>
      <c r="AD90" s="726">
        <f t="shared" si="47"/>
        <v>0.1</v>
      </c>
      <c r="AE90" s="727">
        <f t="shared" si="48"/>
        <v>7392.74</v>
      </c>
      <c r="AF90" s="727">
        <f t="shared" si="44"/>
        <v>15114.94</v>
      </c>
      <c r="AG90" s="727">
        <f t="shared" si="54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55"/>
        <v>86</v>
      </c>
      <c r="B91" s="721" t="s">
        <v>7306</v>
      </c>
      <c r="C91" s="771">
        <v>1520604</v>
      </c>
      <c r="D91" s="771">
        <v>7495</v>
      </c>
      <c r="E91" s="771" t="s">
        <v>718</v>
      </c>
      <c r="F91" s="546">
        <v>2018</v>
      </c>
      <c r="G91" s="772">
        <v>43035</v>
      </c>
      <c r="H91" s="771" t="s">
        <v>817</v>
      </c>
      <c r="I91" s="771" t="s">
        <v>7012</v>
      </c>
      <c r="J91" s="712"/>
      <c r="K91" s="771" t="s">
        <v>7014</v>
      </c>
      <c r="L91" s="771" t="s">
        <v>7013</v>
      </c>
      <c r="M91" s="773">
        <v>302298.84999999998</v>
      </c>
      <c r="N91" s="773">
        <v>15114.94</v>
      </c>
      <c r="O91" s="773">
        <v>50786.21</v>
      </c>
      <c r="P91" s="773">
        <v>368200</v>
      </c>
      <c r="Q91" s="548"/>
      <c r="R91" s="773">
        <v>267271.96000000002</v>
      </c>
      <c r="S91" s="549">
        <f t="shared" si="45"/>
        <v>100928.03999999998</v>
      </c>
      <c r="T91" s="113" t="s">
        <v>1932</v>
      </c>
      <c r="U91" s="722" t="str">
        <f t="shared" si="49"/>
        <v>AA12169</v>
      </c>
      <c r="V91" s="723" t="str">
        <f t="shared" si="50"/>
        <v>0146-TCN18</v>
      </c>
      <c r="W91" s="722">
        <f t="shared" si="51"/>
        <v>1520604</v>
      </c>
      <c r="X91" s="722" t="str">
        <f t="shared" si="56"/>
        <v>HILUX PICK UP D CAB SR A/C</v>
      </c>
      <c r="Y91" s="723">
        <f t="shared" si="56"/>
        <v>2018</v>
      </c>
      <c r="Z91" s="778">
        <f t="shared" si="53"/>
        <v>302298.84999999998</v>
      </c>
      <c r="AA91" s="629"/>
      <c r="AB91" s="755"/>
      <c r="AC91" s="779">
        <f t="shared" si="46"/>
        <v>295708.34000000003</v>
      </c>
      <c r="AD91" s="726">
        <f t="shared" si="47"/>
        <v>0.1</v>
      </c>
      <c r="AE91" s="727">
        <f t="shared" si="48"/>
        <v>7392.74</v>
      </c>
      <c r="AF91" s="727">
        <f t="shared" si="44"/>
        <v>15114.94</v>
      </c>
      <c r="AG91" s="727">
        <f t="shared" si="54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55"/>
        <v>87</v>
      </c>
      <c r="B92" s="721" t="s">
        <v>7294</v>
      </c>
      <c r="C92" s="771">
        <v>1520604</v>
      </c>
      <c r="D92" s="771">
        <v>7495</v>
      </c>
      <c r="E92" s="771" t="s">
        <v>718</v>
      </c>
      <c r="F92" s="546">
        <v>2017</v>
      </c>
      <c r="G92" s="772">
        <v>43027</v>
      </c>
      <c r="H92" s="771" t="s">
        <v>810</v>
      </c>
      <c r="I92" s="771" t="s">
        <v>6995</v>
      </c>
      <c r="J92" s="712"/>
      <c r="K92" s="771" t="s">
        <v>6997</v>
      </c>
      <c r="L92" s="771" t="s">
        <v>6996</v>
      </c>
      <c r="M92" s="773">
        <v>296880.13</v>
      </c>
      <c r="N92" s="773">
        <v>14844.01</v>
      </c>
      <c r="O92" s="773">
        <v>49875.86</v>
      </c>
      <c r="P92" s="773">
        <v>361600</v>
      </c>
      <c r="Q92" s="548"/>
      <c r="R92" s="773">
        <v>262450.93</v>
      </c>
      <c r="S92" s="549">
        <f t="shared" si="45"/>
        <v>99149.07</v>
      </c>
      <c r="T92" s="113" t="s">
        <v>1932</v>
      </c>
      <c r="U92" s="722" t="str">
        <f t="shared" si="49"/>
        <v>AA12114</v>
      </c>
      <c r="V92" s="723" t="str">
        <f t="shared" si="50"/>
        <v>1812-TCN17</v>
      </c>
      <c r="W92" s="722">
        <f t="shared" si="51"/>
        <v>1520604</v>
      </c>
      <c r="X92" s="722" t="str">
        <f t="shared" si="56"/>
        <v>HILUX PICK UP D CAB SR A/C</v>
      </c>
      <c r="Y92" s="723">
        <f t="shared" si="56"/>
        <v>2017</v>
      </c>
      <c r="Z92" s="778">
        <f t="shared" si="53"/>
        <v>296880.13</v>
      </c>
      <c r="AA92" s="629">
        <f>+SUM(Z80:Z92)</f>
        <v>3872210.1599999997</v>
      </c>
      <c r="AB92" s="762">
        <v>13</v>
      </c>
      <c r="AC92" s="779">
        <f t="shared" si="46"/>
        <v>295708.34000000003</v>
      </c>
      <c r="AD92" s="726">
        <f t="shared" si="47"/>
        <v>0.1</v>
      </c>
      <c r="AE92" s="727">
        <f t="shared" si="48"/>
        <v>7392.74</v>
      </c>
      <c r="AF92" s="727">
        <f t="shared" si="44"/>
        <v>14844.01</v>
      </c>
      <c r="AG92" s="727">
        <f t="shared" si="54"/>
        <v>0</v>
      </c>
      <c r="AH92" s="361"/>
      <c r="AI92" s="740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3">
        <f t="shared" si="55"/>
        <v>88</v>
      </c>
      <c r="B93" s="721" t="s">
        <v>7268</v>
      </c>
      <c r="C93" s="771">
        <v>1520605</v>
      </c>
      <c r="D93" s="771">
        <v>7490</v>
      </c>
      <c r="E93" s="771" t="s">
        <v>6935</v>
      </c>
      <c r="F93" s="546">
        <v>2018</v>
      </c>
      <c r="G93" s="772">
        <v>43039</v>
      </c>
      <c r="H93" s="771" t="s">
        <v>727</v>
      </c>
      <c r="I93" s="771" t="s">
        <v>6936</v>
      </c>
      <c r="J93" s="712"/>
      <c r="K93" s="771" t="s">
        <v>6938</v>
      </c>
      <c r="L93" s="771" t="s">
        <v>6937</v>
      </c>
      <c r="M93" s="773">
        <v>345566.5</v>
      </c>
      <c r="N93" s="773">
        <v>17278.330000000002</v>
      </c>
      <c r="O93" s="773">
        <v>58055.17</v>
      </c>
      <c r="P93" s="773">
        <v>420900</v>
      </c>
      <c r="Q93" s="548"/>
      <c r="R93" s="773">
        <v>305701.96999999997</v>
      </c>
      <c r="S93" s="549">
        <f t="shared" si="45"/>
        <v>115198.03000000003</v>
      </c>
      <c r="T93" s="113" t="s">
        <v>1932</v>
      </c>
      <c r="U93" s="722" t="str">
        <f t="shared" si="49"/>
        <v>AA12193</v>
      </c>
      <c r="V93" s="723" t="str">
        <f t="shared" si="50"/>
        <v>0127-TCN18</v>
      </c>
      <c r="W93" s="722">
        <f t="shared" si="51"/>
        <v>1520605</v>
      </c>
      <c r="X93" s="722" t="str">
        <f t="shared" si="56"/>
        <v>HILUX DIESEL BASE</v>
      </c>
      <c r="Y93" s="723">
        <f t="shared" si="56"/>
        <v>2018</v>
      </c>
      <c r="Z93" s="778">
        <f t="shared" si="53"/>
        <v>345566.5</v>
      </c>
      <c r="AA93" s="629">
        <f>+Z93</f>
        <v>345566.5</v>
      </c>
      <c r="AB93" s="762">
        <v>1</v>
      </c>
      <c r="AC93" s="779">
        <f t="shared" si="46"/>
        <v>344993.21</v>
      </c>
      <c r="AD93" s="726">
        <f t="shared" si="47"/>
        <v>0.15</v>
      </c>
      <c r="AE93" s="727">
        <f t="shared" si="48"/>
        <v>12321.2</v>
      </c>
      <c r="AF93" s="727">
        <f t="shared" si="44"/>
        <v>17278.330000000002</v>
      </c>
      <c r="AG93" s="727">
        <f t="shared" si="54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3">
        <f t="shared" si="55"/>
        <v>89</v>
      </c>
      <c r="B94" s="721" t="s">
        <v>7269</v>
      </c>
      <c r="C94" s="771">
        <v>1520606</v>
      </c>
      <c r="D94" s="771">
        <v>7491</v>
      </c>
      <c r="E94" s="771" t="s">
        <v>6939</v>
      </c>
      <c r="F94" s="546">
        <v>2018</v>
      </c>
      <c r="G94" s="772">
        <v>43039</v>
      </c>
      <c r="H94" s="771" t="s">
        <v>739</v>
      </c>
      <c r="I94" s="771" t="s">
        <v>6940</v>
      </c>
      <c r="J94" s="712"/>
      <c r="K94" s="771" t="s">
        <v>6942</v>
      </c>
      <c r="L94" s="771" t="s">
        <v>6941</v>
      </c>
      <c r="M94" s="773">
        <v>476108.37</v>
      </c>
      <c r="N94" s="773">
        <v>23805.42</v>
      </c>
      <c r="O94" s="773">
        <v>79986.210000000006</v>
      </c>
      <c r="P94" s="773">
        <v>579900</v>
      </c>
      <c r="Q94" s="548"/>
      <c r="R94" s="773">
        <v>420224.34</v>
      </c>
      <c r="S94" s="549">
        <f t="shared" si="45"/>
        <v>159675.65999999997</v>
      </c>
      <c r="T94" s="113" t="s">
        <v>1932</v>
      </c>
      <c r="U94" s="722" t="str">
        <f t="shared" si="49"/>
        <v>AA12191</v>
      </c>
      <c r="V94" s="723" t="str">
        <f t="shared" si="50"/>
        <v>0148-TCN18</v>
      </c>
      <c r="W94" s="722">
        <f t="shared" si="51"/>
        <v>1520606</v>
      </c>
      <c r="X94" s="722" t="str">
        <f t="shared" si="56"/>
        <v>HILUX DIESEL EQUIPADA</v>
      </c>
      <c r="Y94" s="723">
        <f t="shared" si="56"/>
        <v>2018</v>
      </c>
      <c r="Z94" s="778">
        <f t="shared" si="53"/>
        <v>476108.37</v>
      </c>
      <c r="AA94" s="629">
        <f>+Z94</f>
        <v>476108.37</v>
      </c>
      <c r="AB94" s="762">
        <v>1</v>
      </c>
      <c r="AC94" s="780">
        <f t="shared" si="46"/>
        <v>443562.4</v>
      </c>
      <c r="AD94" s="630">
        <f t="shared" si="47"/>
        <v>0.17</v>
      </c>
      <c r="AE94" s="629">
        <f t="shared" si="48"/>
        <v>27106.55</v>
      </c>
      <c r="AF94" s="629">
        <f t="shared" si="44"/>
        <v>23805.42</v>
      </c>
      <c r="AG94" s="727">
        <f t="shared" si="54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55"/>
        <v>90</v>
      </c>
      <c r="B95" s="721" t="s">
        <v>7206</v>
      </c>
      <c r="C95" s="771">
        <v>520816</v>
      </c>
      <c r="D95" s="771">
        <v>4497</v>
      </c>
      <c r="E95" s="771" t="s">
        <v>695</v>
      </c>
      <c r="F95" s="546">
        <v>2017</v>
      </c>
      <c r="G95" s="772">
        <v>43019</v>
      </c>
      <c r="H95" s="771" t="s">
        <v>2214</v>
      </c>
      <c r="I95" s="771" t="s">
        <v>6855</v>
      </c>
      <c r="J95" s="712"/>
      <c r="K95" s="771" t="s">
        <v>6857</v>
      </c>
      <c r="L95" s="771" t="s">
        <v>6856</v>
      </c>
      <c r="M95" s="773">
        <v>-419067.64</v>
      </c>
      <c r="N95" s="773">
        <v>-23432.36</v>
      </c>
      <c r="O95" s="773">
        <v>-70800</v>
      </c>
      <c r="P95" s="773">
        <v>-513300</v>
      </c>
      <c r="Q95" s="548"/>
      <c r="R95" s="773">
        <v>-376786.75</v>
      </c>
      <c r="S95" s="549">
        <f t="shared" si="45"/>
        <v>-136513.25</v>
      </c>
      <c r="T95" s="113" t="s">
        <v>1931</v>
      </c>
      <c r="U95" s="722"/>
      <c r="V95" s="723"/>
      <c r="W95" s="722"/>
      <c r="X95" s="722"/>
      <c r="Y95" s="723"/>
      <c r="Z95" s="778"/>
      <c r="AA95" s="424"/>
      <c r="AB95" s="775"/>
      <c r="AC95" s="779"/>
      <c r="AD95" s="726"/>
      <c r="AE95" s="727"/>
      <c r="AF95" s="727"/>
      <c r="AG95" s="727"/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55"/>
        <v>91</v>
      </c>
      <c r="B96" s="721" t="s">
        <v>7207</v>
      </c>
      <c r="C96" s="771">
        <v>520816</v>
      </c>
      <c r="D96" s="771">
        <v>4497</v>
      </c>
      <c r="E96" s="771" t="s">
        <v>695</v>
      </c>
      <c r="F96" s="546">
        <v>2017</v>
      </c>
      <c r="G96" s="772">
        <v>43019</v>
      </c>
      <c r="H96" s="771" t="s">
        <v>2214</v>
      </c>
      <c r="I96" s="771" t="s">
        <v>6855</v>
      </c>
      <c r="J96" s="712"/>
      <c r="K96" s="771" t="s">
        <v>6857</v>
      </c>
      <c r="L96" s="771" t="s">
        <v>6856</v>
      </c>
      <c r="M96" s="773">
        <v>419067.64</v>
      </c>
      <c r="N96" s="773">
        <v>23432.36</v>
      </c>
      <c r="O96" s="773">
        <v>70800</v>
      </c>
      <c r="P96" s="773">
        <v>513300</v>
      </c>
      <c r="Q96" s="548"/>
      <c r="R96" s="773">
        <v>376786.75</v>
      </c>
      <c r="S96" s="549">
        <f t="shared" si="45"/>
        <v>136513.25</v>
      </c>
      <c r="T96" s="113" t="s">
        <v>1931</v>
      </c>
      <c r="U96" s="267"/>
      <c r="V96" s="93"/>
      <c r="W96" s="267"/>
      <c r="X96" s="267"/>
      <c r="Y96" s="93"/>
      <c r="Z96" s="618"/>
      <c r="AA96" s="424"/>
      <c r="AB96" s="775"/>
      <c r="AC96" s="424"/>
      <c r="AD96" s="425"/>
      <c r="AE96" s="396"/>
      <c r="AF96" s="396"/>
      <c r="AG96" s="396"/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55"/>
        <v>92</v>
      </c>
      <c r="B97" s="721" t="s">
        <v>7198</v>
      </c>
      <c r="C97" s="771">
        <v>520815</v>
      </c>
      <c r="D97" s="771">
        <v>4492</v>
      </c>
      <c r="E97" s="771" t="s">
        <v>694</v>
      </c>
      <c r="F97" s="546">
        <v>2017</v>
      </c>
      <c r="G97" s="772">
        <v>43021</v>
      </c>
      <c r="H97" s="771" t="s">
        <v>819</v>
      </c>
      <c r="I97" s="771" t="s">
        <v>6845</v>
      </c>
      <c r="J97" s="712"/>
      <c r="K97" s="771" t="s">
        <v>830</v>
      </c>
      <c r="L97" s="771" t="s">
        <v>6846</v>
      </c>
      <c r="M97" s="773">
        <v>568764.30000000005</v>
      </c>
      <c r="N97" s="773">
        <v>48390.87</v>
      </c>
      <c r="O97" s="773">
        <v>98744.83</v>
      </c>
      <c r="P97" s="773">
        <v>715900</v>
      </c>
      <c r="Q97" s="548"/>
      <c r="R97" s="773">
        <v>311605.18</v>
      </c>
      <c r="S97" s="549">
        <f t="shared" si="45"/>
        <v>404294.82</v>
      </c>
      <c r="T97" s="267" t="s">
        <v>1931</v>
      </c>
      <c r="U97" s="267"/>
      <c r="V97" s="93"/>
      <c r="W97" s="267"/>
      <c r="X97" s="267"/>
      <c r="Y97" s="93"/>
      <c r="Z97" s="618"/>
      <c r="AA97" s="424"/>
      <c r="AB97" s="715"/>
      <c r="AC97" s="424"/>
      <c r="AD97" s="425"/>
      <c r="AE97" s="424"/>
      <c r="AF97" s="424"/>
      <c r="AG97" s="396"/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55"/>
        <v>93</v>
      </c>
      <c r="B98" s="721" t="s">
        <v>7199</v>
      </c>
      <c r="C98" s="771">
        <v>520815</v>
      </c>
      <c r="D98" s="771">
        <v>4492</v>
      </c>
      <c r="E98" s="771" t="s">
        <v>694</v>
      </c>
      <c r="F98" s="546">
        <v>2017</v>
      </c>
      <c r="G98" s="772">
        <v>43022</v>
      </c>
      <c r="H98" s="771" t="s">
        <v>819</v>
      </c>
      <c r="I98" s="771" t="s">
        <v>6845</v>
      </c>
      <c r="J98" s="712"/>
      <c r="K98" s="771" t="s">
        <v>830</v>
      </c>
      <c r="L98" s="771" t="s">
        <v>6846</v>
      </c>
      <c r="M98" s="773">
        <v>-568764.30000000005</v>
      </c>
      <c r="N98" s="773">
        <v>-48390.87</v>
      </c>
      <c r="O98" s="773">
        <v>-98744.83</v>
      </c>
      <c r="P98" s="773">
        <v>-715900</v>
      </c>
      <c r="Q98" s="548"/>
      <c r="R98" s="773">
        <v>-311605.18</v>
      </c>
      <c r="S98" s="549">
        <f t="shared" si="45"/>
        <v>-404294.82</v>
      </c>
      <c r="T98" s="113" t="s">
        <v>1931</v>
      </c>
      <c r="U98" s="267"/>
      <c r="V98" s="93"/>
      <c r="W98" s="267"/>
      <c r="X98" s="267"/>
      <c r="Y98" s="93"/>
      <c r="Z98" s="618"/>
      <c r="AA98" s="424"/>
      <c r="AB98" s="715"/>
      <c r="AC98" s="424"/>
      <c r="AD98" s="425"/>
      <c r="AE98" s="424"/>
      <c r="AF98" s="424"/>
      <c r="AG98" s="396"/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ht="13.5" thickBot="1" x14ac:dyDescent="0.25">
      <c r="A99" s="423">
        <f t="shared" si="55"/>
        <v>94</v>
      </c>
      <c r="B99" s="721" t="s">
        <v>7261</v>
      </c>
      <c r="C99" s="771">
        <v>1520302</v>
      </c>
      <c r="D99" s="771">
        <v>7441</v>
      </c>
      <c r="E99" s="771" t="s">
        <v>715</v>
      </c>
      <c r="F99" s="546">
        <v>2017</v>
      </c>
      <c r="G99" s="772">
        <v>43027</v>
      </c>
      <c r="H99" s="771" t="s">
        <v>788</v>
      </c>
      <c r="I99" s="771" t="s">
        <v>6928</v>
      </c>
      <c r="J99" s="712"/>
      <c r="K99" s="771" t="s">
        <v>1022</v>
      </c>
      <c r="L99" s="771" t="s">
        <v>6929</v>
      </c>
      <c r="M99" s="773">
        <v>-532019.69999999995</v>
      </c>
      <c r="N99" s="773">
        <v>-26600.99</v>
      </c>
      <c r="O99" s="773">
        <v>-89379.31</v>
      </c>
      <c r="P99" s="773">
        <v>-648000</v>
      </c>
      <c r="Q99" s="548"/>
      <c r="R99" s="773">
        <v>-470878.28</v>
      </c>
      <c r="S99" s="549">
        <f t="shared" si="45"/>
        <v>-177121.71999999997</v>
      </c>
      <c r="T99" s="113" t="s">
        <v>1931</v>
      </c>
      <c r="U99" s="267"/>
      <c r="V99" s="93"/>
      <c r="W99" s="267"/>
      <c r="X99" s="267"/>
      <c r="Y99" s="93"/>
      <c r="Z99" s="618"/>
      <c r="AA99" s="424"/>
      <c r="AB99" s="715"/>
      <c r="AC99" s="424"/>
      <c r="AD99" s="425"/>
      <c r="AE99" s="424"/>
      <c r="AF99" s="424"/>
      <c r="AG99" s="396"/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ht="13.5" thickBot="1" x14ac:dyDescent="0.25">
      <c r="A100" s="423">
        <f t="shared" si="55"/>
        <v>95</v>
      </c>
      <c r="B100" s="721" t="s">
        <v>7262</v>
      </c>
      <c r="C100" s="771">
        <v>1520302</v>
      </c>
      <c r="D100" s="771">
        <v>7441</v>
      </c>
      <c r="E100" s="771" t="s">
        <v>715</v>
      </c>
      <c r="F100" s="546">
        <v>2017</v>
      </c>
      <c r="G100" s="772">
        <v>43027</v>
      </c>
      <c r="H100" s="771" t="s">
        <v>788</v>
      </c>
      <c r="I100" s="771" t="s">
        <v>6928</v>
      </c>
      <c r="J100" s="712"/>
      <c r="K100" s="771" t="s">
        <v>1022</v>
      </c>
      <c r="L100" s="771" t="s">
        <v>6929</v>
      </c>
      <c r="M100" s="773">
        <v>532019.69999999995</v>
      </c>
      <c r="N100" s="773">
        <v>26600.99</v>
      </c>
      <c r="O100" s="773">
        <v>89379.31</v>
      </c>
      <c r="P100" s="773">
        <v>648000</v>
      </c>
      <c r="Q100" s="548"/>
      <c r="R100" s="773">
        <v>470878.28</v>
      </c>
      <c r="S100" s="549">
        <f t="shared" si="45"/>
        <v>177121.71999999997</v>
      </c>
      <c r="T100" s="267" t="s">
        <v>1931</v>
      </c>
      <c r="U100" s="267"/>
      <c r="V100" s="423"/>
      <c r="W100" s="362"/>
      <c r="X100" s="362"/>
      <c r="Y100" s="619"/>
      <c r="Z100" s="737">
        <f>+SUM(Z6:Z97)</f>
        <v>25450497.899999995</v>
      </c>
      <c r="AA100" s="737">
        <f>+SUM(AA6:AA97)</f>
        <v>25450496.900000006</v>
      </c>
      <c r="AB100" s="739">
        <f>+SUM(AB6:AB96)</f>
        <v>79</v>
      </c>
      <c r="AC100" s="620"/>
      <c r="AD100" s="620"/>
      <c r="AE100" s="620"/>
      <c r="AF100" s="737">
        <f>+SUM(AF6:AF96)</f>
        <v>1017242.5515499995</v>
      </c>
      <c r="AG100" s="379"/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ht="13.5" thickTop="1" x14ac:dyDescent="0.2">
      <c r="A101" s="423">
        <f t="shared" si="55"/>
        <v>96</v>
      </c>
      <c r="B101" s="721">
        <v>0</v>
      </c>
      <c r="C101" s="771">
        <v>1520302</v>
      </c>
      <c r="D101" s="771">
        <v>7441</v>
      </c>
      <c r="E101" s="771" t="s">
        <v>715</v>
      </c>
      <c r="F101" s="546">
        <v>2017</v>
      </c>
      <c r="G101" s="772">
        <v>43010</v>
      </c>
      <c r="H101" s="771" t="s">
        <v>2214</v>
      </c>
      <c r="I101" s="771" t="s">
        <v>6389</v>
      </c>
      <c r="J101" s="712"/>
      <c r="K101" s="771" t="s">
        <v>6502</v>
      </c>
      <c r="L101" s="771" t="s">
        <v>6650</v>
      </c>
      <c r="M101" s="773">
        <v>-532019.69999999995</v>
      </c>
      <c r="N101" s="773">
        <v>-26600.99</v>
      </c>
      <c r="O101" s="773">
        <v>-89379.31</v>
      </c>
      <c r="P101" s="773">
        <v>-648000</v>
      </c>
      <c r="Q101" s="548"/>
      <c r="R101" s="773">
        <v>-471232.63</v>
      </c>
      <c r="S101" s="774">
        <f t="shared" si="45"/>
        <v>-176767.37</v>
      </c>
      <c r="T101" s="267" t="s">
        <v>1931</v>
      </c>
      <c r="U101" s="267"/>
      <c r="V101" s="427"/>
      <c r="W101" s="428"/>
      <c r="X101" s="428"/>
      <c r="Y101" s="93"/>
      <c r="Z101" s="260"/>
      <c r="AA101" s="431"/>
      <c r="AB101" s="715"/>
      <c r="AC101" s="431"/>
      <c r="AD101" s="436"/>
      <c r="AE101" s="431"/>
      <c r="AF101" s="431">
        <f>+N295</f>
        <v>1017242.5999999995</v>
      </c>
      <c r="AG101" s="440"/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55"/>
        <v>97</v>
      </c>
      <c r="B102" s="721">
        <v>0</v>
      </c>
      <c r="C102" s="771">
        <v>1520302</v>
      </c>
      <c r="D102" s="771">
        <v>7441</v>
      </c>
      <c r="E102" s="771" t="s">
        <v>715</v>
      </c>
      <c r="F102" s="546">
        <v>2017</v>
      </c>
      <c r="G102" s="772">
        <v>43022</v>
      </c>
      <c r="H102" s="771" t="s">
        <v>2214</v>
      </c>
      <c r="I102" s="771" t="s">
        <v>6389</v>
      </c>
      <c r="J102" s="712"/>
      <c r="K102" s="771" t="s">
        <v>3186</v>
      </c>
      <c r="L102" s="771" t="s">
        <v>6650</v>
      </c>
      <c r="M102" s="773">
        <v>532019.69999999995</v>
      </c>
      <c r="N102" s="773">
        <v>26600.99</v>
      </c>
      <c r="O102" s="773">
        <v>89379.31</v>
      </c>
      <c r="P102" s="773">
        <v>648000</v>
      </c>
      <c r="Q102" s="548"/>
      <c r="R102" s="773">
        <v>471232.76</v>
      </c>
      <c r="S102" s="549">
        <f t="shared" si="45"/>
        <v>176767.24</v>
      </c>
      <c r="T102" s="113" t="s">
        <v>1931</v>
      </c>
      <c r="U102" s="267"/>
      <c r="V102" s="93"/>
      <c r="W102" s="267"/>
      <c r="X102" s="271"/>
      <c r="Y102" s="469"/>
      <c r="Z102" s="470"/>
      <c r="AA102" s="431"/>
      <c r="AB102" s="715"/>
      <c r="AC102" s="396"/>
      <c r="AD102" s="425"/>
      <c r="AE102" s="395"/>
      <c r="AF102" s="738"/>
      <c r="AG102" s="395"/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3">
        <f t="shared" si="55"/>
        <v>98</v>
      </c>
      <c r="B103" s="721">
        <v>0</v>
      </c>
      <c r="C103" s="771">
        <v>1520302</v>
      </c>
      <c r="D103" s="771">
        <v>7441</v>
      </c>
      <c r="E103" s="771" t="s">
        <v>715</v>
      </c>
      <c r="F103" s="546">
        <v>2017</v>
      </c>
      <c r="G103" s="772">
        <v>43025</v>
      </c>
      <c r="H103" s="771" t="s">
        <v>2214</v>
      </c>
      <c r="I103" s="771" t="s">
        <v>6389</v>
      </c>
      <c r="J103" s="712"/>
      <c r="K103" s="771" t="s">
        <v>3186</v>
      </c>
      <c r="L103" s="771" t="s">
        <v>6650</v>
      </c>
      <c r="M103" s="773">
        <v>-532019.69999999995</v>
      </c>
      <c r="N103" s="773">
        <v>-26600.99</v>
      </c>
      <c r="O103" s="773">
        <v>-89379.31</v>
      </c>
      <c r="P103" s="773">
        <v>-648000</v>
      </c>
      <c r="Q103" s="548"/>
      <c r="R103" s="773">
        <v>-471232.76</v>
      </c>
      <c r="S103" s="549">
        <f t="shared" si="45"/>
        <v>-176767.24</v>
      </c>
      <c r="T103" s="113" t="s">
        <v>1931</v>
      </c>
      <c r="U103" s="267"/>
      <c r="V103" s="298" t="s">
        <v>6705</v>
      </c>
      <c r="W103" s="437" t="s">
        <v>7125</v>
      </c>
      <c r="X103" s="382"/>
      <c r="Y103" s="441"/>
      <c r="Z103" s="438"/>
      <c r="AA103" s="439"/>
      <c r="AB103" s="715"/>
      <c r="AC103" s="396"/>
      <c r="AD103" s="425"/>
      <c r="AE103" s="440"/>
      <c r="AF103" s="439">
        <f>+AF100-AF101</f>
        <v>-4.845000000204891E-2</v>
      </c>
      <c r="AG103" s="424">
        <f>SUM(AG6:AG102)</f>
        <v>4.8450000047978392E-2</v>
      </c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3">
        <f t="shared" si="55"/>
        <v>99</v>
      </c>
      <c r="B104" s="721">
        <v>0</v>
      </c>
      <c r="C104" s="771">
        <v>1520302</v>
      </c>
      <c r="D104" s="771">
        <v>7441</v>
      </c>
      <c r="E104" s="771" t="s">
        <v>715</v>
      </c>
      <c r="F104" s="546">
        <v>2017</v>
      </c>
      <c r="G104" s="772">
        <v>43025</v>
      </c>
      <c r="H104" s="771" t="s">
        <v>2214</v>
      </c>
      <c r="I104" s="771" t="s">
        <v>6389</v>
      </c>
      <c r="J104" s="712"/>
      <c r="K104" s="771" t="s">
        <v>3186</v>
      </c>
      <c r="L104" s="771" t="s">
        <v>6650</v>
      </c>
      <c r="M104" s="773">
        <v>-532019.69999999995</v>
      </c>
      <c r="N104" s="773">
        <v>-26600.99</v>
      </c>
      <c r="O104" s="773">
        <v>-89379.31</v>
      </c>
      <c r="P104" s="773">
        <v>-648000</v>
      </c>
      <c r="Q104" s="548"/>
      <c r="R104" s="773">
        <v>-471232.76</v>
      </c>
      <c r="S104" s="549">
        <f t="shared" si="45"/>
        <v>-176767.24</v>
      </c>
      <c r="T104" s="113" t="s">
        <v>1931</v>
      </c>
      <c r="U104" s="267"/>
      <c r="V104" s="298" t="s">
        <v>6704</v>
      </c>
      <c r="W104" s="437" t="s">
        <v>7270</v>
      </c>
      <c r="X104" s="271"/>
      <c r="Y104" s="441"/>
      <c r="Z104" s="471">
        <f>+AB94+AB93+AB92+AB79+AB77+AB76+AB72+AB70+AB66+AB63+AB58</f>
        <v>37</v>
      </c>
      <c r="AA104" s="776">
        <f>+AA94+AA93+AA92+AA79+AA77+AA76+AA72+AA70+AA66+AA63+AA58</f>
        <v>12862537.640000001</v>
      </c>
      <c r="AB104" s="473"/>
      <c r="AC104" s="741" t="s">
        <v>1269</v>
      </c>
      <c r="AD104" s="436"/>
      <c r="AE104" s="431"/>
      <c r="AF104" s="431"/>
      <c r="AG104" s="440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3">
        <f t="shared" si="55"/>
        <v>100</v>
      </c>
      <c r="B105" s="721">
        <v>0</v>
      </c>
      <c r="C105" s="771">
        <v>1520302</v>
      </c>
      <c r="D105" s="771">
        <v>7441</v>
      </c>
      <c r="E105" s="771" t="s">
        <v>715</v>
      </c>
      <c r="F105" s="546">
        <v>2017</v>
      </c>
      <c r="G105" s="772">
        <v>43025</v>
      </c>
      <c r="H105" s="771" t="s">
        <v>2214</v>
      </c>
      <c r="I105" s="771" t="s">
        <v>6389</v>
      </c>
      <c r="J105" s="712"/>
      <c r="K105" s="771" t="s">
        <v>3186</v>
      </c>
      <c r="L105" s="771" t="s">
        <v>6650</v>
      </c>
      <c r="M105" s="773">
        <v>532019.69999999995</v>
      </c>
      <c r="N105" s="773">
        <v>26600.99</v>
      </c>
      <c r="O105" s="773">
        <v>89379.31</v>
      </c>
      <c r="P105" s="773">
        <v>648000</v>
      </c>
      <c r="Q105" s="548"/>
      <c r="R105" s="773">
        <v>471232.76</v>
      </c>
      <c r="S105" s="549">
        <f t="shared" si="45"/>
        <v>176767.24</v>
      </c>
      <c r="T105" s="113" t="s">
        <v>1931</v>
      </c>
      <c r="U105" s="267"/>
      <c r="V105" s="93"/>
      <c r="W105" s="267"/>
      <c r="X105" s="271" t="s">
        <v>6028</v>
      </c>
      <c r="Y105" s="94"/>
      <c r="Z105" s="475">
        <f>+AB53+AB48+AB47+AB46+AB43+AB32+AB30</f>
        <v>18</v>
      </c>
      <c r="AA105" s="472">
        <f>+AA53+AA48+AA47+AA46+AA43+AA32+AA30</f>
        <v>3654744.79</v>
      </c>
      <c r="AB105" s="473"/>
      <c r="AC105" s="741" t="s">
        <v>1270</v>
      </c>
      <c r="AD105" s="425"/>
      <c r="AE105" s="424"/>
      <c r="AF105" s="424"/>
      <c r="AG105" s="346"/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3">
        <f t="shared" si="55"/>
        <v>101</v>
      </c>
      <c r="B106" s="721">
        <v>0</v>
      </c>
      <c r="C106" s="771">
        <v>1520302</v>
      </c>
      <c r="D106" s="771">
        <v>7441</v>
      </c>
      <c r="E106" s="771" t="s">
        <v>715</v>
      </c>
      <c r="F106" s="546">
        <v>2017</v>
      </c>
      <c r="G106" s="772">
        <v>43025</v>
      </c>
      <c r="H106" s="771" t="s">
        <v>2214</v>
      </c>
      <c r="I106" s="771" t="s">
        <v>6389</v>
      </c>
      <c r="J106" s="712"/>
      <c r="K106" s="771" t="s">
        <v>3186</v>
      </c>
      <c r="L106" s="771" t="s">
        <v>6650</v>
      </c>
      <c r="M106" s="773">
        <v>532019.69999999995</v>
      </c>
      <c r="N106" s="773">
        <v>26600.99</v>
      </c>
      <c r="O106" s="773">
        <v>89379.31</v>
      </c>
      <c r="P106" s="773">
        <v>648000</v>
      </c>
      <c r="Q106" s="548"/>
      <c r="R106" s="773">
        <v>471232.76</v>
      </c>
      <c r="S106" s="549">
        <f t="shared" si="45"/>
        <v>176767.24</v>
      </c>
      <c r="T106" s="267" t="s">
        <v>1931</v>
      </c>
      <c r="U106" s="267"/>
      <c r="V106" s="429"/>
      <c r="W106" s="426"/>
      <c r="X106" s="382"/>
      <c r="Y106" s="442"/>
      <c r="Z106" s="476">
        <f>+AB55+AB54+AB27+AB26+AB23+AB20+AB17+AB16+AB13+AB11</f>
        <v>20</v>
      </c>
      <c r="AA106" s="472">
        <f>+AA55+AA54+AA27+AA26+AA23+AA20+AA17+AA16+AA13+AA11</f>
        <v>7481964.4700000007</v>
      </c>
      <c r="AB106" s="473"/>
      <c r="AC106" s="741" t="s">
        <v>1271</v>
      </c>
      <c r="AD106" s="443"/>
      <c r="AE106" s="439"/>
      <c r="AF106" s="439"/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3.5" thickBot="1" x14ac:dyDescent="0.25">
      <c r="A107" s="423">
        <f t="shared" si="55"/>
        <v>102</v>
      </c>
      <c r="B107" s="721" t="s">
        <v>7256</v>
      </c>
      <c r="C107" s="771">
        <v>1520306</v>
      </c>
      <c r="D107" s="771">
        <v>7441</v>
      </c>
      <c r="E107" s="771" t="s">
        <v>715</v>
      </c>
      <c r="F107" s="546">
        <v>2017</v>
      </c>
      <c r="G107" s="772">
        <v>4</v>
      </c>
      <c r="H107" s="771" t="s">
        <v>2214</v>
      </c>
      <c r="I107" s="771" t="s">
        <v>6925</v>
      </c>
      <c r="J107" s="712"/>
      <c r="K107" s="771" t="s">
        <v>6502</v>
      </c>
      <c r="L107" s="771" t="s">
        <v>6926</v>
      </c>
      <c r="M107" s="773">
        <v>-434729.07</v>
      </c>
      <c r="N107" s="773">
        <v>-21736.45</v>
      </c>
      <c r="O107" s="773">
        <v>-73034.48</v>
      </c>
      <c r="P107" s="773">
        <v>-529500</v>
      </c>
      <c r="Q107" s="548"/>
      <c r="R107" s="773">
        <v>-465265.62</v>
      </c>
      <c r="S107" s="549">
        <f t="shared" si="45"/>
        <v>-64234.380000000005</v>
      </c>
      <c r="T107" s="113" t="s">
        <v>1931</v>
      </c>
      <c r="U107" s="267"/>
      <c r="V107" s="351"/>
      <c r="W107" s="351"/>
      <c r="X107" s="351"/>
      <c r="Y107" s="352"/>
      <c r="Z107" s="477">
        <f>+AB38</f>
        <v>4</v>
      </c>
      <c r="AA107" s="478">
        <f>+AA38</f>
        <v>1451250</v>
      </c>
      <c r="AB107" s="473"/>
      <c r="AC107" s="741" t="s">
        <v>1272</v>
      </c>
      <c r="AD107" s="351"/>
      <c r="AE107" s="351"/>
      <c r="AF107" s="351"/>
      <c r="AG107" s="351"/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ht="13.5" thickTop="1" x14ac:dyDescent="0.2">
      <c r="A108" s="423">
        <f t="shared" si="55"/>
        <v>103</v>
      </c>
      <c r="B108" s="721" t="s">
        <v>7257</v>
      </c>
      <c r="C108" s="771">
        <v>1520306</v>
      </c>
      <c r="D108" s="771">
        <v>7441</v>
      </c>
      <c r="E108" s="771" t="s">
        <v>715</v>
      </c>
      <c r="F108" s="546">
        <v>2017</v>
      </c>
      <c r="G108" s="772">
        <v>43010</v>
      </c>
      <c r="H108" s="771" t="s">
        <v>2214</v>
      </c>
      <c r="I108" s="771" t="s">
        <v>6925</v>
      </c>
      <c r="J108" s="712"/>
      <c r="K108" s="771" t="s">
        <v>6502</v>
      </c>
      <c r="L108" s="771" t="s">
        <v>6926</v>
      </c>
      <c r="M108" s="773">
        <v>-532019.69999999995</v>
      </c>
      <c r="N108" s="773">
        <v>-26600.99</v>
      </c>
      <c r="O108" s="773">
        <v>-89379.31</v>
      </c>
      <c r="P108" s="773">
        <v>-648000</v>
      </c>
      <c r="Q108" s="548"/>
      <c r="R108" s="773">
        <v>-465265.62</v>
      </c>
      <c r="S108" s="549">
        <f t="shared" si="45"/>
        <v>-182734.38</v>
      </c>
      <c r="T108" s="113" t="s">
        <v>1931</v>
      </c>
      <c r="U108" s="267"/>
      <c r="V108" s="348"/>
      <c r="W108" s="348"/>
      <c r="X108" s="348"/>
      <c r="Y108" s="348"/>
      <c r="Z108" s="479">
        <f>+SUM(Z104:Z107)</f>
        <v>79</v>
      </c>
      <c r="AA108" s="480">
        <f>SUM(AA104:AA107)</f>
        <v>25450496.899999999</v>
      </c>
      <c r="AB108" s="473"/>
      <c r="AC108" s="472"/>
      <c r="AD108" s="348"/>
      <c r="AE108" s="348"/>
      <c r="AF108" s="348"/>
      <c r="AG108" s="348"/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55"/>
        <v>104</v>
      </c>
      <c r="B109" s="721" t="s">
        <v>7258</v>
      </c>
      <c r="C109" s="771">
        <v>1520306</v>
      </c>
      <c r="D109" s="771">
        <v>7441</v>
      </c>
      <c r="E109" s="771" t="s">
        <v>715</v>
      </c>
      <c r="F109" s="546">
        <v>2017</v>
      </c>
      <c r="G109" s="772">
        <v>43010</v>
      </c>
      <c r="H109" s="771" t="s">
        <v>2214</v>
      </c>
      <c r="I109" s="771" t="s">
        <v>6925</v>
      </c>
      <c r="J109" s="712"/>
      <c r="K109" s="771" t="s">
        <v>6502</v>
      </c>
      <c r="L109" s="771" t="s">
        <v>6926</v>
      </c>
      <c r="M109" s="773">
        <v>434729.07</v>
      </c>
      <c r="N109" s="773">
        <v>21736.45</v>
      </c>
      <c r="O109" s="773">
        <v>73034.48</v>
      </c>
      <c r="P109" s="773">
        <v>529500</v>
      </c>
      <c r="Q109" s="548"/>
      <c r="R109" s="773">
        <v>465265.62</v>
      </c>
      <c r="S109" s="549">
        <f t="shared" si="45"/>
        <v>64234.380000000005</v>
      </c>
      <c r="T109" s="113" t="s">
        <v>1931</v>
      </c>
      <c r="U109" s="351"/>
      <c r="AB109" s="422"/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55"/>
        <v>105</v>
      </c>
      <c r="B110" s="721" t="s">
        <v>7259</v>
      </c>
      <c r="C110" s="771">
        <v>1520306</v>
      </c>
      <c r="D110" s="771">
        <v>7441</v>
      </c>
      <c r="E110" s="771" t="s">
        <v>715</v>
      </c>
      <c r="F110" s="546">
        <v>2017</v>
      </c>
      <c r="G110" s="772">
        <v>43010</v>
      </c>
      <c r="H110" s="771" t="s">
        <v>2214</v>
      </c>
      <c r="I110" s="771" t="s">
        <v>6925</v>
      </c>
      <c r="J110" s="712"/>
      <c r="K110" s="771" t="s">
        <v>6502</v>
      </c>
      <c r="L110" s="771" t="s">
        <v>6926</v>
      </c>
      <c r="M110" s="773">
        <v>532019.69999999995</v>
      </c>
      <c r="N110" s="773">
        <v>26600.99</v>
      </c>
      <c r="O110" s="773">
        <v>89379.31</v>
      </c>
      <c r="P110" s="773">
        <v>648000</v>
      </c>
      <c r="Q110" s="548"/>
      <c r="R110" s="773">
        <v>465265.62</v>
      </c>
      <c r="S110" s="549">
        <f t="shared" si="45"/>
        <v>182734.38</v>
      </c>
      <c r="T110" s="113" t="s">
        <v>1931</v>
      </c>
      <c r="AB110" s="422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3">
        <f t="shared" si="55"/>
        <v>106</v>
      </c>
      <c r="B111" s="721">
        <v>0</v>
      </c>
      <c r="C111" s="771">
        <v>1520302</v>
      </c>
      <c r="D111" s="771">
        <v>7441</v>
      </c>
      <c r="E111" s="771" t="s">
        <v>715</v>
      </c>
      <c r="F111" s="546">
        <v>2017</v>
      </c>
      <c r="G111" s="772">
        <v>43011</v>
      </c>
      <c r="H111" s="771" t="s">
        <v>727</v>
      </c>
      <c r="I111" s="771" t="s">
        <v>6388</v>
      </c>
      <c r="J111" s="712"/>
      <c r="K111" s="771" t="s">
        <v>1731</v>
      </c>
      <c r="L111" s="771" t="s">
        <v>6649</v>
      </c>
      <c r="M111" s="773">
        <v>-532019.69999999995</v>
      </c>
      <c r="N111" s="773">
        <v>-26600.99</v>
      </c>
      <c r="O111" s="773">
        <v>-89379.31</v>
      </c>
      <c r="P111" s="773">
        <v>-648000</v>
      </c>
      <c r="Q111" s="548"/>
      <c r="R111" s="773">
        <v>-471232.63</v>
      </c>
      <c r="S111" s="549">
        <f t="shared" si="45"/>
        <v>-176767.37</v>
      </c>
      <c r="T111" s="113" t="s">
        <v>1931</v>
      </c>
      <c r="AB111" s="422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3">
        <f t="shared" si="55"/>
        <v>107</v>
      </c>
      <c r="B112" s="721">
        <v>0</v>
      </c>
      <c r="C112" s="771">
        <v>1520302</v>
      </c>
      <c r="D112" s="771">
        <v>7441</v>
      </c>
      <c r="E112" s="771" t="s">
        <v>715</v>
      </c>
      <c r="F112" s="546">
        <v>2017</v>
      </c>
      <c r="G112" s="772">
        <v>43011</v>
      </c>
      <c r="H112" s="771" t="s">
        <v>727</v>
      </c>
      <c r="I112" s="771" t="s">
        <v>6388</v>
      </c>
      <c r="J112" s="712"/>
      <c r="K112" s="771" t="s">
        <v>1731</v>
      </c>
      <c r="L112" s="771" t="s">
        <v>6649</v>
      </c>
      <c r="M112" s="773">
        <v>-532019.69999999995</v>
      </c>
      <c r="N112" s="773">
        <v>-26600.99</v>
      </c>
      <c r="O112" s="773">
        <v>-89379.31</v>
      </c>
      <c r="P112" s="773">
        <v>-648000</v>
      </c>
      <c r="Q112" s="548"/>
      <c r="R112" s="773">
        <v>-471232.63</v>
      </c>
      <c r="S112" s="549">
        <f t="shared" si="45"/>
        <v>-176767.37</v>
      </c>
      <c r="T112" s="267" t="s">
        <v>1931</v>
      </c>
      <c r="AB112" s="422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3">
        <f t="shared" si="55"/>
        <v>108</v>
      </c>
      <c r="B113" s="721">
        <v>0</v>
      </c>
      <c r="C113" s="771">
        <v>1520302</v>
      </c>
      <c r="D113" s="771">
        <v>7441</v>
      </c>
      <c r="E113" s="771" t="s">
        <v>715</v>
      </c>
      <c r="F113" s="546">
        <v>2017</v>
      </c>
      <c r="G113" s="772">
        <v>43011</v>
      </c>
      <c r="H113" s="771" t="s">
        <v>2214</v>
      </c>
      <c r="I113" s="771" t="s">
        <v>6388</v>
      </c>
      <c r="J113" s="712"/>
      <c r="K113" s="771" t="s">
        <v>6502</v>
      </c>
      <c r="L113" s="771" t="s">
        <v>6649</v>
      </c>
      <c r="M113" s="773">
        <v>-532019.69999999995</v>
      </c>
      <c r="N113" s="773">
        <v>-26600.99</v>
      </c>
      <c r="O113" s="773">
        <v>-89379.31</v>
      </c>
      <c r="P113" s="773">
        <v>-648000</v>
      </c>
      <c r="Q113" s="548"/>
      <c r="R113" s="773">
        <v>-471232.63</v>
      </c>
      <c r="S113" s="549">
        <f t="shared" si="45"/>
        <v>-176767.37</v>
      </c>
      <c r="T113" s="113" t="s">
        <v>1931</v>
      </c>
      <c r="AB113" s="422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3">
        <f t="shared" si="55"/>
        <v>109</v>
      </c>
      <c r="B114" s="721">
        <v>0</v>
      </c>
      <c r="C114" s="771">
        <v>1520302</v>
      </c>
      <c r="D114" s="771">
        <v>7441</v>
      </c>
      <c r="E114" s="771" t="s">
        <v>715</v>
      </c>
      <c r="F114" s="546">
        <v>2017</v>
      </c>
      <c r="G114" s="772">
        <v>43011</v>
      </c>
      <c r="H114" s="771" t="s">
        <v>727</v>
      </c>
      <c r="I114" s="771" t="s">
        <v>6388</v>
      </c>
      <c r="J114" s="712"/>
      <c r="K114" s="771" t="s">
        <v>1731</v>
      </c>
      <c r="L114" s="771" t="s">
        <v>6649</v>
      </c>
      <c r="M114" s="773">
        <v>532019.69999999995</v>
      </c>
      <c r="N114" s="773">
        <v>26600.99</v>
      </c>
      <c r="O114" s="773">
        <v>89379.31</v>
      </c>
      <c r="P114" s="773">
        <v>648000</v>
      </c>
      <c r="Q114" s="548"/>
      <c r="R114" s="773">
        <v>471232.63</v>
      </c>
      <c r="S114" s="549">
        <f t="shared" si="45"/>
        <v>176767.37</v>
      </c>
      <c r="T114" s="444" t="s">
        <v>1931</v>
      </c>
      <c r="U114" s="348"/>
      <c r="AB114" s="422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55"/>
        <v>110</v>
      </c>
      <c r="B115" s="721">
        <v>0</v>
      </c>
      <c r="C115" s="771">
        <v>1520302</v>
      </c>
      <c r="D115" s="771">
        <v>7441</v>
      </c>
      <c r="E115" s="771" t="s">
        <v>715</v>
      </c>
      <c r="F115" s="546">
        <v>2017</v>
      </c>
      <c r="G115" s="772">
        <v>43011</v>
      </c>
      <c r="H115" s="771" t="s">
        <v>2214</v>
      </c>
      <c r="I115" s="771" t="s">
        <v>6388</v>
      </c>
      <c r="J115" s="712"/>
      <c r="K115" s="771" t="s">
        <v>6502</v>
      </c>
      <c r="L115" s="771" t="s">
        <v>6649</v>
      </c>
      <c r="M115" s="773">
        <v>532019.69999999995</v>
      </c>
      <c r="N115" s="773">
        <v>26600.99</v>
      </c>
      <c r="O115" s="773">
        <v>89379.31</v>
      </c>
      <c r="P115" s="773">
        <v>648000</v>
      </c>
      <c r="Q115" s="548"/>
      <c r="R115" s="773">
        <v>471232.63</v>
      </c>
      <c r="S115" s="549">
        <f t="shared" si="45"/>
        <v>176767.37</v>
      </c>
      <c r="T115" s="113" t="s">
        <v>1931</v>
      </c>
      <c r="U115" s="267"/>
      <c r="V115" s="93"/>
      <c r="W115" s="267"/>
      <c r="X115" s="267"/>
      <c r="Y115" s="93"/>
      <c r="Z115" s="618"/>
      <c r="AA115" s="424"/>
      <c r="AB115" s="715"/>
      <c r="AC115" s="424"/>
      <c r="AD115" s="425"/>
      <c r="AE115" s="424"/>
      <c r="AF115" s="424"/>
      <c r="AG115" s="396"/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55"/>
        <v>111</v>
      </c>
      <c r="B116" s="721">
        <v>0</v>
      </c>
      <c r="C116" s="771">
        <v>1520302</v>
      </c>
      <c r="D116" s="771">
        <v>7441</v>
      </c>
      <c r="E116" s="771" t="s">
        <v>715</v>
      </c>
      <c r="F116" s="546">
        <v>2017</v>
      </c>
      <c r="G116" s="772">
        <v>43011</v>
      </c>
      <c r="H116" s="771" t="s">
        <v>2214</v>
      </c>
      <c r="I116" s="771" t="s">
        <v>6388</v>
      </c>
      <c r="J116" s="712"/>
      <c r="K116" s="771" t="s">
        <v>6502</v>
      </c>
      <c r="L116" s="771" t="s">
        <v>6649</v>
      </c>
      <c r="M116" s="773">
        <v>532019.69999999995</v>
      </c>
      <c r="N116" s="773">
        <v>26600.99</v>
      </c>
      <c r="O116" s="773">
        <v>89379.31</v>
      </c>
      <c r="P116" s="773">
        <v>648000</v>
      </c>
      <c r="Q116" s="548"/>
      <c r="R116" s="773">
        <v>471232.63</v>
      </c>
      <c r="S116" s="549">
        <f t="shared" si="45"/>
        <v>176767.37</v>
      </c>
      <c r="T116" s="113" t="s">
        <v>1931</v>
      </c>
      <c r="U116" s="267"/>
      <c r="V116" s="93"/>
      <c r="W116" s="267"/>
      <c r="X116" s="267"/>
      <c r="Y116" s="93"/>
      <c r="Z116" s="618"/>
      <c r="AA116" s="424"/>
      <c r="AB116" s="715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55"/>
        <v>112</v>
      </c>
      <c r="B117" s="721">
        <v>0</v>
      </c>
      <c r="C117" s="771">
        <v>1520302</v>
      </c>
      <c r="D117" s="771">
        <v>7441</v>
      </c>
      <c r="E117" s="771" t="s">
        <v>715</v>
      </c>
      <c r="F117" s="546">
        <v>2017</v>
      </c>
      <c r="G117" s="772">
        <v>43012</v>
      </c>
      <c r="H117" s="771" t="s">
        <v>2214</v>
      </c>
      <c r="I117" s="771" t="s">
        <v>6388</v>
      </c>
      <c r="J117" s="712"/>
      <c r="K117" s="771" t="s">
        <v>6502</v>
      </c>
      <c r="L117" s="771" t="s">
        <v>6649</v>
      </c>
      <c r="M117" s="773">
        <v>-532019.69999999995</v>
      </c>
      <c r="N117" s="773">
        <v>-26600.99</v>
      </c>
      <c r="O117" s="773">
        <v>-89379.31</v>
      </c>
      <c r="P117" s="773">
        <v>-648000</v>
      </c>
      <c r="Q117" s="548"/>
      <c r="R117" s="773">
        <v>-471232.63</v>
      </c>
      <c r="S117" s="549">
        <f t="shared" si="45"/>
        <v>-176767.37</v>
      </c>
      <c r="T117" s="267" t="s">
        <v>1931</v>
      </c>
      <c r="U117" s="267"/>
      <c r="V117" s="93"/>
      <c r="W117" s="267"/>
      <c r="X117" s="267"/>
      <c r="Y117" s="93"/>
      <c r="Z117" s="618"/>
      <c r="AA117" s="424"/>
      <c r="AB117" s="715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55"/>
        <v>113</v>
      </c>
      <c r="B118" s="721">
        <v>0</v>
      </c>
      <c r="C118" s="771">
        <v>1520302</v>
      </c>
      <c r="D118" s="771">
        <v>7441</v>
      </c>
      <c r="E118" s="771" t="s">
        <v>715</v>
      </c>
      <c r="F118" s="546">
        <v>2017</v>
      </c>
      <c r="G118" s="772">
        <v>43012</v>
      </c>
      <c r="H118" s="771" t="s">
        <v>727</v>
      </c>
      <c r="I118" s="771" t="s">
        <v>6388</v>
      </c>
      <c r="J118" s="712"/>
      <c r="K118" s="771" t="s">
        <v>1731</v>
      </c>
      <c r="L118" s="771" t="s">
        <v>6649</v>
      </c>
      <c r="M118" s="773">
        <v>532019.69999999995</v>
      </c>
      <c r="N118" s="773">
        <v>26600.99</v>
      </c>
      <c r="O118" s="773">
        <v>89379.31</v>
      </c>
      <c r="P118" s="773">
        <v>648000</v>
      </c>
      <c r="Q118" s="548"/>
      <c r="R118" s="773">
        <v>471232.63</v>
      </c>
      <c r="S118" s="549">
        <f t="shared" si="45"/>
        <v>176767.37</v>
      </c>
      <c r="T118" s="113" t="s">
        <v>1931</v>
      </c>
      <c r="U118" s="267"/>
      <c r="V118" s="93"/>
      <c r="W118" s="267"/>
      <c r="X118" s="267"/>
      <c r="Y118" s="93"/>
      <c r="Z118" s="618"/>
      <c r="AA118" s="424"/>
      <c r="AB118" s="715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3">
        <f t="shared" si="55"/>
        <v>114</v>
      </c>
      <c r="B119" s="721" t="s">
        <v>7192</v>
      </c>
      <c r="C119" s="771">
        <v>520115</v>
      </c>
      <c r="D119" s="771">
        <v>2594</v>
      </c>
      <c r="E119" s="771" t="s">
        <v>720</v>
      </c>
      <c r="F119" s="546">
        <v>2018</v>
      </c>
      <c r="G119" s="772">
        <v>43026</v>
      </c>
      <c r="H119" s="771" t="s">
        <v>819</v>
      </c>
      <c r="I119" s="771" t="s">
        <v>6835</v>
      </c>
      <c r="J119" s="712"/>
      <c r="K119" s="771" t="s">
        <v>6837</v>
      </c>
      <c r="L119" s="771" t="s">
        <v>6836</v>
      </c>
      <c r="M119" s="773">
        <v>403850.23999999999</v>
      </c>
      <c r="N119" s="773">
        <v>21149.759999999998</v>
      </c>
      <c r="O119" s="773">
        <v>68000</v>
      </c>
      <c r="P119" s="773">
        <v>493000</v>
      </c>
      <c r="Q119" s="548"/>
      <c r="R119" s="773">
        <v>360668.33</v>
      </c>
      <c r="S119" s="549">
        <f t="shared" si="45"/>
        <v>132331.66999999998</v>
      </c>
      <c r="T119" s="113" t="s">
        <v>1931</v>
      </c>
      <c r="U119" s="267"/>
      <c r="V119" s="93"/>
      <c r="W119" s="267"/>
      <c r="X119" s="267"/>
      <c r="Y119" s="93"/>
      <c r="Z119" s="618"/>
      <c r="AA119" s="424"/>
      <c r="AB119" s="715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3">
        <f t="shared" si="55"/>
        <v>115</v>
      </c>
      <c r="B120" s="721" t="s">
        <v>7193</v>
      </c>
      <c r="C120" s="771">
        <v>520115</v>
      </c>
      <c r="D120" s="771">
        <v>2594</v>
      </c>
      <c r="E120" s="771" t="s">
        <v>720</v>
      </c>
      <c r="F120" s="546">
        <v>2018</v>
      </c>
      <c r="G120" s="772">
        <v>43033</v>
      </c>
      <c r="H120" s="771" t="s">
        <v>819</v>
      </c>
      <c r="I120" s="771" t="s">
        <v>6835</v>
      </c>
      <c r="J120" s="712"/>
      <c r="K120" s="771" t="s">
        <v>6837</v>
      </c>
      <c r="L120" s="771" t="s">
        <v>6836</v>
      </c>
      <c r="M120" s="773">
        <v>-403850.23999999999</v>
      </c>
      <c r="N120" s="773">
        <v>-21149.759999999998</v>
      </c>
      <c r="O120" s="773">
        <v>-68000</v>
      </c>
      <c r="P120" s="773">
        <v>-493000</v>
      </c>
      <c r="Q120" s="548"/>
      <c r="R120" s="773">
        <v>-360668.33</v>
      </c>
      <c r="S120" s="549">
        <f t="shared" si="45"/>
        <v>-132331.66999999998</v>
      </c>
      <c r="T120" s="113" t="s">
        <v>1931</v>
      </c>
      <c r="U120" s="267"/>
      <c r="V120" s="93"/>
      <c r="W120" s="267"/>
      <c r="X120" s="267"/>
      <c r="Y120" s="93"/>
      <c r="Z120" s="618"/>
      <c r="AA120" s="424"/>
      <c r="AB120" s="715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3">
        <f t="shared" si="55"/>
        <v>116</v>
      </c>
      <c r="B121" s="721" t="s">
        <v>7216</v>
      </c>
      <c r="C121" s="771">
        <v>520512</v>
      </c>
      <c r="D121" s="771">
        <v>5394</v>
      </c>
      <c r="E121" s="771" t="s">
        <v>223</v>
      </c>
      <c r="F121" s="546">
        <v>2017</v>
      </c>
      <c r="G121" s="772">
        <v>43022</v>
      </c>
      <c r="H121" s="771" t="s">
        <v>792</v>
      </c>
      <c r="I121" s="771" t="s">
        <v>6866</v>
      </c>
      <c r="J121" s="712"/>
      <c r="K121" s="771" t="s">
        <v>6868</v>
      </c>
      <c r="L121" s="771" t="s">
        <v>6867</v>
      </c>
      <c r="M121" s="773">
        <v>459200.49</v>
      </c>
      <c r="N121" s="773">
        <v>29765.03</v>
      </c>
      <c r="O121" s="773">
        <v>78234.48</v>
      </c>
      <c r="P121" s="773">
        <v>567200</v>
      </c>
      <c r="Q121" s="548"/>
      <c r="R121" s="773">
        <v>392350.54</v>
      </c>
      <c r="S121" s="549">
        <f t="shared" si="45"/>
        <v>174849.46000000002</v>
      </c>
      <c r="T121" s="113" t="s">
        <v>1931</v>
      </c>
      <c r="U121" s="267"/>
      <c r="V121" s="93"/>
      <c r="W121" s="267"/>
      <c r="X121" s="267"/>
      <c r="Y121" s="93"/>
      <c r="Z121" s="618"/>
      <c r="AA121" s="424"/>
      <c r="AB121" s="715"/>
      <c r="AC121" s="424"/>
      <c r="AD121" s="425"/>
      <c r="AE121" s="424"/>
      <c r="AF121" s="424"/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55"/>
        <v>117</v>
      </c>
      <c r="B122" s="721" t="s">
        <v>7217</v>
      </c>
      <c r="C122" s="771">
        <v>520512</v>
      </c>
      <c r="D122" s="771">
        <v>5394</v>
      </c>
      <c r="E122" s="771" t="s">
        <v>223</v>
      </c>
      <c r="F122" s="546">
        <v>2017</v>
      </c>
      <c r="G122" s="772">
        <v>43025</v>
      </c>
      <c r="H122" s="771" t="s">
        <v>792</v>
      </c>
      <c r="I122" s="771" t="s">
        <v>6866</v>
      </c>
      <c r="J122" s="712"/>
      <c r="K122" s="771" t="s">
        <v>6868</v>
      </c>
      <c r="L122" s="771" t="s">
        <v>6867</v>
      </c>
      <c r="M122" s="773">
        <v>-459200.49</v>
      </c>
      <c r="N122" s="773">
        <v>-29765.03</v>
      </c>
      <c r="O122" s="773">
        <v>-78234.48</v>
      </c>
      <c r="P122" s="773">
        <v>-567200</v>
      </c>
      <c r="Q122" s="548"/>
      <c r="R122" s="773">
        <v>-392350.54</v>
      </c>
      <c r="S122" s="549">
        <f t="shared" si="45"/>
        <v>-174849.46000000002</v>
      </c>
      <c r="T122" s="267" t="s">
        <v>1931</v>
      </c>
      <c r="U122" s="267"/>
      <c r="V122" s="93"/>
      <c r="W122" s="267"/>
      <c r="X122" s="267"/>
      <c r="Y122" s="93"/>
      <c r="Z122" s="618"/>
      <c r="AA122" s="424"/>
      <c r="AB122" s="715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55"/>
        <v>118</v>
      </c>
      <c r="B123" s="721" t="s">
        <v>7218</v>
      </c>
      <c r="C123" s="771">
        <v>520512</v>
      </c>
      <c r="D123" s="771">
        <v>5394</v>
      </c>
      <c r="E123" s="771" t="s">
        <v>223</v>
      </c>
      <c r="F123" s="546">
        <v>2017</v>
      </c>
      <c r="G123" s="772">
        <v>43025</v>
      </c>
      <c r="H123" s="771" t="s">
        <v>792</v>
      </c>
      <c r="I123" s="771" t="s">
        <v>6866</v>
      </c>
      <c r="J123" s="712"/>
      <c r="K123" s="771" t="s">
        <v>6868</v>
      </c>
      <c r="L123" s="771" t="s">
        <v>6867</v>
      </c>
      <c r="M123" s="773">
        <v>-459200.49</v>
      </c>
      <c r="N123" s="773">
        <v>-29765.03</v>
      </c>
      <c r="O123" s="773">
        <v>-78234.48</v>
      </c>
      <c r="P123" s="773">
        <v>-567200</v>
      </c>
      <c r="Q123" s="548"/>
      <c r="R123" s="773">
        <v>-392350.54</v>
      </c>
      <c r="S123" s="549">
        <f t="shared" si="45"/>
        <v>-174849.46000000002</v>
      </c>
      <c r="T123" s="113" t="s">
        <v>1931</v>
      </c>
      <c r="U123" s="267"/>
      <c r="V123" s="93"/>
      <c r="W123" s="267"/>
      <c r="X123" s="267"/>
      <c r="Y123" s="93"/>
      <c r="Z123" s="618"/>
      <c r="AA123" s="424"/>
      <c r="AB123" s="715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55"/>
        <v>119</v>
      </c>
      <c r="B124" s="721" t="s">
        <v>7219</v>
      </c>
      <c r="C124" s="771">
        <v>520512</v>
      </c>
      <c r="D124" s="771">
        <v>5394</v>
      </c>
      <c r="E124" s="771" t="s">
        <v>223</v>
      </c>
      <c r="F124" s="546">
        <v>2017</v>
      </c>
      <c r="G124" s="772">
        <v>43025</v>
      </c>
      <c r="H124" s="771" t="s">
        <v>792</v>
      </c>
      <c r="I124" s="771" t="s">
        <v>6866</v>
      </c>
      <c r="J124" s="712"/>
      <c r="K124" s="771" t="s">
        <v>6868</v>
      </c>
      <c r="L124" s="771" t="s">
        <v>6867</v>
      </c>
      <c r="M124" s="773">
        <v>-442380.98</v>
      </c>
      <c r="N124" s="773">
        <v>-26929.360000000001</v>
      </c>
      <c r="O124" s="773">
        <v>-75089.66</v>
      </c>
      <c r="P124" s="773">
        <v>-544400</v>
      </c>
      <c r="Q124" s="548"/>
      <c r="R124" s="773">
        <v>-392350.54</v>
      </c>
      <c r="S124" s="549">
        <f t="shared" si="45"/>
        <v>-152049.46000000002</v>
      </c>
      <c r="T124" s="113" t="s">
        <v>1931</v>
      </c>
      <c r="U124" s="267"/>
      <c r="V124" s="93"/>
      <c r="W124" s="267"/>
      <c r="X124" s="267"/>
      <c r="Y124" s="93"/>
      <c r="Z124" s="618"/>
      <c r="AA124" s="424"/>
      <c r="AB124" s="715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55"/>
        <v>120</v>
      </c>
      <c r="B125" s="721" t="s">
        <v>7220</v>
      </c>
      <c r="C125" s="771">
        <v>520512</v>
      </c>
      <c r="D125" s="771">
        <v>5394</v>
      </c>
      <c r="E125" s="771" t="s">
        <v>223</v>
      </c>
      <c r="F125" s="546">
        <v>2017</v>
      </c>
      <c r="G125" s="772">
        <v>43025</v>
      </c>
      <c r="H125" s="771" t="s">
        <v>792</v>
      </c>
      <c r="I125" s="771" t="s">
        <v>6866</v>
      </c>
      <c r="J125" s="712"/>
      <c r="K125" s="771" t="s">
        <v>6868</v>
      </c>
      <c r="L125" s="771" t="s">
        <v>6867</v>
      </c>
      <c r="M125" s="773">
        <v>-442380.98</v>
      </c>
      <c r="N125" s="773">
        <v>-26929.360000000001</v>
      </c>
      <c r="O125" s="773">
        <v>-75089.66</v>
      </c>
      <c r="P125" s="773">
        <v>-544400</v>
      </c>
      <c r="Q125" s="548"/>
      <c r="R125" s="773">
        <v>-392350.54</v>
      </c>
      <c r="S125" s="549">
        <f t="shared" si="45"/>
        <v>-152049.46000000002</v>
      </c>
      <c r="T125" s="113" t="s">
        <v>1931</v>
      </c>
      <c r="U125" s="267"/>
      <c r="V125" s="93"/>
      <c r="W125" s="267"/>
      <c r="X125" s="267"/>
      <c r="Y125" s="93"/>
      <c r="Z125" s="618"/>
      <c r="AA125" s="424"/>
      <c r="AB125" s="715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55"/>
        <v>121</v>
      </c>
      <c r="B126" s="721" t="s">
        <v>7221</v>
      </c>
      <c r="C126" s="771">
        <v>520512</v>
      </c>
      <c r="D126" s="771">
        <v>5394</v>
      </c>
      <c r="E126" s="771" t="s">
        <v>223</v>
      </c>
      <c r="F126" s="546">
        <v>2017</v>
      </c>
      <c r="G126" s="772">
        <v>43025</v>
      </c>
      <c r="H126" s="771" t="s">
        <v>792</v>
      </c>
      <c r="I126" s="771" t="s">
        <v>6866</v>
      </c>
      <c r="J126" s="712"/>
      <c r="K126" s="771" t="s">
        <v>6868</v>
      </c>
      <c r="L126" s="771" t="s">
        <v>6867</v>
      </c>
      <c r="M126" s="773">
        <v>459200.49</v>
      </c>
      <c r="N126" s="773">
        <v>29765.03</v>
      </c>
      <c r="O126" s="773">
        <v>78234.48</v>
      </c>
      <c r="P126" s="773">
        <v>567200</v>
      </c>
      <c r="Q126" s="548"/>
      <c r="R126" s="773">
        <v>392350.54</v>
      </c>
      <c r="S126" s="549">
        <f t="shared" si="45"/>
        <v>174849.46000000002</v>
      </c>
      <c r="T126" s="113" t="s">
        <v>1931</v>
      </c>
      <c r="U126" s="267"/>
      <c r="V126" s="93"/>
      <c r="W126" s="267"/>
      <c r="X126" s="267"/>
      <c r="Y126" s="93"/>
      <c r="Z126" s="618"/>
      <c r="AA126" s="424"/>
      <c r="AB126" s="715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3">
        <f t="shared" si="55"/>
        <v>122</v>
      </c>
      <c r="B127" s="721" t="s">
        <v>7222</v>
      </c>
      <c r="C127" s="771">
        <v>520512</v>
      </c>
      <c r="D127" s="771">
        <v>5394</v>
      </c>
      <c r="E127" s="771" t="s">
        <v>223</v>
      </c>
      <c r="F127" s="546">
        <v>2017</v>
      </c>
      <c r="G127" s="772">
        <v>43025</v>
      </c>
      <c r="H127" s="771" t="s">
        <v>792</v>
      </c>
      <c r="I127" s="771" t="s">
        <v>6866</v>
      </c>
      <c r="J127" s="712"/>
      <c r="K127" s="771" t="s">
        <v>6868</v>
      </c>
      <c r="L127" s="771" t="s">
        <v>6867</v>
      </c>
      <c r="M127" s="773">
        <v>442380.98</v>
      </c>
      <c r="N127" s="773">
        <v>26929.360000000001</v>
      </c>
      <c r="O127" s="773">
        <v>75089.66</v>
      </c>
      <c r="P127" s="773">
        <v>544400</v>
      </c>
      <c r="Q127" s="548"/>
      <c r="R127" s="773">
        <v>392350.54</v>
      </c>
      <c r="S127" s="549">
        <f t="shared" si="45"/>
        <v>152049.46000000002</v>
      </c>
      <c r="T127" s="267" t="s">
        <v>1931</v>
      </c>
      <c r="U127" s="267"/>
      <c r="V127" s="93"/>
      <c r="W127" s="267"/>
      <c r="X127" s="267"/>
      <c r="Y127" s="93"/>
      <c r="Z127" s="618"/>
      <c r="AA127" s="424"/>
      <c r="AB127" s="715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3">
        <f t="shared" si="55"/>
        <v>123</v>
      </c>
      <c r="B128" s="721" t="s">
        <v>7223</v>
      </c>
      <c r="C128" s="771">
        <v>520512</v>
      </c>
      <c r="D128" s="771">
        <v>5394</v>
      </c>
      <c r="E128" s="771" t="s">
        <v>223</v>
      </c>
      <c r="F128" s="546">
        <v>2017</v>
      </c>
      <c r="G128" s="772">
        <v>43025</v>
      </c>
      <c r="H128" s="771" t="s">
        <v>792</v>
      </c>
      <c r="I128" s="771" t="s">
        <v>6866</v>
      </c>
      <c r="J128" s="712"/>
      <c r="K128" s="771" t="s">
        <v>6868</v>
      </c>
      <c r="L128" s="771" t="s">
        <v>6867</v>
      </c>
      <c r="M128" s="773">
        <v>442380.98</v>
      </c>
      <c r="N128" s="773">
        <v>26929.360000000001</v>
      </c>
      <c r="O128" s="773">
        <v>75089.66</v>
      </c>
      <c r="P128" s="773">
        <v>544400</v>
      </c>
      <c r="Q128" s="548"/>
      <c r="R128" s="773">
        <v>392350.54</v>
      </c>
      <c r="S128" s="549">
        <f t="shared" si="45"/>
        <v>152049.46000000002</v>
      </c>
      <c r="T128" s="267" t="s">
        <v>1931</v>
      </c>
      <c r="U128" s="267"/>
      <c r="V128" s="93"/>
      <c r="W128" s="267"/>
      <c r="X128" s="267"/>
      <c r="Y128" s="93"/>
      <c r="Z128" s="618"/>
      <c r="AA128" s="424"/>
      <c r="AB128" s="715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55"/>
        <v>124</v>
      </c>
      <c r="B129" s="721" t="s">
        <v>7236</v>
      </c>
      <c r="C129" s="771">
        <v>520514</v>
      </c>
      <c r="D129" s="771">
        <v>5398</v>
      </c>
      <c r="E129" s="771" t="s">
        <v>117</v>
      </c>
      <c r="F129" s="546">
        <v>2017</v>
      </c>
      <c r="G129" s="772">
        <v>43026</v>
      </c>
      <c r="H129" s="771" t="s">
        <v>764</v>
      </c>
      <c r="I129" s="771" t="s">
        <v>6363</v>
      </c>
      <c r="J129" s="712"/>
      <c r="K129" s="771" t="s">
        <v>6487</v>
      </c>
      <c r="L129" s="771" t="s">
        <v>6624</v>
      </c>
      <c r="M129" s="773">
        <v>-505324.86</v>
      </c>
      <c r="N129" s="773">
        <v>-37606.17</v>
      </c>
      <c r="O129" s="773">
        <v>-86868.97</v>
      </c>
      <c r="P129" s="773">
        <v>-629800</v>
      </c>
      <c r="Q129" s="548"/>
      <c r="R129" s="773">
        <v>-467192.12</v>
      </c>
      <c r="S129" s="549">
        <f t="shared" si="45"/>
        <v>-162607.88</v>
      </c>
      <c r="T129" s="113" t="s">
        <v>1931</v>
      </c>
      <c r="U129" s="267"/>
      <c r="V129" s="93"/>
      <c r="W129" s="267"/>
      <c r="X129" s="267"/>
      <c r="Y129" s="93"/>
      <c r="Z129" s="618"/>
      <c r="AA129" s="424"/>
      <c r="AB129" s="715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55"/>
        <v>125</v>
      </c>
      <c r="B130" s="721" t="s">
        <v>7237</v>
      </c>
      <c r="C130" s="771">
        <v>520514</v>
      </c>
      <c r="D130" s="771">
        <v>5398</v>
      </c>
      <c r="E130" s="771" t="s">
        <v>117</v>
      </c>
      <c r="F130" s="546">
        <v>2017</v>
      </c>
      <c r="G130" s="772">
        <v>43026</v>
      </c>
      <c r="H130" s="771" t="s">
        <v>764</v>
      </c>
      <c r="I130" s="771" t="s">
        <v>6363</v>
      </c>
      <c r="J130" s="712"/>
      <c r="K130" s="771" t="s">
        <v>6890</v>
      </c>
      <c r="L130" s="771" t="s">
        <v>6624</v>
      </c>
      <c r="M130" s="773">
        <v>505324.86</v>
      </c>
      <c r="N130" s="773">
        <v>37606.17</v>
      </c>
      <c r="O130" s="773">
        <v>86868.97</v>
      </c>
      <c r="P130" s="773">
        <v>629800</v>
      </c>
      <c r="Q130" s="548"/>
      <c r="R130" s="773">
        <v>467192.12</v>
      </c>
      <c r="S130" s="549">
        <f t="shared" si="45"/>
        <v>162607.88</v>
      </c>
      <c r="T130" s="267" t="s">
        <v>1931</v>
      </c>
      <c r="U130" s="267"/>
      <c r="V130" s="93"/>
      <c r="W130" s="267"/>
      <c r="X130" s="267"/>
      <c r="Y130" s="93"/>
      <c r="Z130" s="618"/>
      <c r="AA130" s="424"/>
      <c r="AB130" s="715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55"/>
        <v>126</v>
      </c>
      <c r="B131" s="721" t="s">
        <v>7229</v>
      </c>
      <c r="C131" s="771">
        <v>520513</v>
      </c>
      <c r="D131" s="771">
        <v>5396</v>
      </c>
      <c r="E131" s="771" t="s">
        <v>132</v>
      </c>
      <c r="F131" s="546">
        <v>2017</v>
      </c>
      <c r="G131" s="772">
        <v>43033</v>
      </c>
      <c r="H131" s="771" t="s">
        <v>3694</v>
      </c>
      <c r="I131" s="771" t="s">
        <v>6877</v>
      </c>
      <c r="J131" s="712"/>
      <c r="K131" s="771" t="s">
        <v>6879</v>
      </c>
      <c r="L131" s="771" t="s">
        <v>6878</v>
      </c>
      <c r="M131" s="773">
        <v>-459200.49</v>
      </c>
      <c r="N131" s="773">
        <v>-29765.03</v>
      </c>
      <c r="O131" s="773">
        <v>-78234.48</v>
      </c>
      <c r="P131" s="773">
        <v>-567200</v>
      </c>
      <c r="Q131" s="548"/>
      <c r="R131" s="773">
        <v>-426603.83</v>
      </c>
      <c r="S131" s="549">
        <f t="shared" si="45"/>
        <v>-140596.16999999998</v>
      </c>
      <c r="T131" s="113" t="s">
        <v>1931</v>
      </c>
      <c r="U131" s="267"/>
      <c r="V131" s="93"/>
      <c r="W131" s="267"/>
      <c r="X131" s="267"/>
      <c r="Y131" s="93"/>
      <c r="Z131" s="618"/>
      <c r="AA131" s="424"/>
      <c r="AB131" s="715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55"/>
        <v>127</v>
      </c>
      <c r="B132" s="721" t="s">
        <v>7230</v>
      </c>
      <c r="C132" s="771">
        <v>520513</v>
      </c>
      <c r="D132" s="771">
        <v>5396</v>
      </c>
      <c r="E132" s="771" t="s">
        <v>132</v>
      </c>
      <c r="F132" s="546">
        <v>2017</v>
      </c>
      <c r="G132" s="772">
        <v>43033</v>
      </c>
      <c r="H132" s="771" t="s">
        <v>3694</v>
      </c>
      <c r="I132" s="771" t="s">
        <v>6877</v>
      </c>
      <c r="J132" s="712"/>
      <c r="K132" s="771" t="s">
        <v>6879</v>
      </c>
      <c r="L132" s="771" t="s">
        <v>6878</v>
      </c>
      <c r="M132" s="773">
        <v>459200.49</v>
      </c>
      <c r="N132" s="773">
        <v>29765.03</v>
      </c>
      <c r="O132" s="773">
        <v>78234.48</v>
      </c>
      <c r="P132" s="773">
        <v>567200</v>
      </c>
      <c r="Q132" s="548"/>
      <c r="R132" s="773">
        <v>426603.83</v>
      </c>
      <c r="S132" s="549">
        <f t="shared" si="45"/>
        <v>140596.16999999998</v>
      </c>
      <c r="T132" s="113" t="s">
        <v>1931</v>
      </c>
      <c r="U132" s="267"/>
      <c r="V132" s="93"/>
      <c r="W132" s="267"/>
      <c r="X132" s="267"/>
      <c r="Y132" s="93"/>
      <c r="Z132" s="618"/>
      <c r="AA132" s="424"/>
      <c r="AB132" s="715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55"/>
        <v>128</v>
      </c>
      <c r="B133" s="721" t="s">
        <v>7326</v>
      </c>
      <c r="C133" s="771">
        <v>1520503</v>
      </c>
      <c r="D133" s="771">
        <v>8125</v>
      </c>
      <c r="E133" s="771" t="s">
        <v>6276</v>
      </c>
      <c r="F133" s="546">
        <v>2018</v>
      </c>
      <c r="G133" s="772">
        <v>43028</v>
      </c>
      <c r="H133" s="771" t="s">
        <v>2216</v>
      </c>
      <c r="I133" s="771" t="s">
        <v>6412</v>
      </c>
      <c r="J133" s="712"/>
      <c r="K133" s="771" t="s">
        <v>6515</v>
      </c>
      <c r="L133" s="771" t="s">
        <v>6673</v>
      </c>
      <c r="M133" s="773">
        <v>-737931.04</v>
      </c>
      <c r="N133" s="773">
        <v>-36896.550000000003</v>
      </c>
      <c r="O133" s="773">
        <v>-123972.41</v>
      </c>
      <c r="P133" s="773">
        <v>-898800</v>
      </c>
      <c r="Q133" s="548"/>
      <c r="R133" s="773">
        <v>-655691.75</v>
      </c>
      <c r="S133" s="549">
        <f t="shared" si="45"/>
        <v>-243108.25</v>
      </c>
      <c r="T133" s="113" t="s">
        <v>1931</v>
      </c>
      <c r="U133" s="267"/>
      <c r="V133" s="93"/>
      <c r="W133" s="267"/>
      <c r="X133" s="267"/>
      <c r="Y133" s="93"/>
      <c r="Z133" s="618"/>
      <c r="AA133" s="424"/>
      <c r="AB133" s="715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55"/>
        <v>129</v>
      </c>
      <c r="B134" s="721" t="s">
        <v>7327</v>
      </c>
      <c r="C134" s="771">
        <v>1520503</v>
      </c>
      <c r="D134" s="771">
        <v>8125</v>
      </c>
      <c r="E134" s="771" t="s">
        <v>6276</v>
      </c>
      <c r="F134" s="546">
        <v>2018</v>
      </c>
      <c r="G134" s="772">
        <v>43028</v>
      </c>
      <c r="H134" s="771" t="s">
        <v>2216</v>
      </c>
      <c r="I134" s="771" t="s">
        <v>6412</v>
      </c>
      <c r="J134" s="712"/>
      <c r="K134" s="771" t="s">
        <v>6515</v>
      </c>
      <c r="L134" s="771" t="s">
        <v>6673</v>
      </c>
      <c r="M134" s="773">
        <v>737931.04</v>
      </c>
      <c r="N134" s="773">
        <v>36896.550000000003</v>
      </c>
      <c r="O134" s="773">
        <v>123972.41</v>
      </c>
      <c r="P134" s="773">
        <v>898800</v>
      </c>
      <c r="Q134" s="548"/>
      <c r="R134" s="773">
        <v>655691.75</v>
      </c>
      <c r="S134" s="549">
        <f t="shared" ref="S134:S197" si="57">+P134-R134</f>
        <v>243108.25</v>
      </c>
      <c r="T134" s="113" t="s">
        <v>1931</v>
      </c>
      <c r="U134" s="267"/>
      <c r="V134" s="93"/>
      <c r="W134" s="267"/>
      <c r="X134" s="267"/>
      <c r="Y134" s="93"/>
      <c r="Z134" s="618"/>
      <c r="AA134" s="424"/>
      <c r="AB134" s="715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55"/>
        <v>130</v>
      </c>
      <c r="B135" s="721" t="s">
        <v>7117</v>
      </c>
      <c r="C135" s="771">
        <v>520232</v>
      </c>
      <c r="D135" s="771">
        <v>1781</v>
      </c>
      <c r="E135" s="771" t="s">
        <v>690</v>
      </c>
      <c r="F135" s="546">
        <v>2018</v>
      </c>
      <c r="G135" s="772">
        <v>43024</v>
      </c>
      <c r="H135" s="771" t="s">
        <v>4285</v>
      </c>
      <c r="I135" s="771" t="s">
        <v>6730</v>
      </c>
      <c r="J135" s="712"/>
      <c r="K135" s="771" t="s">
        <v>6732</v>
      </c>
      <c r="L135" s="771" t="s">
        <v>6731</v>
      </c>
      <c r="M135" s="773">
        <v>259385.88</v>
      </c>
      <c r="N135" s="773">
        <v>2788.26</v>
      </c>
      <c r="O135" s="773">
        <v>41947.86</v>
      </c>
      <c r="P135" s="773">
        <v>304122</v>
      </c>
      <c r="Q135" s="548"/>
      <c r="R135" s="773">
        <v>250328.62</v>
      </c>
      <c r="S135" s="549">
        <f t="shared" si="57"/>
        <v>53793.380000000005</v>
      </c>
      <c r="T135" s="113" t="s">
        <v>1931</v>
      </c>
      <c r="U135" s="267"/>
      <c r="V135" s="93"/>
      <c r="W135" s="267"/>
      <c r="X135" s="267"/>
      <c r="Y135" s="93"/>
      <c r="Z135" s="618"/>
      <c r="AA135" s="424"/>
      <c r="AB135" s="715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199" si="58">+A135+1</f>
        <v>131</v>
      </c>
      <c r="B136" s="721" t="s">
        <v>7118</v>
      </c>
      <c r="C136" s="771">
        <v>520232</v>
      </c>
      <c r="D136" s="771">
        <v>1781</v>
      </c>
      <c r="E136" s="771" t="s">
        <v>690</v>
      </c>
      <c r="F136" s="546">
        <v>2018</v>
      </c>
      <c r="G136" s="772">
        <v>43025</v>
      </c>
      <c r="H136" s="771" t="s">
        <v>4285</v>
      </c>
      <c r="I136" s="771" t="s">
        <v>6730</v>
      </c>
      <c r="J136" s="712"/>
      <c r="K136" s="771" t="s">
        <v>6732</v>
      </c>
      <c r="L136" s="771" t="s">
        <v>6731</v>
      </c>
      <c r="M136" s="773">
        <v>-259385.88</v>
      </c>
      <c r="N136" s="773">
        <v>-2788.26</v>
      </c>
      <c r="O136" s="773">
        <v>-41947.86</v>
      </c>
      <c r="P136" s="773">
        <v>-304122</v>
      </c>
      <c r="Q136" s="548"/>
      <c r="R136" s="773">
        <v>-250328.62</v>
      </c>
      <c r="S136" s="549">
        <f t="shared" si="57"/>
        <v>-53793.380000000005</v>
      </c>
      <c r="T136" s="267" t="s">
        <v>1931</v>
      </c>
      <c r="U136" s="267"/>
      <c r="V136" s="93"/>
      <c r="W136" s="267"/>
      <c r="X136" s="267"/>
      <c r="Y136" s="93"/>
      <c r="Z136" s="618"/>
      <c r="AA136" s="424"/>
      <c r="AB136" s="715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58"/>
        <v>132</v>
      </c>
      <c r="B137" s="721" t="s">
        <v>7128</v>
      </c>
      <c r="C137" s="771">
        <v>520220</v>
      </c>
      <c r="D137" s="771">
        <v>1794</v>
      </c>
      <c r="E137" s="771" t="s">
        <v>687</v>
      </c>
      <c r="F137" s="546">
        <v>2017</v>
      </c>
      <c r="G137" s="772">
        <v>43032</v>
      </c>
      <c r="H137" s="771" t="s">
        <v>4285</v>
      </c>
      <c r="I137" s="771" t="s">
        <v>6740</v>
      </c>
      <c r="J137" s="712"/>
      <c r="K137" s="771" t="s">
        <v>6742</v>
      </c>
      <c r="L137" s="771" t="s">
        <v>6741</v>
      </c>
      <c r="M137" s="773">
        <v>256171.42</v>
      </c>
      <c r="N137" s="773">
        <v>2707.89</v>
      </c>
      <c r="O137" s="773">
        <v>41420.69</v>
      </c>
      <c r="P137" s="773">
        <v>300300</v>
      </c>
      <c r="Q137" s="548"/>
      <c r="R137" s="773">
        <v>239904.6</v>
      </c>
      <c r="S137" s="549">
        <f t="shared" si="57"/>
        <v>60395.399999999994</v>
      </c>
      <c r="T137" s="113" t="s">
        <v>1931</v>
      </c>
      <c r="U137" s="267"/>
      <c r="V137" s="93"/>
      <c r="W137" s="267"/>
      <c r="X137" s="267"/>
      <c r="Y137" s="93"/>
      <c r="Z137" s="618"/>
      <c r="AA137" s="424"/>
      <c r="AB137" s="715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58"/>
        <v>133</v>
      </c>
      <c r="B138" s="721" t="s">
        <v>7129</v>
      </c>
      <c r="C138" s="771">
        <v>520220</v>
      </c>
      <c r="D138" s="771">
        <v>1794</v>
      </c>
      <c r="E138" s="771" t="s">
        <v>687</v>
      </c>
      <c r="F138" s="546">
        <v>2017</v>
      </c>
      <c r="G138" s="772">
        <v>43034</v>
      </c>
      <c r="H138" s="771" t="s">
        <v>4285</v>
      </c>
      <c r="I138" s="771" t="s">
        <v>6740</v>
      </c>
      <c r="J138" s="712"/>
      <c r="K138" s="771" t="s">
        <v>6742</v>
      </c>
      <c r="L138" s="771" t="s">
        <v>6741</v>
      </c>
      <c r="M138" s="773">
        <v>-256171.42</v>
      </c>
      <c r="N138" s="773">
        <v>-2707.89</v>
      </c>
      <c r="O138" s="773">
        <v>-41420.69</v>
      </c>
      <c r="P138" s="773">
        <v>-300300</v>
      </c>
      <c r="Q138" s="548"/>
      <c r="R138" s="773">
        <v>-239904.6</v>
      </c>
      <c r="S138" s="549">
        <f t="shared" si="57"/>
        <v>-60395.399999999994</v>
      </c>
      <c r="T138" s="267" t="s">
        <v>1931</v>
      </c>
      <c r="U138" s="267"/>
      <c r="V138" s="93"/>
      <c r="W138" s="267"/>
      <c r="X138" s="267"/>
      <c r="Y138" s="93"/>
      <c r="Z138" s="618"/>
      <c r="AA138" s="424"/>
      <c r="AB138" s="715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58"/>
        <v>134</v>
      </c>
      <c r="B139" s="721" t="s">
        <v>7121</v>
      </c>
      <c r="C139" s="771">
        <v>520226</v>
      </c>
      <c r="D139" s="771">
        <v>1783</v>
      </c>
      <c r="E139" s="771" t="s">
        <v>692</v>
      </c>
      <c r="F139" s="546">
        <v>2017</v>
      </c>
      <c r="G139" s="772">
        <v>43024</v>
      </c>
      <c r="H139" s="771" t="s">
        <v>817</v>
      </c>
      <c r="I139" s="771" t="s">
        <v>6289</v>
      </c>
      <c r="J139" s="712"/>
      <c r="K139" s="771" t="s">
        <v>6445</v>
      </c>
      <c r="L139" s="771" t="s">
        <v>6551</v>
      </c>
      <c r="M139" s="773">
        <v>-298923.65999999997</v>
      </c>
      <c r="N139" s="773">
        <v>-7714.27</v>
      </c>
      <c r="O139" s="773">
        <v>-49062.07</v>
      </c>
      <c r="P139" s="773">
        <v>-355700</v>
      </c>
      <c r="Q139" s="548"/>
      <c r="R139" s="773">
        <v>-275293.3</v>
      </c>
      <c r="S139" s="549">
        <f t="shared" si="57"/>
        <v>-80406.700000000012</v>
      </c>
      <c r="T139" s="113" t="s">
        <v>1931</v>
      </c>
      <c r="U139" s="267"/>
      <c r="V139" s="93"/>
      <c r="W139" s="267"/>
      <c r="X139" s="267"/>
      <c r="Y139" s="93"/>
      <c r="Z139" s="618"/>
      <c r="AA139" s="424"/>
      <c r="AB139" s="715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58"/>
        <v>135</v>
      </c>
      <c r="B140" s="721" t="s">
        <v>7122</v>
      </c>
      <c r="C140" s="771">
        <v>520226</v>
      </c>
      <c r="D140" s="771">
        <v>1783</v>
      </c>
      <c r="E140" s="771" t="s">
        <v>692</v>
      </c>
      <c r="F140" s="546">
        <v>2017</v>
      </c>
      <c r="G140" s="772">
        <v>43024</v>
      </c>
      <c r="H140" s="771" t="s">
        <v>2213</v>
      </c>
      <c r="I140" s="771" t="s">
        <v>6289</v>
      </c>
      <c r="J140" s="712"/>
      <c r="K140" s="771" t="s">
        <v>6733</v>
      </c>
      <c r="L140" s="771" t="s">
        <v>6551</v>
      </c>
      <c r="M140" s="773">
        <v>298923.65999999997</v>
      </c>
      <c r="N140" s="773">
        <v>7714.27</v>
      </c>
      <c r="O140" s="773">
        <v>49062.07</v>
      </c>
      <c r="P140" s="773">
        <v>355700</v>
      </c>
      <c r="Q140" s="548"/>
      <c r="R140" s="773">
        <v>275293.3</v>
      </c>
      <c r="S140" s="549">
        <f t="shared" si="57"/>
        <v>80406.700000000012</v>
      </c>
      <c r="T140" s="267" t="s">
        <v>1931</v>
      </c>
      <c r="U140" s="267"/>
      <c r="V140" s="93"/>
      <c r="W140" s="267"/>
      <c r="X140" s="267"/>
      <c r="Y140" s="93"/>
      <c r="Z140" s="618"/>
      <c r="AA140" s="424"/>
      <c r="AB140" s="715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58"/>
        <v>136</v>
      </c>
      <c r="B141" s="721" t="s">
        <v>7123</v>
      </c>
      <c r="C141" s="771">
        <v>520226</v>
      </c>
      <c r="D141" s="771">
        <v>1783</v>
      </c>
      <c r="E141" s="771" t="s">
        <v>692</v>
      </c>
      <c r="F141" s="546">
        <v>2017</v>
      </c>
      <c r="G141" s="772">
        <v>43025</v>
      </c>
      <c r="H141" s="771" t="s">
        <v>2213</v>
      </c>
      <c r="I141" s="771" t="s">
        <v>6289</v>
      </c>
      <c r="J141" s="712"/>
      <c r="K141" s="771" t="s">
        <v>6733</v>
      </c>
      <c r="L141" s="771" t="s">
        <v>6551</v>
      </c>
      <c r="M141" s="773">
        <v>-298923.65999999997</v>
      </c>
      <c r="N141" s="773">
        <v>-7714.27</v>
      </c>
      <c r="O141" s="773">
        <v>-49062.07</v>
      </c>
      <c r="P141" s="773">
        <v>-355700</v>
      </c>
      <c r="Q141" s="548"/>
      <c r="R141" s="773">
        <v>-275293.3</v>
      </c>
      <c r="S141" s="549">
        <f t="shared" si="57"/>
        <v>-80406.700000000012</v>
      </c>
      <c r="T141" s="113" t="s">
        <v>1931</v>
      </c>
      <c r="U141" s="267"/>
      <c r="V141" s="93"/>
      <c r="W141" s="267"/>
      <c r="X141" s="267"/>
      <c r="Y141" s="93"/>
      <c r="Z141" s="618"/>
      <c r="AA141" s="424"/>
      <c r="AB141" s="715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3">
        <f t="shared" si="58"/>
        <v>137</v>
      </c>
      <c r="B142" s="721" t="s">
        <v>7124</v>
      </c>
      <c r="C142" s="771">
        <v>520226</v>
      </c>
      <c r="D142" s="771">
        <v>1783</v>
      </c>
      <c r="E142" s="771" t="s">
        <v>692</v>
      </c>
      <c r="F142" s="546">
        <v>2017</v>
      </c>
      <c r="G142" s="772">
        <v>43026</v>
      </c>
      <c r="H142" s="771" t="s">
        <v>2213</v>
      </c>
      <c r="I142" s="771" t="s">
        <v>6289</v>
      </c>
      <c r="J142" s="712"/>
      <c r="K142" s="771" t="s">
        <v>6733</v>
      </c>
      <c r="L142" s="771" t="s">
        <v>6551</v>
      </c>
      <c r="M142" s="773">
        <v>298923.65999999997</v>
      </c>
      <c r="N142" s="773">
        <v>7714.27</v>
      </c>
      <c r="O142" s="773">
        <v>49062.07</v>
      </c>
      <c r="P142" s="773">
        <v>355700</v>
      </c>
      <c r="Q142" s="548"/>
      <c r="R142" s="773">
        <v>275293.3</v>
      </c>
      <c r="S142" s="549">
        <f t="shared" si="57"/>
        <v>80406.700000000012</v>
      </c>
      <c r="T142" s="267" t="s">
        <v>1931</v>
      </c>
      <c r="U142" s="267"/>
      <c r="V142" s="93"/>
      <c r="W142" s="267"/>
      <c r="X142" s="267"/>
      <c r="Y142" s="93"/>
      <c r="Z142" s="618"/>
      <c r="AA142" s="424"/>
      <c r="AB142" s="715"/>
      <c r="AC142" s="424"/>
      <c r="AD142" s="425"/>
      <c r="AE142" s="424"/>
      <c r="AF142" s="424"/>
      <c r="AG142" s="396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x14ac:dyDescent="0.2">
      <c r="A143" s="423">
        <f t="shared" si="58"/>
        <v>138</v>
      </c>
      <c r="B143" s="721" t="s">
        <v>7111</v>
      </c>
      <c r="C143" s="771">
        <v>521101</v>
      </c>
      <c r="D143" s="771">
        <v>1253</v>
      </c>
      <c r="E143" s="771" t="s">
        <v>30</v>
      </c>
      <c r="F143" s="546">
        <v>2017</v>
      </c>
      <c r="G143" s="772">
        <v>43021</v>
      </c>
      <c r="H143" s="771" t="s">
        <v>819</v>
      </c>
      <c r="I143" s="771" t="s">
        <v>6722</v>
      </c>
      <c r="J143" s="712"/>
      <c r="K143" s="771" t="s">
        <v>830</v>
      </c>
      <c r="L143" s="771" t="s">
        <v>6723</v>
      </c>
      <c r="M143" s="773">
        <v>374137.93</v>
      </c>
      <c r="N143" s="773">
        <v>0</v>
      </c>
      <c r="O143" s="773">
        <v>59862.07</v>
      </c>
      <c r="P143" s="773">
        <v>434000</v>
      </c>
      <c r="Q143" s="548"/>
      <c r="R143" s="773">
        <v>344834.35</v>
      </c>
      <c r="S143" s="549">
        <f t="shared" si="57"/>
        <v>89165.650000000023</v>
      </c>
      <c r="T143" s="113" t="s">
        <v>1931</v>
      </c>
      <c r="U143" s="267"/>
      <c r="V143" s="93"/>
      <c r="W143" s="267"/>
      <c r="X143" s="267"/>
      <c r="Y143" s="93"/>
      <c r="Z143" s="618"/>
      <c r="AA143" s="424"/>
      <c r="AB143" s="715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x14ac:dyDescent="0.2">
      <c r="A144" s="423">
        <f t="shared" si="58"/>
        <v>139</v>
      </c>
      <c r="B144" s="721" t="s">
        <v>7112</v>
      </c>
      <c r="C144" s="771">
        <v>521101</v>
      </c>
      <c r="D144" s="771">
        <v>1253</v>
      </c>
      <c r="E144" s="771" t="s">
        <v>30</v>
      </c>
      <c r="F144" s="546">
        <v>2017</v>
      </c>
      <c r="G144" s="772">
        <v>43022</v>
      </c>
      <c r="H144" s="771" t="s">
        <v>819</v>
      </c>
      <c r="I144" s="771" t="s">
        <v>6722</v>
      </c>
      <c r="J144" s="712"/>
      <c r="K144" s="771" t="s">
        <v>830</v>
      </c>
      <c r="L144" s="771" t="s">
        <v>6723</v>
      </c>
      <c r="M144" s="773">
        <v>-374137.93</v>
      </c>
      <c r="N144" s="773">
        <v>0</v>
      </c>
      <c r="O144" s="773">
        <v>-59862.07</v>
      </c>
      <c r="P144" s="773">
        <v>-434000</v>
      </c>
      <c r="Q144" s="548"/>
      <c r="R144" s="773">
        <v>-344834.35</v>
      </c>
      <c r="S144" s="549">
        <f t="shared" si="57"/>
        <v>-89165.650000000023</v>
      </c>
      <c r="T144" s="113" t="s">
        <v>1931</v>
      </c>
      <c r="U144" s="267"/>
      <c r="V144" s="93"/>
      <c r="W144" s="267"/>
      <c r="X144" s="267"/>
      <c r="Y144" s="93"/>
      <c r="Z144" s="618"/>
      <c r="AA144" s="424"/>
      <c r="AB144" s="715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x14ac:dyDescent="0.2">
      <c r="A145" s="423">
        <f t="shared" si="58"/>
        <v>140</v>
      </c>
      <c r="B145" s="721" t="s">
        <v>7168</v>
      </c>
      <c r="C145" s="771">
        <v>521801</v>
      </c>
      <c r="D145" s="771">
        <v>2201</v>
      </c>
      <c r="E145" s="771" t="s">
        <v>704</v>
      </c>
      <c r="F145" s="546">
        <v>2017</v>
      </c>
      <c r="G145" s="772">
        <v>43011</v>
      </c>
      <c r="H145" s="771" t="s">
        <v>5621</v>
      </c>
      <c r="I145" s="771" t="s">
        <v>5674</v>
      </c>
      <c r="J145" s="712"/>
      <c r="K145" s="771" t="s">
        <v>6808</v>
      </c>
      <c r="L145" s="771" t="s">
        <v>5923</v>
      </c>
      <c r="M145" s="773">
        <v>-195948.28</v>
      </c>
      <c r="N145" s="773">
        <v>0</v>
      </c>
      <c r="O145" s="773">
        <v>-31351.72</v>
      </c>
      <c r="P145" s="773">
        <v>-227300</v>
      </c>
      <c r="Q145" s="548"/>
      <c r="R145" s="773">
        <v>-183633.22</v>
      </c>
      <c r="S145" s="549">
        <f t="shared" si="57"/>
        <v>-43666.78</v>
      </c>
      <c r="T145" s="267" t="s">
        <v>1931</v>
      </c>
      <c r="U145" s="267"/>
      <c r="V145" s="93"/>
      <c r="W145" s="267"/>
      <c r="X145" s="267"/>
      <c r="Y145" s="93"/>
      <c r="Z145" s="618"/>
      <c r="AA145" s="424"/>
      <c r="AB145" s="715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x14ac:dyDescent="0.2">
      <c r="A146" s="423">
        <f t="shared" si="58"/>
        <v>141</v>
      </c>
      <c r="B146" s="721" t="s">
        <v>7169</v>
      </c>
      <c r="C146" s="771">
        <v>521801</v>
      </c>
      <c r="D146" s="771">
        <v>2201</v>
      </c>
      <c r="E146" s="771" t="s">
        <v>704</v>
      </c>
      <c r="F146" s="546">
        <v>2017</v>
      </c>
      <c r="G146" s="772">
        <v>43011</v>
      </c>
      <c r="H146" s="771" t="s">
        <v>5621</v>
      </c>
      <c r="I146" s="771" t="s">
        <v>5674</v>
      </c>
      <c r="J146" s="712"/>
      <c r="K146" s="771" t="s">
        <v>6808</v>
      </c>
      <c r="L146" s="771" t="s">
        <v>5923</v>
      </c>
      <c r="M146" s="773">
        <v>195948.28</v>
      </c>
      <c r="N146" s="773">
        <v>0</v>
      </c>
      <c r="O146" s="773">
        <v>31351.72</v>
      </c>
      <c r="P146" s="773">
        <v>227300</v>
      </c>
      <c r="Q146" s="548"/>
      <c r="R146" s="773">
        <v>183633.22</v>
      </c>
      <c r="S146" s="549">
        <f t="shared" si="57"/>
        <v>43666.78</v>
      </c>
      <c r="T146" s="113" t="s">
        <v>1931</v>
      </c>
      <c r="U146" s="267"/>
      <c r="V146" s="93"/>
      <c r="W146" s="267"/>
      <c r="X146" s="267"/>
      <c r="Y146" s="93"/>
      <c r="Z146" s="618"/>
      <c r="AA146" s="424"/>
      <c r="AB146" s="715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x14ac:dyDescent="0.2">
      <c r="A147" s="423">
        <f t="shared" si="58"/>
        <v>142</v>
      </c>
      <c r="B147" s="721" t="s">
        <v>7178</v>
      </c>
      <c r="C147" s="771">
        <v>521802</v>
      </c>
      <c r="D147" s="771">
        <v>2202</v>
      </c>
      <c r="E147" s="771" t="s">
        <v>703</v>
      </c>
      <c r="F147" s="546">
        <v>2017</v>
      </c>
      <c r="G147" s="772">
        <v>43035</v>
      </c>
      <c r="H147" s="771" t="s">
        <v>6820</v>
      </c>
      <c r="I147" s="771" t="s">
        <v>6817</v>
      </c>
      <c r="J147" s="712"/>
      <c r="K147" s="771" t="s">
        <v>6819</v>
      </c>
      <c r="L147" s="771" t="s">
        <v>6818</v>
      </c>
      <c r="M147" s="773">
        <v>196120.69</v>
      </c>
      <c r="N147" s="773">
        <v>0</v>
      </c>
      <c r="O147" s="773">
        <v>31379.31</v>
      </c>
      <c r="P147" s="773">
        <v>227500</v>
      </c>
      <c r="Q147" s="548"/>
      <c r="R147" s="773">
        <v>188022.32</v>
      </c>
      <c r="S147" s="549">
        <f t="shared" si="57"/>
        <v>39477.679999999993</v>
      </c>
      <c r="T147" s="113" t="s">
        <v>1931</v>
      </c>
      <c r="U147" s="267"/>
      <c r="V147" s="93"/>
      <c r="W147" s="267"/>
      <c r="X147" s="267"/>
      <c r="Y147" s="93"/>
      <c r="Z147" s="618"/>
      <c r="AA147" s="424"/>
      <c r="AB147" s="715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58"/>
        <v>143</v>
      </c>
      <c r="B148" s="721" t="s">
        <v>7179</v>
      </c>
      <c r="C148" s="771">
        <v>521802</v>
      </c>
      <c r="D148" s="771">
        <v>2202</v>
      </c>
      <c r="E148" s="771" t="s">
        <v>703</v>
      </c>
      <c r="F148" s="546">
        <v>2017</v>
      </c>
      <c r="G148" s="772">
        <v>43038</v>
      </c>
      <c r="H148" s="771" t="s">
        <v>6820</v>
      </c>
      <c r="I148" s="771" t="s">
        <v>6817</v>
      </c>
      <c r="J148" s="712"/>
      <c r="K148" s="771" t="s">
        <v>6819</v>
      </c>
      <c r="L148" s="771" t="s">
        <v>6818</v>
      </c>
      <c r="M148" s="773">
        <v>-196120.69</v>
      </c>
      <c r="N148" s="773">
        <v>0</v>
      </c>
      <c r="O148" s="773">
        <v>-31379.31</v>
      </c>
      <c r="P148" s="773">
        <v>-227500</v>
      </c>
      <c r="Q148" s="548"/>
      <c r="R148" s="773">
        <v>-188022.32</v>
      </c>
      <c r="S148" s="549">
        <f t="shared" si="57"/>
        <v>-39477.679999999993</v>
      </c>
      <c r="T148" s="113" t="s">
        <v>1931</v>
      </c>
      <c r="U148" s="267"/>
      <c r="V148" s="93"/>
      <c r="W148" s="267"/>
      <c r="X148" s="267"/>
      <c r="Y148" s="93"/>
      <c r="Z148" s="618"/>
      <c r="AA148" s="424"/>
      <c r="AB148" s="715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x14ac:dyDescent="0.2">
      <c r="A149" s="423">
        <f t="shared" si="58"/>
        <v>144</v>
      </c>
      <c r="B149" s="721" t="s">
        <v>7187</v>
      </c>
      <c r="C149" s="771">
        <v>521907</v>
      </c>
      <c r="D149" s="771">
        <v>2204</v>
      </c>
      <c r="E149" s="771" t="s">
        <v>705</v>
      </c>
      <c r="F149" s="546">
        <v>2018</v>
      </c>
      <c r="G149" s="772">
        <v>43039</v>
      </c>
      <c r="H149" s="771" t="s">
        <v>739</v>
      </c>
      <c r="I149" s="771" t="s">
        <v>6830</v>
      </c>
      <c r="J149" s="712"/>
      <c r="K149" s="771" t="s">
        <v>6832</v>
      </c>
      <c r="L149" s="771" t="s">
        <v>6831</v>
      </c>
      <c r="M149" s="773">
        <v>-232417.21</v>
      </c>
      <c r="N149" s="773">
        <v>-2324.17</v>
      </c>
      <c r="O149" s="773">
        <v>-37558.620000000003</v>
      </c>
      <c r="P149" s="773">
        <v>-272300</v>
      </c>
      <c r="Q149" s="548"/>
      <c r="R149" s="773">
        <v>-210300.79</v>
      </c>
      <c r="S149" s="549">
        <f t="shared" si="57"/>
        <v>-61999.209999999992</v>
      </c>
      <c r="T149" s="267" t="s">
        <v>1931</v>
      </c>
      <c r="U149" s="267"/>
      <c r="V149" s="93"/>
      <c r="W149" s="267"/>
      <c r="X149" s="267"/>
      <c r="Y149" s="93"/>
      <c r="Z149" s="618"/>
      <c r="AA149" s="424"/>
      <c r="AB149" s="715"/>
      <c r="AC149" s="424"/>
      <c r="AD149" s="425"/>
      <c r="AE149" s="424"/>
      <c r="AF149" s="424"/>
      <c r="AG149" s="396"/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x14ac:dyDescent="0.2">
      <c r="A150" s="423">
        <f t="shared" si="58"/>
        <v>145</v>
      </c>
      <c r="B150" s="721" t="s">
        <v>7188</v>
      </c>
      <c r="C150" s="771">
        <v>521907</v>
      </c>
      <c r="D150" s="771">
        <v>2204</v>
      </c>
      <c r="E150" s="771" t="s">
        <v>705</v>
      </c>
      <c r="F150" s="546">
        <v>2018</v>
      </c>
      <c r="G150" s="772">
        <v>43039</v>
      </c>
      <c r="H150" s="771" t="s">
        <v>739</v>
      </c>
      <c r="I150" s="771" t="s">
        <v>6830</v>
      </c>
      <c r="J150" s="712"/>
      <c r="K150" s="771" t="s">
        <v>6832</v>
      </c>
      <c r="L150" s="771" t="s">
        <v>6831</v>
      </c>
      <c r="M150" s="773">
        <v>232417.21</v>
      </c>
      <c r="N150" s="773">
        <v>2324.17</v>
      </c>
      <c r="O150" s="773">
        <v>37558.620000000003</v>
      </c>
      <c r="P150" s="773">
        <v>272300</v>
      </c>
      <c r="Q150" s="548"/>
      <c r="R150" s="773">
        <v>210300.79</v>
      </c>
      <c r="S150" s="549">
        <f t="shared" si="57"/>
        <v>61999.209999999992</v>
      </c>
      <c r="T150" s="267" t="s">
        <v>1931</v>
      </c>
      <c r="U150" s="267"/>
      <c r="V150" s="93"/>
      <c r="W150" s="267"/>
      <c r="X150" s="267"/>
      <c r="Y150" s="93"/>
      <c r="Z150" s="618"/>
      <c r="AA150" s="424"/>
      <c r="AB150" s="715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x14ac:dyDescent="0.2">
      <c r="A151" s="423">
        <f t="shared" si="58"/>
        <v>146</v>
      </c>
      <c r="B151" s="721" t="s">
        <v>7171</v>
      </c>
      <c r="C151" s="771">
        <v>521802</v>
      </c>
      <c r="D151" s="771">
        <v>2202</v>
      </c>
      <c r="E151" s="771" t="s">
        <v>703</v>
      </c>
      <c r="F151" s="546">
        <v>2017</v>
      </c>
      <c r="G151" s="772">
        <v>43012</v>
      </c>
      <c r="H151" s="771" t="s">
        <v>819</v>
      </c>
      <c r="I151" s="771" t="s">
        <v>6809</v>
      </c>
      <c r="J151" s="712"/>
      <c r="K151" s="771" t="s">
        <v>6811</v>
      </c>
      <c r="L151" s="771" t="s">
        <v>6810</v>
      </c>
      <c r="M151" s="773">
        <v>200431.03</v>
      </c>
      <c r="N151" s="773">
        <v>0</v>
      </c>
      <c r="O151" s="773">
        <v>32068.97</v>
      </c>
      <c r="P151" s="773">
        <v>232500</v>
      </c>
      <c r="Q151" s="548"/>
      <c r="R151" s="773">
        <v>188022.32</v>
      </c>
      <c r="S151" s="549">
        <f t="shared" si="57"/>
        <v>44477.679999999993</v>
      </c>
      <c r="T151" s="113" t="s">
        <v>1931</v>
      </c>
      <c r="U151" s="267"/>
      <c r="V151" s="93"/>
      <c r="W151" s="267"/>
      <c r="X151" s="267"/>
      <c r="Y151" s="93"/>
      <c r="Z151" s="618"/>
      <c r="AA151" s="424"/>
      <c r="AB151" s="715"/>
      <c r="AC151" s="424"/>
      <c r="AD151" s="425"/>
      <c r="AE151" s="424"/>
      <c r="AF151" s="424"/>
      <c r="AG151" s="396"/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x14ac:dyDescent="0.2">
      <c r="A152" s="423">
        <f t="shared" si="58"/>
        <v>147</v>
      </c>
      <c r="B152" s="721" t="s">
        <v>7172</v>
      </c>
      <c r="C152" s="771">
        <v>521802</v>
      </c>
      <c r="D152" s="771">
        <v>2202</v>
      </c>
      <c r="E152" s="771" t="s">
        <v>703</v>
      </c>
      <c r="F152" s="546">
        <v>2017</v>
      </c>
      <c r="G152" s="772">
        <v>43013</v>
      </c>
      <c r="H152" s="771" t="s">
        <v>819</v>
      </c>
      <c r="I152" s="771" t="s">
        <v>6809</v>
      </c>
      <c r="J152" s="712"/>
      <c r="K152" s="771" t="s">
        <v>6811</v>
      </c>
      <c r="L152" s="771" t="s">
        <v>6810</v>
      </c>
      <c r="M152" s="773">
        <v>-200431.03</v>
      </c>
      <c r="N152" s="773">
        <v>0</v>
      </c>
      <c r="O152" s="773">
        <v>-32068.97</v>
      </c>
      <c r="P152" s="773">
        <v>-232500</v>
      </c>
      <c r="Q152" s="548"/>
      <c r="R152" s="773">
        <v>-188022.32</v>
      </c>
      <c r="S152" s="549">
        <f t="shared" si="57"/>
        <v>-44477.679999999993</v>
      </c>
      <c r="T152" s="113" t="s">
        <v>1931</v>
      </c>
      <c r="U152" s="267"/>
      <c r="V152" s="93"/>
      <c r="W152" s="267"/>
      <c r="X152" s="267"/>
      <c r="Y152" s="93"/>
      <c r="Z152" s="618"/>
      <c r="AA152" s="717"/>
      <c r="AB152" s="116"/>
      <c r="AC152" s="424"/>
      <c r="AD152" s="425"/>
      <c r="AE152" s="424"/>
      <c r="AF152" s="424"/>
      <c r="AG152" s="396"/>
      <c r="AH152" s="361"/>
      <c r="AI152" s="313"/>
      <c r="AJ152" s="374"/>
      <c r="AK152" s="331"/>
      <c r="AL152" s="331"/>
      <c r="AM152" s="331"/>
    </row>
    <row r="153" spans="1:47" s="412" customFormat="1" x14ac:dyDescent="0.2">
      <c r="A153" s="423">
        <f t="shared" si="58"/>
        <v>148</v>
      </c>
      <c r="B153" s="721" t="s">
        <v>7173</v>
      </c>
      <c r="C153" s="771">
        <v>521802</v>
      </c>
      <c r="D153" s="771">
        <v>2202</v>
      </c>
      <c r="E153" s="771" t="s">
        <v>703</v>
      </c>
      <c r="F153" s="546">
        <v>2017</v>
      </c>
      <c r="G153" s="772">
        <v>43013</v>
      </c>
      <c r="H153" s="771" t="s">
        <v>819</v>
      </c>
      <c r="I153" s="771" t="s">
        <v>6809</v>
      </c>
      <c r="J153" s="712"/>
      <c r="K153" s="771" t="s">
        <v>6811</v>
      </c>
      <c r="L153" s="771" t="s">
        <v>6810</v>
      </c>
      <c r="M153" s="773">
        <v>200431.03</v>
      </c>
      <c r="N153" s="773">
        <v>0</v>
      </c>
      <c r="O153" s="773">
        <v>32068.97</v>
      </c>
      <c r="P153" s="773">
        <v>232500</v>
      </c>
      <c r="Q153" s="548"/>
      <c r="R153" s="773">
        <v>188022.32</v>
      </c>
      <c r="S153" s="549">
        <f t="shared" si="57"/>
        <v>44477.679999999993</v>
      </c>
      <c r="T153" s="113" t="s">
        <v>1931</v>
      </c>
      <c r="U153" s="267"/>
      <c r="V153" s="93"/>
      <c r="W153" s="267"/>
      <c r="X153" s="267"/>
      <c r="Y153" s="93"/>
      <c r="Z153" s="618"/>
      <c r="AA153" s="271"/>
      <c r="AB153" s="116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x14ac:dyDescent="0.2">
      <c r="A154" s="423">
        <f t="shared" si="58"/>
        <v>149</v>
      </c>
      <c r="B154" s="721" t="s">
        <v>7174</v>
      </c>
      <c r="C154" s="771">
        <v>521802</v>
      </c>
      <c r="D154" s="771">
        <v>2202</v>
      </c>
      <c r="E154" s="771" t="s">
        <v>703</v>
      </c>
      <c r="F154" s="546">
        <v>2017</v>
      </c>
      <c r="G154" s="772">
        <v>43014</v>
      </c>
      <c r="H154" s="771" t="s">
        <v>819</v>
      </c>
      <c r="I154" s="771" t="s">
        <v>6809</v>
      </c>
      <c r="J154" s="712"/>
      <c r="K154" s="771" t="s">
        <v>6811</v>
      </c>
      <c r="L154" s="771" t="s">
        <v>6810</v>
      </c>
      <c r="M154" s="773">
        <v>-200431.03</v>
      </c>
      <c r="N154" s="773">
        <v>0</v>
      </c>
      <c r="O154" s="773">
        <v>-32068.97</v>
      </c>
      <c r="P154" s="773">
        <v>-232500</v>
      </c>
      <c r="Q154" s="548"/>
      <c r="R154" s="773">
        <v>-188022.32</v>
      </c>
      <c r="S154" s="549">
        <f t="shared" si="57"/>
        <v>-44477.679999999993</v>
      </c>
      <c r="T154" s="444" t="s">
        <v>1931</v>
      </c>
      <c r="U154" s="267"/>
      <c r="V154" s="93"/>
      <c r="W154" s="267"/>
      <c r="X154" s="267"/>
      <c r="Y154" s="93"/>
      <c r="Z154" s="618"/>
      <c r="AA154" s="717"/>
      <c r="AB154" s="116"/>
      <c r="AC154" s="424"/>
      <c r="AD154" s="425"/>
      <c r="AE154" s="424"/>
      <c r="AF154" s="424"/>
      <c r="AG154" s="396"/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x14ac:dyDescent="0.2">
      <c r="A155" s="423">
        <f t="shared" si="58"/>
        <v>150</v>
      </c>
      <c r="B155" s="721" t="s">
        <v>7183</v>
      </c>
      <c r="C155" s="771">
        <v>521802</v>
      </c>
      <c r="D155" s="771">
        <v>2204</v>
      </c>
      <c r="E155" s="771" t="s">
        <v>705</v>
      </c>
      <c r="F155" s="546">
        <v>2017</v>
      </c>
      <c r="G155" s="772">
        <v>43035</v>
      </c>
      <c r="H155" s="771" t="s">
        <v>5623</v>
      </c>
      <c r="I155" s="771" t="s">
        <v>6825</v>
      </c>
      <c r="J155" s="712"/>
      <c r="K155" s="771" t="s">
        <v>2460</v>
      </c>
      <c r="L155" s="771" t="s">
        <v>6826</v>
      </c>
      <c r="M155" s="773">
        <v>223706.9</v>
      </c>
      <c r="N155" s="773">
        <v>0</v>
      </c>
      <c r="O155" s="773">
        <v>35793.1</v>
      </c>
      <c r="P155" s="773">
        <v>259500</v>
      </c>
      <c r="Q155" s="548"/>
      <c r="R155" s="773">
        <v>210300.79</v>
      </c>
      <c r="S155" s="549">
        <f t="shared" si="57"/>
        <v>49199.209999999992</v>
      </c>
      <c r="T155" s="267" t="s">
        <v>1931</v>
      </c>
      <c r="U155" s="267"/>
      <c r="V155" s="93"/>
      <c r="W155" s="267"/>
      <c r="X155" s="267"/>
      <c r="Y155" s="93"/>
      <c r="Z155" s="618"/>
      <c r="AA155" s="717"/>
      <c r="AB155" s="116"/>
      <c r="AC155" s="424"/>
      <c r="AD155" s="425"/>
      <c r="AE155" s="424"/>
      <c r="AF155" s="424"/>
      <c r="AG155" s="396"/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x14ac:dyDescent="0.2">
      <c r="A156" s="423">
        <f t="shared" si="58"/>
        <v>151</v>
      </c>
      <c r="B156" s="721" t="s">
        <v>7185</v>
      </c>
      <c r="C156" s="771">
        <v>521802</v>
      </c>
      <c r="D156" s="771">
        <v>2204</v>
      </c>
      <c r="E156" s="771" t="s">
        <v>705</v>
      </c>
      <c r="F156" s="546">
        <v>2017</v>
      </c>
      <c r="G156" s="772">
        <v>43038</v>
      </c>
      <c r="H156" s="771" t="s">
        <v>5623</v>
      </c>
      <c r="I156" s="771" t="s">
        <v>6825</v>
      </c>
      <c r="J156" s="712"/>
      <c r="K156" s="771" t="s">
        <v>2460</v>
      </c>
      <c r="L156" s="771" t="s">
        <v>6826</v>
      </c>
      <c r="M156" s="773">
        <v>-223706.9</v>
      </c>
      <c r="N156" s="773">
        <v>0</v>
      </c>
      <c r="O156" s="773">
        <v>-35793.1</v>
      </c>
      <c r="P156" s="773">
        <v>-259500</v>
      </c>
      <c r="Q156" s="548"/>
      <c r="R156" s="773">
        <v>-210300.79</v>
      </c>
      <c r="S156" s="549">
        <f t="shared" si="57"/>
        <v>-49199.209999999992</v>
      </c>
      <c r="T156" s="113" t="s">
        <v>1931</v>
      </c>
      <c r="U156" s="267"/>
      <c r="V156" s="93"/>
      <c r="W156" s="267"/>
      <c r="X156" s="267"/>
      <c r="Y156" s="93"/>
      <c r="Z156" s="618"/>
      <c r="AA156" s="271"/>
      <c r="AB156" s="116"/>
      <c r="AC156" s="424"/>
      <c r="AD156" s="425"/>
      <c r="AE156" s="424"/>
      <c r="AF156" s="424"/>
      <c r="AG156" s="396"/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58"/>
        <v>152</v>
      </c>
      <c r="B157" s="721" t="s">
        <v>7275</v>
      </c>
      <c r="C157" s="771">
        <v>1520104</v>
      </c>
      <c r="D157" s="771">
        <v>7493</v>
      </c>
      <c r="E157" s="771" t="s">
        <v>6945</v>
      </c>
      <c r="F157" s="546">
        <v>2017</v>
      </c>
      <c r="G157" s="772">
        <v>43028</v>
      </c>
      <c r="H157" s="771" t="s">
        <v>817</v>
      </c>
      <c r="I157" s="771" t="s">
        <v>6954</v>
      </c>
      <c r="J157" s="712"/>
      <c r="K157" s="771" t="s">
        <v>6956</v>
      </c>
      <c r="L157" s="771" t="s">
        <v>6955</v>
      </c>
      <c r="M157" s="773">
        <v>-241789.82</v>
      </c>
      <c r="N157" s="773">
        <v>-12089.49</v>
      </c>
      <c r="O157" s="773">
        <v>-40620.69</v>
      </c>
      <c r="P157" s="773">
        <v>-294500</v>
      </c>
      <c r="Q157" s="548"/>
      <c r="R157" s="773">
        <v>-229061.05</v>
      </c>
      <c r="S157" s="549">
        <f t="shared" si="57"/>
        <v>-65438.950000000012</v>
      </c>
      <c r="T157" s="267" t="s">
        <v>1931</v>
      </c>
      <c r="U157" s="267"/>
      <c r="V157" s="93"/>
      <c r="W157" s="267"/>
      <c r="X157" s="267"/>
      <c r="Y157" s="93"/>
      <c r="Z157" s="618"/>
      <c r="AA157" s="271"/>
      <c r="AB157" s="116"/>
      <c r="AC157" s="424"/>
      <c r="AD157" s="425"/>
      <c r="AE157" s="424"/>
      <c r="AF157" s="424"/>
      <c r="AG157" s="396"/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x14ac:dyDescent="0.2">
      <c r="A158" s="423">
        <f t="shared" si="58"/>
        <v>153</v>
      </c>
      <c r="B158" s="721" t="s">
        <v>7276</v>
      </c>
      <c r="C158" s="771">
        <v>1520104</v>
      </c>
      <c r="D158" s="771">
        <v>7493</v>
      </c>
      <c r="E158" s="771" t="s">
        <v>6945</v>
      </c>
      <c r="F158" s="546">
        <v>2017</v>
      </c>
      <c r="G158" s="772">
        <v>43028</v>
      </c>
      <c r="H158" s="771" t="s">
        <v>817</v>
      </c>
      <c r="I158" s="771" t="s">
        <v>6954</v>
      </c>
      <c r="J158" s="712"/>
      <c r="K158" s="771" t="s">
        <v>6956</v>
      </c>
      <c r="L158" s="771" t="s">
        <v>6955</v>
      </c>
      <c r="M158" s="773">
        <v>241789.82</v>
      </c>
      <c r="N158" s="773">
        <v>12089.49</v>
      </c>
      <c r="O158" s="773">
        <v>40620.69</v>
      </c>
      <c r="P158" s="773">
        <v>294500</v>
      </c>
      <c r="Q158" s="548"/>
      <c r="R158" s="773">
        <v>229061.05</v>
      </c>
      <c r="S158" s="549">
        <f t="shared" si="57"/>
        <v>65438.950000000012</v>
      </c>
      <c r="T158" s="113" t="s">
        <v>1931</v>
      </c>
      <c r="U158" s="267"/>
      <c r="V158" s="93"/>
      <c r="W158" s="267"/>
      <c r="X158" s="267"/>
      <c r="Y158" s="93"/>
      <c r="Z158" s="618"/>
      <c r="AA158" s="717"/>
      <c r="AB158" s="116"/>
      <c r="AC158" s="424"/>
      <c r="AD158" s="425"/>
      <c r="AE158" s="424"/>
      <c r="AF158" s="424"/>
      <c r="AG158" s="396"/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x14ac:dyDescent="0.2">
      <c r="A159" s="423">
        <f t="shared" si="58"/>
        <v>154</v>
      </c>
      <c r="B159" s="721" t="s">
        <v>7287</v>
      </c>
      <c r="C159" s="771">
        <v>1520604</v>
      </c>
      <c r="D159" s="771">
        <v>7495</v>
      </c>
      <c r="E159" s="771" t="s">
        <v>718</v>
      </c>
      <c r="F159" s="546">
        <v>2017</v>
      </c>
      <c r="G159" s="772">
        <v>43018</v>
      </c>
      <c r="H159" s="771" t="s">
        <v>2216</v>
      </c>
      <c r="I159" s="771" t="s">
        <v>6981</v>
      </c>
      <c r="J159" s="712"/>
      <c r="K159" s="771" t="s">
        <v>6983</v>
      </c>
      <c r="L159" s="771" t="s">
        <v>6982</v>
      </c>
      <c r="M159" s="773">
        <v>287973.71999999997</v>
      </c>
      <c r="N159" s="773">
        <v>14398.69</v>
      </c>
      <c r="O159" s="773">
        <v>48379.59</v>
      </c>
      <c r="P159" s="773">
        <v>350752</v>
      </c>
      <c r="Q159" s="548"/>
      <c r="R159" s="773">
        <v>262450.93</v>
      </c>
      <c r="S159" s="549">
        <f t="shared" si="57"/>
        <v>88301.07</v>
      </c>
      <c r="T159" s="267" t="s">
        <v>1931</v>
      </c>
      <c r="U159" s="267"/>
      <c r="V159" s="93"/>
      <c r="W159" s="267"/>
      <c r="X159" s="267"/>
      <c r="Y159" s="93"/>
      <c r="Z159" s="618"/>
      <c r="AA159" s="717"/>
      <c r="AB159" s="116"/>
      <c r="AC159" s="424"/>
      <c r="AD159" s="425"/>
      <c r="AE159" s="424"/>
      <c r="AF159" s="424"/>
      <c r="AG159" s="396"/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x14ac:dyDescent="0.2">
      <c r="A160" s="423">
        <f t="shared" si="58"/>
        <v>155</v>
      </c>
      <c r="B160" s="721" t="s">
        <v>7299</v>
      </c>
      <c r="C160" s="771">
        <v>1520604</v>
      </c>
      <c r="D160" s="771">
        <v>7495</v>
      </c>
      <c r="E160" s="771" t="s">
        <v>718</v>
      </c>
      <c r="F160" s="546">
        <v>2017</v>
      </c>
      <c r="G160" s="772">
        <v>43031</v>
      </c>
      <c r="H160" s="771" t="s">
        <v>2216</v>
      </c>
      <c r="I160" s="771" t="s">
        <v>6981</v>
      </c>
      <c r="J160" s="712"/>
      <c r="K160" s="771" t="s">
        <v>6983</v>
      </c>
      <c r="L160" s="771" t="s">
        <v>6982</v>
      </c>
      <c r="M160" s="773">
        <v>-287973.71999999997</v>
      </c>
      <c r="N160" s="773">
        <v>-14398.69</v>
      </c>
      <c r="O160" s="773">
        <v>-48379.59</v>
      </c>
      <c r="P160" s="773">
        <v>-350752</v>
      </c>
      <c r="Q160" s="548"/>
      <c r="R160" s="773">
        <v>-262450.93</v>
      </c>
      <c r="S160" s="549">
        <f t="shared" si="57"/>
        <v>-88301.07</v>
      </c>
      <c r="T160" s="113" t="s">
        <v>1931</v>
      </c>
      <c r="U160" s="267"/>
      <c r="V160" s="93"/>
      <c r="W160" s="267"/>
      <c r="X160" s="267"/>
      <c r="Y160" s="93"/>
      <c r="Z160" s="618"/>
      <c r="AA160" s="618"/>
      <c r="AB160" s="116"/>
      <c r="AC160" s="424"/>
      <c r="AD160" s="425"/>
      <c r="AE160" s="424"/>
      <c r="AF160" s="424"/>
      <c r="AG160" s="396"/>
      <c r="AH160" s="488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x14ac:dyDescent="0.2">
      <c r="A161" s="423">
        <f t="shared" si="58"/>
        <v>156</v>
      </c>
      <c r="B161" s="721" t="s">
        <v>7319</v>
      </c>
      <c r="C161" s="771">
        <v>1520603</v>
      </c>
      <c r="D161" s="771">
        <v>7497</v>
      </c>
      <c r="E161" s="771" t="s">
        <v>5619</v>
      </c>
      <c r="F161" s="546">
        <v>2017</v>
      </c>
      <c r="G161" s="772">
        <v>43024</v>
      </c>
      <c r="H161" s="771" t="s">
        <v>2215</v>
      </c>
      <c r="I161" s="771" t="s">
        <v>7032</v>
      </c>
      <c r="J161" s="712"/>
      <c r="K161" s="771" t="s">
        <v>6991</v>
      </c>
      <c r="L161" s="771" t="s">
        <v>7033</v>
      </c>
      <c r="M161" s="773">
        <v>268801.31</v>
      </c>
      <c r="N161" s="773">
        <v>13440.07</v>
      </c>
      <c r="O161" s="773">
        <v>45158.62</v>
      </c>
      <c r="P161" s="773">
        <v>327400</v>
      </c>
      <c r="Q161" s="548"/>
      <c r="R161" s="773">
        <v>257188.43</v>
      </c>
      <c r="S161" s="549">
        <f t="shared" si="57"/>
        <v>70211.570000000007</v>
      </c>
      <c r="T161" s="113" t="s">
        <v>1931</v>
      </c>
      <c r="AB161" s="389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x14ac:dyDescent="0.2">
      <c r="A162" s="423">
        <f t="shared" si="58"/>
        <v>157</v>
      </c>
      <c r="B162" s="721" t="s">
        <v>7320</v>
      </c>
      <c r="C162" s="771">
        <v>1520603</v>
      </c>
      <c r="D162" s="771">
        <v>7497</v>
      </c>
      <c r="E162" s="771" t="s">
        <v>5619</v>
      </c>
      <c r="F162" s="546">
        <v>2017</v>
      </c>
      <c r="G162" s="772">
        <v>43025</v>
      </c>
      <c r="H162" s="771" t="s">
        <v>2215</v>
      </c>
      <c r="I162" s="771" t="s">
        <v>7032</v>
      </c>
      <c r="J162" s="712"/>
      <c r="K162" s="771" t="s">
        <v>6991</v>
      </c>
      <c r="L162" s="771" t="s">
        <v>7033</v>
      </c>
      <c r="M162" s="773">
        <v>-268801.31</v>
      </c>
      <c r="N162" s="773">
        <v>-13440.07</v>
      </c>
      <c r="O162" s="773">
        <v>-45158.62</v>
      </c>
      <c r="P162" s="773">
        <v>-327400</v>
      </c>
      <c r="Q162" s="548"/>
      <c r="R162" s="773">
        <v>-257188.43</v>
      </c>
      <c r="S162" s="549">
        <f t="shared" si="57"/>
        <v>-70211.570000000007</v>
      </c>
      <c r="T162" s="267" t="s">
        <v>1931</v>
      </c>
      <c r="AB162" s="389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x14ac:dyDescent="0.2">
      <c r="A163" s="423">
        <f t="shared" si="58"/>
        <v>158</v>
      </c>
      <c r="B163" s="721" t="s">
        <v>7322</v>
      </c>
      <c r="C163" s="771">
        <v>1520603</v>
      </c>
      <c r="D163" s="771">
        <v>7497</v>
      </c>
      <c r="E163" s="771" t="s">
        <v>5619</v>
      </c>
      <c r="F163" s="546">
        <v>2017</v>
      </c>
      <c r="G163" s="772">
        <v>43028</v>
      </c>
      <c r="H163" s="771" t="s">
        <v>810</v>
      </c>
      <c r="I163" s="771" t="s">
        <v>7032</v>
      </c>
      <c r="J163" s="712"/>
      <c r="K163" s="771" t="s">
        <v>3194</v>
      </c>
      <c r="L163" s="771" t="s">
        <v>7033</v>
      </c>
      <c r="M163" s="773">
        <v>268801.31</v>
      </c>
      <c r="N163" s="773">
        <v>13440.07</v>
      </c>
      <c r="O163" s="773">
        <v>45158.62</v>
      </c>
      <c r="P163" s="773">
        <v>327400</v>
      </c>
      <c r="Q163" s="548"/>
      <c r="R163" s="773">
        <v>257188.43</v>
      </c>
      <c r="S163" s="549">
        <f t="shared" si="57"/>
        <v>70211.570000000007</v>
      </c>
      <c r="T163" s="113" t="s">
        <v>1931</v>
      </c>
      <c r="U163" s="291"/>
      <c r="V163" s="291"/>
      <c r="W163" s="291"/>
      <c r="X163" s="291"/>
      <c r="Y163" s="291"/>
      <c r="Z163" s="291"/>
      <c r="AA163" s="291"/>
      <c r="AB163" s="389"/>
      <c r="AC163" s="291"/>
      <c r="AD163" s="291"/>
      <c r="AE163" s="291"/>
      <c r="AF163" s="291"/>
      <c r="AG163" s="395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x14ac:dyDescent="0.2">
      <c r="A164" s="423">
        <f t="shared" si="58"/>
        <v>159</v>
      </c>
      <c r="B164" s="721" t="s">
        <v>7323</v>
      </c>
      <c r="C164" s="771">
        <v>1520603</v>
      </c>
      <c r="D164" s="771">
        <v>7497</v>
      </c>
      <c r="E164" s="771" t="s">
        <v>5619</v>
      </c>
      <c r="F164" s="546">
        <v>2017</v>
      </c>
      <c r="G164" s="772">
        <v>43031</v>
      </c>
      <c r="H164" s="771" t="s">
        <v>810</v>
      </c>
      <c r="I164" s="771" t="s">
        <v>7032</v>
      </c>
      <c r="J164" s="712"/>
      <c r="K164" s="771" t="s">
        <v>3194</v>
      </c>
      <c r="L164" s="771" t="s">
        <v>7033</v>
      </c>
      <c r="M164" s="773">
        <v>-268801.31</v>
      </c>
      <c r="N164" s="773">
        <v>-13440.07</v>
      </c>
      <c r="O164" s="773">
        <v>-45158.62</v>
      </c>
      <c r="P164" s="773">
        <v>-327400</v>
      </c>
      <c r="Q164" s="548"/>
      <c r="R164" s="773">
        <v>-257188.43</v>
      </c>
      <c r="S164" s="549">
        <f t="shared" si="57"/>
        <v>-70211.570000000007</v>
      </c>
      <c r="T164" s="113" t="s">
        <v>1931</v>
      </c>
      <c r="AB164" s="422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58"/>
        <v>160</v>
      </c>
      <c r="B165" s="721" t="s">
        <v>7315</v>
      </c>
      <c r="C165" s="771">
        <v>1520604</v>
      </c>
      <c r="D165" s="771">
        <v>7495</v>
      </c>
      <c r="E165" s="771" t="s">
        <v>718</v>
      </c>
      <c r="F165" s="546">
        <v>2017</v>
      </c>
      <c r="G165" s="772">
        <v>43039</v>
      </c>
      <c r="H165" s="771" t="s">
        <v>2216</v>
      </c>
      <c r="I165" s="771" t="s">
        <v>7027</v>
      </c>
      <c r="J165" s="712"/>
      <c r="K165" s="771" t="s">
        <v>7029</v>
      </c>
      <c r="L165" s="771" t="s">
        <v>7028</v>
      </c>
      <c r="M165" s="773">
        <v>-302298.84999999998</v>
      </c>
      <c r="N165" s="773">
        <v>-15114.94</v>
      </c>
      <c r="O165" s="773">
        <v>-50786.21</v>
      </c>
      <c r="P165" s="773">
        <v>-368200</v>
      </c>
      <c r="Q165" s="548"/>
      <c r="R165" s="773">
        <v>-262805.40999999997</v>
      </c>
      <c r="S165" s="549">
        <f t="shared" si="57"/>
        <v>-105394.59000000003</v>
      </c>
      <c r="T165" s="113" t="s">
        <v>1931</v>
      </c>
      <c r="AB165" s="422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x14ac:dyDescent="0.2">
      <c r="A166" s="423">
        <f t="shared" si="58"/>
        <v>161</v>
      </c>
      <c r="B166" s="721" t="s">
        <v>7316</v>
      </c>
      <c r="C166" s="771">
        <v>1520604</v>
      </c>
      <c r="D166" s="771">
        <v>7495</v>
      </c>
      <c r="E166" s="771" t="s">
        <v>718</v>
      </c>
      <c r="F166" s="546">
        <v>2017</v>
      </c>
      <c r="G166" s="772">
        <v>43039</v>
      </c>
      <c r="H166" s="771" t="s">
        <v>2216</v>
      </c>
      <c r="I166" s="771" t="s">
        <v>7027</v>
      </c>
      <c r="J166" s="712"/>
      <c r="K166" s="771" t="s">
        <v>7029</v>
      </c>
      <c r="L166" s="771" t="s">
        <v>7028</v>
      </c>
      <c r="M166" s="773">
        <v>302298.84999999998</v>
      </c>
      <c r="N166" s="773">
        <v>15114.94</v>
      </c>
      <c r="O166" s="773">
        <v>50786.21</v>
      </c>
      <c r="P166" s="773">
        <v>368200</v>
      </c>
      <c r="Q166" s="548"/>
      <c r="R166" s="773">
        <v>262805.40999999997</v>
      </c>
      <c r="S166" s="549">
        <f t="shared" si="57"/>
        <v>105394.59000000003</v>
      </c>
      <c r="T166" s="113" t="s">
        <v>1931</v>
      </c>
      <c r="AB166" s="422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x14ac:dyDescent="0.2">
      <c r="A167" s="423">
        <f t="shared" si="58"/>
        <v>162</v>
      </c>
      <c r="B167" s="721" t="s">
        <v>7291</v>
      </c>
      <c r="C167" s="771">
        <v>1520604</v>
      </c>
      <c r="D167" s="771">
        <v>7495</v>
      </c>
      <c r="E167" s="771" t="s">
        <v>718</v>
      </c>
      <c r="F167" s="546">
        <v>2017</v>
      </c>
      <c r="G167" s="772">
        <v>43021</v>
      </c>
      <c r="H167" s="771" t="s">
        <v>5129</v>
      </c>
      <c r="I167" s="771" t="s">
        <v>6986</v>
      </c>
      <c r="J167" s="712"/>
      <c r="K167" s="771" t="s">
        <v>6988</v>
      </c>
      <c r="L167" s="771" t="s">
        <v>6987</v>
      </c>
      <c r="M167" s="773">
        <v>296880.13</v>
      </c>
      <c r="N167" s="773">
        <v>14844.01</v>
      </c>
      <c r="O167" s="773">
        <v>49875.86</v>
      </c>
      <c r="P167" s="773">
        <v>361600</v>
      </c>
      <c r="Q167" s="548"/>
      <c r="R167" s="773">
        <v>262450.93</v>
      </c>
      <c r="S167" s="549">
        <f t="shared" si="57"/>
        <v>99149.07</v>
      </c>
      <c r="T167" s="113" t="s">
        <v>1931</v>
      </c>
      <c r="AB167" s="422"/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x14ac:dyDescent="0.2">
      <c r="A168" s="423">
        <f t="shared" si="58"/>
        <v>163</v>
      </c>
      <c r="B168" s="721" t="s">
        <v>7297</v>
      </c>
      <c r="C168" s="771">
        <v>1520604</v>
      </c>
      <c r="D168" s="771">
        <v>7495</v>
      </c>
      <c r="E168" s="771" t="s">
        <v>718</v>
      </c>
      <c r="F168" s="546">
        <v>2017</v>
      </c>
      <c r="G168" s="772">
        <v>43031</v>
      </c>
      <c r="H168" s="771" t="s">
        <v>5129</v>
      </c>
      <c r="I168" s="771" t="s">
        <v>6986</v>
      </c>
      <c r="J168" s="712"/>
      <c r="K168" s="771" t="s">
        <v>6988</v>
      </c>
      <c r="L168" s="771" t="s">
        <v>6987</v>
      </c>
      <c r="M168" s="773">
        <v>-296880.13</v>
      </c>
      <c r="N168" s="773">
        <v>-14844.01</v>
      </c>
      <c r="O168" s="773">
        <v>-49875.86</v>
      </c>
      <c r="P168" s="773">
        <v>-361600</v>
      </c>
      <c r="Q168" s="548"/>
      <c r="R168" s="773">
        <v>-262450.93</v>
      </c>
      <c r="S168" s="549">
        <f t="shared" si="57"/>
        <v>-99149.07</v>
      </c>
      <c r="T168" s="267" t="s">
        <v>1931</v>
      </c>
      <c r="AB168" s="422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x14ac:dyDescent="0.2">
      <c r="A169" s="423">
        <f t="shared" si="58"/>
        <v>164</v>
      </c>
      <c r="B169" s="721" t="s">
        <v>7285</v>
      </c>
      <c r="C169" s="771">
        <v>1520604</v>
      </c>
      <c r="D169" s="771">
        <v>7495</v>
      </c>
      <c r="E169" s="771" t="s">
        <v>718</v>
      </c>
      <c r="F169" s="546">
        <v>2017</v>
      </c>
      <c r="G169" s="772">
        <v>43012</v>
      </c>
      <c r="H169" s="771" t="s">
        <v>6277</v>
      </c>
      <c r="I169" s="771" t="s">
        <v>6975</v>
      </c>
      <c r="J169" s="712"/>
      <c r="K169" s="771" t="s">
        <v>6977</v>
      </c>
      <c r="L169" s="771" t="s">
        <v>6976</v>
      </c>
      <c r="M169" s="773">
        <v>296880.13</v>
      </c>
      <c r="N169" s="773">
        <v>14844.01</v>
      </c>
      <c r="O169" s="773">
        <v>49875.86</v>
      </c>
      <c r="P169" s="773">
        <v>361600</v>
      </c>
      <c r="Q169" s="548"/>
      <c r="R169" s="773">
        <v>262450.93</v>
      </c>
      <c r="S169" s="549">
        <f t="shared" si="57"/>
        <v>99149.07</v>
      </c>
      <c r="T169" s="113" t="s">
        <v>1931</v>
      </c>
      <c r="AB169" s="422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x14ac:dyDescent="0.2">
      <c r="A170" s="423">
        <f t="shared" si="58"/>
        <v>165</v>
      </c>
      <c r="B170" s="721" t="s">
        <v>7303</v>
      </c>
      <c r="C170" s="771">
        <v>1520604</v>
      </c>
      <c r="D170" s="771">
        <v>7495</v>
      </c>
      <c r="E170" s="771" t="s">
        <v>718</v>
      </c>
      <c r="F170" s="546">
        <v>2017</v>
      </c>
      <c r="G170" s="772">
        <v>43034</v>
      </c>
      <c r="H170" s="771" t="s">
        <v>6277</v>
      </c>
      <c r="I170" s="771" t="s">
        <v>6975</v>
      </c>
      <c r="J170" s="712"/>
      <c r="K170" s="771" t="s">
        <v>6977</v>
      </c>
      <c r="L170" s="771" t="s">
        <v>6976</v>
      </c>
      <c r="M170" s="773">
        <v>-296880.13</v>
      </c>
      <c r="N170" s="773">
        <v>-14844.01</v>
      </c>
      <c r="O170" s="773">
        <v>-49875.86</v>
      </c>
      <c r="P170" s="773">
        <v>-361600</v>
      </c>
      <c r="Q170" s="548"/>
      <c r="R170" s="773">
        <v>-262450.93</v>
      </c>
      <c r="S170" s="549">
        <f t="shared" si="57"/>
        <v>-99149.07</v>
      </c>
      <c r="T170" s="267" t="s">
        <v>1931</v>
      </c>
      <c r="AB170" s="422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x14ac:dyDescent="0.2">
      <c r="A171" s="423">
        <f t="shared" si="58"/>
        <v>166</v>
      </c>
      <c r="B171" s="721" t="s">
        <v>7302</v>
      </c>
      <c r="C171" s="771">
        <v>1520604</v>
      </c>
      <c r="D171" s="771">
        <v>7495</v>
      </c>
      <c r="E171" s="771" t="s">
        <v>718</v>
      </c>
      <c r="F171" s="546">
        <v>2018</v>
      </c>
      <c r="G171" s="772">
        <v>43032</v>
      </c>
      <c r="H171" s="771" t="s">
        <v>817</v>
      </c>
      <c r="I171" s="771" t="s">
        <v>7006</v>
      </c>
      <c r="J171" s="712"/>
      <c r="K171" s="771" t="s">
        <v>7008</v>
      </c>
      <c r="L171" s="771" t="s">
        <v>7007</v>
      </c>
      <c r="M171" s="773">
        <v>302298.84999999998</v>
      </c>
      <c r="N171" s="773">
        <v>15114.94</v>
      </c>
      <c r="O171" s="773">
        <v>50786.21</v>
      </c>
      <c r="P171" s="773">
        <v>368200</v>
      </c>
      <c r="Q171" s="548"/>
      <c r="R171" s="773">
        <v>267271.96000000002</v>
      </c>
      <c r="S171" s="549">
        <f t="shared" si="57"/>
        <v>100928.03999999998</v>
      </c>
      <c r="T171" s="113" t="s">
        <v>1931</v>
      </c>
      <c r="AB171" s="422"/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x14ac:dyDescent="0.2">
      <c r="A172" s="423">
        <f t="shared" si="58"/>
        <v>167</v>
      </c>
      <c r="B172" s="721" t="s">
        <v>7308</v>
      </c>
      <c r="C172" s="771">
        <v>1520604</v>
      </c>
      <c r="D172" s="771">
        <v>7495</v>
      </c>
      <c r="E172" s="771" t="s">
        <v>718</v>
      </c>
      <c r="F172" s="546">
        <v>2018</v>
      </c>
      <c r="G172" s="772">
        <v>43038</v>
      </c>
      <c r="H172" s="771" t="s">
        <v>817</v>
      </c>
      <c r="I172" s="771" t="s">
        <v>7006</v>
      </c>
      <c r="J172" s="712"/>
      <c r="K172" s="771" t="s">
        <v>7008</v>
      </c>
      <c r="L172" s="771" t="s">
        <v>7007</v>
      </c>
      <c r="M172" s="773">
        <v>-302298.84999999998</v>
      </c>
      <c r="N172" s="773">
        <v>-15114.94</v>
      </c>
      <c r="O172" s="773">
        <v>-50786.21</v>
      </c>
      <c r="P172" s="773">
        <v>-368200</v>
      </c>
      <c r="Q172" s="548"/>
      <c r="R172" s="773">
        <v>-267271.96000000002</v>
      </c>
      <c r="S172" s="549">
        <f t="shared" si="57"/>
        <v>-100928.03999999998</v>
      </c>
      <c r="T172" s="113" t="s">
        <v>1931</v>
      </c>
      <c r="AB172" s="422"/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x14ac:dyDescent="0.2">
      <c r="A173" s="423">
        <f t="shared" si="58"/>
        <v>168</v>
      </c>
      <c r="B173" s="721" t="s">
        <v>7310</v>
      </c>
      <c r="C173" s="771">
        <v>520223</v>
      </c>
      <c r="D173" s="771">
        <v>7495</v>
      </c>
      <c r="E173" s="771" t="s">
        <v>718</v>
      </c>
      <c r="F173" s="546">
        <v>2018</v>
      </c>
      <c r="G173" s="772">
        <v>43038</v>
      </c>
      <c r="H173" s="771" t="s">
        <v>792</v>
      </c>
      <c r="I173" s="771" t="s">
        <v>7018</v>
      </c>
      <c r="J173" s="712"/>
      <c r="K173" s="771" t="s">
        <v>7020</v>
      </c>
      <c r="L173" s="771" t="s">
        <v>7019</v>
      </c>
      <c r="M173" s="773">
        <v>302298.84999999998</v>
      </c>
      <c r="N173" s="773">
        <v>15114.94</v>
      </c>
      <c r="O173" s="773">
        <v>50786.21</v>
      </c>
      <c r="P173" s="773">
        <v>368200</v>
      </c>
      <c r="Q173" s="548"/>
      <c r="R173" s="773">
        <v>267626.44</v>
      </c>
      <c r="S173" s="549">
        <f t="shared" si="57"/>
        <v>100573.56</v>
      </c>
      <c r="T173" s="113" t="s">
        <v>1931</v>
      </c>
      <c r="U173" s="267"/>
      <c r="V173" s="93"/>
      <c r="W173" s="267"/>
      <c r="X173" s="267"/>
      <c r="Y173" s="93"/>
      <c r="Z173" s="618"/>
      <c r="AA173" s="424"/>
      <c r="AB173" s="715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x14ac:dyDescent="0.2">
      <c r="A174" s="423">
        <f t="shared" si="58"/>
        <v>169</v>
      </c>
      <c r="B174" s="721" t="s">
        <v>7312</v>
      </c>
      <c r="C174" s="771">
        <v>520223</v>
      </c>
      <c r="D174" s="771">
        <v>7495</v>
      </c>
      <c r="E174" s="771" t="s">
        <v>718</v>
      </c>
      <c r="F174" s="546">
        <v>2018</v>
      </c>
      <c r="G174" s="772">
        <v>43039</v>
      </c>
      <c r="H174" s="771" t="s">
        <v>792</v>
      </c>
      <c r="I174" s="771" t="s">
        <v>7018</v>
      </c>
      <c r="J174" s="712"/>
      <c r="K174" s="771" t="s">
        <v>7020</v>
      </c>
      <c r="L174" s="771" t="s">
        <v>7019</v>
      </c>
      <c r="M174" s="773">
        <v>-302298.84999999998</v>
      </c>
      <c r="N174" s="773">
        <v>-15114.94</v>
      </c>
      <c r="O174" s="773">
        <v>-50786.21</v>
      </c>
      <c r="P174" s="773">
        <v>-368200</v>
      </c>
      <c r="Q174" s="548"/>
      <c r="R174" s="773">
        <v>-267626.44</v>
      </c>
      <c r="S174" s="549">
        <f t="shared" si="57"/>
        <v>-100573.56</v>
      </c>
      <c r="T174" s="113" t="s">
        <v>1931</v>
      </c>
      <c r="U174" s="267"/>
      <c r="V174" s="93"/>
      <c r="W174" s="267"/>
      <c r="X174" s="267"/>
      <c r="Y174" s="93"/>
      <c r="Z174" s="618"/>
      <c r="AA174" s="424"/>
      <c r="AB174" s="715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x14ac:dyDescent="0.2">
      <c r="A175" s="423">
        <f t="shared" si="58"/>
        <v>170</v>
      </c>
      <c r="B175" s="721" t="s">
        <v>7266</v>
      </c>
      <c r="C175" s="771">
        <v>1520605</v>
      </c>
      <c r="D175" s="771">
        <v>7490</v>
      </c>
      <c r="E175" s="771" t="s">
        <v>6935</v>
      </c>
      <c r="F175" s="546">
        <v>2018</v>
      </c>
      <c r="G175" s="772">
        <v>43029</v>
      </c>
      <c r="H175" s="771" t="s">
        <v>727</v>
      </c>
      <c r="I175" s="771" t="s">
        <v>6936</v>
      </c>
      <c r="J175" s="712"/>
      <c r="K175" s="771" t="s">
        <v>6938</v>
      </c>
      <c r="L175" s="771" t="s">
        <v>6937</v>
      </c>
      <c r="M175" s="773">
        <v>345566.5</v>
      </c>
      <c r="N175" s="773">
        <v>17278.330000000002</v>
      </c>
      <c r="O175" s="773">
        <v>58055.17</v>
      </c>
      <c r="P175" s="773">
        <v>420900</v>
      </c>
      <c r="Q175" s="548"/>
      <c r="R175" s="773">
        <v>305701.96999999997</v>
      </c>
      <c r="S175" s="549">
        <f t="shared" si="57"/>
        <v>115198.03000000003</v>
      </c>
      <c r="T175" s="113" t="s">
        <v>1931</v>
      </c>
      <c r="U175" s="267"/>
      <c r="V175" s="93"/>
      <c r="W175" s="267"/>
      <c r="X175" s="267"/>
      <c r="Y175" s="93"/>
      <c r="Z175" s="618"/>
      <c r="AA175" s="424"/>
      <c r="AB175" s="715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x14ac:dyDescent="0.2">
      <c r="A176" s="423">
        <f t="shared" si="58"/>
        <v>171</v>
      </c>
      <c r="B176" s="748" t="s">
        <v>7267</v>
      </c>
      <c r="C176" s="771">
        <v>1520605</v>
      </c>
      <c r="D176" s="771">
        <v>7490</v>
      </c>
      <c r="E176" s="771" t="s">
        <v>6935</v>
      </c>
      <c r="F176" s="546">
        <v>2018</v>
      </c>
      <c r="G176" s="772">
        <v>43039</v>
      </c>
      <c r="H176" s="771" t="s">
        <v>727</v>
      </c>
      <c r="I176" s="771" t="s">
        <v>6936</v>
      </c>
      <c r="J176" s="712"/>
      <c r="K176" s="771" t="s">
        <v>6938</v>
      </c>
      <c r="L176" s="771" t="s">
        <v>6937</v>
      </c>
      <c r="M176" s="773">
        <v>-345566.5</v>
      </c>
      <c r="N176" s="773">
        <v>-17278.330000000002</v>
      </c>
      <c r="O176" s="773">
        <v>-58055.17</v>
      </c>
      <c r="P176" s="773">
        <v>-420900</v>
      </c>
      <c r="Q176" s="548"/>
      <c r="R176" s="773">
        <v>-305701.96999999997</v>
      </c>
      <c r="S176" s="549">
        <f t="shared" si="57"/>
        <v>-115198.03000000003</v>
      </c>
      <c r="T176" s="113" t="s">
        <v>1931</v>
      </c>
      <c r="U176" s="267"/>
      <c r="V176" s="93"/>
      <c r="W176" s="267"/>
      <c r="X176" s="267"/>
      <c r="Y176" s="93"/>
      <c r="Z176" s="618"/>
      <c r="AA176" s="424"/>
      <c r="AB176" s="715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x14ac:dyDescent="0.2">
      <c r="A177" s="423">
        <f t="shared" si="58"/>
        <v>172</v>
      </c>
      <c r="B177" s="721" t="s">
        <v>7136</v>
      </c>
      <c r="C177" s="771">
        <v>521702</v>
      </c>
      <c r="D177" s="771">
        <v>2005</v>
      </c>
      <c r="E177" s="771" t="s">
        <v>701</v>
      </c>
      <c r="F177" s="546">
        <v>2017</v>
      </c>
      <c r="G177" s="772">
        <v>43010</v>
      </c>
      <c r="H177" s="771" t="s">
        <v>2215</v>
      </c>
      <c r="I177" s="771" t="s">
        <v>6305</v>
      </c>
      <c r="J177" s="712"/>
      <c r="K177" s="771" t="s">
        <v>6455</v>
      </c>
      <c r="L177" s="771" t="s">
        <v>6567</v>
      </c>
      <c r="M177" s="773">
        <v>-185344.83</v>
      </c>
      <c r="N177" s="773">
        <v>0</v>
      </c>
      <c r="O177" s="773">
        <v>-29655.17</v>
      </c>
      <c r="P177" s="773">
        <v>-215000</v>
      </c>
      <c r="Q177" s="548"/>
      <c r="R177" s="773">
        <v>-168114.24</v>
      </c>
      <c r="S177" s="549">
        <f t="shared" si="57"/>
        <v>-46885.760000000009</v>
      </c>
      <c r="T177" s="113" t="s">
        <v>1931</v>
      </c>
      <c r="U177" s="267"/>
      <c r="V177" s="93"/>
      <c r="W177" s="267"/>
      <c r="X177" s="267"/>
      <c r="Y177" s="93"/>
      <c r="Z177" s="618"/>
      <c r="AA177" s="424"/>
      <c r="AB177" s="715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x14ac:dyDescent="0.2">
      <c r="A178" s="423">
        <f t="shared" si="58"/>
        <v>173</v>
      </c>
      <c r="B178" s="721" t="s">
        <v>7137</v>
      </c>
      <c r="C178" s="771">
        <v>521702</v>
      </c>
      <c r="D178" s="771">
        <v>2005</v>
      </c>
      <c r="E178" s="771" t="s">
        <v>701</v>
      </c>
      <c r="F178" s="546">
        <v>2017</v>
      </c>
      <c r="G178" s="772">
        <v>43010</v>
      </c>
      <c r="H178" s="771" t="s">
        <v>5621</v>
      </c>
      <c r="I178" s="771" t="s">
        <v>6305</v>
      </c>
      <c r="J178" s="712"/>
      <c r="K178" s="771" t="s">
        <v>6755</v>
      </c>
      <c r="L178" s="771" t="s">
        <v>6567</v>
      </c>
      <c r="M178" s="773">
        <v>185344.83</v>
      </c>
      <c r="N178" s="773">
        <v>0</v>
      </c>
      <c r="O178" s="773">
        <v>29655.17</v>
      </c>
      <c r="P178" s="773">
        <v>215000</v>
      </c>
      <c r="Q178" s="548"/>
      <c r="R178" s="773">
        <v>168114.24</v>
      </c>
      <c r="S178" s="549">
        <f t="shared" si="57"/>
        <v>46885.760000000009</v>
      </c>
      <c r="T178" s="113" t="s">
        <v>1931</v>
      </c>
      <c r="U178" s="267"/>
      <c r="V178" s="93"/>
      <c r="W178" s="267"/>
      <c r="X178" s="267"/>
      <c r="Y178" s="93"/>
      <c r="Z178" s="618"/>
      <c r="AA178" s="424"/>
      <c r="AB178" s="715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x14ac:dyDescent="0.2">
      <c r="A179" s="423">
        <f t="shared" si="58"/>
        <v>174</v>
      </c>
      <c r="B179" s="721" t="s">
        <v>7149</v>
      </c>
      <c r="C179" s="771">
        <v>521707</v>
      </c>
      <c r="D179" s="771">
        <v>2006</v>
      </c>
      <c r="E179" s="771" t="s">
        <v>702</v>
      </c>
      <c r="F179" s="546">
        <v>2017</v>
      </c>
      <c r="G179" s="772">
        <v>43017</v>
      </c>
      <c r="H179" s="771" t="s">
        <v>774</v>
      </c>
      <c r="I179" s="771" t="s">
        <v>6777</v>
      </c>
      <c r="J179" s="712"/>
      <c r="K179" s="771" t="s">
        <v>6779</v>
      </c>
      <c r="L179" s="771" t="s">
        <v>6778</v>
      </c>
      <c r="M179" s="773">
        <v>202586.21</v>
      </c>
      <c r="N179" s="773">
        <v>0</v>
      </c>
      <c r="O179" s="773">
        <v>32413.79</v>
      </c>
      <c r="P179" s="773">
        <v>235000</v>
      </c>
      <c r="Q179" s="548"/>
      <c r="R179" s="773">
        <v>183052.26</v>
      </c>
      <c r="S179" s="549">
        <f t="shared" si="57"/>
        <v>51947.739999999991</v>
      </c>
      <c r="T179" s="113" t="s">
        <v>1931</v>
      </c>
      <c r="U179" s="267"/>
      <c r="V179" s="93"/>
      <c r="W179" s="267"/>
      <c r="X179" s="267"/>
      <c r="Y179" s="93"/>
      <c r="Z179" s="618"/>
      <c r="AA179" s="424"/>
      <c r="AB179" s="715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x14ac:dyDescent="0.2">
      <c r="A180" s="423">
        <f t="shared" si="58"/>
        <v>175</v>
      </c>
      <c r="B180" s="721" t="s">
        <v>7155</v>
      </c>
      <c r="C180" s="771">
        <v>521707</v>
      </c>
      <c r="D180" s="771">
        <v>2006</v>
      </c>
      <c r="E180" s="771" t="s">
        <v>702</v>
      </c>
      <c r="F180" s="546">
        <v>2017</v>
      </c>
      <c r="G180" s="772">
        <v>43034</v>
      </c>
      <c r="H180" s="771" t="s">
        <v>774</v>
      </c>
      <c r="I180" s="771" t="s">
        <v>6777</v>
      </c>
      <c r="J180" s="712"/>
      <c r="K180" s="771" t="s">
        <v>6779</v>
      </c>
      <c r="L180" s="771" t="s">
        <v>6778</v>
      </c>
      <c r="M180" s="773">
        <v>-202586.21</v>
      </c>
      <c r="N180" s="773">
        <v>0</v>
      </c>
      <c r="O180" s="773">
        <v>-32413.79</v>
      </c>
      <c r="P180" s="773">
        <v>-235000</v>
      </c>
      <c r="Q180" s="548"/>
      <c r="R180" s="773">
        <v>-183052.26</v>
      </c>
      <c r="S180" s="549">
        <f t="shared" si="57"/>
        <v>-51947.739999999991</v>
      </c>
      <c r="T180" s="113" t="s">
        <v>1931</v>
      </c>
      <c r="U180" s="267"/>
      <c r="V180" s="93"/>
      <c r="W180" s="267"/>
      <c r="X180" s="267"/>
      <c r="Y180" s="93"/>
      <c r="Z180" s="618"/>
      <c r="AA180" s="424"/>
      <c r="AB180" s="715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x14ac:dyDescent="0.2">
      <c r="A181" s="423">
        <f t="shared" si="58"/>
        <v>176</v>
      </c>
      <c r="B181" s="721" t="s">
        <v>7162</v>
      </c>
      <c r="C181" s="771">
        <v>520909</v>
      </c>
      <c r="D181" s="771">
        <v>2009</v>
      </c>
      <c r="E181" s="771" t="s">
        <v>698</v>
      </c>
      <c r="F181" s="546">
        <v>2017</v>
      </c>
      <c r="G181" s="772">
        <v>43014</v>
      </c>
      <c r="H181" s="771" t="s">
        <v>739</v>
      </c>
      <c r="I181" s="771" t="s">
        <v>6800</v>
      </c>
      <c r="J181" s="712"/>
      <c r="K181" s="771" t="s">
        <v>6739</v>
      </c>
      <c r="L181" s="771" t="s">
        <v>6801</v>
      </c>
      <c r="M181" s="773">
        <v>215431.03</v>
      </c>
      <c r="N181" s="773">
        <v>0</v>
      </c>
      <c r="O181" s="773">
        <v>34468.97</v>
      </c>
      <c r="P181" s="773">
        <v>249900</v>
      </c>
      <c r="Q181" s="548"/>
      <c r="R181" s="773">
        <v>201322.01</v>
      </c>
      <c r="S181" s="549">
        <f t="shared" si="57"/>
        <v>48577.989999999991</v>
      </c>
      <c r="T181" s="113" t="s">
        <v>1931</v>
      </c>
      <c r="U181" s="267"/>
      <c r="V181" s="93"/>
      <c r="W181" s="267"/>
      <c r="X181" s="267"/>
      <c r="Y181" s="93"/>
      <c r="Z181" s="618"/>
      <c r="AA181" s="424"/>
      <c r="AB181" s="715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x14ac:dyDescent="0.2">
      <c r="A182" s="423">
        <f t="shared" si="58"/>
        <v>177</v>
      </c>
      <c r="B182" s="721" t="s">
        <v>7163</v>
      </c>
      <c r="C182" s="771">
        <v>520909</v>
      </c>
      <c r="D182" s="771">
        <v>2009</v>
      </c>
      <c r="E182" s="771" t="s">
        <v>698</v>
      </c>
      <c r="F182" s="546">
        <v>2017</v>
      </c>
      <c r="G182" s="772">
        <v>43019</v>
      </c>
      <c r="H182" s="771" t="s">
        <v>739</v>
      </c>
      <c r="I182" s="771" t="s">
        <v>6800</v>
      </c>
      <c r="J182" s="712"/>
      <c r="K182" s="771" t="s">
        <v>6739</v>
      </c>
      <c r="L182" s="771" t="s">
        <v>6801</v>
      </c>
      <c r="M182" s="773">
        <v>-215431.03</v>
      </c>
      <c r="N182" s="773">
        <v>0</v>
      </c>
      <c r="O182" s="773">
        <v>-34468.97</v>
      </c>
      <c r="P182" s="773">
        <v>-249900</v>
      </c>
      <c r="Q182" s="548"/>
      <c r="R182" s="773">
        <v>-201322.01</v>
      </c>
      <c r="S182" s="549">
        <f t="shared" si="57"/>
        <v>-48577.989999999991</v>
      </c>
      <c r="T182" s="113" t="s">
        <v>1931</v>
      </c>
      <c r="U182" s="267"/>
      <c r="V182" s="93"/>
      <c r="W182" s="267"/>
      <c r="X182" s="267"/>
      <c r="Y182" s="93"/>
      <c r="Z182" s="618"/>
      <c r="AA182" s="424"/>
      <c r="AB182" s="715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x14ac:dyDescent="0.2">
      <c r="A183" s="423">
        <f t="shared" si="58"/>
        <v>178</v>
      </c>
      <c r="B183" s="721" t="s">
        <v>7157</v>
      </c>
      <c r="C183" s="771">
        <v>520908</v>
      </c>
      <c r="D183" s="771">
        <v>2008</v>
      </c>
      <c r="E183" s="771" t="s">
        <v>697</v>
      </c>
      <c r="F183" s="546">
        <v>2017</v>
      </c>
      <c r="G183" s="772">
        <v>43020</v>
      </c>
      <c r="H183" s="771" t="s">
        <v>5621</v>
      </c>
      <c r="I183" s="771" t="s">
        <v>6794</v>
      </c>
      <c r="J183" s="712"/>
      <c r="K183" s="771" t="s">
        <v>6796</v>
      </c>
      <c r="L183" s="771" t="s">
        <v>6795</v>
      </c>
      <c r="M183" s="773">
        <v>-203534.48</v>
      </c>
      <c r="N183" s="773">
        <v>0</v>
      </c>
      <c r="O183" s="773">
        <v>-32565.52</v>
      </c>
      <c r="P183" s="773">
        <v>-236100</v>
      </c>
      <c r="Q183" s="548"/>
      <c r="R183" s="773">
        <v>-189107.53</v>
      </c>
      <c r="S183" s="549">
        <f t="shared" si="57"/>
        <v>-46992.47</v>
      </c>
      <c r="T183" s="113" t="s">
        <v>1931</v>
      </c>
      <c r="U183" s="267"/>
      <c r="V183" s="93"/>
      <c r="W183" s="267"/>
      <c r="X183" s="267"/>
      <c r="Y183" s="93"/>
      <c r="Z183" s="618"/>
      <c r="AA183" s="424"/>
      <c r="AB183" s="715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x14ac:dyDescent="0.2">
      <c r="A184" s="423">
        <f t="shared" si="58"/>
        <v>179</v>
      </c>
      <c r="B184" s="721" t="s">
        <v>7158</v>
      </c>
      <c r="C184" s="771">
        <v>520908</v>
      </c>
      <c r="D184" s="771">
        <v>2008</v>
      </c>
      <c r="E184" s="771" t="s">
        <v>697</v>
      </c>
      <c r="F184" s="546">
        <v>2017</v>
      </c>
      <c r="G184" s="772">
        <v>43020</v>
      </c>
      <c r="H184" s="771" t="s">
        <v>5621</v>
      </c>
      <c r="I184" s="771" t="s">
        <v>6794</v>
      </c>
      <c r="J184" s="712"/>
      <c r="K184" s="771" t="s">
        <v>6796</v>
      </c>
      <c r="L184" s="771" t="s">
        <v>6795</v>
      </c>
      <c r="M184" s="773">
        <v>203534.48</v>
      </c>
      <c r="N184" s="773">
        <v>0</v>
      </c>
      <c r="O184" s="773">
        <v>32565.52</v>
      </c>
      <c r="P184" s="773">
        <v>236100</v>
      </c>
      <c r="Q184" s="548"/>
      <c r="R184" s="773">
        <v>189107.53</v>
      </c>
      <c r="S184" s="549">
        <f t="shared" si="57"/>
        <v>46992.47</v>
      </c>
      <c r="T184" s="113" t="s">
        <v>1931</v>
      </c>
      <c r="U184" s="267"/>
      <c r="V184" s="93"/>
      <c r="W184" s="267"/>
      <c r="X184" s="267"/>
      <c r="Y184" s="93"/>
      <c r="Z184" s="618"/>
      <c r="AA184" s="424"/>
      <c r="AB184" s="715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x14ac:dyDescent="0.2">
      <c r="A185" s="423">
        <f t="shared" si="58"/>
        <v>180</v>
      </c>
      <c r="B185" s="721" t="s">
        <v>7165</v>
      </c>
      <c r="C185" s="771">
        <v>520909</v>
      </c>
      <c r="D185" s="771">
        <v>2009</v>
      </c>
      <c r="E185" s="771" t="s">
        <v>698</v>
      </c>
      <c r="F185" s="546">
        <v>2017</v>
      </c>
      <c r="G185" s="772">
        <v>43021</v>
      </c>
      <c r="H185" s="771" t="s">
        <v>5622</v>
      </c>
      <c r="I185" s="771" t="s">
        <v>6803</v>
      </c>
      <c r="J185" s="712"/>
      <c r="K185" s="771" t="s">
        <v>830</v>
      </c>
      <c r="L185" s="771" t="s">
        <v>6804</v>
      </c>
      <c r="M185" s="773">
        <v>215431.03</v>
      </c>
      <c r="N185" s="773">
        <v>0</v>
      </c>
      <c r="O185" s="773">
        <v>34468.97</v>
      </c>
      <c r="P185" s="773">
        <v>249900</v>
      </c>
      <c r="Q185" s="548"/>
      <c r="R185" s="773">
        <v>201322.01</v>
      </c>
      <c r="S185" s="549">
        <f t="shared" si="57"/>
        <v>48577.989999999991</v>
      </c>
      <c r="T185" s="113" t="s">
        <v>1931</v>
      </c>
      <c r="U185" s="267"/>
      <c r="V185" s="93"/>
      <c r="W185" s="267"/>
      <c r="X185" s="267"/>
      <c r="Y185" s="93"/>
      <c r="Z185" s="618"/>
      <c r="AA185" s="424"/>
      <c r="AB185" s="715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x14ac:dyDescent="0.2">
      <c r="A186" s="423">
        <f t="shared" si="58"/>
        <v>181</v>
      </c>
      <c r="B186" s="721" t="s">
        <v>7167</v>
      </c>
      <c r="C186" s="771">
        <v>520909</v>
      </c>
      <c r="D186" s="771">
        <v>2009</v>
      </c>
      <c r="E186" s="771" t="s">
        <v>698</v>
      </c>
      <c r="F186" s="546">
        <v>2017</v>
      </c>
      <c r="G186" s="772">
        <v>43034</v>
      </c>
      <c r="H186" s="771" t="s">
        <v>5622</v>
      </c>
      <c r="I186" s="771" t="s">
        <v>6803</v>
      </c>
      <c r="J186" s="712"/>
      <c r="K186" s="771" t="s">
        <v>830</v>
      </c>
      <c r="L186" s="771" t="s">
        <v>6804</v>
      </c>
      <c r="M186" s="773">
        <v>-215431.03</v>
      </c>
      <c r="N186" s="773">
        <v>0</v>
      </c>
      <c r="O186" s="773">
        <v>-34468.97</v>
      </c>
      <c r="P186" s="773">
        <v>-249900</v>
      </c>
      <c r="Q186" s="548"/>
      <c r="R186" s="773">
        <v>-201322.01</v>
      </c>
      <c r="S186" s="549">
        <f t="shared" si="57"/>
        <v>-48577.989999999991</v>
      </c>
      <c r="T186" s="113" t="s">
        <v>1931</v>
      </c>
      <c r="U186" s="267"/>
      <c r="V186" s="93"/>
      <c r="W186" s="267"/>
      <c r="X186" s="267"/>
      <c r="Y186" s="93"/>
      <c r="Z186" s="618"/>
      <c r="AA186" s="424"/>
      <c r="AB186" s="715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x14ac:dyDescent="0.2">
      <c r="A187" s="423">
        <f t="shared" si="58"/>
        <v>182</v>
      </c>
      <c r="B187" s="721" t="s">
        <v>7101</v>
      </c>
      <c r="C187" s="771">
        <v>522401</v>
      </c>
      <c r="D187" s="771">
        <v>1062</v>
      </c>
      <c r="E187" s="771" t="s">
        <v>709</v>
      </c>
      <c r="F187" s="546">
        <v>2018</v>
      </c>
      <c r="G187" s="772">
        <v>43010</v>
      </c>
      <c r="H187" s="771"/>
      <c r="I187" s="771" t="s">
        <v>6710</v>
      </c>
      <c r="J187" s="712"/>
      <c r="K187" s="771" t="s">
        <v>1144</v>
      </c>
      <c r="L187" s="771" t="s">
        <v>6711</v>
      </c>
      <c r="M187" s="773">
        <v>212846.02</v>
      </c>
      <c r="N187" s="773">
        <v>0</v>
      </c>
      <c r="O187" s="773">
        <v>34055.360000000001</v>
      </c>
      <c r="P187" s="773">
        <v>246901.38</v>
      </c>
      <c r="Q187" s="548"/>
      <c r="R187" s="773">
        <v>212490.67</v>
      </c>
      <c r="S187" s="549">
        <f t="shared" si="57"/>
        <v>34410.709999999992</v>
      </c>
      <c r="T187" s="267" t="s">
        <v>283</v>
      </c>
      <c r="U187" s="267"/>
      <c r="V187" s="93"/>
      <c r="W187" s="267"/>
      <c r="X187" s="267"/>
      <c r="Y187" s="93"/>
      <c r="Z187" s="618"/>
      <c r="AA187" s="424"/>
      <c r="AB187" s="715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x14ac:dyDescent="0.2">
      <c r="A188" s="423">
        <f t="shared" si="58"/>
        <v>183</v>
      </c>
      <c r="B188" s="721" t="s">
        <v>7105</v>
      </c>
      <c r="C188" s="771">
        <v>521101</v>
      </c>
      <c r="D188" s="771">
        <v>1251</v>
      </c>
      <c r="E188" s="771" t="s">
        <v>700</v>
      </c>
      <c r="F188" s="546">
        <v>2017</v>
      </c>
      <c r="G188" s="772">
        <v>43032</v>
      </c>
      <c r="H188" s="771"/>
      <c r="I188" s="771" t="s">
        <v>6715</v>
      </c>
      <c r="J188" s="712"/>
      <c r="K188" s="771" t="s">
        <v>1144</v>
      </c>
      <c r="L188" s="771" t="s">
        <v>6716</v>
      </c>
      <c r="M188" s="773">
        <v>300450.65999999997</v>
      </c>
      <c r="N188" s="773">
        <v>0</v>
      </c>
      <c r="O188" s="773">
        <v>48072.11</v>
      </c>
      <c r="P188" s="773">
        <v>348522.77</v>
      </c>
      <c r="Q188" s="548"/>
      <c r="R188" s="773">
        <v>300095.32</v>
      </c>
      <c r="S188" s="549">
        <f t="shared" si="57"/>
        <v>48427.450000000012</v>
      </c>
      <c r="T188" s="113" t="s">
        <v>283</v>
      </c>
      <c r="U188" s="267"/>
      <c r="V188" s="93"/>
      <c r="W188" s="267"/>
      <c r="X188" s="267"/>
      <c r="Y188" s="93"/>
      <c r="Z188" s="618"/>
      <c r="AA188" s="424"/>
      <c r="AB188" s="715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x14ac:dyDescent="0.2">
      <c r="A189" s="423">
        <f t="shared" si="58"/>
        <v>184</v>
      </c>
      <c r="B189" s="721" t="s">
        <v>7106</v>
      </c>
      <c r="C189" s="771">
        <v>521101</v>
      </c>
      <c r="D189" s="771">
        <v>1251</v>
      </c>
      <c r="E189" s="771" t="s">
        <v>700</v>
      </c>
      <c r="F189" s="546">
        <v>2017</v>
      </c>
      <c r="G189" s="772">
        <v>43038</v>
      </c>
      <c r="H189" s="771"/>
      <c r="I189" s="771" t="s">
        <v>6282</v>
      </c>
      <c r="J189" s="712"/>
      <c r="K189" s="771" t="s">
        <v>1144</v>
      </c>
      <c r="L189" s="771" t="s">
        <v>6544</v>
      </c>
      <c r="M189" s="773">
        <v>300393.86</v>
      </c>
      <c r="N189" s="773">
        <v>0</v>
      </c>
      <c r="O189" s="773">
        <v>48063.02</v>
      </c>
      <c r="P189" s="773">
        <v>348456.88</v>
      </c>
      <c r="Q189" s="548"/>
      <c r="R189" s="773">
        <v>300393</v>
      </c>
      <c r="S189" s="549">
        <f t="shared" si="57"/>
        <v>48063.880000000005</v>
      </c>
      <c r="T189" s="113" t="s">
        <v>283</v>
      </c>
      <c r="U189" s="267"/>
      <c r="V189" s="93"/>
      <c r="W189" s="267"/>
      <c r="X189" s="267"/>
      <c r="Y189" s="93"/>
      <c r="Z189" s="618"/>
      <c r="AA189" s="424"/>
      <c r="AB189" s="715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x14ac:dyDescent="0.2">
      <c r="A190" s="423">
        <f t="shared" si="58"/>
        <v>185</v>
      </c>
      <c r="B190" s="721" t="s">
        <v>7107</v>
      </c>
      <c r="C190" s="771">
        <v>521101</v>
      </c>
      <c r="D190" s="771">
        <v>1253</v>
      </c>
      <c r="E190" s="771" t="s">
        <v>30</v>
      </c>
      <c r="F190" s="546">
        <v>2017</v>
      </c>
      <c r="G190" s="772">
        <v>43010</v>
      </c>
      <c r="H190" s="771"/>
      <c r="I190" s="771" t="s">
        <v>6717</v>
      </c>
      <c r="J190" s="712"/>
      <c r="K190" s="771" t="s">
        <v>1144</v>
      </c>
      <c r="L190" s="771" t="s">
        <v>6718</v>
      </c>
      <c r="M190" s="773">
        <v>345189.69</v>
      </c>
      <c r="N190" s="773">
        <v>0</v>
      </c>
      <c r="O190" s="773">
        <v>55230.35</v>
      </c>
      <c r="P190" s="773">
        <v>400420.04</v>
      </c>
      <c r="Q190" s="548"/>
      <c r="R190" s="773">
        <v>326020.56</v>
      </c>
      <c r="S190" s="549">
        <f t="shared" si="57"/>
        <v>74399.479999999981</v>
      </c>
      <c r="T190" s="113" t="s">
        <v>283</v>
      </c>
      <c r="AB190" s="389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x14ac:dyDescent="0.2">
      <c r="A191" s="423">
        <f t="shared" si="58"/>
        <v>186</v>
      </c>
      <c r="B191" s="721" t="s">
        <v>7109</v>
      </c>
      <c r="C191" s="771">
        <v>521101</v>
      </c>
      <c r="D191" s="771">
        <v>1253</v>
      </c>
      <c r="E191" s="771" t="s">
        <v>30</v>
      </c>
      <c r="F191" s="546">
        <v>2017</v>
      </c>
      <c r="G191" s="772">
        <v>43020</v>
      </c>
      <c r="H191" s="771"/>
      <c r="I191" s="771" t="s">
        <v>6285</v>
      </c>
      <c r="J191" s="712"/>
      <c r="K191" s="771" t="s">
        <v>1164</v>
      </c>
      <c r="L191" s="771" t="s">
        <v>6547</v>
      </c>
      <c r="M191" s="773">
        <v>-345189.7</v>
      </c>
      <c r="N191" s="773">
        <v>0</v>
      </c>
      <c r="O191" s="773">
        <v>-55230.35</v>
      </c>
      <c r="P191" s="773">
        <v>-400420.05</v>
      </c>
      <c r="Q191" s="548"/>
      <c r="R191" s="773">
        <v>-326376</v>
      </c>
      <c r="S191" s="549">
        <f t="shared" si="57"/>
        <v>-74044.049999999988</v>
      </c>
      <c r="T191" s="113" t="s">
        <v>283</v>
      </c>
      <c r="AB191" s="389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58"/>
        <v>187</v>
      </c>
      <c r="B192" s="721" t="s">
        <v>7110</v>
      </c>
      <c r="C192" s="771">
        <v>521101</v>
      </c>
      <c r="D192" s="771">
        <v>1253</v>
      </c>
      <c r="E192" s="771" t="s">
        <v>30</v>
      </c>
      <c r="F192" s="546">
        <v>2017</v>
      </c>
      <c r="G192" s="772">
        <v>43020</v>
      </c>
      <c r="H192" s="771"/>
      <c r="I192" s="771" t="s">
        <v>6285</v>
      </c>
      <c r="J192" s="712"/>
      <c r="K192" s="771" t="s">
        <v>1164</v>
      </c>
      <c r="L192" s="771" t="s">
        <v>6547</v>
      </c>
      <c r="M192" s="773">
        <v>326376.86</v>
      </c>
      <c r="N192" s="773">
        <v>0</v>
      </c>
      <c r="O192" s="773">
        <v>52220.3</v>
      </c>
      <c r="P192" s="773">
        <v>378597.16</v>
      </c>
      <c r="Q192" s="548"/>
      <c r="R192" s="773">
        <v>326376</v>
      </c>
      <c r="S192" s="549">
        <f t="shared" si="57"/>
        <v>52221.159999999974</v>
      </c>
      <c r="T192" s="113" t="s">
        <v>283</v>
      </c>
      <c r="AB192" s="389"/>
      <c r="AI192" s="313"/>
      <c r="AK192" s="296"/>
      <c r="AL192" s="374"/>
      <c r="AM192" s="374"/>
    </row>
    <row r="193" spans="1:45" s="291" customFormat="1" x14ac:dyDescent="0.2">
      <c r="A193" s="423">
        <f t="shared" si="58"/>
        <v>188</v>
      </c>
      <c r="B193" s="721" t="s">
        <v>7116</v>
      </c>
      <c r="C193" s="771">
        <v>520224</v>
      </c>
      <c r="D193" s="771">
        <v>1781</v>
      </c>
      <c r="E193" s="771" t="s">
        <v>690</v>
      </c>
      <c r="F193" s="546">
        <v>2017</v>
      </c>
      <c r="G193" s="772">
        <v>43012</v>
      </c>
      <c r="H193" s="771"/>
      <c r="I193" s="771" t="s">
        <v>6728</v>
      </c>
      <c r="J193" s="712"/>
      <c r="K193" s="771" t="s">
        <v>1146</v>
      </c>
      <c r="L193" s="771" t="s">
        <v>6729</v>
      </c>
      <c r="M193" s="773">
        <v>248134.47</v>
      </c>
      <c r="N193" s="773">
        <v>0</v>
      </c>
      <c r="O193" s="773">
        <v>39701.519999999997</v>
      </c>
      <c r="P193" s="773">
        <v>287835.99</v>
      </c>
      <c r="Q193" s="548"/>
      <c r="R193" s="773">
        <v>247778.87</v>
      </c>
      <c r="S193" s="549">
        <f t="shared" si="57"/>
        <v>40057.119999999995</v>
      </c>
      <c r="T193" s="113" t="s">
        <v>283</v>
      </c>
      <c r="AB193" s="389"/>
      <c r="AI193" s="313"/>
      <c r="AK193" s="296"/>
      <c r="AL193" s="374"/>
      <c r="AM193" s="374"/>
    </row>
    <row r="194" spans="1:45" s="291" customFormat="1" x14ac:dyDescent="0.2">
      <c r="A194" s="423">
        <f t="shared" si="58"/>
        <v>189</v>
      </c>
      <c r="B194" s="721" t="s">
        <v>7125</v>
      </c>
      <c r="C194" s="771">
        <v>520231</v>
      </c>
      <c r="D194" s="771">
        <v>1794</v>
      </c>
      <c r="E194" s="771" t="s">
        <v>687</v>
      </c>
      <c r="F194" s="546">
        <v>2018</v>
      </c>
      <c r="G194" s="772">
        <v>43010</v>
      </c>
      <c r="H194" s="771"/>
      <c r="I194" s="771" t="s">
        <v>6734</v>
      </c>
      <c r="J194" s="712"/>
      <c r="K194" s="771" t="s">
        <v>2404</v>
      </c>
      <c r="L194" s="771" t="s">
        <v>6735</v>
      </c>
      <c r="M194" s="773">
        <v>243472.03</v>
      </c>
      <c r="N194" s="773">
        <v>0</v>
      </c>
      <c r="O194" s="773">
        <v>38955.519999999997</v>
      </c>
      <c r="P194" s="773">
        <v>282427.55</v>
      </c>
      <c r="Q194" s="548"/>
      <c r="R194" s="773">
        <v>243116.68</v>
      </c>
      <c r="S194" s="549">
        <f t="shared" si="57"/>
        <v>39310.869999999995</v>
      </c>
      <c r="T194" s="113" t="s">
        <v>283</v>
      </c>
      <c r="AB194" s="389"/>
      <c r="AI194" s="313"/>
      <c r="AJ194" s="374"/>
      <c r="AK194" s="374"/>
      <c r="AL194" s="374"/>
      <c r="AM194" s="374"/>
    </row>
    <row r="195" spans="1:45" s="348" customFormat="1" x14ac:dyDescent="0.2">
      <c r="A195" s="423">
        <f t="shared" si="58"/>
        <v>190</v>
      </c>
      <c r="B195" s="721" t="s">
        <v>7133</v>
      </c>
      <c r="C195" s="771">
        <v>520223</v>
      </c>
      <c r="D195" s="771">
        <v>1796</v>
      </c>
      <c r="E195" s="771" t="s">
        <v>689</v>
      </c>
      <c r="F195" s="546">
        <v>2017</v>
      </c>
      <c r="G195" s="772">
        <v>43012</v>
      </c>
      <c r="H195" s="771"/>
      <c r="I195" s="771" t="s">
        <v>6300</v>
      </c>
      <c r="J195" s="712"/>
      <c r="K195" s="771" t="s">
        <v>2404</v>
      </c>
      <c r="L195" s="771" t="s">
        <v>6562</v>
      </c>
      <c r="M195" s="773">
        <v>223602.39</v>
      </c>
      <c r="N195" s="773">
        <v>0</v>
      </c>
      <c r="O195" s="773">
        <v>35776.379999999997</v>
      </c>
      <c r="P195" s="773">
        <v>259378.77</v>
      </c>
      <c r="Q195" s="548"/>
      <c r="R195" s="773">
        <v>220255.74</v>
      </c>
      <c r="S195" s="549">
        <f t="shared" si="57"/>
        <v>39123.03</v>
      </c>
      <c r="T195" s="267" t="s">
        <v>283</v>
      </c>
      <c r="AB195" s="389"/>
      <c r="AI195" s="363"/>
      <c r="AJ195" s="330"/>
      <c r="AK195" s="330"/>
      <c r="AL195" s="330"/>
      <c r="AM195" s="330"/>
    </row>
    <row r="196" spans="1:45" s="351" customFormat="1" x14ac:dyDescent="0.2">
      <c r="A196" s="423">
        <f t="shared" si="58"/>
        <v>191</v>
      </c>
      <c r="B196" s="721" t="s">
        <v>7134</v>
      </c>
      <c r="C196" s="771">
        <v>520223</v>
      </c>
      <c r="D196" s="771">
        <v>1796</v>
      </c>
      <c r="E196" s="771" t="s">
        <v>689</v>
      </c>
      <c r="F196" s="546">
        <v>2017</v>
      </c>
      <c r="G196" s="772">
        <v>43025</v>
      </c>
      <c r="H196" s="771"/>
      <c r="I196" s="771" t="s">
        <v>6750</v>
      </c>
      <c r="J196" s="712"/>
      <c r="K196" s="771" t="s">
        <v>3871</v>
      </c>
      <c r="L196" s="771" t="s">
        <v>6751</v>
      </c>
      <c r="M196" s="773">
        <v>220611.09</v>
      </c>
      <c r="N196" s="773">
        <v>0</v>
      </c>
      <c r="O196" s="773">
        <v>35297.769999999997</v>
      </c>
      <c r="P196" s="773">
        <v>255908.86</v>
      </c>
      <c r="Q196" s="548"/>
      <c r="R196" s="773">
        <v>220255.74</v>
      </c>
      <c r="S196" s="549">
        <f t="shared" si="57"/>
        <v>35653.119999999995</v>
      </c>
      <c r="T196" s="445" t="s">
        <v>283</v>
      </c>
      <c r="AB196" s="389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x14ac:dyDescent="0.2">
      <c r="A197" s="423">
        <f t="shared" si="58"/>
        <v>192</v>
      </c>
      <c r="B197" s="721" t="s">
        <v>7139</v>
      </c>
      <c r="C197" s="771">
        <v>521702</v>
      </c>
      <c r="D197" s="771">
        <v>2005</v>
      </c>
      <c r="E197" s="771" t="s">
        <v>701</v>
      </c>
      <c r="F197" s="546">
        <v>2017</v>
      </c>
      <c r="G197" s="772">
        <v>43018</v>
      </c>
      <c r="H197" s="771"/>
      <c r="I197" s="771" t="s">
        <v>6759</v>
      </c>
      <c r="J197" s="712"/>
      <c r="K197" s="771" t="s">
        <v>2404</v>
      </c>
      <c r="L197" s="771" t="s">
        <v>6760</v>
      </c>
      <c r="M197" s="773">
        <v>168469.59</v>
      </c>
      <c r="N197" s="773">
        <v>0</v>
      </c>
      <c r="O197" s="773">
        <v>26955.13</v>
      </c>
      <c r="P197" s="773">
        <v>195424.72</v>
      </c>
      <c r="Q197" s="548"/>
      <c r="R197" s="773">
        <v>168114.24</v>
      </c>
      <c r="S197" s="549">
        <f t="shared" si="57"/>
        <v>27310.48000000001</v>
      </c>
      <c r="T197" s="113" t="s">
        <v>283</v>
      </c>
      <c r="AB197" s="389"/>
      <c r="AI197" s="313"/>
      <c r="AJ197" s="331"/>
      <c r="AK197" s="330"/>
      <c r="AL197" s="330"/>
      <c r="AM197" s="330"/>
    </row>
    <row r="198" spans="1:45" s="291" customFormat="1" x14ac:dyDescent="0.2">
      <c r="A198" s="423">
        <f t="shared" si="58"/>
        <v>193</v>
      </c>
      <c r="B198" s="721" t="s">
        <v>7142</v>
      </c>
      <c r="C198" s="771">
        <v>521702</v>
      </c>
      <c r="D198" s="771">
        <v>2005</v>
      </c>
      <c r="E198" s="771" t="s">
        <v>701</v>
      </c>
      <c r="F198" s="546">
        <v>2017</v>
      </c>
      <c r="G198" s="772">
        <v>43025</v>
      </c>
      <c r="H198" s="771"/>
      <c r="I198" s="771" t="s">
        <v>6763</v>
      </c>
      <c r="J198" s="712"/>
      <c r="K198" s="771" t="s">
        <v>59</v>
      </c>
      <c r="L198" s="771" t="s">
        <v>6764</v>
      </c>
      <c r="M198" s="773">
        <v>168470.45</v>
      </c>
      <c r="N198" s="773">
        <v>0</v>
      </c>
      <c r="O198" s="773">
        <v>26955.27</v>
      </c>
      <c r="P198" s="773">
        <v>195425.72</v>
      </c>
      <c r="Q198" s="548"/>
      <c r="R198" s="773">
        <v>168469.59</v>
      </c>
      <c r="S198" s="549">
        <f t="shared" ref="S198:S261" si="59">+P198-R198</f>
        <v>26956.130000000005</v>
      </c>
      <c r="T198" s="113" t="s">
        <v>283</v>
      </c>
      <c r="AB198" s="389"/>
      <c r="AI198" s="313"/>
      <c r="AJ198" s="331"/>
      <c r="AK198" s="374"/>
      <c r="AL198" s="374"/>
      <c r="AM198" s="374"/>
    </row>
    <row r="199" spans="1:45" s="351" customFormat="1" x14ac:dyDescent="0.2">
      <c r="A199" s="423">
        <f t="shared" si="58"/>
        <v>194</v>
      </c>
      <c r="B199" s="721" t="s">
        <v>7145</v>
      </c>
      <c r="C199" s="771">
        <v>521702</v>
      </c>
      <c r="D199" s="771">
        <v>2005</v>
      </c>
      <c r="E199" s="771" t="s">
        <v>701</v>
      </c>
      <c r="F199" s="546">
        <v>2017</v>
      </c>
      <c r="G199" s="772">
        <v>43039</v>
      </c>
      <c r="H199" s="771"/>
      <c r="I199" s="771" t="s">
        <v>6769</v>
      </c>
      <c r="J199" s="712"/>
      <c r="K199" s="771" t="s">
        <v>357</v>
      </c>
      <c r="L199" s="771" t="s">
        <v>6770</v>
      </c>
      <c r="M199" s="773">
        <v>168469.59</v>
      </c>
      <c r="N199" s="773">
        <v>0</v>
      </c>
      <c r="O199" s="773">
        <v>26955.13</v>
      </c>
      <c r="P199" s="773">
        <v>195424.72</v>
      </c>
      <c r="Q199" s="548"/>
      <c r="R199" s="773">
        <v>168114.24</v>
      </c>
      <c r="S199" s="549">
        <f t="shared" si="59"/>
        <v>27310.48000000001</v>
      </c>
      <c r="T199" s="113" t="s">
        <v>283</v>
      </c>
      <c r="AB199" s="389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x14ac:dyDescent="0.2">
      <c r="A200" s="423">
        <f t="shared" ref="A200:A289" si="60">+A199+1</f>
        <v>195</v>
      </c>
      <c r="B200" s="721" t="s">
        <v>7146</v>
      </c>
      <c r="C200" s="771">
        <v>521702</v>
      </c>
      <c r="D200" s="771">
        <v>2005</v>
      </c>
      <c r="E200" s="771" t="s">
        <v>701</v>
      </c>
      <c r="F200" s="546">
        <v>2017</v>
      </c>
      <c r="G200" s="772">
        <v>43039</v>
      </c>
      <c r="H200" s="771"/>
      <c r="I200" s="771" t="s">
        <v>6771</v>
      </c>
      <c r="J200" s="712"/>
      <c r="K200" s="771" t="s">
        <v>1730</v>
      </c>
      <c r="L200" s="771" t="s">
        <v>6772</v>
      </c>
      <c r="M200" s="773">
        <v>168469.59</v>
      </c>
      <c r="N200" s="773">
        <v>0</v>
      </c>
      <c r="O200" s="773">
        <v>26955.13</v>
      </c>
      <c r="P200" s="773">
        <v>195424.72</v>
      </c>
      <c r="Q200" s="548"/>
      <c r="R200" s="773">
        <v>168114.24</v>
      </c>
      <c r="S200" s="549">
        <f t="shared" si="59"/>
        <v>27310.48000000001</v>
      </c>
      <c r="T200" s="267" t="s">
        <v>283</v>
      </c>
      <c r="AB200" s="389"/>
      <c r="AI200" s="313"/>
      <c r="AJ200" s="374"/>
      <c r="AK200" s="330"/>
      <c r="AL200" s="330"/>
      <c r="AM200" s="330"/>
    </row>
    <row r="201" spans="1:45" s="291" customFormat="1" x14ac:dyDescent="0.2">
      <c r="A201" s="423">
        <f t="shared" si="60"/>
        <v>196</v>
      </c>
      <c r="B201" s="721" t="s">
        <v>7147</v>
      </c>
      <c r="C201" s="771">
        <v>521702</v>
      </c>
      <c r="D201" s="771">
        <v>2005</v>
      </c>
      <c r="E201" s="771" t="s">
        <v>701</v>
      </c>
      <c r="F201" s="546">
        <v>2017</v>
      </c>
      <c r="G201" s="772">
        <v>43039</v>
      </c>
      <c r="H201" s="771"/>
      <c r="I201" s="771" t="s">
        <v>6773</v>
      </c>
      <c r="J201" s="712"/>
      <c r="K201" s="771" t="s">
        <v>1730</v>
      </c>
      <c r="L201" s="771" t="s">
        <v>6774</v>
      </c>
      <c r="M201" s="773">
        <v>168469.59</v>
      </c>
      <c r="N201" s="773">
        <v>0</v>
      </c>
      <c r="O201" s="773">
        <v>26955.13</v>
      </c>
      <c r="P201" s="773">
        <v>195424.72</v>
      </c>
      <c r="Q201" s="548"/>
      <c r="R201" s="773">
        <v>168114.24</v>
      </c>
      <c r="S201" s="549">
        <f t="shared" si="59"/>
        <v>27310.48000000001</v>
      </c>
      <c r="T201" s="113" t="s">
        <v>283</v>
      </c>
      <c r="AB201" s="389"/>
      <c r="AI201" s="313"/>
      <c r="AJ201" s="331"/>
      <c r="AK201" s="374"/>
      <c r="AL201" s="374"/>
      <c r="AM201" s="374"/>
    </row>
    <row r="202" spans="1:45" s="291" customFormat="1" x14ac:dyDescent="0.2">
      <c r="A202" s="423">
        <f t="shared" si="60"/>
        <v>197</v>
      </c>
      <c r="B202" s="721" t="s">
        <v>7148</v>
      </c>
      <c r="C202" s="771">
        <v>521707</v>
      </c>
      <c r="D202" s="771">
        <v>2006</v>
      </c>
      <c r="E202" s="771" t="s">
        <v>702</v>
      </c>
      <c r="F202" s="546">
        <v>2017</v>
      </c>
      <c r="G202" s="772">
        <v>43012</v>
      </c>
      <c r="H202" s="771"/>
      <c r="I202" s="771" t="s">
        <v>6775</v>
      </c>
      <c r="J202" s="712"/>
      <c r="K202" s="771" t="s">
        <v>1147</v>
      </c>
      <c r="L202" s="771" t="s">
        <v>6776</v>
      </c>
      <c r="M202" s="773">
        <v>183407.6</v>
      </c>
      <c r="N202" s="773">
        <v>0</v>
      </c>
      <c r="O202" s="773">
        <v>29345.22</v>
      </c>
      <c r="P202" s="773">
        <v>212752.82</v>
      </c>
      <c r="Q202" s="548"/>
      <c r="R202" s="773">
        <v>183052.26</v>
      </c>
      <c r="S202" s="549">
        <f t="shared" si="59"/>
        <v>29700.559999999998</v>
      </c>
      <c r="T202" s="113" t="s">
        <v>283</v>
      </c>
      <c r="AB202" s="389"/>
      <c r="AI202" s="313"/>
      <c r="AJ202" s="374"/>
      <c r="AK202" s="374"/>
      <c r="AL202" s="374"/>
      <c r="AM202" s="374"/>
    </row>
    <row r="203" spans="1:45" s="348" customFormat="1" x14ac:dyDescent="0.2">
      <c r="A203" s="423">
        <f t="shared" si="60"/>
        <v>198</v>
      </c>
      <c r="B203" s="721" t="s">
        <v>7153</v>
      </c>
      <c r="C203" s="771">
        <v>521707</v>
      </c>
      <c r="D203" s="771">
        <v>2006</v>
      </c>
      <c r="E203" s="771" t="s">
        <v>702</v>
      </c>
      <c r="F203" s="546">
        <v>2017</v>
      </c>
      <c r="G203" s="772">
        <v>43032</v>
      </c>
      <c r="H203" s="771"/>
      <c r="I203" s="771" t="s">
        <v>6788</v>
      </c>
      <c r="J203" s="712"/>
      <c r="K203" s="771" t="s">
        <v>1146</v>
      </c>
      <c r="L203" s="771" t="s">
        <v>6789</v>
      </c>
      <c r="M203" s="773">
        <v>183407.6</v>
      </c>
      <c r="N203" s="773">
        <v>0</v>
      </c>
      <c r="O203" s="773">
        <v>29345.22</v>
      </c>
      <c r="P203" s="773">
        <v>212752.82</v>
      </c>
      <c r="Q203" s="548"/>
      <c r="R203" s="773">
        <v>183052.26</v>
      </c>
      <c r="S203" s="549">
        <f t="shared" si="59"/>
        <v>29700.559999999998</v>
      </c>
      <c r="T203" s="113" t="s">
        <v>283</v>
      </c>
      <c r="AB203" s="389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x14ac:dyDescent="0.2">
      <c r="A204" s="423">
        <f t="shared" si="60"/>
        <v>199</v>
      </c>
      <c r="B204" s="721" t="s">
        <v>7154</v>
      </c>
      <c r="C204" s="771">
        <v>521707</v>
      </c>
      <c r="D204" s="771">
        <v>2006</v>
      </c>
      <c r="E204" s="771" t="s">
        <v>702</v>
      </c>
      <c r="F204" s="546">
        <v>2017</v>
      </c>
      <c r="G204" s="772">
        <v>43032</v>
      </c>
      <c r="H204" s="771"/>
      <c r="I204" s="771" t="s">
        <v>6790</v>
      </c>
      <c r="J204" s="712"/>
      <c r="K204" s="771" t="s">
        <v>1146</v>
      </c>
      <c r="L204" s="771" t="s">
        <v>6791</v>
      </c>
      <c r="M204" s="773">
        <v>183407.6</v>
      </c>
      <c r="N204" s="773">
        <v>0</v>
      </c>
      <c r="O204" s="773">
        <v>29345.22</v>
      </c>
      <c r="P204" s="773">
        <v>212752.82</v>
      </c>
      <c r="Q204" s="548"/>
      <c r="R204" s="773">
        <v>183052.26</v>
      </c>
      <c r="S204" s="549">
        <f t="shared" si="59"/>
        <v>29700.559999999998</v>
      </c>
      <c r="T204" s="267" t="s">
        <v>283</v>
      </c>
      <c r="AB204" s="389"/>
      <c r="AI204" s="313"/>
      <c r="AJ204" s="374"/>
      <c r="AK204" s="330"/>
      <c r="AL204" s="330"/>
      <c r="AM204" s="330"/>
    </row>
    <row r="205" spans="1:45" s="348" customFormat="1" x14ac:dyDescent="0.2">
      <c r="A205" s="423">
        <f t="shared" si="60"/>
        <v>200</v>
      </c>
      <c r="B205" s="721" t="s">
        <v>7156</v>
      </c>
      <c r="C205" s="771">
        <v>520908</v>
      </c>
      <c r="D205" s="771">
        <v>2008</v>
      </c>
      <c r="E205" s="771" t="s">
        <v>697</v>
      </c>
      <c r="F205" s="546">
        <v>2017</v>
      </c>
      <c r="G205" s="772">
        <v>43013</v>
      </c>
      <c r="H205" s="771"/>
      <c r="I205" s="771" t="s">
        <v>6792</v>
      </c>
      <c r="J205" s="712"/>
      <c r="K205" s="771" t="s">
        <v>1745</v>
      </c>
      <c r="L205" s="771" t="s">
        <v>6793</v>
      </c>
      <c r="M205" s="773">
        <v>189108.4</v>
      </c>
      <c r="N205" s="773">
        <v>0</v>
      </c>
      <c r="O205" s="773">
        <v>30257.34</v>
      </c>
      <c r="P205" s="773">
        <v>219365.74</v>
      </c>
      <c r="Q205" s="548"/>
      <c r="R205" s="773">
        <v>189107.53</v>
      </c>
      <c r="S205" s="549">
        <f t="shared" si="59"/>
        <v>30258.209999999992</v>
      </c>
      <c r="T205" s="113" t="s">
        <v>283</v>
      </c>
      <c r="U205" s="360"/>
      <c r="V205" s="360"/>
      <c r="W205" s="358"/>
      <c r="X205" s="331"/>
      <c r="Y205" s="360"/>
      <c r="Z205" s="334"/>
      <c r="AA205" s="334"/>
      <c r="AB205" s="744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x14ac:dyDescent="0.2">
      <c r="A206" s="423">
        <f t="shared" si="60"/>
        <v>201</v>
      </c>
      <c r="B206" s="721" t="s">
        <v>7181</v>
      </c>
      <c r="C206" s="771">
        <v>521802</v>
      </c>
      <c r="D206" s="771">
        <v>2202</v>
      </c>
      <c r="E206" s="771" t="s">
        <v>703</v>
      </c>
      <c r="F206" s="546">
        <v>2017</v>
      </c>
      <c r="G206" s="772">
        <v>43038</v>
      </c>
      <c r="H206" s="771"/>
      <c r="I206" s="771" t="s">
        <v>6821</v>
      </c>
      <c r="J206" s="712"/>
      <c r="K206" s="771" t="s">
        <v>1710</v>
      </c>
      <c r="L206" s="771" t="s">
        <v>6822</v>
      </c>
      <c r="M206" s="773">
        <v>190093.29</v>
      </c>
      <c r="N206" s="773">
        <v>0</v>
      </c>
      <c r="O206" s="773">
        <v>30414.93</v>
      </c>
      <c r="P206" s="773">
        <v>220508.22</v>
      </c>
      <c r="Q206" s="548"/>
      <c r="R206" s="773">
        <v>190092.86</v>
      </c>
      <c r="S206" s="549">
        <f t="shared" si="59"/>
        <v>30415.360000000015</v>
      </c>
      <c r="T206" s="113" t="s">
        <v>283</v>
      </c>
      <c r="U206" s="370"/>
      <c r="V206" s="370"/>
      <c r="W206" s="375"/>
      <c r="X206" s="374"/>
      <c r="Y206" s="370"/>
      <c r="Z206" s="371"/>
      <c r="AA206" s="371"/>
      <c r="AB206" s="744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x14ac:dyDescent="0.2">
      <c r="A207" s="423">
        <f t="shared" si="60"/>
        <v>202</v>
      </c>
      <c r="B207" s="721" t="s">
        <v>7182</v>
      </c>
      <c r="C207" s="771">
        <v>521802</v>
      </c>
      <c r="D207" s="771">
        <v>2204</v>
      </c>
      <c r="E207" s="771" t="s">
        <v>705</v>
      </c>
      <c r="F207" s="546">
        <v>2017</v>
      </c>
      <c r="G207" s="772">
        <v>43015</v>
      </c>
      <c r="H207" s="771"/>
      <c r="I207" s="771" t="s">
        <v>6823</v>
      </c>
      <c r="J207" s="712"/>
      <c r="K207" s="771" t="s">
        <v>1147</v>
      </c>
      <c r="L207" s="771" t="s">
        <v>6824</v>
      </c>
      <c r="M207" s="773">
        <v>210657.16</v>
      </c>
      <c r="N207" s="773">
        <v>0</v>
      </c>
      <c r="O207" s="773">
        <v>33705.15</v>
      </c>
      <c r="P207" s="773">
        <v>244362.31</v>
      </c>
      <c r="Q207" s="548"/>
      <c r="R207" s="773">
        <v>210656.3</v>
      </c>
      <c r="S207" s="549">
        <f t="shared" si="59"/>
        <v>33706.010000000009</v>
      </c>
      <c r="T207" s="113" t="s">
        <v>283</v>
      </c>
      <c r="U207" s="370"/>
      <c r="V207" s="370"/>
      <c r="W207" s="375"/>
      <c r="X207" s="374"/>
      <c r="Y207" s="370"/>
      <c r="Z207" s="371"/>
      <c r="AA207" s="371"/>
      <c r="AB207" s="744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3">
        <f t="shared" si="60"/>
        <v>203</v>
      </c>
      <c r="B208" s="721" t="s">
        <v>7190</v>
      </c>
      <c r="C208" s="771">
        <v>520115</v>
      </c>
      <c r="D208" s="771">
        <v>2592</v>
      </c>
      <c r="E208" s="771" t="s">
        <v>684</v>
      </c>
      <c r="F208" s="546">
        <v>2018</v>
      </c>
      <c r="G208" s="772">
        <v>43032</v>
      </c>
      <c r="H208" s="771"/>
      <c r="I208" s="771" t="s">
        <v>6833</v>
      </c>
      <c r="J208" s="712"/>
      <c r="K208" s="771" t="s">
        <v>1189</v>
      </c>
      <c r="L208" s="771" t="s">
        <v>6834</v>
      </c>
      <c r="M208" s="773">
        <v>296284.40999999997</v>
      </c>
      <c r="N208" s="773">
        <v>0</v>
      </c>
      <c r="O208" s="773">
        <v>47405.5</v>
      </c>
      <c r="P208" s="773">
        <v>343689.91</v>
      </c>
      <c r="Q208" s="548"/>
      <c r="R208" s="773">
        <v>295929.06</v>
      </c>
      <c r="S208" s="549">
        <f t="shared" si="59"/>
        <v>47760.849999999977</v>
      </c>
      <c r="T208" s="113" t="s">
        <v>283</v>
      </c>
      <c r="U208" s="354"/>
      <c r="V208" s="354"/>
      <c r="W208" s="355"/>
      <c r="X208" s="330"/>
      <c r="Y208" s="354"/>
      <c r="Z208" s="328"/>
      <c r="AA208" s="328"/>
      <c r="AB208" s="744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x14ac:dyDescent="0.2">
      <c r="A209" s="423">
        <f t="shared" si="60"/>
        <v>204</v>
      </c>
      <c r="B209" s="721" t="s">
        <v>7195</v>
      </c>
      <c r="C209" s="771">
        <v>520115</v>
      </c>
      <c r="D209" s="771">
        <v>2594</v>
      </c>
      <c r="E209" s="771" t="s">
        <v>720</v>
      </c>
      <c r="F209" s="546">
        <v>2018</v>
      </c>
      <c r="G209" s="772">
        <v>43039</v>
      </c>
      <c r="H209" s="771"/>
      <c r="I209" s="771" t="s">
        <v>6838</v>
      </c>
      <c r="J209" s="712"/>
      <c r="K209" s="771" t="s">
        <v>1164</v>
      </c>
      <c r="L209" s="771" t="s">
        <v>6839</v>
      </c>
      <c r="M209" s="773">
        <v>360887.54</v>
      </c>
      <c r="N209" s="773">
        <v>0</v>
      </c>
      <c r="O209" s="773">
        <v>57742.01</v>
      </c>
      <c r="P209" s="773">
        <v>418629.55</v>
      </c>
      <c r="Q209" s="548"/>
      <c r="R209" s="773">
        <v>360886.68</v>
      </c>
      <c r="S209" s="549">
        <f t="shared" si="59"/>
        <v>57742.869999999995</v>
      </c>
      <c r="T209" s="113" t="s">
        <v>283</v>
      </c>
      <c r="U209" s="360"/>
      <c r="V209" s="360"/>
      <c r="W209" s="358"/>
      <c r="X209" s="331"/>
      <c r="Y209" s="360"/>
      <c r="Z209" s="334"/>
      <c r="AA209" s="334"/>
      <c r="AB209" s="744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x14ac:dyDescent="0.2">
      <c r="A210" s="423">
        <f t="shared" si="60"/>
        <v>205</v>
      </c>
      <c r="B210" s="721" t="s">
        <v>7196</v>
      </c>
      <c r="C210" s="771">
        <v>520115</v>
      </c>
      <c r="D210" s="771">
        <v>2620</v>
      </c>
      <c r="E210" s="771" t="s">
        <v>5618</v>
      </c>
      <c r="F210" s="546">
        <v>2018</v>
      </c>
      <c r="G210" s="772">
        <v>43039</v>
      </c>
      <c r="H210" s="771"/>
      <c r="I210" s="771" t="s">
        <v>6840</v>
      </c>
      <c r="J210" s="712"/>
      <c r="K210" s="771" t="s">
        <v>1175</v>
      </c>
      <c r="L210" s="771" t="s">
        <v>6841</v>
      </c>
      <c r="M210" s="773">
        <v>322205.2</v>
      </c>
      <c r="N210" s="773">
        <v>0</v>
      </c>
      <c r="O210" s="773">
        <v>51552.83</v>
      </c>
      <c r="P210" s="773">
        <v>373758.03</v>
      </c>
      <c r="Q210" s="548"/>
      <c r="R210" s="773">
        <v>321850.53999999998</v>
      </c>
      <c r="S210" s="549">
        <f t="shared" si="59"/>
        <v>51907.490000000049</v>
      </c>
      <c r="T210" s="113" t="s">
        <v>283</v>
      </c>
      <c r="U210" s="360"/>
      <c r="V210" s="360"/>
      <c r="W210" s="358"/>
      <c r="X210" s="331"/>
      <c r="Y210" s="360"/>
      <c r="Z210" s="334"/>
      <c r="AA210" s="334"/>
      <c r="AB210" s="744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x14ac:dyDescent="0.2">
      <c r="A211" s="423">
        <f t="shared" si="60"/>
        <v>206</v>
      </c>
      <c r="B211" s="721" t="s">
        <v>7202</v>
      </c>
      <c r="C211" s="771">
        <v>520815</v>
      </c>
      <c r="D211" s="771">
        <v>4492</v>
      </c>
      <c r="E211" s="771" t="s">
        <v>694</v>
      </c>
      <c r="F211" s="546">
        <v>2017</v>
      </c>
      <c r="G211" s="772">
        <v>43034</v>
      </c>
      <c r="H211" s="771"/>
      <c r="I211" s="771" t="s">
        <v>6849</v>
      </c>
      <c r="J211" s="712"/>
      <c r="K211" s="771" t="s">
        <v>2411</v>
      </c>
      <c r="L211" s="771" t="s">
        <v>6850</v>
      </c>
      <c r="M211" s="773">
        <v>311960.53000000003</v>
      </c>
      <c r="N211" s="773">
        <v>0</v>
      </c>
      <c r="O211" s="773">
        <v>49913.68</v>
      </c>
      <c r="P211" s="773">
        <v>361874.21</v>
      </c>
      <c r="Q211" s="548"/>
      <c r="R211" s="773">
        <v>311605.18</v>
      </c>
      <c r="S211" s="549">
        <f t="shared" si="59"/>
        <v>50269.030000000028</v>
      </c>
      <c r="T211" s="267" t="s">
        <v>283</v>
      </c>
      <c r="U211" s="360"/>
      <c r="V211" s="360"/>
      <c r="W211" s="358"/>
      <c r="X211" s="331"/>
      <c r="Y211" s="360"/>
      <c r="Z211" s="334"/>
      <c r="AA211" s="334"/>
      <c r="AB211" s="744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x14ac:dyDescent="0.2">
      <c r="A212" s="423">
        <f t="shared" si="60"/>
        <v>207</v>
      </c>
      <c r="B212" s="721" t="s">
        <v>7203</v>
      </c>
      <c r="C212" s="771">
        <v>520814</v>
      </c>
      <c r="D212" s="771">
        <v>4493</v>
      </c>
      <c r="E212" s="771" t="s">
        <v>693</v>
      </c>
      <c r="F212" s="546">
        <v>2017</v>
      </c>
      <c r="G212" s="772">
        <v>43021</v>
      </c>
      <c r="H212" s="771"/>
      <c r="I212" s="771" t="s">
        <v>5706</v>
      </c>
      <c r="J212" s="712"/>
      <c r="K212" s="771" t="s">
        <v>1147</v>
      </c>
      <c r="L212" s="771" t="s">
        <v>5955</v>
      </c>
      <c r="M212" s="773">
        <v>277002.33</v>
      </c>
      <c r="N212" s="773">
        <v>0</v>
      </c>
      <c r="O212" s="773">
        <v>44320.37</v>
      </c>
      <c r="P212" s="773">
        <v>321322.7</v>
      </c>
      <c r="Q212" s="548"/>
      <c r="R212" s="773">
        <v>277001.46999999997</v>
      </c>
      <c r="S212" s="549">
        <f t="shared" si="59"/>
        <v>44321.23000000004</v>
      </c>
      <c r="T212" s="444" t="s">
        <v>283</v>
      </c>
      <c r="U212" s="370"/>
      <c r="V212" s="370"/>
      <c r="W212" s="375"/>
      <c r="X212" s="374"/>
      <c r="Y212" s="370"/>
      <c r="Z212" s="371"/>
      <c r="AA212" s="371"/>
      <c r="AB212" s="744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x14ac:dyDescent="0.2">
      <c r="A213" s="423">
        <f t="shared" si="60"/>
        <v>208</v>
      </c>
      <c r="B213" s="721" t="s">
        <v>7204</v>
      </c>
      <c r="C213" s="771">
        <v>520814</v>
      </c>
      <c r="D213" s="771">
        <v>4493</v>
      </c>
      <c r="E213" s="771" t="s">
        <v>693</v>
      </c>
      <c r="F213" s="546">
        <v>2017</v>
      </c>
      <c r="G213" s="772">
        <v>43038</v>
      </c>
      <c r="H213" s="771"/>
      <c r="I213" s="771" t="s">
        <v>6851</v>
      </c>
      <c r="J213" s="712"/>
      <c r="K213" s="771" t="s">
        <v>3129</v>
      </c>
      <c r="L213" s="771" t="s">
        <v>6852</v>
      </c>
      <c r="M213" s="773">
        <v>277000.95</v>
      </c>
      <c r="N213" s="773">
        <v>0</v>
      </c>
      <c r="O213" s="773">
        <v>44320.15</v>
      </c>
      <c r="P213" s="773">
        <v>321321.09999999998</v>
      </c>
      <c r="Q213" s="548"/>
      <c r="R213" s="773">
        <v>277001.59999999998</v>
      </c>
      <c r="S213" s="549">
        <f t="shared" si="59"/>
        <v>44319.5</v>
      </c>
      <c r="T213" s="267" t="s">
        <v>283</v>
      </c>
      <c r="U213" s="360"/>
      <c r="V213" s="360"/>
      <c r="W213" s="358"/>
      <c r="X213" s="331"/>
      <c r="Y213" s="360"/>
      <c r="Z213" s="334"/>
      <c r="AA213" s="334"/>
      <c r="AB213" s="744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x14ac:dyDescent="0.2">
      <c r="A214" s="423">
        <f t="shared" si="60"/>
        <v>209</v>
      </c>
      <c r="B214" s="721">
        <v>0</v>
      </c>
      <c r="C214" s="771">
        <v>520818</v>
      </c>
      <c r="D214" s="771">
        <v>4495</v>
      </c>
      <c r="E214" s="771" t="s">
        <v>1519</v>
      </c>
      <c r="F214" s="546">
        <v>2017</v>
      </c>
      <c r="G214" s="772">
        <v>43012</v>
      </c>
      <c r="H214" s="771"/>
      <c r="I214" s="771" t="s">
        <v>4174</v>
      </c>
      <c r="J214" s="712"/>
      <c r="K214" s="771" t="s">
        <v>1146</v>
      </c>
      <c r="L214" s="771" t="s">
        <v>5346</v>
      </c>
      <c r="M214" s="773">
        <v>366743.13</v>
      </c>
      <c r="N214" s="773">
        <v>0</v>
      </c>
      <c r="O214" s="773">
        <v>58678.9</v>
      </c>
      <c r="P214" s="773">
        <v>425422.03</v>
      </c>
      <c r="Q214" s="548"/>
      <c r="R214" s="773">
        <v>356939.06</v>
      </c>
      <c r="S214" s="549">
        <f t="shared" si="59"/>
        <v>68482.97000000003</v>
      </c>
      <c r="T214" s="267" t="s">
        <v>283</v>
      </c>
      <c r="U214" s="370"/>
      <c r="V214" s="370"/>
      <c r="W214" s="375"/>
      <c r="X214" s="374"/>
      <c r="Y214" s="370"/>
      <c r="Z214" s="371"/>
      <c r="AA214" s="371"/>
      <c r="AB214" s="744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x14ac:dyDescent="0.2">
      <c r="A215" s="423">
        <f t="shared" si="60"/>
        <v>210</v>
      </c>
      <c r="B215" s="721" t="s">
        <v>7205</v>
      </c>
      <c r="C215" s="771">
        <v>520818</v>
      </c>
      <c r="D215" s="771">
        <v>4495</v>
      </c>
      <c r="E215" s="771" t="s">
        <v>1519</v>
      </c>
      <c r="F215" s="546">
        <v>2017</v>
      </c>
      <c r="G215" s="772">
        <v>43018</v>
      </c>
      <c r="H215" s="771"/>
      <c r="I215" s="771" t="s">
        <v>6853</v>
      </c>
      <c r="J215" s="712"/>
      <c r="K215" s="771" t="s">
        <v>1698</v>
      </c>
      <c r="L215" s="771" t="s">
        <v>6854</v>
      </c>
      <c r="M215" s="773">
        <v>371380.54</v>
      </c>
      <c r="N215" s="773">
        <v>0</v>
      </c>
      <c r="O215" s="773">
        <v>59420.89</v>
      </c>
      <c r="P215" s="773">
        <v>430801.43</v>
      </c>
      <c r="Q215" s="548"/>
      <c r="R215" s="773">
        <v>348922.18</v>
      </c>
      <c r="S215" s="549">
        <f t="shared" si="59"/>
        <v>81879.25</v>
      </c>
      <c r="T215" s="267" t="s">
        <v>283</v>
      </c>
      <c r="U215" s="370"/>
      <c r="V215" s="370"/>
      <c r="W215" s="375"/>
      <c r="X215" s="374"/>
      <c r="Y215" s="370"/>
      <c r="Z215" s="371"/>
      <c r="AA215" s="371"/>
      <c r="AB215" s="744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x14ac:dyDescent="0.2">
      <c r="A216" s="423">
        <f t="shared" si="60"/>
        <v>211</v>
      </c>
      <c r="B216" s="721" t="s">
        <v>7209</v>
      </c>
      <c r="C216" s="771">
        <v>520819</v>
      </c>
      <c r="D216" s="771">
        <v>4498</v>
      </c>
      <c r="E216" s="771" t="s">
        <v>696</v>
      </c>
      <c r="F216" s="546">
        <v>2017</v>
      </c>
      <c r="G216" s="772">
        <v>43010</v>
      </c>
      <c r="H216" s="771"/>
      <c r="I216" s="771" t="s">
        <v>6858</v>
      </c>
      <c r="J216" s="712"/>
      <c r="K216" s="771" t="s">
        <v>1144</v>
      </c>
      <c r="L216" s="771" t="s">
        <v>6859</v>
      </c>
      <c r="M216" s="773">
        <v>336482.27</v>
      </c>
      <c r="N216" s="773">
        <v>0</v>
      </c>
      <c r="O216" s="773">
        <v>53837.16</v>
      </c>
      <c r="P216" s="773">
        <v>390319.43</v>
      </c>
      <c r="Q216" s="548"/>
      <c r="R216" s="773">
        <v>336126.92</v>
      </c>
      <c r="S216" s="549">
        <f t="shared" si="59"/>
        <v>54192.510000000009</v>
      </c>
      <c r="T216" s="267" t="s">
        <v>283</v>
      </c>
      <c r="U216" s="360"/>
      <c r="V216" s="360"/>
      <c r="W216" s="358"/>
      <c r="X216" s="331"/>
      <c r="Y216" s="360"/>
      <c r="Z216" s="334"/>
      <c r="AA216" s="334"/>
      <c r="AB216" s="744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x14ac:dyDescent="0.2">
      <c r="A217" s="423">
        <f t="shared" si="60"/>
        <v>212</v>
      </c>
      <c r="B217" s="721" t="s">
        <v>7210</v>
      </c>
      <c r="C217" s="771">
        <v>520819</v>
      </c>
      <c r="D217" s="771">
        <v>4498</v>
      </c>
      <c r="E217" s="771" t="s">
        <v>696</v>
      </c>
      <c r="F217" s="546">
        <v>2017</v>
      </c>
      <c r="G217" s="772">
        <v>43013</v>
      </c>
      <c r="H217" s="771"/>
      <c r="I217" s="771" t="s">
        <v>6860</v>
      </c>
      <c r="J217" s="712"/>
      <c r="K217" s="771" t="s">
        <v>1670</v>
      </c>
      <c r="L217" s="771" t="s">
        <v>6861</v>
      </c>
      <c r="M217" s="773">
        <v>336482.28</v>
      </c>
      <c r="N217" s="773">
        <v>0</v>
      </c>
      <c r="O217" s="773">
        <v>53837.16</v>
      </c>
      <c r="P217" s="773">
        <v>390319.44</v>
      </c>
      <c r="Q217" s="548"/>
      <c r="R217" s="773">
        <v>336481.41</v>
      </c>
      <c r="S217" s="549">
        <f t="shared" si="59"/>
        <v>53838.030000000028</v>
      </c>
      <c r="T217" s="113" t="s">
        <v>283</v>
      </c>
      <c r="U217" s="360"/>
      <c r="V217" s="360"/>
      <c r="W217" s="358"/>
      <c r="X217" s="331"/>
      <c r="Y217" s="360"/>
      <c r="Z217" s="334"/>
      <c r="AA217" s="334"/>
      <c r="AB217" s="744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x14ac:dyDescent="0.2">
      <c r="A218" s="423">
        <f t="shared" si="60"/>
        <v>213</v>
      </c>
      <c r="B218" s="721" t="s">
        <v>7211</v>
      </c>
      <c r="C218" s="771">
        <v>520819</v>
      </c>
      <c r="D218" s="771">
        <v>4498</v>
      </c>
      <c r="E218" s="771" t="s">
        <v>696</v>
      </c>
      <c r="F218" s="546">
        <v>2017</v>
      </c>
      <c r="G218" s="772">
        <v>43015</v>
      </c>
      <c r="H218" s="771"/>
      <c r="I218" s="771" t="s">
        <v>6860</v>
      </c>
      <c r="J218" s="712"/>
      <c r="K218" s="771" t="s">
        <v>1670</v>
      </c>
      <c r="L218" s="771" t="s">
        <v>6861</v>
      </c>
      <c r="M218" s="773">
        <v>-336482.28</v>
      </c>
      <c r="N218" s="773">
        <v>0</v>
      </c>
      <c r="O218" s="773">
        <v>-53837.16</v>
      </c>
      <c r="P218" s="773">
        <v>-390319.44</v>
      </c>
      <c r="Q218" s="548"/>
      <c r="R218" s="773">
        <v>-336481.41</v>
      </c>
      <c r="S218" s="549">
        <f t="shared" si="59"/>
        <v>-53838.030000000028</v>
      </c>
      <c r="T218" s="267" t="s">
        <v>283</v>
      </c>
      <c r="U218" s="354"/>
      <c r="V218" s="354"/>
      <c r="W218" s="355"/>
      <c r="X218" s="330"/>
      <c r="Y218" s="354"/>
      <c r="Z218" s="328"/>
      <c r="AA218" s="328"/>
      <c r="AB218" s="744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x14ac:dyDescent="0.2">
      <c r="A219" s="423">
        <f t="shared" si="60"/>
        <v>214</v>
      </c>
      <c r="B219" s="721" t="s">
        <v>7212</v>
      </c>
      <c r="C219" s="771">
        <v>520819</v>
      </c>
      <c r="D219" s="771">
        <v>4498</v>
      </c>
      <c r="E219" s="771" t="s">
        <v>696</v>
      </c>
      <c r="F219" s="546">
        <v>2017</v>
      </c>
      <c r="G219" s="772">
        <v>43039</v>
      </c>
      <c r="H219" s="771"/>
      <c r="I219" s="771" t="s">
        <v>6862</v>
      </c>
      <c r="J219" s="712"/>
      <c r="K219" s="771" t="s">
        <v>1704</v>
      </c>
      <c r="L219" s="771" t="s">
        <v>6863</v>
      </c>
      <c r="M219" s="773">
        <v>336482.27</v>
      </c>
      <c r="N219" s="773">
        <v>0</v>
      </c>
      <c r="O219" s="773">
        <v>53837.16</v>
      </c>
      <c r="P219" s="773">
        <v>390319.43</v>
      </c>
      <c r="Q219" s="548"/>
      <c r="R219" s="773">
        <v>336126.92</v>
      </c>
      <c r="S219" s="549">
        <f t="shared" si="59"/>
        <v>54192.510000000009</v>
      </c>
      <c r="T219" s="113" t="s">
        <v>283</v>
      </c>
      <c r="U219" s="370"/>
      <c r="V219" s="370"/>
      <c r="W219" s="375"/>
      <c r="X219" s="374"/>
      <c r="Y219" s="370"/>
      <c r="Z219" s="371"/>
      <c r="AA219" s="371"/>
      <c r="AB219" s="744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x14ac:dyDescent="0.2">
      <c r="A220" s="423">
        <f t="shared" si="60"/>
        <v>215</v>
      </c>
      <c r="B220" s="721" t="s">
        <v>7213</v>
      </c>
      <c r="C220" s="771">
        <v>520512</v>
      </c>
      <c r="D220" s="771">
        <v>5394</v>
      </c>
      <c r="E220" s="771" t="s">
        <v>223</v>
      </c>
      <c r="F220" s="546">
        <v>2017</v>
      </c>
      <c r="G220" s="772">
        <v>43019</v>
      </c>
      <c r="H220" s="771"/>
      <c r="I220" s="771" t="s">
        <v>6864</v>
      </c>
      <c r="J220" s="712"/>
      <c r="K220" s="771" t="s">
        <v>6489</v>
      </c>
      <c r="L220" s="771" t="s">
        <v>6865</v>
      </c>
      <c r="M220" s="773">
        <v>391965.6</v>
      </c>
      <c r="N220" s="773">
        <v>0</v>
      </c>
      <c r="O220" s="773">
        <v>62714.5</v>
      </c>
      <c r="P220" s="773">
        <v>454680.1</v>
      </c>
      <c r="Q220" s="548"/>
      <c r="R220" s="773">
        <v>391610.27</v>
      </c>
      <c r="S220" s="549">
        <f t="shared" si="59"/>
        <v>63069.829999999958</v>
      </c>
      <c r="T220" s="267" t="s">
        <v>283</v>
      </c>
      <c r="U220" s="360"/>
      <c r="V220" s="360"/>
      <c r="W220" s="358"/>
      <c r="X220" s="331"/>
      <c r="Y220" s="360"/>
      <c r="Z220" s="334"/>
      <c r="AA220" s="334"/>
      <c r="AB220" s="744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x14ac:dyDescent="0.2">
      <c r="A221" s="423">
        <f t="shared" si="60"/>
        <v>216</v>
      </c>
      <c r="B221" s="721" t="s">
        <v>7214</v>
      </c>
      <c r="C221" s="771">
        <v>520512</v>
      </c>
      <c r="D221" s="771">
        <v>5394</v>
      </c>
      <c r="E221" s="771" t="s">
        <v>223</v>
      </c>
      <c r="F221" s="546">
        <v>2017</v>
      </c>
      <c r="G221" s="772">
        <v>43021</v>
      </c>
      <c r="H221" s="771"/>
      <c r="I221" s="771" t="s">
        <v>6864</v>
      </c>
      <c r="J221" s="712"/>
      <c r="K221" s="771" t="s">
        <v>6489</v>
      </c>
      <c r="L221" s="771" t="s">
        <v>6865</v>
      </c>
      <c r="M221" s="773">
        <v>-391965.6</v>
      </c>
      <c r="N221" s="773">
        <v>0</v>
      </c>
      <c r="O221" s="773">
        <v>-62714.5</v>
      </c>
      <c r="P221" s="773">
        <v>-454680.1</v>
      </c>
      <c r="Q221" s="548"/>
      <c r="R221" s="773">
        <v>-391610.27</v>
      </c>
      <c r="S221" s="549">
        <f t="shared" si="59"/>
        <v>-63069.829999999958</v>
      </c>
      <c r="T221" s="267" t="s">
        <v>283</v>
      </c>
      <c r="U221" s="370"/>
      <c r="V221" s="370"/>
      <c r="W221" s="375"/>
      <c r="X221" s="374"/>
      <c r="Y221" s="370"/>
      <c r="Z221" s="371"/>
      <c r="AA221" s="371"/>
      <c r="AB221" s="744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x14ac:dyDescent="0.2">
      <c r="A222" s="423">
        <f t="shared" si="60"/>
        <v>217</v>
      </c>
      <c r="B222" s="721" t="s">
        <v>7215</v>
      </c>
      <c r="C222" s="771">
        <v>520512</v>
      </c>
      <c r="D222" s="771">
        <v>5394</v>
      </c>
      <c r="E222" s="771" t="s">
        <v>223</v>
      </c>
      <c r="F222" s="546">
        <v>2017</v>
      </c>
      <c r="G222" s="772">
        <v>43021</v>
      </c>
      <c r="H222" s="771"/>
      <c r="I222" s="771" t="s">
        <v>6864</v>
      </c>
      <c r="J222" s="712"/>
      <c r="K222" s="771" t="s">
        <v>6489</v>
      </c>
      <c r="L222" s="771" t="s">
        <v>6865</v>
      </c>
      <c r="M222" s="773">
        <v>391965.6</v>
      </c>
      <c r="N222" s="773">
        <v>0</v>
      </c>
      <c r="O222" s="773">
        <v>62714.5</v>
      </c>
      <c r="P222" s="773">
        <v>454680.1</v>
      </c>
      <c r="Q222" s="548"/>
      <c r="R222" s="773">
        <v>391610.27</v>
      </c>
      <c r="S222" s="549">
        <f t="shared" si="59"/>
        <v>63069.829999999958</v>
      </c>
      <c r="T222" s="113" t="s">
        <v>283</v>
      </c>
      <c r="U222" s="370"/>
      <c r="V222" s="370"/>
      <c r="W222" s="375"/>
      <c r="X222" s="374"/>
      <c r="Y222" s="370"/>
      <c r="Z222" s="371"/>
      <c r="AA222" s="371"/>
      <c r="AB222" s="744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x14ac:dyDescent="0.2">
      <c r="A223" s="423">
        <f t="shared" si="60"/>
        <v>218</v>
      </c>
      <c r="B223" s="721" t="s">
        <v>7225</v>
      </c>
      <c r="C223" s="771">
        <v>520512</v>
      </c>
      <c r="D223" s="771">
        <v>5394</v>
      </c>
      <c r="E223" s="771" t="s">
        <v>223</v>
      </c>
      <c r="F223" s="546">
        <v>2017</v>
      </c>
      <c r="G223" s="772">
        <v>43033</v>
      </c>
      <c r="H223" s="771"/>
      <c r="I223" s="771" t="s">
        <v>4843</v>
      </c>
      <c r="J223" s="712"/>
      <c r="K223" s="771" t="s">
        <v>3858</v>
      </c>
      <c r="L223" s="771" t="s">
        <v>5253</v>
      </c>
      <c r="M223" s="773">
        <v>391965.61</v>
      </c>
      <c r="N223" s="773">
        <v>0</v>
      </c>
      <c r="O223" s="773">
        <v>62714.5</v>
      </c>
      <c r="P223" s="773">
        <v>454680.11</v>
      </c>
      <c r="Q223" s="548"/>
      <c r="R223" s="773">
        <v>391964.75</v>
      </c>
      <c r="S223" s="549">
        <f t="shared" si="59"/>
        <v>62715.359999999986</v>
      </c>
      <c r="T223" s="113" t="s">
        <v>283</v>
      </c>
      <c r="U223" s="370"/>
      <c r="V223" s="370"/>
      <c r="W223" s="375"/>
      <c r="X223" s="374"/>
      <c r="Y223" s="370"/>
      <c r="Z223" s="371"/>
      <c r="AA223" s="371"/>
      <c r="AB223" s="744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x14ac:dyDescent="0.2">
      <c r="A224" s="423">
        <f t="shared" si="60"/>
        <v>219</v>
      </c>
      <c r="B224" s="721" t="s">
        <v>7227</v>
      </c>
      <c r="C224" s="771">
        <v>520504</v>
      </c>
      <c r="D224" s="771">
        <v>5396</v>
      </c>
      <c r="E224" s="771" t="s">
        <v>132</v>
      </c>
      <c r="F224" s="546">
        <v>2017</v>
      </c>
      <c r="G224" s="772">
        <v>43033</v>
      </c>
      <c r="H224" s="771"/>
      <c r="I224" s="771" t="s">
        <v>6872</v>
      </c>
      <c r="J224" s="712"/>
      <c r="K224" s="771" t="s">
        <v>3858</v>
      </c>
      <c r="L224" s="771" t="s">
        <v>6873</v>
      </c>
      <c r="M224" s="773">
        <v>426603.53</v>
      </c>
      <c r="N224" s="773">
        <v>0</v>
      </c>
      <c r="O224" s="773">
        <v>68256.570000000007</v>
      </c>
      <c r="P224" s="773">
        <v>494860.1</v>
      </c>
      <c r="Q224" s="548"/>
      <c r="R224" s="773">
        <v>426248.19</v>
      </c>
      <c r="S224" s="549">
        <f t="shared" si="59"/>
        <v>68611.909999999974</v>
      </c>
      <c r="T224" s="113" t="s">
        <v>283</v>
      </c>
      <c r="U224" s="370"/>
      <c r="V224" s="370"/>
      <c r="W224" s="375"/>
      <c r="X224" s="374"/>
      <c r="Y224" s="370"/>
      <c r="Z224" s="371"/>
      <c r="AA224" s="371"/>
      <c r="AB224" s="744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39" s="291" customFormat="1" x14ac:dyDescent="0.2">
      <c r="A225" s="423">
        <f t="shared" si="60"/>
        <v>220</v>
      </c>
      <c r="B225" s="721" t="s">
        <v>7232</v>
      </c>
      <c r="C225" s="771">
        <v>520513</v>
      </c>
      <c r="D225" s="771">
        <v>5396</v>
      </c>
      <c r="E225" s="771" t="s">
        <v>132</v>
      </c>
      <c r="F225" s="546">
        <v>2017</v>
      </c>
      <c r="G225" s="772">
        <v>43035</v>
      </c>
      <c r="H225" s="771"/>
      <c r="I225" s="771" t="s">
        <v>6881</v>
      </c>
      <c r="J225" s="712"/>
      <c r="K225" s="771" t="s">
        <v>3129</v>
      </c>
      <c r="L225" s="771" t="s">
        <v>6882</v>
      </c>
      <c r="M225" s="773">
        <v>426604.53</v>
      </c>
      <c r="N225" s="773">
        <v>0</v>
      </c>
      <c r="O225" s="773">
        <v>68256.73</v>
      </c>
      <c r="P225" s="773">
        <v>494861.26</v>
      </c>
      <c r="Q225" s="548"/>
      <c r="R225" s="773">
        <v>426603.67</v>
      </c>
      <c r="S225" s="549">
        <f t="shared" si="59"/>
        <v>68257.590000000026</v>
      </c>
      <c r="T225" s="267" t="s">
        <v>283</v>
      </c>
      <c r="U225" s="370"/>
      <c r="V225" s="370"/>
      <c r="W225" s="375"/>
      <c r="X225" s="374"/>
      <c r="Y225" s="370"/>
      <c r="Z225" s="371"/>
      <c r="AA225" s="371"/>
      <c r="AB225" s="744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39" s="348" customFormat="1" x14ac:dyDescent="0.2">
      <c r="A226" s="423">
        <f t="shared" si="60"/>
        <v>221</v>
      </c>
      <c r="B226" s="721" t="s">
        <v>7239</v>
      </c>
      <c r="C226" s="771">
        <v>520515</v>
      </c>
      <c r="D226" s="771">
        <v>5399</v>
      </c>
      <c r="E226" s="771" t="s">
        <v>267</v>
      </c>
      <c r="F226" s="546">
        <v>2017</v>
      </c>
      <c r="G226" s="772">
        <v>43018</v>
      </c>
      <c r="H226" s="771"/>
      <c r="I226" s="771" t="s">
        <v>6894</v>
      </c>
      <c r="J226" s="712"/>
      <c r="K226" s="771" t="s">
        <v>1164</v>
      </c>
      <c r="L226" s="771" t="s">
        <v>6895</v>
      </c>
      <c r="M226" s="773">
        <v>557392.03</v>
      </c>
      <c r="N226" s="773">
        <v>0</v>
      </c>
      <c r="O226" s="773">
        <v>89182.73</v>
      </c>
      <c r="P226" s="773">
        <v>646574.76</v>
      </c>
      <c r="Q226" s="548"/>
      <c r="R226" s="773">
        <v>557036.68999999994</v>
      </c>
      <c r="S226" s="549">
        <f t="shared" si="59"/>
        <v>89538.070000000065</v>
      </c>
      <c r="T226" s="267" t="s">
        <v>283</v>
      </c>
      <c r="U226" s="370"/>
      <c r="V226" s="370"/>
      <c r="W226" s="375"/>
      <c r="X226" s="374"/>
      <c r="Y226" s="370"/>
      <c r="Z226" s="371"/>
      <c r="AA226" s="371"/>
      <c r="AB226" s="744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39" s="348" customFormat="1" x14ac:dyDescent="0.2">
      <c r="A227" s="423">
        <f t="shared" si="60"/>
        <v>222</v>
      </c>
      <c r="B227" s="721" t="s">
        <v>7240</v>
      </c>
      <c r="C227" s="771">
        <v>520515</v>
      </c>
      <c r="D227" s="771">
        <v>5399</v>
      </c>
      <c r="E227" s="771" t="s">
        <v>267</v>
      </c>
      <c r="F227" s="546">
        <v>2017</v>
      </c>
      <c r="G227" s="772">
        <v>43034</v>
      </c>
      <c r="H227" s="771"/>
      <c r="I227" s="771" t="s">
        <v>6896</v>
      </c>
      <c r="J227" s="712"/>
      <c r="K227" s="771" t="s">
        <v>1144</v>
      </c>
      <c r="L227" s="771" t="s">
        <v>6897</v>
      </c>
      <c r="M227" s="773">
        <v>557392.03</v>
      </c>
      <c r="N227" s="773">
        <v>0</v>
      </c>
      <c r="O227" s="773">
        <v>89182.73</v>
      </c>
      <c r="P227" s="773">
        <v>646574.76</v>
      </c>
      <c r="Q227" s="548"/>
      <c r="R227" s="773">
        <v>557036.68999999994</v>
      </c>
      <c r="S227" s="549">
        <f t="shared" si="59"/>
        <v>89538.070000000065</v>
      </c>
      <c r="T227" s="267" t="s">
        <v>283</v>
      </c>
      <c r="U227" s="370"/>
      <c r="V227" s="370"/>
      <c r="W227" s="375"/>
      <c r="X227" s="374"/>
      <c r="Y227" s="370"/>
      <c r="Z227" s="371"/>
      <c r="AA227" s="371"/>
      <c r="AB227" s="744"/>
      <c r="AC227" s="270"/>
      <c r="AD227" s="372"/>
      <c r="AE227" s="270"/>
      <c r="AF227" s="270"/>
      <c r="AG227" s="270"/>
      <c r="AH227" s="350"/>
      <c r="AI227" s="365"/>
      <c r="AJ227" s="330"/>
      <c r="AK227" s="330"/>
      <c r="AL227" s="330"/>
      <c r="AM227" s="330"/>
    </row>
    <row r="228" spans="1:39" s="348" customFormat="1" x14ac:dyDescent="0.2">
      <c r="A228" s="423">
        <f t="shared" si="60"/>
        <v>223</v>
      </c>
      <c r="B228" s="721" t="s">
        <v>7241</v>
      </c>
      <c r="C228" s="771">
        <v>1520202</v>
      </c>
      <c r="D228" s="771">
        <v>5601</v>
      </c>
      <c r="E228" s="771" t="s">
        <v>221</v>
      </c>
      <c r="F228" s="546">
        <v>2018</v>
      </c>
      <c r="G228" s="772">
        <v>43013</v>
      </c>
      <c r="H228" s="771"/>
      <c r="I228" s="771" t="s">
        <v>6367</v>
      </c>
      <c r="J228" s="712"/>
      <c r="K228" s="771" t="s">
        <v>6489</v>
      </c>
      <c r="L228" s="771" t="s">
        <v>6628</v>
      </c>
      <c r="M228" s="773">
        <v>-292181.65999999997</v>
      </c>
      <c r="N228" s="773">
        <v>0</v>
      </c>
      <c r="O228" s="773">
        <v>-46749.07</v>
      </c>
      <c r="P228" s="773">
        <v>-338930.73</v>
      </c>
      <c r="Q228" s="548"/>
      <c r="R228" s="773">
        <v>-292180.8</v>
      </c>
      <c r="S228" s="549">
        <f t="shared" si="59"/>
        <v>-46749.929999999993</v>
      </c>
      <c r="T228" s="267" t="s">
        <v>283</v>
      </c>
      <c r="U228" s="370"/>
      <c r="V228" s="370"/>
      <c r="W228" s="375"/>
      <c r="X228" s="374"/>
      <c r="Y228" s="370"/>
      <c r="Z228" s="371"/>
      <c r="AA228" s="371"/>
      <c r="AB228" s="744"/>
      <c r="AC228" s="270"/>
      <c r="AD228" s="372"/>
      <c r="AE228" s="270"/>
      <c r="AF228" s="270"/>
      <c r="AG228" s="270"/>
      <c r="AH228" s="350"/>
      <c r="AI228" s="365"/>
      <c r="AJ228" s="330"/>
      <c r="AK228" s="330"/>
      <c r="AL228" s="330"/>
      <c r="AM228" s="330"/>
    </row>
    <row r="229" spans="1:39" s="348" customFormat="1" x14ac:dyDescent="0.2">
      <c r="A229" s="423">
        <f t="shared" si="60"/>
        <v>224</v>
      </c>
      <c r="B229" s="721" t="s">
        <v>7242</v>
      </c>
      <c r="C229" s="771">
        <v>1520202</v>
      </c>
      <c r="D229" s="771">
        <v>5601</v>
      </c>
      <c r="E229" s="771" t="s">
        <v>221</v>
      </c>
      <c r="F229" s="546">
        <v>2018</v>
      </c>
      <c r="G229" s="772">
        <v>43013</v>
      </c>
      <c r="H229" s="771"/>
      <c r="I229" s="771" t="s">
        <v>6367</v>
      </c>
      <c r="J229" s="712"/>
      <c r="K229" s="771" t="s">
        <v>1147</v>
      </c>
      <c r="L229" s="771" t="s">
        <v>6628</v>
      </c>
      <c r="M229" s="773">
        <v>292182.53000000003</v>
      </c>
      <c r="N229" s="773">
        <v>0</v>
      </c>
      <c r="O229" s="773">
        <v>46749.2</v>
      </c>
      <c r="P229" s="773">
        <v>338931.73</v>
      </c>
      <c r="Q229" s="548"/>
      <c r="R229" s="773">
        <v>292180.8</v>
      </c>
      <c r="S229" s="549">
        <f t="shared" si="59"/>
        <v>46750.929999999993</v>
      </c>
      <c r="T229" s="267" t="s">
        <v>283</v>
      </c>
      <c r="U229" s="370"/>
      <c r="V229" s="370"/>
      <c r="W229" s="375"/>
      <c r="X229" s="374"/>
      <c r="Y229" s="370"/>
      <c r="Z229" s="371"/>
      <c r="AA229" s="371"/>
      <c r="AB229" s="744"/>
      <c r="AC229" s="270"/>
      <c r="AD229" s="372"/>
      <c r="AE229" s="270"/>
      <c r="AF229" s="270"/>
      <c r="AG229" s="270"/>
      <c r="AH229" s="350"/>
      <c r="AI229" s="365"/>
      <c r="AJ229" s="330"/>
      <c r="AK229" s="330"/>
      <c r="AL229" s="330"/>
      <c r="AM229" s="330"/>
    </row>
    <row r="230" spans="1:39" s="348" customFormat="1" x14ac:dyDescent="0.2">
      <c r="A230" s="423">
        <f t="shared" si="60"/>
        <v>225</v>
      </c>
      <c r="B230" s="721" t="s">
        <v>7244</v>
      </c>
      <c r="C230" s="771">
        <v>1520204</v>
      </c>
      <c r="D230" s="771">
        <v>5603</v>
      </c>
      <c r="E230" s="771" t="s">
        <v>713</v>
      </c>
      <c r="F230" s="546">
        <v>2018</v>
      </c>
      <c r="G230" s="772">
        <v>43010</v>
      </c>
      <c r="H230" s="771"/>
      <c r="I230" s="771" t="s">
        <v>6372</v>
      </c>
      <c r="J230" s="712"/>
      <c r="K230" s="771" t="s">
        <v>6490</v>
      </c>
      <c r="L230" s="771" t="s">
        <v>6633</v>
      </c>
      <c r="M230" s="773">
        <v>-289651.93</v>
      </c>
      <c r="N230" s="773">
        <v>0</v>
      </c>
      <c r="O230" s="773">
        <v>-46344.31</v>
      </c>
      <c r="P230" s="773">
        <v>-335996.24</v>
      </c>
      <c r="Q230" s="548"/>
      <c r="R230" s="773">
        <v>-286281.8</v>
      </c>
      <c r="S230" s="549">
        <f t="shared" si="59"/>
        <v>-49714.44</v>
      </c>
      <c r="T230" s="267" t="s">
        <v>283</v>
      </c>
      <c r="U230" s="370"/>
      <c r="V230" s="370"/>
      <c r="W230" s="375"/>
      <c r="X230" s="374"/>
      <c r="Y230" s="370"/>
      <c r="Z230" s="371"/>
      <c r="AA230" s="371"/>
      <c r="AB230" s="744"/>
      <c r="AC230" s="270"/>
      <c r="AD230" s="372"/>
      <c r="AE230" s="270"/>
      <c r="AF230" s="270"/>
      <c r="AG230" s="270"/>
      <c r="AH230" s="350"/>
      <c r="AI230" s="365"/>
      <c r="AJ230" s="330"/>
      <c r="AK230" s="330"/>
      <c r="AL230" s="330"/>
      <c r="AM230" s="330"/>
    </row>
    <row r="231" spans="1:39" s="348" customFormat="1" x14ac:dyDescent="0.2">
      <c r="A231" s="423">
        <f t="shared" si="60"/>
        <v>226</v>
      </c>
      <c r="B231" s="721" t="s">
        <v>7245</v>
      </c>
      <c r="C231" s="771">
        <v>1520204</v>
      </c>
      <c r="D231" s="771">
        <v>5603</v>
      </c>
      <c r="E231" s="771" t="s">
        <v>713</v>
      </c>
      <c r="F231" s="546">
        <v>2018</v>
      </c>
      <c r="G231" s="772">
        <v>43010</v>
      </c>
      <c r="H231" s="771"/>
      <c r="I231" s="771" t="s">
        <v>6372</v>
      </c>
      <c r="J231" s="712"/>
      <c r="K231" s="771" t="s">
        <v>6490</v>
      </c>
      <c r="L231" s="771" t="s">
        <v>6633</v>
      </c>
      <c r="M231" s="773">
        <v>289651.93</v>
      </c>
      <c r="N231" s="773">
        <v>0</v>
      </c>
      <c r="O231" s="773">
        <v>46344.31</v>
      </c>
      <c r="P231" s="773">
        <v>335996.24</v>
      </c>
      <c r="Q231" s="548"/>
      <c r="R231" s="773">
        <v>286281.8</v>
      </c>
      <c r="S231" s="549">
        <f t="shared" si="59"/>
        <v>49714.44</v>
      </c>
      <c r="T231" s="113" t="s">
        <v>283</v>
      </c>
      <c r="U231" s="370"/>
      <c r="V231" s="370"/>
      <c r="W231" s="375"/>
      <c r="X231" s="374"/>
      <c r="Y231" s="370"/>
      <c r="Z231" s="371"/>
      <c r="AA231" s="371"/>
      <c r="AB231" s="744"/>
      <c r="AC231" s="270"/>
      <c r="AD231" s="372"/>
      <c r="AE231" s="270"/>
      <c r="AF231" s="270"/>
      <c r="AG231" s="270"/>
      <c r="AH231" s="350"/>
      <c r="AI231" s="365"/>
      <c r="AJ231" s="330"/>
      <c r="AK231" s="330"/>
      <c r="AL231" s="330"/>
      <c r="AM231" s="330"/>
    </row>
    <row r="232" spans="1:39" s="348" customFormat="1" x14ac:dyDescent="0.2">
      <c r="A232" s="423">
        <f t="shared" si="60"/>
        <v>227</v>
      </c>
      <c r="B232" s="721" t="s">
        <v>7249</v>
      </c>
      <c r="C232" s="771">
        <v>521908</v>
      </c>
      <c r="D232" s="771">
        <v>6980</v>
      </c>
      <c r="E232" s="771" t="s">
        <v>706</v>
      </c>
      <c r="F232" s="546">
        <v>2017</v>
      </c>
      <c r="G232" s="772">
        <v>43013</v>
      </c>
      <c r="H232" s="771"/>
      <c r="I232" s="771" t="s">
        <v>6909</v>
      </c>
      <c r="J232" s="712"/>
      <c r="K232" s="771" t="s">
        <v>1710</v>
      </c>
      <c r="L232" s="771" t="s">
        <v>6910</v>
      </c>
      <c r="M232" s="773">
        <v>460716.53</v>
      </c>
      <c r="N232" s="773">
        <v>0</v>
      </c>
      <c r="O232" s="773">
        <v>73714.64</v>
      </c>
      <c r="P232" s="773">
        <v>534431.17000000004</v>
      </c>
      <c r="Q232" s="548"/>
      <c r="R232" s="773">
        <v>460361.18</v>
      </c>
      <c r="S232" s="549">
        <f t="shared" si="59"/>
        <v>74069.990000000049</v>
      </c>
      <c r="T232" s="113" t="s">
        <v>283</v>
      </c>
      <c r="U232" s="370"/>
      <c r="V232" s="370"/>
      <c r="W232" s="375"/>
      <c r="X232" s="374"/>
      <c r="Y232" s="370"/>
      <c r="Z232" s="371"/>
      <c r="AA232" s="371"/>
      <c r="AB232" s="744"/>
      <c r="AC232" s="270"/>
      <c r="AD232" s="372"/>
      <c r="AE232" s="270"/>
      <c r="AF232" s="270"/>
      <c r="AG232" s="270"/>
      <c r="AH232" s="350"/>
      <c r="AI232" s="365"/>
      <c r="AJ232" s="330"/>
      <c r="AK232" s="330"/>
      <c r="AL232" s="330"/>
      <c r="AM232" s="330"/>
    </row>
    <row r="233" spans="1:39" s="348" customFormat="1" x14ac:dyDescent="0.2">
      <c r="A233" s="423">
        <f t="shared" si="60"/>
        <v>228</v>
      </c>
      <c r="B233" s="721" t="s">
        <v>7250</v>
      </c>
      <c r="C233" s="771">
        <v>521908</v>
      </c>
      <c r="D233" s="771">
        <v>6980</v>
      </c>
      <c r="E233" s="771" t="s">
        <v>706</v>
      </c>
      <c r="F233" s="546">
        <v>2017</v>
      </c>
      <c r="G233" s="772">
        <v>43026</v>
      </c>
      <c r="H233" s="771"/>
      <c r="I233" s="771" t="s">
        <v>6909</v>
      </c>
      <c r="J233" s="712"/>
      <c r="K233" s="771" t="s">
        <v>1710</v>
      </c>
      <c r="L233" s="771" t="s">
        <v>6910</v>
      </c>
      <c r="M233" s="773">
        <v>-460716.53</v>
      </c>
      <c r="N233" s="773">
        <v>0</v>
      </c>
      <c r="O233" s="773">
        <v>-73714.64</v>
      </c>
      <c r="P233" s="773">
        <v>-534431.17000000004</v>
      </c>
      <c r="Q233" s="548"/>
      <c r="R233" s="773">
        <v>-460361.18</v>
      </c>
      <c r="S233" s="549">
        <f t="shared" si="59"/>
        <v>-74069.990000000049</v>
      </c>
      <c r="T233" s="113" t="s">
        <v>283</v>
      </c>
      <c r="U233" s="370"/>
      <c r="V233" s="370"/>
      <c r="W233" s="375"/>
      <c r="X233" s="374"/>
      <c r="Y233" s="370"/>
      <c r="Z233" s="371"/>
      <c r="AA233" s="371"/>
      <c r="AB233" s="744"/>
      <c r="AC233" s="270"/>
      <c r="AD233" s="372"/>
      <c r="AE233" s="270"/>
      <c r="AF233" s="270"/>
      <c r="AG233" s="270"/>
      <c r="AH233" s="350"/>
      <c r="AI233" s="365"/>
      <c r="AJ233" s="330"/>
      <c r="AK233" s="330"/>
      <c r="AL233" s="330"/>
      <c r="AM233" s="330"/>
    </row>
    <row r="234" spans="1:39" s="348" customFormat="1" x14ac:dyDescent="0.2">
      <c r="A234" s="423">
        <f t="shared" si="60"/>
        <v>229</v>
      </c>
      <c r="B234" s="721" t="s">
        <v>7264</v>
      </c>
      <c r="C234" s="771">
        <v>1520302</v>
      </c>
      <c r="D234" s="771">
        <v>7441</v>
      </c>
      <c r="E234" s="771" t="s">
        <v>715</v>
      </c>
      <c r="F234" s="546">
        <v>2017</v>
      </c>
      <c r="G234" s="772">
        <v>43038</v>
      </c>
      <c r="H234" s="771"/>
      <c r="I234" s="771" t="s">
        <v>6930</v>
      </c>
      <c r="J234" s="712"/>
      <c r="K234" s="771" t="s">
        <v>4595</v>
      </c>
      <c r="L234" s="771" t="s">
        <v>6931</v>
      </c>
      <c r="M234" s="773">
        <v>471232.62</v>
      </c>
      <c r="N234" s="773">
        <v>0</v>
      </c>
      <c r="O234" s="773">
        <v>75397.22</v>
      </c>
      <c r="P234" s="773">
        <v>546629.84</v>
      </c>
      <c r="Q234" s="548"/>
      <c r="R234" s="773">
        <v>470877.28</v>
      </c>
      <c r="S234" s="549">
        <f t="shared" si="59"/>
        <v>75752.559999999939</v>
      </c>
      <c r="T234" s="113" t="s">
        <v>283</v>
      </c>
      <c r="U234" s="370"/>
      <c r="V234" s="370"/>
      <c r="W234" s="375"/>
      <c r="X234" s="374"/>
      <c r="Y234" s="370"/>
      <c r="Z234" s="371"/>
      <c r="AA234" s="371"/>
      <c r="AB234" s="744"/>
      <c r="AC234" s="270"/>
      <c r="AD234" s="372"/>
      <c r="AE234" s="270"/>
      <c r="AF234" s="270"/>
      <c r="AG234" s="270"/>
      <c r="AH234" s="350"/>
      <c r="AI234" s="365"/>
      <c r="AJ234" s="330"/>
      <c r="AK234" s="330"/>
      <c r="AL234" s="330"/>
      <c r="AM234" s="330"/>
    </row>
    <row r="235" spans="1:39" s="348" customFormat="1" x14ac:dyDescent="0.2">
      <c r="A235" s="423">
        <f t="shared" si="60"/>
        <v>230</v>
      </c>
      <c r="B235" s="721" t="s">
        <v>7270</v>
      </c>
      <c r="C235" s="771">
        <v>1520606</v>
      </c>
      <c r="D235" s="771">
        <v>7491</v>
      </c>
      <c r="E235" s="771" t="s">
        <v>6939</v>
      </c>
      <c r="F235" s="546">
        <v>2018</v>
      </c>
      <c r="G235" s="772">
        <v>43039</v>
      </c>
      <c r="H235" s="771"/>
      <c r="I235" s="771" t="s">
        <v>6943</v>
      </c>
      <c r="J235" s="712"/>
      <c r="K235" s="771" t="s">
        <v>2430</v>
      </c>
      <c r="L235" s="771" t="s">
        <v>6944</v>
      </c>
      <c r="M235" s="773">
        <v>420578.82</v>
      </c>
      <c r="N235" s="773">
        <v>0</v>
      </c>
      <c r="O235" s="773">
        <v>67292.61</v>
      </c>
      <c r="P235" s="773">
        <v>487871.43</v>
      </c>
      <c r="Q235" s="548"/>
      <c r="R235" s="773">
        <v>420578.82</v>
      </c>
      <c r="S235" s="549">
        <f t="shared" si="59"/>
        <v>67292.609999999986</v>
      </c>
      <c r="T235" s="113" t="s">
        <v>283</v>
      </c>
      <c r="U235" s="370"/>
      <c r="V235" s="370"/>
      <c r="W235" s="375"/>
      <c r="X235" s="374"/>
      <c r="Y235" s="370"/>
      <c r="Z235" s="371"/>
      <c r="AA235" s="371"/>
      <c r="AB235" s="744"/>
      <c r="AC235" s="270"/>
      <c r="AD235" s="372"/>
      <c r="AE235" s="270"/>
      <c r="AF235" s="270"/>
      <c r="AG235" s="270"/>
      <c r="AH235" s="350"/>
      <c r="AI235" s="365"/>
      <c r="AJ235" s="330"/>
      <c r="AK235" s="330"/>
      <c r="AL235" s="330"/>
      <c r="AM235" s="330"/>
    </row>
    <row r="236" spans="1:39" s="348" customFormat="1" x14ac:dyDescent="0.2">
      <c r="A236" s="423">
        <f t="shared" si="60"/>
        <v>231</v>
      </c>
      <c r="B236" s="721" t="s">
        <v>7271</v>
      </c>
      <c r="C236" s="771">
        <v>1520104</v>
      </c>
      <c r="D236" s="771">
        <v>7493</v>
      </c>
      <c r="E236" s="771" t="s">
        <v>6945</v>
      </c>
      <c r="F236" s="546">
        <v>2017</v>
      </c>
      <c r="G236" s="772">
        <v>43012</v>
      </c>
      <c r="H236" s="771"/>
      <c r="I236" s="771" t="s">
        <v>6946</v>
      </c>
      <c r="J236" s="712"/>
      <c r="K236" s="771" t="s">
        <v>1147</v>
      </c>
      <c r="L236" s="771" t="s">
        <v>6947</v>
      </c>
      <c r="M236" s="773">
        <v>229416.4</v>
      </c>
      <c r="N236" s="773">
        <v>0</v>
      </c>
      <c r="O236" s="773">
        <v>36706.620000000003</v>
      </c>
      <c r="P236" s="773">
        <v>266123.02</v>
      </c>
      <c r="Q236" s="548"/>
      <c r="R236" s="773">
        <v>229061.05</v>
      </c>
      <c r="S236" s="549">
        <f t="shared" si="59"/>
        <v>37061.97000000003</v>
      </c>
      <c r="T236" s="267" t="s">
        <v>283</v>
      </c>
      <c r="U236" s="370"/>
      <c r="V236" s="370"/>
      <c r="W236" s="375"/>
      <c r="X236" s="374"/>
      <c r="Y236" s="370"/>
      <c r="Z236" s="371"/>
      <c r="AA236" s="371"/>
      <c r="AB236" s="744"/>
      <c r="AC236" s="270"/>
      <c r="AD236" s="372"/>
      <c r="AE236" s="270"/>
      <c r="AF236" s="270"/>
      <c r="AG236" s="270"/>
      <c r="AH236" s="350"/>
      <c r="AI236" s="365"/>
      <c r="AJ236" s="330"/>
      <c r="AK236" s="330"/>
      <c r="AL236" s="330"/>
      <c r="AM236" s="330"/>
    </row>
    <row r="237" spans="1:39" s="348" customFormat="1" x14ac:dyDescent="0.2">
      <c r="A237" s="423">
        <f t="shared" si="60"/>
        <v>232</v>
      </c>
      <c r="B237" s="721" t="s">
        <v>7272</v>
      </c>
      <c r="C237" s="771">
        <v>1520104</v>
      </c>
      <c r="D237" s="771">
        <v>7493</v>
      </c>
      <c r="E237" s="771" t="s">
        <v>6945</v>
      </c>
      <c r="F237" s="546">
        <v>2017</v>
      </c>
      <c r="G237" s="772">
        <v>43012</v>
      </c>
      <c r="H237" s="771"/>
      <c r="I237" s="771" t="s">
        <v>6948</v>
      </c>
      <c r="J237" s="712"/>
      <c r="K237" s="771" t="s">
        <v>1147</v>
      </c>
      <c r="L237" s="771" t="s">
        <v>6949</v>
      </c>
      <c r="M237" s="773">
        <v>229416.39</v>
      </c>
      <c r="N237" s="773">
        <v>0</v>
      </c>
      <c r="O237" s="773">
        <v>36706.620000000003</v>
      </c>
      <c r="P237" s="773">
        <v>266123.01</v>
      </c>
      <c r="Q237" s="548"/>
      <c r="R237" s="773">
        <v>229061.05</v>
      </c>
      <c r="S237" s="549">
        <f t="shared" si="59"/>
        <v>37061.960000000021</v>
      </c>
      <c r="T237" s="444" t="s">
        <v>283</v>
      </c>
      <c r="U237" s="370"/>
      <c r="V237" s="370"/>
      <c r="W237" s="375"/>
      <c r="X237" s="374"/>
      <c r="Y237" s="370"/>
      <c r="Z237" s="371"/>
      <c r="AA237" s="371"/>
      <c r="AB237" s="744"/>
      <c r="AC237" s="270"/>
      <c r="AD237" s="372"/>
      <c r="AE237" s="270"/>
      <c r="AF237" s="270"/>
      <c r="AG237" s="270"/>
      <c r="AH237" s="350"/>
      <c r="AI237" s="365"/>
      <c r="AJ237" s="330"/>
      <c r="AK237" s="330"/>
      <c r="AL237" s="330"/>
      <c r="AM237" s="330"/>
    </row>
    <row r="238" spans="1:39" s="348" customFormat="1" x14ac:dyDescent="0.2">
      <c r="A238" s="423">
        <f t="shared" si="60"/>
        <v>233</v>
      </c>
      <c r="B238" s="721" t="s">
        <v>7273</v>
      </c>
      <c r="C238" s="771">
        <v>1520104</v>
      </c>
      <c r="D238" s="771">
        <v>7493</v>
      </c>
      <c r="E238" s="771" t="s">
        <v>6945</v>
      </c>
      <c r="F238" s="546">
        <v>2017</v>
      </c>
      <c r="G238" s="772">
        <v>43012</v>
      </c>
      <c r="H238" s="771"/>
      <c r="I238" s="771" t="s">
        <v>6950</v>
      </c>
      <c r="J238" s="712"/>
      <c r="K238" s="771" t="s">
        <v>1147</v>
      </c>
      <c r="L238" s="771" t="s">
        <v>6951</v>
      </c>
      <c r="M238" s="773">
        <v>229416.4</v>
      </c>
      <c r="N238" s="773">
        <v>0</v>
      </c>
      <c r="O238" s="773">
        <v>36706.620000000003</v>
      </c>
      <c r="P238" s="773">
        <v>266123.02</v>
      </c>
      <c r="Q238" s="548"/>
      <c r="R238" s="773">
        <v>229061.05</v>
      </c>
      <c r="S238" s="549">
        <f t="shared" si="59"/>
        <v>37061.97000000003</v>
      </c>
      <c r="T238" s="113" t="s">
        <v>283</v>
      </c>
      <c r="U238" s="370"/>
      <c r="V238" s="370"/>
      <c r="W238" s="375"/>
      <c r="X238" s="374"/>
      <c r="Y238" s="370"/>
      <c r="Z238" s="371"/>
      <c r="AA238" s="371"/>
      <c r="AB238" s="744"/>
      <c r="AC238" s="270"/>
      <c r="AD238" s="372"/>
      <c r="AE238" s="270"/>
      <c r="AF238" s="270"/>
      <c r="AG238" s="270"/>
      <c r="AH238" s="350"/>
      <c r="AI238" s="365"/>
      <c r="AJ238" s="330"/>
      <c r="AK238" s="330"/>
      <c r="AL238" s="330"/>
      <c r="AM238" s="330"/>
    </row>
    <row r="239" spans="1:39" s="348" customFormat="1" x14ac:dyDescent="0.2">
      <c r="A239" s="423">
        <f t="shared" si="60"/>
        <v>234</v>
      </c>
      <c r="B239" s="721" t="s">
        <v>7274</v>
      </c>
      <c r="C239" s="771">
        <v>1520104</v>
      </c>
      <c r="D239" s="771">
        <v>7493</v>
      </c>
      <c r="E239" s="771" t="s">
        <v>6945</v>
      </c>
      <c r="F239" s="546">
        <v>2017</v>
      </c>
      <c r="G239" s="772">
        <v>43025</v>
      </c>
      <c r="H239" s="771"/>
      <c r="I239" s="771" t="s">
        <v>6952</v>
      </c>
      <c r="J239" s="712"/>
      <c r="K239" s="771" t="s">
        <v>1147</v>
      </c>
      <c r="L239" s="771" t="s">
        <v>6953</v>
      </c>
      <c r="M239" s="773">
        <v>229416.4</v>
      </c>
      <c r="N239" s="773">
        <v>0</v>
      </c>
      <c r="O239" s="773">
        <v>36706.620000000003</v>
      </c>
      <c r="P239" s="773">
        <v>266123.02</v>
      </c>
      <c r="Q239" s="548"/>
      <c r="R239" s="773">
        <v>229061.05</v>
      </c>
      <c r="S239" s="549">
        <f t="shared" si="59"/>
        <v>37061.97000000003</v>
      </c>
      <c r="T239" s="113" t="s">
        <v>283</v>
      </c>
      <c r="U239" s="370"/>
      <c r="V239" s="370"/>
      <c r="W239" s="375"/>
      <c r="X239" s="374"/>
      <c r="Y239" s="370"/>
      <c r="Z239" s="371"/>
      <c r="AA239" s="371"/>
      <c r="AB239" s="744"/>
      <c r="AC239" s="270"/>
      <c r="AD239" s="372"/>
      <c r="AE239" s="270"/>
      <c r="AF239" s="270"/>
      <c r="AG239" s="270"/>
      <c r="AH239" s="350"/>
      <c r="AI239" s="365"/>
      <c r="AJ239" s="330"/>
      <c r="AK239" s="330"/>
      <c r="AL239" s="330"/>
      <c r="AM239" s="330"/>
    </row>
    <row r="240" spans="1:39" s="348" customFormat="1" x14ac:dyDescent="0.2">
      <c r="A240" s="423">
        <f t="shared" si="60"/>
        <v>235</v>
      </c>
      <c r="B240" s="721" t="s">
        <v>7278</v>
      </c>
      <c r="C240" s="771">
        <v>1520104</v>
      </c>
      <c r="D240" s="771">
        <v>7493</v>
      </c>
      <c r="E240" s="771" t="s">
        <v>6945</v>
      </c>
      <c r="F240" s="546">
        <v>2017</v>
      </c>
      <c r="G240" s="772">
        <v>43038</v>
      </c>
      <c r="H240" s="771"/>
      <c r="I240" s="771" t="s">
        <v>6957</v>
      </c>
      <c r="J240" s="712"/>
      <c r="K240" s="771" t="s">
        <v>62</v>
      </c>
      <c r="L240" s="771" t="s">
        <v>6958</v>
      </c>
      <c r="M240" s="773">
        <v>229416.4</v>
      </c>
      <c r="N240" s="773">
        <v>0</v>
      </c>
      <c r="O240" s="773">
        <v>36706.620000000003</v>
      </c>
      <c r="P240" s="773">
        <v>266123.02</v>
      </c>
      <c r="Q240" s="548"/>
      <c r="R240" s="773">
        <v>229061.05</v>
      </c>
      <c r="S240" s="549">
        <f t="shared" si="59"/>
        <v>37061.97000000003</v>
      </c>
      <c r="T240" s="113" t="s">
        <v>283</v>
      </c>
      <c r="U240" s="370"/>
      <c r="V240" s="370"/>
      <c r="W240" s="375"/>
      <c r="X240" s="374"/>
      <c r="Y240" s="370"/>
      <c r="Z240" s="371"/>
      <c r="AA240" s="371"/>
      <c r="AB240" s="744"/>
      <c r="AC240" s="270"/>
      <c r="AD240" s="372"/>
      <c r="AE240" s="270"/>
      <c r="AF240" s="270"/>
      <c r="AG240" s="270"/>
      <c r="AH240" s="350"/>
      <c r="AI240" s="365"/>
      <c r="AJ240" s="330"/>
      <c r="AK240" s="330"/>
      <c r="AL240" s="330"/>
      <c r="AM240" s="330"/>
    </row>
    <row r="241" spans="1:39" s="348" customFormat="1" x14ac:dyDescent="0.2">
      <c r="A241" s="423">
        <f t="shared" si="60"/>
        <v>236</v>
      </c>
      <c r="B241" s="721" t="s">
        <v>7284</v>
      </c>
      <c r="C241" s="771">
        <v>1520105</v>
      </c>
      <c r="D241" s="771">
        <v>7494</v>
      </c>
      <c r="E241" s="771" t="s">
        <v>712</v>
      </c>
      <c r="F241" s="546">
        <v>2018</v>
      </c>
      <c r="G241" s="772">
        <v>43039</v>
      </c>
      <c r="H241" s="771"/>
      <c r="I241" s="771" t="s">
        <v>6973</v>
      </c>
      <c r="J241" s="712"/>
      <c r="K241" s="771" t="s">
        <v>1672</v>
      </c>
      <c r="L241" s="771" t="s">
        <v>6974</v>
      </c>
      <c r="M241" s="773">
        <v>219061.03</v>
      </c>
      <c r="N241" s="773">
        <v>0</v>
      </c>
      <c r="O241" s="773">
        <v>35049.760000000002</v>
      </c>
      <c r="P241" s="773">
        <v>254110.79</v>
      </c>
      <c r="Q241" s="548"/>
      <c r="R241" s="773">
        <v>219060.16</v>
      </c>
      <c r="S241" s="549">
        <f t="shared" si="59"/>
        <v>35050.630000000005</v>
      </c>
      <c r="T241" s="113" t="s">
        <v>283</v>
      </c>
      <c r="U241" s="370"/>
      <c r="V241" s="370"/>
      <c r="W241" s="375"/>
      <c r="X241" s="374"/>
      <c r="Y241" s="370"/>
      <c r="Z241" s="371"/>
      <c r="AA241" s="371"/>
      <c r="AB241" s="744"/>
      <c r="AC241" s="270"/>
      <c r="AD241" s="372"/>
      <c r="AE241" s="270"/>
      <c r="AF241" s="270"/>
      <c r="AG241" s="270"/>
      <c r="AH241" s="350"/>
      <c r="AI241" s="365"/>
      <c r="AJ241" s="330"/>
      <c r="AK241" s="330"/>
      <c r="AL241" s="330"/>
      <c r="AM241" s="330"/>
    </row>
    <row r="242" spans="1:39" s="348" customFormat="1" x14ac:dyDescent="0.2">
      <c r="A242" s="423">
        <f t="shared" si="60"/>
        <v>237</v>
      </c>
      <c r="B242" s="721" t="s">
        <v>7288</v>
      </c>
      <c r="C242" s="771">
        <v>1520604</v>
      </c>
      <c r="D242" s="771">
        <v>7495</v>
      </c>
      <c r="E242" s="771" t="s">
        <v>718</v>
      </c>
      <c r="F242" s="546">
        <v>2017</v>
      </c>
      <c r="G242" s="772">
        <v>43018</v>
      </c>
      <c r="H242" s="771"/>
      <c r="I242" s="771" t="s">
        <v>6984</v>
      </c>
      <c r="J242" s="712"/>
      <c r="K242" s="771" t="s">
        <v>1189</v>
      </c>
      <c r="L242" s="771" t="s">
        <v>6985</v>
      </c>
      <c r="M242" s="773">
        <v>267627.3</v>
      </c>
      <c r="N242" s="773">
        <v>0</v>
      </c>
      <c r="O242" s="773">
        <v>42820.37</v>
      </c>
      <c r="P242" s="773">
        <v>310447.67</v>
      </c>
      <c r="Q242" s="548"/>
      <c r="R242" s="773">
        <v>262450.93</v>
      </c>
      <c r="S242" s="549">
        <f t="shared" si="59"/>
        <v>47996.739999999991</v>
      </c>
      <c r="T242" s="113" t="s">
        <v>283</v>
      </c>
      <c r="U242" s="370"/>
      <c r="V242" s="370"/>
      <c r="W242" s="375"/>
      <c r="X242" s="374"/>
      <c r="Y242" s="370"/>
      <c r="Z242" s="371"/>
      <c r="AA242" s="371"/>
      <c r="AB242" s="744"/>
      <c r="AC242" s="270"/>
      <c r="AD242" s="372"/>
      <c r="AE242" s="270"/>
      <c r="AF242" s="270"/>
      <c r="AG242" s="270"/>
      <c r="AH242" s="350"/>
      <c r="AI242" s="365"/>
      <c r="AJ242" s="330"/>
      <c r="AK242" s="330"/>
      <c r="AL242" s="330"/>
      <c r="AM242" s="330"/>
    </row>
    <row r="243" spans="1:39" s="348" customFormat="1" x14ac:dyDescent="0.2">
      <c r="A243" s="423">
        <f t="shared" si="60"/>
        <v>238</v>
      </c>
      <c r="B243" s="721" t="s">
        <v>7289</v>
      </c>
      <c r="C243" s="771">
        <v>1520604</v>
      </c>
      <c r="D243" s="771">
        <v>7495</v>
      </c>
      <c r="E243" s="771" t="s">
        <v>718</v>
      </c>
      <c r="F243" s="546">
        <v>2017</v>
      </c>
      <c r="G243" s="772">
        <v>43019</v>
      </c>
      <c r="H243" s="771"/>
      <c r="I243" s="771" t="s">
        <v>6984</v>
      </c>
      <c r="J243" s="712"/>
      <c r="K243" s="771" t="s">
        <v>1189</v>
      </c>
      <c r="L243" s="771" t="s">
        <v>6985</v>
      </c>
      <c r="M243" s="773">
        <v>-267627.3</v>
      </c>
      <c r="N243" s="773">
        <v>0</v>
      </c>
      <c r="O243" s="773">
        <v>-42820.37</v>
      </c>
      <c r="P243" s="773">
        <v>-310447.67</v>
      </c>
      <c r="Q243" s="548"/>
      <c r="R243" s="773">
        <v>-262450.93</v>
      </c>
      <c r="S243" s="549">
        <f t="shared" si="59"/>
        <v>-47996.739999999991</v>
      </c>
      <c r="T243" s="113" t="s">
        <v>283</v>
      </c>
      <c r="U243" s="370"/>
      <c r="V243" s="370"/>
      <c r="W243" s="375"/>
      <c r="X243" s="374"/>
      <c r="Y243" s="370"/>
      <c r="Z243" s="371"/>
      <c r="AA243" s="371"/>
      <c r="AB243" s="744"/>
      <c r="AC243" s="270"/>
      <c r="AD243" s="372"/>
      <c r="AE243" s="270"/>
      <c r="AF243" s="270"/>
      <c r="AG243" s="270"/>
      <c r="AH243" s="350"/>
      <c r="AI243" s="365"/>
      <c r="AJ243" s="330"/>
      <c r="AK243" s="330"/>
      <c r="AL243" s="330"/>
      <c r="AM243" s="330"/>
    </row>
    <row r="244" spans="1:39" s="348" customFormat="1" x14ac:dyDescent="0.2">
      <c r="A244" s="423">
        <f t="shared" si="60"/>
        <v>239</v>
      </c>
      <c r="B244" s="721" t="s">
        <v>7290</v>
      </c>
      <c r="C244" s="771">
        <v>1520604</v>
      </c>
      <c r="D244" s="771">
        <v>7495</v>
      </c>
      <c r="E244" s="771" t="s">
        <v>718</v>
      </c>
      <c r="F244" s="546">
        <v>2017</v>
      </c>
      <c r="G244" s="772">
        <v>43019</v>
      </c>
      <c r="H244" s="771"/>
      <c r="I244" s="771" t="s">
        <v>6984</v>
      </c>
      <c r="J244" s="712"/>
      <c r="K244" s="771" t="s">
        <v>1189</v>
      </c>
      <c r="L244" s="771" t="s">
        <v>6985</v>
      </c>
      <c r="M244" s="773">
        <v>262806.28000000003</v>
      </c>
      <c r="N244" s="773">
        <v>0</v>
      </c>
      <c r="O244" s="773">
        <v>42049</v>
      </c>
      <c r="P244" s="773">
        <v>304855.28000000003</v>
      </c>
      <c r="Q244" s="548"/>
      <c r="R244" s="773">
        <v>262450.93</v>
      </c>
      <c r="S244" s="549">
        <f t="shared" si="59"/>
        <v>42404.350000000035</v>
      </c>
      <c r="T244" s="113" t="s">
        <v>283</v>
      </c>
      <c r="U244" s="370"/>
      <c r="V244" s="370"/>
      <c r="W244" s="375"/>
      <c r="X244" s="374"/>
      <c r="Y244" s="370"/>
      <c r="Z244" s="371"/>
      <c r="AA244" s="371"/>
      <c r="AB244" s="744"/>
      <c r="AC244" s="270"/>
      <c r="AD244" s="372"/>
      <c r="AE244" s="270"/>
      <c r="AF244" s="270"/>
      <c r="AG244" s="270"/>
      <c r="AH244" s="350"/>
      <c r="AI244" s="365"/>
      <c r="AJ244" s="330"/>
      <c r="AK244" s="330"/>
      <c r="AL244" s="330"/>
      <c r="AM244" s="330"/>
    </row>
    <row r="245" spans="1:39" s="348" customFormat="1" x14ac:dyDescent="0.2">
      <c r="A245" s="423">
        <f t="shared" si="60"/>
        <v>240</v>
      </c>
      <c r="B245" s="721" t="s">
        <v>7296</v>
      </c>
      <c r="C245" s="771">
        <v>1520604</v>
      </c>
      <c r="D245" s="771">
        <v>7495</v>
      </c>
      <c r="E245" s="771" t="s">
        <v>718</v>
      </c>
      <c r="F245" s="546">
        <v>2017</v>
      </c>
      <c r="G245" s="772">
        <v>43028</v>
      </c>
      <c r="H245" s="771"/>
      <c r="I245" s="771" t="s">
        <v>7001</v>
      </c>
      <c r="J245" s="712"/>
      <c r="K245" s="771" t="s">
        <v>1698</v>
      </c>
      <c r="L245" s="771" t="s">
        <v>7002</v>
      </c>
      <c r="M245" s="773">
        <v>262806.28000000003</v>
      </c>
      <c r="N245" s="773">
        <v>0</v>
      </c>
      <c r="O245" s="773">
        <v>42049</v>
      </c>
      <c r="P245" s="773">
        <v>304855.28000000003</v>
      </c>
      <c r="Q245" s="548"/>
      <c r="R245" s="773">
        <v>262450.93</v>
      </c>
      <c r="S245" s="549">
        <f t="shared" si="59"/>
        <v>42404.350000000035</v>
      </c>
      <c r="T245" s="113" t="s">
        <v>283</v>
      </c>
      <c r="U245" s="370"/>
      <c r="V245" s="370"/>
      <c r="W245" s="375"/>
      <c r="X245" s="374"/>
      <c r="Y245" s="370"/>
      <c r="Z245" s="371"/>
      <c r="AA245" s="371"/>
      <c r="AB245" s="744"/>
      <c r="AC245" s="270"/>
      <c r="AD245" s="372"/>
      <c r="AE245" s="270"/>
      <c r="AF245" s="270"/>
      <c r="AG245" s="270"/>
      <c r="AH245" s="350"/>
      <c r="AI245" s="365"/>
      <c r="AJ245" s="330"/>
      <c r="AK245" s="330"/>
      <c r="AL245" s="330"/>
      <c r="AM245" s="330"/>
    </row>
    <row r="246" spans="1:39" s="348" customFormat="1" x14ac:dyDescent="0.2">
      <c r="A246" s="423">
        <f t="shared" si="60"/>
        <v>241</v>
      </c>
      <c r="B246" s="721" t="s">
        <v>7304</v>
      </c>
      <c r="C246" s="771">
        <v>1520604</v>
      </c>
      <c r="D246" s="771">
        <v>7495</v>
      </c>
      <c r="E246" s="771" t="s">
        <v>718</v>
      </c>
      <c r="F246" s="546">
        <v>2017</v>
      </c>
      <c r="G246" s="772">
        <v>43034</v>
      </c>
      <c r="H246" s="771"/>
      <c r="I246" s="771" t="s">
        <v>6975</v>
      </c>
      <c r="J246" s="712"/>
      <c r="K246" s="771" t="s">
        <v>135</v>
      </c>
      <c r="L246" s="771" t="s">
        <v>6976</v>
      </c>
      <c r="M246" s="773">
        <v>262806.28000000003</v>
      </c>
      <c r="N246" s="773">
        <v>0</v>
      </c>
      <c r="O246" s="773">
        <v>42049</v>
      </c>
      <c r="P246" s="773">
        <v>304855.28000000003</v>
      </c>
      <c r="Q246" s="548"/>
      <c r="R246" s="773">
        <v>262450.93</v>
      </c>
      <c r="S246" s="549">
        <f t="shared" si="59"/>
        <v>42404.350000000035</v>
      </c>
      <c r="T246" s="113" t="s">
        <v>283</v>
      </c>
      <c r="U246" s="370"/>
      <c r="V246" s="370"/>
      <c r="W246" s="375"/>
      <c r="X246" s="374"/>
      <c r="Y246" s="370"/>
      <c r="Z246" s="371"/>
      <c r="AA246" s="371"/>
      <c r="AB246" s="744"/>
      <c r="AC246" s="270"/>
      <c r="AD246" s="372"/>
      <c r="AE246" s="270"/>
      <c r="AF246" s="270"/>
      <c r="AG246" s="270"/>
      <c r="AH246" s="350"/>
      <c r="AI246" s="365"/>
      <c r="AJ246" s="330"/>
      <c r="AK246" s="330"/>
      <c r="AL246" s="330"/>
      <c r="AM246" s="330"/>
    </row>
    <row r="247" spans="1:39" s="348" customFormat="1" x14ac:dyDescent="0.2">
      <c r="A247" s="423">
        <f t="shared" si="60"/>
        <v>242</v>
      </c>
      <c r="B247" s="721" t="s">
        <v>7318</v>
      </c>
      <c r="C247" s="771">
        <v>1520603</v>
      </c>
      <c r="D247" s="771">
        <v>7497</v>
      </c>
      <c r="E247" s="771" t="s">
        <v>5619</v>
      </c>
      <c r="F247" s="546">
        <v>2017</v>
      </c>
      <c r="G247" s="772">
        <v>43014</v>
      </c>
      <c r="H247" s="771"/>
      <c r="I247" s="771" t="s">
        <v>7030</v>
      </c>
      <c r="J247" s="712"/>
      <c r="K247" s="771" t="s">
        <v>1147</v>
      </c>
      <c r="L247" s="771" t="s">
        <v>7031</v>
      </c>
      <c r="M247" s="773">
        <v>257188.43</v>
      </c>
      <c r="N247" s="773">
        <v>0</v>
      </c>
      <c r="O247" s="773">
        <v>41150.15</v>
      </c>
      <c r="P247" s="773">
        <v>298338.58</v>
      </c>
      <c r="Q247" s="548"/>
      <c r="R247" s="773">
        <v>256833.09</v>
      </c>
      <c r="S247" s="549">
        <f t="shared" si="59"/>
        <v>41505.49000000002</v>
      </c>
      <c r="T247" s="113" t="s">
        <v>283</v>
      </c>
      <c r="U247" s="370"/>
      <c r="V247" s="370"/>
      <c r="W247" s="375"/>
      <c r="X247" s="374"/>
      <c r="Y247" s="370"/>
      <c r="Z247" s="371"/>
      <c r="AA247" s="371"/>
      <c r="AB247" s="744"/>
      <c r="AC247" s="270"/>
      <c r="AD247" s="372"/>
      <c r="AE247" s="270"/>
      <c r="AF247" s="270"/>
      <c r="AG247" s="270"/>
      <c r="AH247" s="350"/>
      <c r="AI247" s="365"/>
      <c r="AJ247" s="330"/>
      <c r="AK247" s="330"/>
      <c r="AL247" s="330"/>
      <c r="AM247" s="330"/>
    </row>
    <row r="248" spans="1:39" s="348" customFormat="1" x14ac:dyDescent="0.2">
      <c r="A248" s="423">
        <f t="shared" si="60"/>
        <v>243</v>
      </c>
      <c r="B248" s="721" t="s">
        <v>7325</v>
      </c>
      <c r="C248" s="771">
        <v>521006</v>
      </c>
      <c r="D248" s="771">
        <v>7983</v>
      </c>
      <c r="E248" s="771" t="s">
        <v>699</v>
      </c>
      <c r="F248" s="546">
        <v>2018</v>
      </c>
      <c r="G248" s="772">
        <v>43025</v>
      </c>
      <c r="H248" s="771"/>
      <c r="I248" s="771" t="s">
        <v>7036</v>
      </c>
      <c r="J248" s="712"/>
      <c r="K248" s="771" t="s">
        <v>1175</v>
      </c>
      <c r="L248" s="771" t="s">
        <v>7037</v>
      </c>
      <c r="M248" s="773">
        <v>715657.77</v>
      </c>
      <c r="N248" s="773">
        <v>0</v>
      </c>
      <c r="O248" s="773">
        <v>114505.24</v>
      </c>
      <c r="P248" s="773">
        <v>830163.01</v>
      </c>
      <c r="Q248" s="548"/>
      <c r="R248" s="773">
        <v>715302.42</v>
      </c>
      <c r="S248" s="549">
        <f t="shared" si="59"/>
        <v>114860.58999999997</v>
      </c>
      <c r="T248" s="113" t="s">
        <v>283</v>
      </c>
      <c r="U248" s="370"/>
      <c r="V248" s="370"/>
      <c r="W248" s="375"/>
      <c r="X248" s="374"/>
      <c r="Y248" s="370"/>
      <c r="Z248" s="371"/>
      <c r="AA248" s="371"/>
      <c r="AB248" s="744"/>
      <c r="AC248" s="270"/>
      <c r="AD248" s="372"/>
      <c r="AE248" s="270"/>
      <c r="AF248" s="270"/>
      <c r="AG248" s="270"/>
      <c r="AH248" s="350"/>
      <c r="AI248" s="365"/>
      <c r="AJ248" s="330"/>
      <c r="AK248" s="330"/>
      <c r="AL248" s="330"/>
      <c r="AM248" s="330"/>
    </row>
    <row r="249" spans="1:39" s="348" customFormat="1" x14ac:dyDescent="0.2">
      <c r="A249" s="423">
        <f t="shared" si="60"/>
        <v>244</v>
      </c>
      <c r="B249" s="721" t="s">
        <v>7328</v>
      </c>
      <c r="C249" s="771">
        <v>72403</v>
      </c>
      <c r="D249" s="771" t="s">
        <v>721</v>
      </c>
      <c r="E249" s="771" t="s">
        <v>132</v>
      </c>
      <c r="F249" s="546">
        <v>2017</v>
      </c>
      <c r="G249" s="772">
        <v>43012</v>
      </c>
      <c r="H249" s="771" t="s">
        <v>5129</v>
      </c>
      <c r="I249" s="771" t="s">
        <v>7038</v>
      </c>
      <c r="J249" s="712"/>
      <c r="K249" s="771" t="s">
        <v>7040</v>
      </c>
      <c r="L249" s="771" t="s">
        <v>7039</v>
      </c>
      <c r="M249" s="773">
        <v>128965.52</v>
      </c>
      <c r="N249" s="773">
        <v>0</v>
      </c>
      <c r="O249" s="773">
        <v>1034.48</v>
      </c>
      <c r="P249" s="773">
        <v>130000</v>
      </c>
      <c r="Q249" s="548"/>
      <c r="R249" s="773">
        <v>122500</v>
      </c>
      <c r="S249" s="549">
        <f t="shared" si="59"/>
        <v>7500</v>
      </c>
      <c r="T249" s="113" t="s">
        <v>263</v>
      </c>
      <c r="U249" s="370"/>
      <c r="V249" s="370"/>
      <c r="W249" s="375"/>
      <c r="X249" s="374"/>
      <c r="Y249" s="370"/>
      <c r="Z249" s="371"/>
      <c r="AA249" s="371"/>
      <c r="AB249" s="744"/>
      <c r="AC249" s="270"/>
      <c r="AD249" s="372"/>
      <c r="AE249" s="270"/>
      <c r="AF249" s="270"/>
      <c r="AG249" s="270"/>
      <c r="AH249" s="350"/>
      <c r="AI249" s="365"/>
      <c r="AJ249" s="330"/>
      <c r="AK249" s="330"/>
      <c r="AL249" s="330"/>
      <c r="AM249" s="330"/>
    </row>
    <row r="250" spans="1:39" s="348" customFormat="1" x14ac:dyDescent="0.2">
      <c r="A250" s="423">
        <f t="shared" si="60"/>
        <v>245</v>
      </c>
      <c r="B250" s="721" t="s">
        <v>7329</v>
      </c>
      <c r="C250" s="771">
        <v>11102</v>
      </c>
      <c r="D250" s="771" t="s">
        <v>721</v>
      </c>
      <c r="E250" s="771" t="s">
        <v>132</v>
      </c>
      <c r="F250" s="546">
        <v>2017</v>
      </c>
      <c r="G250" s="772">
        <v>43013</v>
      </c>
      <c r="H250" s="771" t="s">
        <v>1207</v>
      </c>
      <c r="I250" s="771" t="s">
        <v>7041</v>
      </c>
      <c r="J250" s="712"/>
      <c r="K250" s="771" t="s">
        <v>7043</v>
      </c>
      <c r="L250" s="771" t="s">
        <v>7042</v>
      </c>
      <c r="M250" s="773">
        <v>213275.86</v>
      </c>
      <c r="N250" s="773">
        <v>0</v>
      </c>
      <c r="O250" s="773">
        <v>3724.14</v>
      </c>
      <c r="P250" s="773">
        <v>217000</v>
      </c>
      <c r="Q250" s="548"/>
      <c r="R250" s="773">
        <v>190000</v>
      </c>
      <c r="S250" s="549">
        <f t="shared" si="59"/>
        <v>27000</v>
      </c>
      <c r="T250" s="113" t="s">
        <v>263</v>
      </c>
      <c r="U250" s="370"/>
      <c r="V250" s="370"/>
      <c r="W250" s="375"/>
      <c r="X250" s="374"/>
      <c r="Y250" s="370"/>
      <c r="Z250" s="371"/>
      <c r="AA250" s="371"/>
      <c r="AB250" s="744"/>
      <c r="AC250" s="270"/>
      <c r="AD250" s="372"/>
      <c r="AE250" s="270"/>
      <c r="AF250" s="270"/>
      <c r="AG250" s="270"/>
      <c r="AH250" s="350"/>
      <c r="AI250" s="365"/>
      <c r="AJ250" s="330"/>
      <c r="AK250" s="330"/>
      <c r="AL250" s="330"/>
      <c r="AM250" s="330"/>
    </row>
    <row r="251" spans="1:39" s="348" customFormat="1" x14ac:dyDescent="0.2">
      <c r="A251" s="423">
        <f t="shared" si="60"/>
        <v>246</v>
      </c>
      <c r="B251" s="721" t="s">
        <v>7330</v>
      </c>
      <c r="C251" s="771">
        <v>490507</v>
      </c>
      <c r="D251" s="771" t="s">
        <v>721</v>
      </c>
      <c r="E251" s="771" t="s">
        <v>132</v>
      </c>
      <c r="F251" s="546">
        <v>2017</v>
      </c>
      <c r="G251" s="772">
        <v>43019</v>
      </c>
      <c r="H251" s="771" t="s">
        <v>751</v>
      </c>
      <c r="I251" s="771" t="s">
        <v>7044</v>
      </c>
      <c r="J251" s="712"/>
      <c r="K251" s="771" t="s">
        <v>7046</v>
      </c>
      <c r="L251" s="771" t="s">
        <v>7045</v>
      </c>
      <c r="M251" s="773">
        <v>118620.69</v>
      </c>
      <c r="N251" s="773">
        <v>0</v>
      </c>
      <c r="O251" s="773">
        <v>1379.31</v>
      </c>
      <c r="P251" s="773">
        <v>120000</v>
      </c>
      <c r="Q251" s="548"/>
      <c r="R251" s="773">
        <v>110000</v>
      </c>
      <c r="S251" s="549">
        <f t="shared" si="59"/>
        <v>10000</v>
      </c>
      <c r="T251" s="113" t="s">
        <v>263</v>
      </c>
      <c r="U251" s="370"/>
      <c r="V251" s="370"/>
      <c r="W251" s="375"/>
      <c r="X251" s="374"/>
      <c r="Y251" s="370"/>
      <c r="Z251" s="371"/>
      <c r="AA251" s="371"/>
      <c r="AB251" s="744"/>
      <c r="AC251" s="270"/>
      <c r="AD251" s="372"/>
      <c r="AE251" s="270"/>
      <c r="AF251" s="270"/>
      <c r="AG251" s="270"/>
      <c r="AH251" s="350"/>
      <c r="AI251" s="365"/>
      <c r="AJ251" s="330"/>
      <c r="AK251" s="330"/>
      <c r="AL251" s="330"/>
      <c r="AM251" s="330"/>
    </row>
    <row r="252" spans="1:39" s="348" customFormat="1" x14ac:dyDescent="0.2">
      <c r="A252" s="423">
        <f t="shared" si="60"/>
        <v>247</v>
      </c>
      <c r="B252" s="721" t="s">
        <v>7331</v>
      </c>
      <c r="C252" s="771">
        <v>72403</v>
      </c>
      <c r="D252" s="771" t="s">
        <v>721</v>
      </c>
      <c r="E252" s="771" t="s">
        <v>132</v>
      </c>
      <c r="F252" s="546">
        <v>2017</v>
      </c>
      <c r="G252" s="772">
        <v>43020</v>
      </c>
      <c r="H252" s="771" t="s">
        <v>5129</v>
      </c>
      <c r="I252" s="771" t="s">
        <v>7038</v>
      </c>
      <c r="J252" s="712"/>
      <c r="K252" s="771" t="s">
        <v>7040</v>
      </c>
      <c r="L252" s="771" t="s">
        <v>7039</v>
      </c>
      <c r="M252" s="773">
        <v>-128965.52</v>
      </c>
      <c r="N252" s="773">
        <v>0</v>
      </c>
      <c r="O252" s="773">
        <v>-1034.48</v>
      </c>
      <c r="P252" s="773">
        <v>-130000</v>
      </c>
      <c r="Q252" s="548"/>
      <c r="R252" s="773">
        <v>-122500</v>
      </c>
      <c r="S252" s="549">
        <f t="shared" si="59"/>
        <v>-7500</v>
      </c>
      <c r="T252" s="113" t="s">
        <v>263</v>
      </c>
      <c r="U252" s="370"/>
      <c r="V252" s="370"/>
      <c r="W252" s="375"/>
      <c r="X252" s="374"/>
      <c r="Y252" s="370"/>
      <c r="Z252" s="371"/>
      <c r="AA252" s="371"/>
      <c r="AB252" s="744"/>
      <c r="AC252" s="270"/>
      <c r="AD252" s="372"/>
      <c r="AE252" s="270"/>
      <c r="AF252" s="270"/>
      <c r="AG252" s="270"/>
      <c r="AH252" s="350"/>
      <c r="AI252" s="365"/>
      <c r="AJ252" s="330"/>
      <c r="AK252" s="330"/>
      <c r="AL252" s="330"/>
      <c r="AM252" s="330"/>
    </row>
    <row r="253" spans="1:39" s="348" customFormat="1" x14ac:dyDescent="0.2">
      <c r="A253" s="423">
        <f t="shared" si="60"/>
        <v>248</v>
      </c>
      <c r="B253" s="721" t="s">
        <v>7332</v>
      </c>
      <c r="C253" s="771">
        <v>25905</v>
      </c>
      <c r="D253" s="771" t="s">
        <v>721</v>
      </c>
      <c r="E253" s="771" t="s">
        <v>132</v>
      </c>
      <c r="F253" s="546">
        <v>2017</v>
      </c>
      <c r="G253" s="772">
        <v>43022</v>
      </c>
      <c r="H253" s="771" t="s">
        <v>810</v>
      </c>
      <c r="I253" s="771" t="s">
        <v>7047</v>
      </c>
      <c r="J253" s="712"/>
      <c r="K253" s="771" t="s">
        <v>7049</v>
      </c>
      <c r="L253" s="771" t="s">
        <v>7048</v>
      </c>
      <c r="M253" s="773">
        <v>373620.69</v>
      </c>
      <c r="N253" s="773">
        <v>0</v>
      </c>
      <c r="O253" s="773">
        <v>5379.31</v>
      </c>
      <c r="P253" s="773">
        <v>379000</v>
      </c>
      <c r="Q253" s="548"/>
      <c r="R253" s="773">
        <v>340000</v>
      </c>
      <c r="S253" s="549">
        <f t="shared" si="59"/>
        <v>39000</v>
      </c>
      <c r="T253" s="113" t="s">
        <v>263</v>
      </c>
      <c r="U253" s="370"/>
      <c r="V253" s="370"/>
      <c r="W253" s="375"/>
      <c r="X253" s="374"/>
      <c r="Y253" s="370"/>
      <c r="Z253" s="371"/>
      <c r="AA253" s="371"/>
      <c r="AB253" s="744"/>
      <c r="AC253" s="270"/>
      <c r="AD253" s="372"/>
      <c r="AE253" s="270"/>
      <c r="AF253" s="270"/>
      <c r="AG253" s="270"/>
      <c r="AH253" s="350"/>
      <c r="AI253" s="365"/>
      <c r="AJ253" s="330"/>
      <c r="AK253" s="330"/>
      <c r="AL253" s="330"/>
      <c r="AM253" s="330"/>
    </row>
    <row r="254" spans="1:39" s="348" customFormat="1" x14ac:dyDescent="0.2">
      <c r="A254" s="423">
        <f t="shared" si="60"/>
        <v>249</v>
      </c>
      <c r="B254" s="721" t="s">
        <v>7333</v>
      </c>
      <c r="C254" s="771">
        <v>1520604</v>
      </c>
      <c r="D254" s="771" t="s">
        <v>721</v>
      </c>
      <c r="E254" s="771" t="s">
        <v>132</v>
      </c>
      <c r="F254" s="546">
        <v>2017</v>
      </c>
      <c r="G254" s="772">
        <v>43022</v>
      </c>
      <c r="H254" s="771" t="s">
        <v>2213</v>
      </c>
      <c r="I254" s="771" t="s">
        <v>7050</v>
      </c>
      <c r="J254" s="712"/>
      <c r="K254" s="771" t="s">
        <v>7052</v>
      </c>
      <c r="L254" s="771" t="s">
        <v>7051</v>
      </c>
      <c r="M254" s="773">
        <v>211724.14</v>
      </c>
      <c r="N254" s="773">
        <v>0</v>
      </c>
      <c r="O254" s="773">
        <v>8275.86</v>
      </c>
      <c r="P254" s="773">
        <v>220000</v>
      </c>
      <c r="Q254" s="548"/>
      <c r="R254" s="773">
        <v>160000</v>
      </c>
      <c r="S254" s="549">
        <f t="shared" si="59"/>
        <v>60000</v>
      </c>
      <c r="T254" s="113" t="s">
        <v>263</v>
      </c>
      <c r="U254" s="370"/>
      <c r="V254" s="370"/>
      <c r="W254" s="375"/>
      <c r="X254" s="374"/>
      <c r="Y254" s="370"/>
      <c r="Z254" s="371"/>
      <c r="AA254" s="371"/>
      <c r="AB254" s="744"/>
      <c r="AC254" s="270"/>
      <c r="AD254" s="372"/>
      <c r="AE254" s="270"/>
      <c r="AF254" s="270"/>
      <c r="AG254" s="270"/>
      <c r="AH254" s="350"/>
      <c r="AI254" s="365"/>
      <c r="AJ254" s="330"/>
      <c r="AK254" s="330"/>
      <c r="AL254" s="330"/>
      <c r="AM254" s="330"/>
    </row>
    <row r="255" spans="1:39" s="348" customFormat="1" x14ac:dyDescent="0.2">
      <c r="A255" s="423">
        <f t="shared" si="60"/>
        <v>250</v>
      </c>
      <c r="B255" s="721" t="s">
        <v>7334</v>
      </c>
      <c r="C255" s="771">
        <v>25905</v>
      </c>
      <c r="D255" s="771" t="s">
        <v>721</v>
      </c>
      <c r="E255" s="771" t="s">
        <v>132</v>
      </c>
      <c r="F255" s="546">
        <v>2017</v>
      </c>
      <c r="G255" s="772">
        <v>43024</v>
      </c>
      <c r="H255" s="771" t="s">
        <v>810</v>
      </c>
      <c r="I255" s="771" t="s">
        <v>7047</v>
      </c>
      <c r="J255" s="712"/>
      <c r="K255" s="771" t="s">
        <v>7049</v>
      </c>
      <c r="L255" s="771" t="s">
        <v>7048</v>
      </c>
      <c r="M255" s="773">
        <v>-373620.69</v>
      </c>
      <c r="N255" s="773">
        <v>0</v>
      </c>
      <c r="O255" s="773">
        <v>-5379.31</v>
      </c>
      <c r="P255" s="773">
        <v>-379000</v>
      </c>
      <c r="Q255" s="548"/>
      <c r="R255" s="773">
        <v>-340000</v>
      </c>
      <c r="S255" s="549">
        <f t="shared" si="59"/>
        <v>-39000</v>
      </c>
      <c r="T255" s="113" t="s">
        <v>263</v>
      </c>
      <c r="U255" s="370"/>
      <c r="V255" s="370"/>
      <c r="W255" s="375"/>
      <c r="X255" s="374"/>
      <c r="Y255" s="370"/>
      <c r="Z255" s="371"/>
      <c r="AA255" s="371"/>
      <c r="AB255" s="744"/>
      <c r="AC255" s="270"/>
      <c r="AD255" s="372"/>
      <c r="AE255" s="270"/>
      <c r="AF255" s="270"/>
      <c r="AG255" s="270"/>
      <c r="AH255" s="350"/>
      <c r="AI255" s="365"/>
      <c r="AJ255" s="330"/>
      <c r="AK255" s="330"/>
      <c r="AL255" s="330"/>
      <c r="AM255" s="330"/>
    </row>
    <row r="256" spans="1:39" s="348" customFormat="1" x14ac:dyDescent="0.2">
      <c r="A256" s="423">
        <f t="shared" si="60"/>
        <v>251</v>
      </c>
      <c r="B256" s="721" t="s">
        <v>7335</v>
      </c>
      <c r="C256" s="771">
        <v>25905</v>
      </c>
      <c r="D256" s="771" t="s">
        <v>721</v>
      </c>
      <c r="E256" s="771" t="s">
        <v>132</v>
      </c>
      <c r="F256" s="546">
        <v>2017</v>
      </c>
      <c r="G256" s="772">
        <v>43024</v>
      </c>
      <c r="H256" s="771" t="s">
        <v>810</v>
      </c>
      <c r="I256" s="771" t="s">
        <v>7047</v>
      </c>
      <c r="J256" s="712"/>
      <c r="K256" s="771" t="s">
        <v>7049</v>
      </c>
      <c r="L256" s="771" t="s">
        <v>7048</v>
      </c>
      <c r="M256" s="773">
        <v>365862.07</v>
      </c>
      <c r="N256" s="773">
        <v>0</v>
      </c>
      <c r="O256" s="773">
        <v>4137.93</v>
      </c>
      <c r="P256" s="773">
        <v>370000</v>
      </c>
      <c r="Q256" s="548"/>
      <c r="R256" s="773">
        <v>340000</v>
      </c>
      <c r="S256" s="549">
        <f t="shared" si="59"/>
        <v>30000</v>
      </c>
      <c r="T256" s="113" t="s">
        <v>263</v>
      </c>
      <c r="U256" s="370"/>
      <c r="V256" s="370"/>
      <c r="W256" s="375"/>
      <c r="X256" s="374"/>
      <c r="Y256" s="370"/>
      <c r="Z256" s="371"/>
      <c r="AA256" s="371"/>
      <c r="AB256" s="744"/>
      <c r="AC256" s="270"/>
      <c r="AD256" s="372"/>
      <c r="AE256" s="270"/>
      <c r="AF256" s="270"/>
      <c r="AG256" s="270"/>
      <c r="AH256" s="350"/>
      <c r="AI256" s="365"/>
      <c r="AJ256" s="330"/>
      <c r="AK256" s="330"/>
      <c r="AL256" s="330"/>
      <c r="AM256" s="330"/>
    </row>
    <row r="257" spans="1:39" s="348" customFormat="1" x14ac:dyDescent="0.2">
      <c r="A257" s="423">
        <f t="shared" si="60"/>
        <v>252</v>
      </c>
      <c r="B257" s="721" t="s">
        <v>7336</v>
      </c>
      <c r="C257" s="771">
        <v>44612</v>
      </c>
      <c r="D257" s="771" t="s">
        <v>721</v>
      </c>
      <c r="E257" s="771" t="s">
        <v>132</v>
      </c>
      <c r="F257" s="546">
        <v>2017</v>
      </c>
      <c r="G257" s="772">
        <v>43026</v>
      </c>
      <c r="H257" s="771" t="s">
        <v>1207</v>
      </c>
      <c r="I257" s="771" t="s">
        <v>7053</v>
      </c>
      <c r="J257" s="712"/>
      <c r="K257" s="771" t="s">
        <v>7055</v>
      </c>
      <c r="L257" s="771" t="s">
        <v>7054</v>
      </c>
      <c r="M257" s="773">
        <v>118965.52</v>
      </c>
      <c r="N257" s="773">
        <v>0</v>
      </c>
      <c r="O257" s="773">
        <v>3034.48</v>
      </c>
      <c r="P257" s="773">
        <v>122000</v>
      </c>
      <c r="Q257" s="548"/>
      <c r="R257" s="773">
        <v>100000</v>
      </c>
      <c r="S257" s="549">
        <f t="shared" si="59"/>
        <v>22000</v>
      </c>
      <c r="T257" s="113" t="s">
        <v>263</v>
      </c>
      <c r="U257" s="370"/>
      <c r="V257" s="370"/>
      <c r="W257" s="375"/>
      <c r="X257" s="374"/>
      <c r="Y257" s="370"/>
      <c r="Z257" s="371"/>
      <c r="AA257" s="371"/>
      <c r="AB257" s="744"/>
      <c r="AC257" s="270"/>
      <c r="AD257" s="372"/>
      <c r="AE257" s="270"/>
      <c r="AF257" s="270"/>
      <c r="AG257" s="270"/>
      <c r="AH257" s="350"/>
      <c r="AI257" s="365"/>
      <c r="AJ257" s="330"/>
      <c r="AK257" s="330"/>
      <c r="AL257" s="330"/>
      <c r="AM257" s="330"/>
    </row>
    <row r="258" spans="1:39" s="348" customFormat="1" x14ac:dyDescent="0.2">
      <c r="A258" s="423">
        <f t="shared" si="60"/>
        <v>253</v>
      </c>
      <c r="B258" s="721" t="s">
        <v>7337</v>
      </c>
      <c r="C258" s="771">
        <v>72506</v>
      </c>
      <c r="D258" s="771" t="s">
        <v>721</v>
      </c>
      <c r="E258" s="771" t="s">
        <v>132</v>
      </c>
      <c r="F258" s="546">
        <v>2017</v>
      </c>
      <c r="G258" s="772">
        <v>43032</v>
      </c>
      <c r="H258" s="771" t="s">
        <v>1207</v>
      </c>
      <c r="I258" s="771" t="s">
        <v>7056</v>
      </c>
      <c r="J258" s="712"/>
      <c r="K258" s="771" t="s">
        <v>7058</v>
      </c>
      <c r="L258" s="771" t="s">
        <v>7057</v>
      </c>
      <c r="M258" s="773">
        <v>150862.07</v>
      </c>
      <c r="N258" s="773">
        <v>0</v>
      </c>
      <c r="O258" s="773">
        <v>24137.93</v>
      </c>
      <c r="P258" s="773">
        <v>175000</v>
      </c>
      <c r="Q258" s="548"/>
      <c r="R258" s="773">
        <v>133620.69</v>
      </c>
      <c r="S258" s="549">
        <f t="shared" si="59"/>
        <v>41379.31</v>
      </c>
      <c r="T258" s="113" t="s">
        <v>263</v>
      </c>
      <c r="U258" s="370"/>
      <c r="V258" s="370"/>
      <c r="W258" s="375"/>
      <c r="X258" s="374"/>
      <c r="Y258" s="370"/>
      <c r="Z258" s="371"/>
      <c r="AA258" s="371"/>
      <c r="AB258" s="744"/>
      <c r="AC258" s="270"/>
      <c r="AD258" s="372"/>
      <c r="AE258" s="270"/>
      <c r="AF258" s="270"/>
      <c r="AG258" s="270"/>
      <c r="AH258" s="350"/>
      <c r="AI258" s="365"/>
      <c r="AJ258" s="330"/>
      <c r="AK258" s="330"/>
      <c r="AL258" s="330"/>
      <c r="AM258" s="330"/>
    </row>
    <row r="259" spans="1:39" s="348" customFormat="1" x14ac:dyDescent="0.2">
      <c r="A259" s="423">
        <f t="shared" si="60"/>
        <v>254</v>
      </c>
      <c r="B259" s="721" t="s">
        <v>7338</v>
      </c>
      <c r="C259" s="771">
        <v>72506</v>
      </c>
      <c r="D259" s="771" t="s">
        <v>721</v>
      </c>
      <c r="E259" s="771" t="s">
        <v>132</v>
      </c>
      <c r="F259" s="546">
        <v>2017</v>
      </c>
      <c r="G259" s="772">
        <v>43033</v>
      </c>
      <c r="H259" s="771" t="s">
        <v>1207</v>
      </c>
      <c r="I259" s="771" t="s">
        <v>7056</v>
      </c>
      <c r="J259" s="712"/>
      <c r="K259" s="771" t="s">
        <v>7058</v>
      </c>
      <c r="L259" s="771" t="s">
        <v>7057</v>
      </c>
      <c r="M259" s="773">
        <v>-150862.07</v>
      </c>
      <c r="N259" s="773">
        <v>0</v>
      </c>
      <c r="O259" s="773">
        <v>-24137.93</v>
      </c>
      <c r="P259" s="773">
        <v>-175000</v>
      </c>
      <c r="Q259" s="548"/>
      <c r="R259" s="773">
        <v>-133620.69</v>
      </c>
      <c r="S259" s="549">
        <f t="shared" si="59"/>
        <v>-41379.31</v>
      </c>
      <c r="T259" s="113" t="s">
        <v>263</v>
      </c>
      <c r="U259" s="370"/>
      <c r="V259" s="370"/>
      <c r="W259" s="375"/>
      <c r="X259" s="374"/>
      <c r="Y259" s="370"/>
      <c r="Z259" s="371"/>
      <c r="AA259" s="371"/>
      <c r="AB259" s="744"/>
      <c r="AC259" s="270"/>
      <c r="AD259" s="372"/>
      <c r="AE259" s="270"/>
      <c r="AF259" s="270"/>
      <c r="AG259" s="270"/>
      <c r="AH259" s="350"/>
      <c r="AI259" s="365"/>
      <c r="AJ259" s="330"/>
      <c r="AK259" s="330"/>
      <c r="AL259" s="330"/>
      <c r="AM259" s="330"/>
    </row>
    <row r="260" spans="1:39" s="348" customFormat="1" x14ac:dyDescent="0.2">
      <c r="A260" s="423">
        <f t="shared" si="60"/>
        <v>255</v>
      </c>
      <c r="B260" s="721" t="s">
        <v>7339</v>
      </c>
      <c r="C260" s="771">
        <v>250312</v>
      </c>
      <c r="D260" s="771" t="s">
        <v>721</v>
      </c>
      <c r="E260" s="771" t="s">
        <v>132</v>
      </c>
      <c r="F260" s="546">
        <v>2017</v>
      </c>
      <c r="G260" s="772">
        <v>43033</v>
      </c>
      <c r="H260" s="771" t="s">
        <v>1211</v>
      </c>
      <c r="I260" s="771" t="s">
        <v>7059</v>
      </c>
      <c r="J260" s="712"/>
      <c r="K260" s="771" t="s">
        <v>7061</v>
      </c>
      <c r="L260" s="771" t="s">
        <v>7060</v>
      </c>
      <c r="M260" s="773">
        <v>206551.72</v>
      </c>
      <c r="N260" s="773">
        <v>0</v>
      </c>
      <c r="O260" s="773">
        <v>3448.28</v>
      </c>
      <c r="P260" s="773">
        <v>210000</v>
      </c>
      <c r="Q260" s="548"/>
      <c r="R260" s="773">
        <v>185000</v>
      </c>
      <c r="S260" s="549">
        <f t="shared" si="59"/>
        <v>25000</v>
      </c>
      <c r="T260" s="113" t="s">
        <v>263</v>
      </c>
      <c r="U260" s="370"/>
      <c r="V260" s="370"/>
      <c r="W260" s="375"/>
      <c r="X260" s="374"/>
      <c r="Y260" s="370"/>
      <c r="Z260" s="371"/>
      <c r="AA260" s="371"/>
      <c r="AB260" s="744"/>
      <c r="AC260" s="270"/>
      <c r="AD260" s="372"/>
      <c r="AE260" s="270"/>
      <c r="AF260" s="270"/>
      <c r="AG260" s="270"/>
      <c r="AH260" s="350"/>
      <c r="AI260" s="365"/>
      <c r="AJ260" s="330"/>
      <c r="AK260" s="330"/>
      <c r="AL260" s="330"/>
      <c r="AM260" s="330"/>
    </row>
    <row r="261" spans="1:39" s="348" customFormat="1" x14ac:dyDescent="0.2">
      <c r="A261" s="423">
        <f t="shared" si="60"/>
        <v>256</v>
      </c>
      <c r="B261" s="721" t="s">
        <v>7340</v>
      </c>
      <c r="C261" s="771">
        <v>38103</v>
      </c>
      <c r="D261" s="771" t="s">
        <v>721</v>
      </c>
      <c r="E261" s="771" t="s">
        <v>132</v>
      </c>
      <c r="F261" s="546">
        <v>2017</v>
      </c>
      <c r="G261" s="772">
        <v>43033</v>
      </c>
      <c r="H261" s="771" t="s">
        <v>751</v>
      </c>
      <c r="I261" s="771" t="s">
        <v>7062</v>
      </c>
      <c r="J261" s="712"/>
      <c r="K261" s="771" t="s">
        <v>7064</v>
      </c>
      <c r="L261" s="771" t="s">
        <v>7063</v>
      </c>
      <c r="M261" s="773">
        <v>86000</v>
      </c>
      <c r="N261" s="773">
        <v>0</v>
      </c>
      <c r="O261" s="773">
        <v>0</v>
      </c>
      <c r="P261" s="773">
        <v>86000</v>
      </c>
      <c r="Q261" s="548"/>
      <c r="R261" s="773">
        <v>86000</v>
      </c>
      <c r="S261" s="549">
        <f t="shared" si="59"/>
        <v>0</v>
      </c>
      <c r="T261" s="113" t="s">
        <v>263</v>
      </c>
      <c r="U261" s="370"/>
      <c r="V261" s="370"/>
      <c r="W261" s="375"/>
      <c r="X261" s="374"/>
      <c r="Y261" s="370"/>
      <c r="Z261" s="371"/>
      <c r="AA261" s="371"/>
      <c r="AB261" s="744"/>
      <c r="AC261" s="270"/>
      <c r="AD261" s="372"/>
      <c r="AE261" s="270"/>
      <c r="AF261" s="270"/>
      <c r="AG261" s="270"/>
      <c r="AH261" s="350"/>
      <c r="AI261" s="365"/>
      <c r="AJ261" s="330"/>
      <c r="AK261" s="330"/>
      <c r="AL261" s="330"/>
      <c r="AM261" s="330"/>
    </row>
    <row r="262" spans="1:39" s="348" customFormat="1" x14ac:dyDescent="0.2">
      <c r="A262" s="423">
        <f t="shared" si="60"/>
        <v>257</v>
      </c>
      <c r="B262" s="721" t="s">
        <v>7341</v>
      </c>
      <c r="C262" s="771">
        <v>72506</v>
      </c>
      <c r="D262" s="771" t="s">
        <v>721</v>
      </c>
      <c r="E262" s="771" t="s">
        <v>132</v>
      </c>
      <c r="F262" s="546">
        <v>2017</v>
      </c>
      <c r="G262" s="772">
        <v>43033</v>
      </c>
      <c r="H262" s="771" t="s">
        <v>1207</v>
      </c>
      <c r="I262" s="771" t="s">
        <v>7065</v>
      </c>
      <c r="J262" s="712"/>
      <c r="K262" s="771" t="s">
        <v>7058</v>
      </c>
      <c r="L262" s="771" t="s">
        <v>7057</v>
      </c>
      <c r="M262" s="773">
        <v>150862.07</v>
      </c>
      <c r="N262" s="773">
        <v>0</v>
      </c>
      <c r="O262" s="773">
        <v>24137.93</v>
      </c>
      <c r="P262" s="773">
        <v>175000</v>
      </c>
      <c r="Q262" s="548"/>
      <c r="R262" s="773">
        <v>133620.69</v>
      </c>
      <c r="S262" s="549">
        <f t="shared" ref="S262:S289" si="61">+P262-R262</f>
        <v>41379.31</v>
      </c>
      <c r="T262" s="113" t="s">
        <v>263</v>
      </c>
      <c r="U262" s="370"/>
      <c r="V262" s="370"/>
      <c r="W262" s="375"/>
      <c r="X262" s="374"/>
      <c r="Y262" s="370"/>
      <c r="Z262" s="371"/>
      <c r="AA262" s="371"/>
      <c r="AB262" s="744"/>
      <c r="AC262" s="270"/>
      <c r="AD262" s="372"/>
      <c r="AE262" s="270"/>
      <c r="AF262" s="270"/>
      <c r="AG262" s="270"/>
      <c r="AH262" s="350"/>
      <c r="AI262" s="365"/>
      <c r="AJ262" s="330"/>
      <c r="AK262" s="330"/>
      <c r="AL262" s="330"/>
      <c r="AM262" s="330"/>
    </row>
    <row r="263" spans="1:39" s="348" customFormat="1" x14ac:dyDescent="0.2">
      <c r="A263" s="423">
        <f t="shared" si="60"/>
        <v>258</v>
      </c>
      <c r="B263" s="721" t="s">
        <v>7342</v>
      </c>
      <c r="C263" s="771">
        <v>38103</v>
      </c>
      <c r="D263" s="771" t="s">
        <v>721</v>
      </c>
      <c r="E263" s="771" t="s">
        <v>132</v>
      </c>
      <c r="F263" s="546">
        <v>2017</v>
      </c>
      <c r="G263" s="772">
        <v>43034</v>
      </c>
      <c r="H263" s="771" t="s">
        <v>751</v>
      </c>
      <c r="I263" s="771" t="s">
        <v>7062</v>
      </c>
      <c r="J263" s="712"/>
      <c r="K263" s="771" t="s">
        <v>7064</v>
      </c>
      <c r="L263" s="771" t="s">
        <v>7063</v>
      </c>
      <c r="M263" s="773">
        <v>-86000</v>
      </c>
      <c r="N263" s="773">
        <v>0</v>
      </c>
      <c r="O263" s="773">
        <v>0</v>
      </c>
      <c r="P263" s="773">
        <v>-86000</v>
      </c>
      <c r="Q263" s="548"/>
      <c r="R263" s="773">
        <v>-86000</v>
      </c>
      <c r="S263" s="549">
        <f t="shared" si="61"/>
        <v>0</v>
      </c>
      <c r="T263" s="113" t="s">
        <v>263</v>
      </c>
      <c r="U263" s="370"/>
      <c r="V263" s="370"/>
      <c r="W263" s="375"/>
      <c r="X263" s="374"/>
      <c r="Y263" s="370"/>
      <c r="Z263" s="371"/>
      <c r="AA263" s="371"/>
      <c r="AB263" s="744"/>
      <c r="AC263" s="270"/>
      <c r="AD263" s="372"/>
      <c r="AE263" s="270"/>
      <c r="AF263" s="270"/>
      <c r="AG263" s="270"/>
      <c r="AH263" s="350"/>
      <c r="AI263" s="365"/>
      <c r="AJ263" s="330"/>
      <c r="AK263" s="330"/>
      <c r="AL263" s="330"/>
      <c r="AM263" s="330"/>
    </row>
    <row r="264" spans="1:39" s="348" customFormat="1" x14ac:dyDescent="0.2">
      <c r="A264" s="423">
        <f t="shared" si="60"/>
        <v>259</v>
      </c>
      <c r="B264" s="721" t="s">
        <v>7370</v>
      </c>
      <c r="C264" s="771">
        <v>38103</v>
      </c>
      <c r="D264" s="771" t="s">
        <v>721</v>
      </c>
      <c r="E264" s="771" t="s">
        <v>132</v>
      </c>
      <c r="F264" s="546">
        <v>2017</v>
      </c>
      <c r="G264" s="772">
        <v>43034</v>
      </c>
      <c r="H264" s="771" t="s">
        <v>751</v>
      </c>
      <c r="I264" s="771" t="s">
        <v>7066</v>
      </c>
      <c r="J264" s="712"/>
      <c r="K264" s="771" t="s">
        <v>7064</v>
      </c>
      <c r="L264" s="771" t="s">
        <v>7067</v>
      </c>
      <c r="M264" s="773">
        <v>86000</v>
      </c>
      <c r="N264" s="773">
        <v>0</v>
      </c>
      <c r="O264" s="773">
        <v>0</v>
      </c>
      <c r="P264" s="773">
        <v>86000</v>
      </c>
      <c r="Q264" s="548"/>
      <c r="R264" s="773">
        <v>86000</v>
      </c>
      <c r="S264" s="549">
        <f t="shared" si="61"/>
        <v>0</v>
      </c>
      <c r="T264" s="113" t="s">
        <v>263</v>
      </c>
      <c r="U264" s="370"/>
      <c r="V264" s="370"/>
      <c r="W264" s="375"/>
      <c r="X264" s="374"/>
      <c r="Y264" s="370"/>
      <c r="Z264" s="371"/>
      <c r="AA264" s="371"/>
      <c r="AB264" s="744"/>
      <c r="AC264" s="270"/>
      <c r="AD264" s="372"/>
      <c r="AE264" s="270"/>
      <c r="AF264" s="270"/>
      <c r="AG264" s="270"/>
      <c r="AH264" s="350"/>
      <c r="AI264" s="365"/>
      <c r="AJ264" s="330"/>
      <c r="AK264" s="330"/>
      <c r="AL264" s="330"/>
      <c r="AM264" s="330"/>
    </row>
    <row r="265" spans="1:39" s="348" customFormat="1" x14ac:dyDescent="0.2">
      <c r="A265" s="423">
        <f t="shared" si="60"/>
        <v>260</v>
      </c>
      <c r="B265" s="721" t="s">
        <v>7369</v>
      </c>
      <c r="C265" s="771">
        <v>38103</v>
      </c>
      <c r="D265" s="771" t="s">
        <v>721</v>
      </c>
      <c r="E265" s="771" t="s">
        <v>132</v>
      </c>
      <c r="F265" s="546">
        <v>2017</v>
      </c>
      <c r="G265" s="772">
        <v>43035</v>
      </c>
      <c r="H265" s="771" t="s">
        <v>751</v>
      </c>
      <c r="I265" s="771" t="s">
        <v>7066</v>
      </c>
      <c r="J265" s="712"/>
      <c r="K265" s="771" t="s">
        <v>7064</v>
      </c>
      <c r="L265" s="771" t="s">
        <v>7067</v>
      </c>
      <c r="M265" s="773">
        <v>-86000</v>
      </c>
      <c r="N265" s="773">
        <v>0</v>
      </c>
      <c r="O265" s="773">
        <v>0</v>
      </c>
      <c r="P265" s="773">
        <v>-86000</v>
      </c>
      <c r="Q265" s="548"/>
      <c r="R265" s="773">
        <v>-86000</v>
      </c>
      <c r="S265" s="549">
        <f t="shared" si="61"/>
        <v>0</v>
      </c>
      <c r="T265" s="113" t="s">
        <v>263</v>
      </c>
      <c r="U265" s="370"/>
      <c r="V265" s="370"/>
      <c r="W265" s="375"/>
      <c r="X265" s="374"/>
      <c r="Y265" s="370"/>
      <c r="Z265" s="371"/>
      <c r="AA265" s="371"/>
      <c r="AB265" s="744"/>
      <c r="AC265" s="270"/>
      <c r="AD265" s="372"/>
      <c r="AE265" s="270"/>
      <c r="AF265" s="270"/>
      <c r="AG265" s="270"/>
      <c r="AH265" s="350"/>
      <c r="AI265" s="365"/>
      <c r="AJ265" s="330"/>
      <c r="AK265" s="330"/>
      <c r="AL265" s="330"/>
      <c r="AM265" s="330"/>
    </row>
    <row r="266" spans="1:39" s="348" customFormat="1" x14ac:dyDescent="0.2">
      <c r="A266" s="423">
        <f t="shared" si="60"/>
        <v>261</v>
      </c>
      <c r="B266" s="721" t="s">
        <v>7368</v>
      </c>
      <c r="C266" s="771">
        <v>38103</v>
      </c>
      <c r="D266" s="771" t="s">
        <v>721</v>
      </c>
      <c r="E266" s="771" t="s">
        <v>132</v>
      </c>
      <c r="F266" s="546">
        <v>2017</v>
      </c>
      <c r="G266" s="772">
        <v>43035</v>
      </c>
      <c r="H266" s="771" t="s">
        <v>751</v>
      </c>
      <c r="I266" s="771" t="s">
        <v>7066</v>
      </c>
      <c r="J266" s="712"/>
      <c r="K266" s="771" t="s">
        <v>7064</v>
      </c>
      <c r="L266" s="771" t="s">
        <v>7067</v>
      </c>
      <c r="M266" s="773">
        <v>-86000</v>
      </c>
      <c r="N266" s="773">
        <v>0</v>
      </c>
      <c r="O266" s="773">
        <v>0</v>
      </c>
      <c r="P266" s="773">
        <v>-86000</v>
      </c>
      <c r="Q266" s="548"/>
      <c r="R266" s="773">
        <v>-86000</v>
      </c>
      <c r="S266" s="549">
        <f t="shared" si="61"/>
        <v>0</v>
      </c>
      <c r="T266" s="113" t="s">
        <v>263</v>
      </c>
      <c r="U266" s="370"/>
      <c r="V266" s="370"/>
      <c r="W266" s="375"/>
      <c r="X266" s="374"/>
      <c r="Y266" s="370"/>
      <c r="Z266" s="371"/>
      <c r="AA266" s="371"/>
      <c r="AB266" s="744"/>
      <c r="AC266" s="270"/>
      <c r="AD266" s="372"/>
      <c r="AE266" s="270"/>
      <c r="AF266" s="270"/>
      <c r="AG266" s="270"/>
      <c r="AH266" s="350"/>
      <c r="AI266" s="365"/>
      <c r="AJ266" s="330"/>
      <c r="AK266" s="330"/>
      <c r="AL266" s="330"/>
      <c r="AM266" s="330"/>
    </row>
    <row r="267" spans="1:39" s="348" customFormat="1" x14ac:dyDescent="0.2">
      <c r="A267" s="423">
        <f t="shared" si="60"/>
        <v>262</v>
      </c>
      <c r="B267" s="721" t="s">
        <v>7365</v>
      </c>
      <c r="C267" s="771">
        <v>38103</v>
      </c>
      <c r="D267" s="771" t="s">
        <v>721</v>
      </c>
      <c r="E267" s="771" t="s">
        <v>132</v>
      </c>
      <c r="F267" s="546">
        <v>2017</v>
      </c>
      <c r="G267" s="772">
        <v>43035</v>
      </c>
      <c r="H267" s="771" t="s">
        <v>751</v>
      </c>
      <c r="I267" s="771" t="s">
        <v>7066</v>
      </c>
      <c r="J267" s="712"/>
      <c r="K267" s="771" t="s">
        <v>7064</v>
      </c>
      <c r="L267" s="771" t="s">
        <v>7067</v>
      </c>
      <c r="M267" s="773">
        <v>86000</v>
      </c>
      <c r="N267" s="773">
        <v>0</v>
      </c>
      <c r="O267" s="773">
        <v>0</v>
      </c>
      <c r="P267" s="773">
        <v>86000</v>
      </c>
      <c r="Q267" s="548"/>
      <c r="R267" s="773">
        <v>86000</v>
      </c>
      <c r="S267" s="549">
        <f t="shared" si="61"/>
        <v>0</v>
      </c>
      <c r="T267" s="113" t="s">
        <v>263</v>
      </c>
      <c r="U267" s="370"/>
      <c r="V267" s="370"/>
      <c r="W267" s="375"/>
      <c r="X267" s="374"/>
      <c r="Y267" s="370"/>
      <c r="Z267" s="371"/>
      <c r="AA267" s="371"/>
      <c r="AB267" s="744"/>
      <c r="AC267" s="270"/>
      <c r="AD267" s="372"/>
      <c r="AE267" s="270"/>
      <c r="AF267" s="270"/>
      <c r="AG267" s="270"/>
      <c r="AH267" s="350"/>
      <c r="AI267" s="365"/>
      <c r="AJ267" s="330"/>
      <c r="AK267" s="330"/>
      <c r="AL267" s="330"/>
      <c r="AM267" s="330"/>
    </row>
    <row r="268" spans="1:39" s="348" customFormat="1" x14ac:dyDescent="0.2">
      <c r="A268" s="423">
        <f t="shared" si="60"/>
        <v>263</v>
      </c>
      <c r="B268" s="721" t="s">
        <v>7364</v>
      </c>
      <c r="C268" s="771">
        <v>38103</v>
      </c>
      <c r="D268" s="771" t="s">
        <v>721</v>
      </c>
      <c r="E268" s="771" t="s">
        <v>132</v>
      </c>
      <c r="F268" s="546">
        <v>2017</v>
      </c>
      <c r="G268" s="772">
        <v>43035</v>
      </c>
      <c r="H268" s="771" t="s">
        <v>751</v>
      </c>
      <c r="I268" s="771" t="s">
        <v>7066</v>
      </c>
      <c r="J268" s="712"/>
      <c r="K268" s="771" t="s">
        <v>7064</v>
      </c>
      <c r="L268" s="771" t="s">
        <v>7067</v>
      </c>
      <c r="M268" s="773">
        <v>86000</v>
      </c>
      <c r="N268" s="773">
        <v>0</v>
      </c>
      <c r="O268" s="773">
        <v>0</v>
      </c>
      <c r="P268" s="773">
        <v>86000</v>
      </c>
      <c r="Q268" s="548"/>
      <c r="R268" s="773">
        <v>86000</v>
      </c>
      <c r="S268" s="549">
        <f t="shared" si="61"/>
        <v>0</v>
      </c>
      <c r="T268" s="113" t="s">
        <v>263</v>
      </c>
      <c r="U268" s="370"/>
      <c r="V268" s="370"/>
      <c r="W268" s="375"/>
      <c r="X268" s="374"/>
      <c r="Y268" s="370"/>
      <c r="Z268" s="371"/>
      <c r="AA268" s="371"/>
      <c r="AB268" s="744"/>
      <c r="AC268" s="270"/>
      <c r="AD268" s="372"/>
      <c r="AE268" s="270"/>
      <c r="AF268" s="270"/>
      <c r="AG268" s="270"/>
      <c r="AH268" s="350"/>
      <c r="AI268" s="365"/>
      <c r="AJ268" s="330"/>
      <c r="AK268" s="330"/>
      <c r="AL268" s="330"/>
      <c r="AM268" s="330"/>
    </row>
    <row r="269" spans="1:39" s="348" customFormat="1" x14ac:dyDescent="0.2">
      <c r="A269" s="423">
        <f t="shared" si="60"/>
        <v>264</v>
      </c>
      <c r="B269" s="721" t="s">
        <v>7343</v>
      </c>
      <c r="C269" s="771">
        <v>1520302</v>
      </c>
      <c r="D269" s="771" t="s">
        <v>721</v>
      </c>
      <c r="E269" s="771" t="s">
        <v>132</v>
      </c>
      <c r="F269" s="546">
        <v>2017</v>
      </c>
      <c r="G269" s="772">
        <v>43038</v>
      </c>
      <c r="H269" s="771" t="s">
        <v>810</v>
      </c>
      <c r="I269" s="771" t="s">
        <v>7068</v>
      </c>
      <c r="J269" s="712"/>
      <c r="K269" s="771" t="s">
        <v>7070</v>
      </c>
      <c r="L269" s="771" t="s">
        <v>7069</v>
      </c>
      <c r="M269" s="773">
        <v>354482.76</v>
      </c>
      <c r="N269" s="773">
        <v>0</v>
      </c>
      <c r="O269" s="773">
        <v>5517.24</v>
      </c>
      <c r="P269" s="773">
        <v>360000</v>
      </c>
      <c r="Q269" s="548"/>
      <c r="R269" s="773">
        <v>320000</v>
      </c>
      <c r="S269" s="549">
        <f t="shared" si="61"/>
        <v>40000</v>
      </c>
      <c r="T269" s="113" t="s">
        <v>263</v>
      </c>
      <c r="U269" s="370"/>
      <c r="V269" s="370"/>
      <c r="W269" s="375"/>
      <c r="X269" s="374"/>
      <c r="Y269" s="370"/>
      <c r="Z269" s="371"/>
      <c r="AA269" s="371"/>
      <c r="AB269" s="744"/>
      <c r="AC269" s="270"/>
      <c r="AD269" s="372"/>
      <c r="AE269" s="270"/>
      <c r="AF269" s="270"/>
      <c r="AG269" s="270"/>
      <c r="AH269" s="350"/>
      <c r="AI269" s="365"/>
      <c r="AJ269" s="330"/>
      <c r="AK269" s="330"/>
      <c r="AL269" s="330"/>
      <c r="AM269" s="330"/>
    </row>
    <row r="270" spans="1:39" s="348" customFormat="1" x14ac:dyDescent="0.2">
      <c r="A270" s="423">
        <f t="shared" si="60"/>
        <v>265</v>
      </c>
      <c r="B270" s="721" t="s">
        <v>7344</v>
      </c>
      <c r="C270" s="771">
        <v>491315</v>
      </c>
      <c r="D270" s="771" t="s">
        <v>721</v>
      </c>
      <c r="E270" s="771" t="s">
        <v>132</v>
      </c>
      <c r="F270" s="546">
        <v>2017</v>
      </c>
      <c r="G270" s="772">
        <v>43038</v>
      </c>
      <c r="H270" s="771" t="s">
        <v>912</v>
      </c>
      <c r="I270" s="771" t="s">
        <v>7071</v>
      </c>
      <c r="J270" s="712"/>
      <c r="K270" s="771" t="s">
        <v>7073</v>
      </c>
      <c r="L270" s="771" t="s">
        <v>7072</v>
      </c>
      <c r="M270" s="773">
        <v>203793.1</v>
      </c>
      <c r="N270" s="773">
        <v>0</v>
      </c>
      <c r="O270" s="773">
        <v>6206.9</v>
      </c>
      <c r="P270" s="773">
        <v>210000</v>
      </c>
      <c r="Q270" s="548"/>
      <c r="R270" s="773">
        <v>165000</v>
      </c>
      <c r="S270" s="549">
        <f t="shared" si="61"/>
        <v>45000</v>
      </c>
      <c r="T270" s="113" t="s">
        <v>263</v>
      </c>
      <c r="U270" s="370"/>
      <c r="V270" s="370"/>
      <c r="W270" s="375"/>
      <c r="X270" s="374"/>
      <c r="Y270" s="370"/>
      <c r="Z270" s="371"/>
      <c r="AA270" s="371"/>
      <c r="AB270" s="744"/>
      <c r="AC270" s="270"/>
      <c r="AD270" s="372"/>
      <c r="AE270" s="270"/>
      <c r="AF270" s="270"/>
      <c r="AG270" s="270"/>
      <c r="AH270" s="350"/>
      <c r="AI270" s="365"/>
      <c r="AJ270" s="330"/>
      <c r="AK270" s="330"/>
      <c r="AL270" s="330"/>
      <c r="AM270" s="330"/>
    </row>
    <row r="271" spans="1:39" s="348" customFormat="1" x14ac:dyDescent="0.2">
      <c r="A271" s="423">
        <f t="shared" si="60"/>
        <v>266</v>
      </c>
      <c r="B271" s="721" t="s">
        <v>7366</v>
      </c>
      <c r="C271" s="771">
        <v>38103</v>
      </c>
      <c r="D271" s="771" t="s">
        <v>721</v>
      </c>
      <c r="E271" s="771" t="s">
        <v>132</v>
      </c>
      <c r="F271" s="546">
        <v>2017</v>
      </c>
      <c r="G271" s="772">
        <v>43038</v>
      </c>
      <c r="H271" s="771" t="s">
        <v>751</v>
      </c>
      <c r="I271" s="771" t="s">
        <v>7066</v>
      </c>
      <c r="J271" s="712"/>
      <c r="K271" s="771" t="s">
        <v>7064</v>
      </c>
      <c r="L271" s="771" t="s">
        <v>7067</v>
      </c>
      <c r="M271" s="773">
        <v>-86000</v>
      </c>
      <c r="N271" s="773">
        <v>0</v>
      </c>
      <c r="O271" s="773">
        <v>0</v>
      </c>
      <c r="P271" s="773">
        <v>-86000</v>
      </c>
      <c r="Q271" s="548"/>
      <c r="R271" s="773">
        <v>-86000</v>
      </c>
      <c r="S271" s="549">
        <f t="shared" si="61"/>
        <v>0</v>
      </c>
      <c r="T271" s="113" t="s">
        <v>263</v>
      </c>
      <c r="U271" s="370"/>
      <c r="V271" s="370"/>
      <c r="W271" s="375"/>
      <c r="X271" s="374"/>
      <c r="Y271" s="370"/>
      <c r="Z271" s="371"/>
      <c r="AA271" s="371"/>
      <c r="AB271" s="744"/>
      <c r="AC271" s="270"/>
      <c r="AD271" s="372"/>
      <c r="AE271" s="270"/>
      <c r="AF271" s="270"/>
      <c r="AG271" s="270"/>
      <c r="AH271" s="350"/>
      <c r="AI271" s="365"/>
      <c r="AJ271" s="330"/>
      <c r="AK271" s="330"/>
      <c r="AL271" s="330"/>
      <c r="AM271" s="330"/>
    </row>
    <row r="272" spans="1:39" s="348" customFormat="1" x14ac:dyDescent="0.2">
      <c r="A272" s="423">
        <f t="shared" si="60"/>
        <v>267</v>
      </c>
      <c r="B272" s="721" t="s">
        <v>7367</v>
      </c>
      <c r="C272" s="771">
        <v>38103</v>
      </c>
      <c r="D272" s="771" t="s">
        <v>721</v>
      </c>
      <c r="E272" s="771" t="s">
        <v>132</v>
      </c>
      <c r="F272" s="546">
        <v>2017</v>
      </c>
      <c r="G272" s="772">
        <v>43038</v>
      </c>
      <c r="H272" s="771" t="s">
        <v>751</v>
      </c>
      <c r="I272" s="771" t="s">
        <v>7066</v>
      </c>
      <c r="J272" s="712"/>
      <c r="K272" s="771" t="s">
        <v>7064</v>
      </c>
      <c r="L272" s="771" t="s">
        <v>7067</v>
      </c>
      <c r="M272" s="773">
        <v>86000</v>
      </c>
      <c r="N272" s="773">
        <v>0</v>
      </c>
      <c r="O272" s="773">
        <v>0</v>
      </c>
      <c r="P272" s="773">
        <v>86000</v>
      </c>
      <c r="Q272" s="548"/>
      <c r="R272" s="773">
        <v>86000</v>
      </c>
      <c r="S272" s="549">
        <f t="shared" si="61"/>
        <v>0</v>
      </c>
      <c r="T272" s="113" t="s">
        <v>263</v>
      </c>
      <c r="U272" s="370"/>
      <c r="V272" s="370"/>
      <c r="W272" s="375"/>
      <c r="X272" s="374"/>
      <c r="Y272" s="370"/>
      <c r="Z272" s="371"/>
      <c r="AA272" s="371"/>
      <c r="AB272" s="744"/>
      <c r="AC272" s="270"/>
      <c r="AD272" s="372"/>
      <c r="AE272" s="270"/>
      <c r="AF272" s="270"/>
      <c r="AG272" s="270"/>
      <c r="AH272" s="350"/>
      <c r="AI272" s="365"/>
      <c r="AJ272" s="330"/>
      <c r="AK272" s="330"/>
      <c r="AL272" s="330"/>
      <c r="AM272" s="330"/>
    </row>
    <row r="273" spans="1:39" s="348" customFormat="1" x14ac:dyDescent="0.2">
      <c r="A273" s="423">
        <f t="shared" si="60"/>
        <v>268</v>
      </c>
      <c r="B273" s="721" t="s">
        <v>7345</v>
      </c>
      <c r="C273" s="771">
        <v>520815</v>
      </c>
      <c r="D273" s="771" t="s">
        <v>686</v>
      </c>
      <c r="E273" s="771" t="s">
        <v>2953</v>
      </c>
      <c r="F273" s="546">
        <v>2017</v>
      </c>
      <c r="G273" s="772">
        <v>43010</v>
      </c>
      <c r="H273" s="771" t="s">
        <v>1207</v>
      </c>
      <c r="I273" s="771" t="s">
        <v>7074</v>
      </c>
      <c r="J273" s="712"/>
      <c r="K273" s="771" t="s">
        <v>7075</v>
      </c>
      <c r="L273" s="771" t="s">
        <v>5286</v>
      </c>
      <c r="M273" s="773">
        <v>388793.1</v>
      </c>
      <c r="N273" s="773">
        <v>0</v>
      </c>
      <c r="O273" s="773">
        <v>6206.9</v>
      </c>
      <c r="P273" s="773">
        <v>395000</v>
      </c>
      <c r="Q273" s="548"/>
      <c r="R273" s="773">
        <v>350000</v>
      </c>
      <c r="S273" s="549">
        <f t="shared" si="61"/>
        <v>45000</v>
      </c>
      <c r="T273" s="113" t="s">
        <v>263</v>
      </c>
      <c r="U273" s="370"/>
      <c r="V273" s="370"/>
      <c r="W273" s="375"/>
      <c r="X273" s="374"/>
      <c r="Y273" s="370"/>
      <c r="Z273" s="371"/>
      <c r="AA273" s="371"/>
      <c r="AB273" s="744"/>
      <c r="AC273" s="270"/>
      <c r="AD273" s="372"/>
      <c r="AE273" s="270"/>
      <c r="AF273" s="270"/>
      <c r="AG273" s="270"/>
      <c r="AH273" s="350"/>
      <c r="AI273" s="365"/>
      <c r="AJ273" s="330"/>
      <c r="AK273" s="330"/>
      <c r="AL273" s="330"/>
      <c r="AM273" s="330"/>
    </row>
    <row r="274" spans="1:39" s="348" customFormat="1" x14ac:dyDescent="0.2">
      <c r="A274" s="423">
        <f t="shared" si="60"/>
        <v>269</v>
      </c>
      <c r="B274" s="721" t="s">
        <v>7346</v>
      </c>
      <c r="C274" s="771">
        <v>520815</v>
      </c>
      <c r="D274" s="771" t="s">
        <v>686</v>
      </c>
      <c r="E274" s="771" t="s">
        <v>2953</v>
      </c>
      <c r="F274" s="546">
        <v>2017</v>
      </c>
      <c r="G274" s="772">
        <v>43011</v>
      </c>
      <c r="H274" s="771" t="s">
        <v>1207</v>
      </c>
      <c r="I274" s="771" t="s">
        <v>7074</v>
      </c>
      <c r="J274" s="712"/>
      <c r="K274" s="771" t="s">
        <v>7075</v>
      </c>
      <c r="L274" s="771" t="s">
        <v>5286</v>
      </c>
      <c r="M274" s="773">
        <v>-388793.1</v>
      </c>
      <c r="N274" s="773">
        <v>0</v>
      </c>
      <c r="O274" s="773">
        <v>-6206.9</v>
      </c>
      <c r="P274" s="773">
        <v>-395000</v>
      </c>
      <c r="Q274" s="548"/>
      <c r="R274" s="773">
        <v>-350000</v>
      </c>
      <c r="S274" s="549">
        <f t="shared" si="61"/>
        <v>-45000</v>
      </c>
      <c r="T274" s="113" t="s">
        <v>263</v>
      </c>
      <c r="U274" s="370"/>
      <c r="V274" s="370"/>
      <c r="W274" s="375"/>
      <c r="X274" s="374"/>
      <c r="Y274" s="370"/>
      <c r="Z274" s="371"/>
      <c r="AA274" s="371"/>
      <c r="AB274" s="744"/>
      <c r="AC274" s="270"/>
      <c r="AD274" s="372"/>
      <c r="AE274" s="270"/>
      <c r="AF274" s="270"/>
      <c r="AG274" s="270"/>
      <c r="AH274" s="350"/>
      <c r="AI274" s="365"/>
      <c r="AJ274" s="330"/>
      <c r="AK274" s="330"/>
      <c r="AL274" s="330"/>
      <c r="AM274" s="330"/>
    </row>
    <row r="275" spans="1:39" s="348" customFormat="1" x14ac:dyDescent="0.2">
      <c r="A275" s="423">
        <f t="shared" si="60"/>
        <v>270</v>
      </c>
      <c r="B275" s="721" t="s">
        <v>7347</v>
      </c>
      <c r="C275" s="771">
        <v>520815</v>
      </c>
      <c r="D275" s="771" t="s">
        <v>686</v>
      </c>
      <c r="E275" s="771" t="s">
        <v>2953</v>
      </c>
      <c r="F275" s="546">
        <v>2017</v>
      </c>
      <c r="G275" s="772">
        <v>43011</v>
      </c>
      <c r="H275" s="771" t="s">
        <v>1207</v>
      </c>
      <c r="I275" s="771" t="s">
        <v>7074</v>
      </c>
      <c r="J275" s="712"/>
      <c r="K275" s="771" t="s">
        <v>7076</v>
      </c>
      <c r="L275" s="771" t="s">
        <v>5286</v>
      </c>
      <c r="M275" s="773">
        <v>388793.1</v>
      </c>
      <c r="N275" s="773">
        <v>0</v>
      </c>
      <c r="O275" s="773">
        <v>6206.9</v>
      </c>
      <c r="P275" s="773">
        <v>395000</v>
      </c>
      <c r="Q275" s="548"/>
      <c r="R275" s="773">
        <v>350000</v>
      </c>
      <c r="S275" s="549">
        <f t="shared" si="61"/>
        <v>45000</v>
      </c>
      <c r="T275" s="113" t="s">
        <v>263</v>
      </c>
      <c r="U275" s="370"/>
      <c r="V275" s="370"/>
      <c r="W275" s="375"/>
      <c r="X275" s="374"/>
      <c r="Y275" s="370"/>
      <c r="Z275" s="371"/>
      <c r="AA275" s="371"/>
      <c r="AB275" s="744"/>
      <c r="AC275" s="270"/>
      <c r="AD275" s="372"/>
      <c r="AE275" s="270"/>
      <c r="AF275" s="270"/>
      <c r="AG275" s="270"/>
      <c r="AH275" s="350"/>
      <c r="AI275" s="365"/>
      <c r="AJ275" s="330"/>
      <c r="AK275" s="330"/>
      <c r="AL275" s="330"/>
      <c r="AM275" s="330"/>
    </row>
    <row r="276" spans="1:39" s="348" customFormat="1" x14ac:dyDescent="0.2">
      <c r="A276" s="423">
        <f t="shared" si="60"/>
        <v>271</v>
      </c>
      <c r="B276" s="721" t="s">
        <v>7348</v>
      </c>
      <c r="C276" s="771">
        <v>520112</v>
      </c>
      <c r="D276" s="771" t="s">
        <v>686</v>
      </c>
      <c r="E276" s="771" t="s">
        <v>2953</v>
      </c>
      <c r="F276" s="546">
        <v>2017</v>
      </c>
      <c r="G276" s="772">
        <v>43014</v>
      </c>
      <c r="H276" s="771" t="s">
        <v>1207</v>
      </c>
      <c r="I276" s="771" t="s">
        <v>6435</v>
      </c>
      <c r="J276" s="712"/>
      <c r="K276" s="771" t="s">
        <v>6538</v>
      </c>
      <c r="L276" s="771" t="s">
        <v>6695</v>
      </c>
      <c r="M276" s="773">
        <v>-290862.07</v>
      </c>
      <c r="N276" s="773">
        <v>0</v>
      </c>
      <c r="O276" s="773">
        <v>-4137.93</v>
      </c>
      <c r="P276" s="773">
        <v>-295000</v>
      </c>
      <c r="Q276" s="548"/>
      <c r="R276" s="773">
        <v>-265000</v>
      </c>
      <c r="S276" s="549">
        <f t="shared" si="61"/>
        <v>-30000</v>
      </c>
      <c r="T276" s="113" t="s">
        <v>263</v>
      </c>
      <c r="U276" s="370"/>
      <c r="V276" s="370"/>
      <c r="W276" s="375"/>
      <c r="X276" s="374"/>
      <c r="Y276" s="370"/>
      <c r="Z276" s="371"/>
      <c r="AA276" s="371"/>
      <c r="AB276" s="744"/>
      <c r="AC276" s="270"/>
      <c r="AD276" s="372"/>
      <c r="AE276" s="270"/>
      <c r="AF276" s="270"/>
      <c r="AG276" s="270"/>
      <c r="AH276" s="350"/>
      <c r="AI276" s="365"/>
      <c r="AJ276" s="330"/>
      <c r="AK276" s="330"/>
      <c r="AL276" s="330"/>
      <c r="AM276" s="330"/>
    </row>
    <row r="277" spans="1:39" s="348" customFormat="1" x14ac:dyDescent="0.2">
      <c r="A277" s="423">
        <f t="shared" si="60"/>
        <v>272</v>
      </c>
      <c r="B277" s="721" t="s">
        <v>7349</v>
      </c>
      <c r="C277" s="771">
        <v>520112</v>
      </c>
      <c r="D277" s="771" t="s">
        <v>686</v>
      </c>
      <c r="E277" s="771" t="s">
        <v>2953</v>
      </c>
      <c r="F277" s="546">
        <v>2017</v>
      </c>
      <c r="G277" s="772">
        <v>43014</v>
      </c>
      <c r="H277" s="771" t="s">
        <v>1207</v>
      </c>
      <c r="I277" s="771" t="s">
        <v>6435</v>
      </c>
      <c r="J277" s="712"/>
      <c r="K277" s="771" t="s">
        <v>6538</v>
      </c>
      <c r="L277" s="771" t="s">
        <v>6695</v>
      </c>
      <c r="M277" s="773">
        <v>290862.07</v>
      </c>
      <c r="N277" s="773">
        <v>0</v>
      </c>
      <c r="O277" s="773">
        <v>4137.93</v>
      </c>
      <c r="P277" s="773">
        <v>295000</v>
      </c>
      <c r="Q277" s="548"/>
      <c r="R277" s="773">
        <v>265000</v>
      </c>
      <c r="S277" s="549">
        <f t="shared" si="61"/>
        <v>30000</v>
      </c>
      <c r="T277" s="113" t="s">
        <v>263</v>
      </c>
      <c r="U277" s="370"/>
      <c r="V277" s="370"/>
      <c r="W277" s="375"/>
      <c r="X277" s="374"/>
      <c r="Y277" s="370"/>
      <c r="Z277" s="371"/>
      <c r="AA277" s="371"/>
      <c r="AB277" s="744"/>
      <c r="AC277" s="270"/>
      <c r="AD277" s="372"/>
      <c r="AE277" s="270"/>
      <c r="AF277" s="270"/>
      <c r="AG277" s="270"/>
      <c r="AH277" s="350"/>
      <c r="AI277" s="365"/>
      <c r="AJ277" s="330"/>
      <c r="AK277" s="330"/>
      <c r="AL277" s="330"/>
      <c r="AM277" s="330"/>
    </row>
    <row r="278" spans="1:39" s="348" customFormat="1" x14ac:dyDescent="0.2">
      <c r="A278" s="423">
        <f t="shared" si="60"/>
        <v>273</v>
      </c>
      <c r="B278" s="721" t="s">
        <v>7350</v>
      </c>
      <c r="C278" s="771">
        <v>520905</v>
      </c>
      <c r="D278" s="771" t="s">
        <v>686</v>
      </c>
      <c r="E278" s="771" t="s">
        <v>2953</v>
      </c>
      <c r="F278" s="546">
        <v>2017</v>
      </c>
      <c r="G278" s="772">
        <v>43014</v>
      </c>
      <c r="H278" s="771" t="s">
        <v>1207</v>
      </c>
      <c r="I278" s="771" t="s">
        <v>7077</v>
      </c>
      <c r="J278" s="712"/>
      <c r="K278" s="771" t="s">
        <v>7079</v>
      </c>
      <c r="L278" s="771" t="s">
        <v>7078</v>
      </c>
      <c r="M278" s="773">
        <v>171275.86</v>
      </c>
      <c r="N278" s="773">
        <v>0</v>
      </c>
      <c r="O278" s="773">
        <v>3724.14</v>
      </c>
      <c r="P278" s="773">
        <v>175000</v>
      </c>
      <c r="Q278" s="548"/>
      <c r="R278" s="773">
        <v>148000</v>
      </c>
      <c r="S278" s="549">
        <f t="shared" si="61"/>
        <v>27000</v>
      </c>
      <c r="T278" s="113" t="s">
        <v>263</v>
      </c>
      <c r="U278" s="370"/>
      <c r="V278" s="370"/>
      <c r="W278" s="375"/>
      <c r="X278" s="374"/>
      <c r="Y278" s="370"/>
      <c r="Z278" s="371"/>
      <c r="AA278" s="371"/>
      <c r="AB278" s="744"/>
      <c r="AC278" s="270"/>
      <c r="AD278" s="372"/>
      <c r="AE278" s="270"/>
      <c r="AF278" s="270"/>
      <c r="AG278" s="270"/>
      <c r="AH278" s="350"/>
      <c r="AI278" s="365"/>
      <c r="AJ278" s="330"/>
      <c r="AK278" s="330"/>
      <c r="AL278" s="330"/>
      <c r="AM278" s="330"/>
    </row>
    <row r="279" spans="1:39" s="348" customFormat="1" x14ac:dyDescent="0.2">
      <c r="A279" s="423">
        <f t="shared" si="60"/>
        <v>274</v>
      </c>
      <c r="B279" s="721" t="s">
        <v>7351</v>
      </c>
      <c r="C279" s="771">
        <v>521802</v>
      </c>
      <c r="D279" s="771" t="s">
        <v>686</v>
      </c>
      <c r="E279" s="771" t="s">
        <v>2953</v>
      </c>
      <c r="F279" s="546">
        <v>2017</v>
      </c>
      <c r="G279" s="772">
        <v>43019</v>
      </c>
      <c r="H279" s="771" t="s">
        <v>1211</v>
      </c>
      <c r="I279" s="771" t="s">
        <v>7080</v>
      </c>
      <c r="J279" s="712"/>
      <c r="K279" s="771" t="s">
        <v>7082</v>
      </c>
      <c r="L279" s="771" t="s">
        <v>7081</v>
      </c>
      <c r="M279" s="773">
        <v>162241.38</v>
      </c>
      <c r="N279" s="773">
        <v>0</v>
      </c>
      <c r="O279" s="773">
        <v>2758.62</v>
      </c>
      <c r="P279" s="773">
        <v>165000</v>
      </c>
      <c r="Q279" s="548"/>
      <c r="R279" s="773">
        <v>145000</v>
      </c>
      <c r="S279" s="549">
        <f t="shared" si="61"/>
        <v>20000</v>
      </c>
      <c r="T279" s="113" t="s">
        <v>263</v>
      </c>
      <c r="U279" s="370"/>
      <c r="V279" s="370"/>
      <c r="W279" s="375"/>
      <c r="X279" s="374"/>
      <c r="Y279" s="370"/>
      <c r="Z279" s="371"/>
      <c r="AA279" s="371"/>
      <c r="AB279" s="744"/>
      <c r="AC279" s="270"/>
      <c r="AD279" s="372"/>
      <c r="AE279" s="270"/>
      <c r="AF279" s="270"/>
      <c r="AG279" s="270"/>
      <c r="AH279" s="350"/>
      <c r="AI279" s="365"/>
      <c r="AJ279" s="330"/>
      <c r="AK279" s="330"/>
      <c r="AL279" s="330"/>
      <c r="AM279" s="330"/>
    </row>
    <row r="280" spans="1:39" s="348" customFormat="1" x14ac:dyDescent="0.2">
      <c r="A280" s="423">
        <f t="shared" si="60"/>
        <v>275</v>
      </c>
      <c r="B280" s="721" t="s">
        <v>7352</v>
      </c>
      <c r="C280" s="771">
        <v>521908</v>
      </c>
      <c r="D280" s="771" t="s">
        <v>686</v>
      </c>
      <c r="E280" s="771" t="s">
        <v>2953</v>
      </c>
      <c r="F280" s="546">
        <v>2017</v>
      </c>
      <c r="G280" s="772">
        <v>43020</v>
      </c>
      <c r="H280" s="771" t="s">
        <v>5623</v>
      </c>
      <c r="I280" s="771" t="s">
        <v>7083</v>
      </c>
      <c r="J280" s="712"/>
      <c r="K280" s="771" t="s">
        <v>7085</v>
      </c>
      <c r="L280" s="771" t="s">
        <v>7084</v>
      </c>
      <c r="M280" s="773">
        <v>480172.41</v>
      </c>
      <c r="N280" s="773">
        <v>0</v>
      </c>
      <c r="O280" s="773">
        <v>4827.59</v>
      </c>
      <c r="P280" s="773">
        <v>485000</v>
      </c>
      <c r="Q280" s="548"/>
      <c r="R280" s="773">
        <v>450000</v>
      </c>
      <c r="S280" s="549">
        <f t="shared" si="61"/>
        <v>35000</v>
      </c>
      <c r="T280" s="113" t="s">
        <v>263</v>
      </c>
      <c r="U280" s="370"/>
      <c r="V280" s="370"/>
      <c r="W280" s="375"/>
      <c r="X280" s="374"/>
      <c r="Y280" s="370"/>
      <c r="Z280" s="371"/>
      <c r="AA280" s="371"/>
      <c r="AB280" s="744"/>
      <c r="AC280" s="270"/>
      <c r="AD280" s="372"/>
      <c r="AE280" s="270"/>
      <c r="AF280" s="270"/>
      <c r="AG280" s="270"/>
      <c r="AH280" s="350"/>
      <c r="AI280" s="365"/>
      <c r="AJ280" s="330"/>
      <c r="AK280" s="330"/>
      <c r="AL280" s="330"/>
      <c r="AM280" s="330"/>
    </row>
    <row r="281" spans="1:39" s="348" customFormat="1" x14ac:dyDescent="0.2">
      <c r="A281" s="423">
        <f t="shared" si="60"/>
        <v>276</v>
      </c>
      <c r="B281" s="721" t="s">
        <v>7353</v>
      </c>
      <c r="C281" s="771">
        <v>520907</v>
      </c>
      <c r="D281" s="771" t="s">
        <v>686</v>
      </c>
      <c r="E281" s="771" t="s">
        <v>2953</v>
      </c>
      <c r="F281" s="546">
        <v>2017</v>
      </c>
      <c r="G281" s="772">
        <v>43020</v>
      </c>
      <c r="H281" s="771" t="s">
        <v>912</v>
      </c>
      <c r="I281" s="771" t="s">
        <v>7086</v>
      </c>
      <c r="J281" s="712"/>
      <c r="K281" s="771" t="s">
        <v>7088</v>
      </c>
      <c r="L281" s="771" t="s">
        <v>7087</v>
      </c>
      <c r="M281" s="773">
        <v>191551.72</v>
      </c>
      <c r="N281" s="773">
        <v>0</v>
      </c>
      <c r="O281" s="773">
        <v>3448.28</v>
      </c>
      <c r="P281" s="773">
        <v>195000</v>
      </c>
      <c r="Q281" s="548"/>
      <c r="R281" s="773">
        <v>170000</v>
      </c>
      <c r="S281" s="549">
        <f t="shared" si="61"/>
        <v>25000</v>
      </c>
      <c r="T281" s="113" t="s">
        <v>263</v>
      </c>
      <c r="U281" s="370"/>
      <c r="V281" s="370"/>
      <c r="W281" s="375"/>
      <c r="X281" s="374"/>
      <c r="Y281" s="370"/>
      <c r="Z281" s="371"/>
      <c r="AA281" s="371"/>
      <c r="AB281" s="744"/>
      <c r="AC281" s="270"/>
      <c r="AD281" s="372"/>
      <c r="AE281" s="270"/>
      <c r="AF281" s="270"/>
      <c r="AG281" s="270"/>
      <c r="AH281" s="350"/>
      <c r="AI281" s="365"/>
      <c r="AJ281" s="330"/>
      <c r="AK281" s="330"/>
      <c r="AL281" s="330"/>
      <c r="AM281" s="330"/>
    </row>
    <row r="282" spans="1:39" s="348" customFormat="1" x14ac:dyDescent="0.2">
      <c r="A282" s="423">
        <f t="shared" si="60"/>
        <v>277</v>
      </c>
      <c r="B282" s="721" t="s">
        <v>7354</v>
      </c>
      <c r="C282" s="771">
        <v>521909</v>
      </c>
      <c r="D282" s="771" t="s">
        <v>686</v>
      </c>
      <c r="E282" s="771" t="s">
        <v>2953</v>
      </c>
      <c r="F282" s="546">
        <v>2017</v>
      </c>
      <c r="G282" s="772">
        <v>43029</v>
      </c>
      <c r="H282" s="771" t="s">
        <v>1207</v>
      </c>
      <c r="I282" s="771" t="s">
        <v>7089</v>
      </c>
      <c r="J282" s="712"/>
      <c r="K282" s="771" t="s">
        <v>7091</v>
      </c>
      <c r="L282" s="771" t="s">
        <v>7090</v>
      </c>
      <c r="M282" s="773">
        <v>-436724.14</v>
      </c>
      <c r="N282" s="773">
        <v>0</v>
      </c>
      <c r="O282" s="773">
        <v>-8275.86</v>
      </c>
      <c r="P282" s="773">
        <v>-445000</v>
      </c>
      <c r="Q282" s="548"/>
      <c r="R282" s="773">
        <v>-385000</v>
      </c>
      <c r="S282" s="549">
        <f t="shared" si="61"/>
        <v>-60000</v>
      </c>
      <c r="T282" s="113" t="s">
        <v>263</v>
      </c>
      <c r="U282" s="370"/>
      <c r="V282" s="370"/>
      <c r="W282" s="375"/>
      <c r="X282" s="374"/>
      <c r="Y282" s="370"/>
      <c r="Z282" s="371"/>
      <c r="AA282" s="371"/>
      <c r="AB282" s="744"/>
      <c r="AC282" s="270"/>
      <c r="AD282" s="372"/>
      <c r="AE282" s="270"/>
      <c r="AF282" s="270"/>
      <c r="AG282" s="270"/>
      <c r="AH282" s="350"/>
      <c r="AI282" s="365"/>
      <c r="AJ282" s="330"/>
      <c r="AK282" s="330"/>
      <c r="AL282" s="330"/>
      <c r="AM282" s="330"/>
    </row>
    <row r="283" spans="1:39" s="348" customFormat="1" x14ac:dyDescent="0.2">
      <c r="A283" s="423">
        <f t="shared" si="60"/>
        <v>278</v>
      </c>
      <c r="B283" s="721" t="s">
        <v>7355</v>
      </c>
      <c r="C283" s="771">
        <v>521909</v>
      </c>
      <c r="D283" s="771" t="s">
        <v>686</v>
      </c>
      <c r="E283" s="771" t="s">
        <v>2953</v>
      </c>
      <c r="F283" s="546">
        <v>2017</v>
      </c>
      <c r="G283" s="772">
        <v>43029</v>
      </c>
      <c r="H283" s="771" t="s">
        <v>1207</v>
      </c>
      <c r="I283" s="771" t="s">
        <v>7089</v>
      </c>
      <c r="J283" s="712"/>
      <c r="K283" s="771" t="s">
        <v>7091</v>
      </c>
      <c r="L283" s="771" t="s">
        <v>7090</v>
      </c>
      <c r="M283" s="773">
        <v>-436724.14</v>
      </c>
      <c r="N283" s="773">
        <v>0</v>
      </c>
      <c r="O283" s="773">
        <v>-8275.86</v>
      </c>
      <c r="P283" s="773">
        <v>-445000</v>
      </c>
      <c r="Q283" s="548"/>
      <c r="R283" s="773">
        <v>-385000</v>
      </c>
      <c r="S283" s="549">
        <f t="shared" si="61"/>
        <v>-60000</v>
      </c>
      <c r="T283" s="113" t="s">
        <v>263</v>
      </c>
      <c r="U283" s="370"/>
      <c r="V283" s="370"/>
      <c r="W283" s="375"/>
      <c r="X283" s="374"/>
      <c r="Y283" s="370"/>
      <c r="Z283" s="371"/>
      <c r="AA283" s="371"/>
      <c r="AB283" s="744"/>
      <c r="AC283" s="270"/>
      <c r="AD283" s="372"/>
      <c r="AE283" s="270"/>
      <c r="AF283" s="270"/>
      <c r="AG283" s="270"/>
      <c r="AH283" s="350"/>
      <c r="AI283" s="365"/>
      <c r="AJ283" s="330"/>
      <c r="AK283" s="330"/>
      <c r="AL283" s="330"/>
      <c r="AM283" s="330"/>
    </row>
    <row r="284" spans="1:39" s="348" customFormat="1" x14ac:dyDescent="0.2">
      <c r="A284" s="423">
        <f t="shared" si="60"/>
        <v>279</v>
      </c>
      <c r="B284" s="721" t="s">
        <v>7356</v>
      </c>
      <c r="C284" s="771">
        <v>521909</v>
      </c>
      <c r="D284" s="771" t="s">
        <v>686</v>
      </c>
      <c r="E284" s="771" t="s">
        <v>2953</v>
      </c>
      <c r="F284" s="546">
        <v>2017</v>
      </c>
      <c r="G284" s="772">
        <v>43029</v>
      </c>
      <c r="H284" s="771" t="s">
        <v>1207</v>
      </c>
      <c r="I284" s="771" t="s">
        <v>7089</v>
      </c>
      <c r="J284" s="712"/>
      <c r="K284" s="771" t="s">
        <v>7091</v>
      </c>
      <c r="L284" s="771" t="s">
        <v>7090</v>
      </c>
      <c r="M284" s="773">
        <v>436724.14</v>
      </c>
      <c r="N284" s="773">
        <v>0</v>
      </c>
      <c r="O284" s="773">
        <v>8275.86</v>
      </c>
      <c r="P284" s="773">
        <v>445000</v>
      </c>
      <c r="Q284" s="548"/>
      <c r="R284" s="773">
        <v>385000</v>
      </c>
      <c r="S284" s="549">
        <f t="shared" si="61"/>
        <v>60000</v>
      </c>
      <c r="T284" s="113" t="s">
        <v>263</v>
      </c>
      <c r="U284" s="370"/>
      <c r="V284" s="370"/>
      <c r="W284" s="375"/>
      <c r="X284" s="374"/>
      <c r="Y284" s="370"/>
      <c r="Z284" s="371"/>
      <c r="AA284" s="371"/>
      <c r="AB284" s="744"/>
      <c r="AC284" s="270"/>
      <c r="AD284" s="372"/>
      <c r="AE284" s="270"/>
      <c r="AF284" s="270"/>
      <c r="AG284" s="270"/>
      <c r="AH284" s="350"/>
      <c r="AI284" s="365"/>
      <c r="AJ284" s="330"/>
      <c r="AK284" s="330"/>
      <c r="AL284" s="330"/>
      <c r="AM284" s="330"/>
    </row>
    <row r="285" spans="1:39" s="348" customFormat="1" x14ac:dyDescent="0.2">
      <c r="A285" s="423">
        <f t="shared" si="60"/>
        <v>280</v>
      </c>
      <c r="B285" s="721" t="s">
        <v>7357</v>
      </c>
      <c r="C285" s="771">
        <v>521909</v>
      </c>
      <c r="D285" s="771" t="s">
        <v>686</v>
      </c>
      <c r="E285" s="771" t="s">
        <v>2953</v>
      </c>
      <c r="F285" s="546">
        <v>2017</v>
      </c>
      <c r="G285" s="772">
        <v>43029</v>
      </c>
      <c r="H285" s="771" t="s">
        <v>1207</v>
      </c>
      <c r="I285" s="771" t="s">
        <v>7089</v>
      </c>
      <c r="J285" s="712"/>
      <c r="K285" s="771" t="s">
        <v>7091</v>
      </c>
      <c r="L285" s="771" t="s">
        <v>7090</v>
      </c>
      <c r="M285" s="773">
        <v>436724.14</v>
      </c>
      <c r="N285" s="773">
        <v>0</v>
      </c>
      <c r="O285" s="773">
        <v>8275.86</v>
      </c>
      <c r="P285" s="773">
        <v>445000</v>
      </c>
      <c r="Q285" s="548"/>
      <c r="R285" s="773">
        <v>385000</v>
      </c>
      <c r="S285" s="549">
        <f t="shared" si="61"/>
        <v>60000</v>
      </c>
      <c r="T285" s="113" t="s">
        <v>263</v>
      </c>
      <c r="U285" s="370"/>
      <c r="V285" s="370"/>
      <c r="W285" s="375"/>
      <c r="X285" s="374"/>
      <c r="Y285" s="370"/>
      <c r="Z285" s="371"/>
      <c r="AA285" s="371"/>
      <c r="AB285" s="744"/>
      <c r="AC285" s="270"/>
      <c r="AD285" s="372"/>
      <c r="AE285" s="270"/>
      <c r="AF285" s="270"/>
      <c r="AG285" s="270"/>
      <c r="AH285" s="350"/>
      <c r="AI285" s="365"/>
      <c r="AJ285" s="330"/>
      <c r="AK285" s="330"/>
      <c r="AL285" s="330"/>
      <c r="AM285" s="330"/>
    </row>
    <row r="286" spans="1:39" s="348" customFormat="1" x14ac:dyDescent="0.2">
      <c r="A286" s="423">
        <f t="shared" si="60"/>
        <v>281</v>
      </c>
      <c r="B286" s="721" t="s">
        <v>7358</v>
      </c>
      <c r="C286" s="771">
        <v>521909</v>
      </c>
      <c r="D286" s="771" t="s">
        <v>686</v>
      </c>
      <c r="E286" s="771" t="s">
        <v>2953</v>
      </c>
      <c r="F286" s="546">
        <v>2017</v>
      </c>
      <c r="G286" s="772">
        <v>43029</v>
      </c>
      <c r="H286" s="771" t="s">
        <v>1207</v>
      </c>
      <c r="I286" s="771" t="s">
        <v>7089</v>
      </c>
      <c r="J286" s="712"/>
      <c r="K286" s="771" t="s">
        <v>7091</v>
      </c>
      <c r="L286" s="771" t="s">
        <v>7090</v>
      </c>
      <c r="M286" s="773">
        <v>436724.14</v>
      </c>
      <c r="N286" s="773">
        <v>0</v>
      </c>
      <c r="O286" s="773">
        <v>8275.86</v>
      </c>
      <c r="P286" s="773">
        <v>445000</v>
      </c>
      <c r="Q286" s="548"/>
      <c r="R286" s="773">
        <v>385000</v>
      </c>
      <c r="S286" s="549">
        <f t="shared" si="61"/>
        <v>60000</v>
      </c>
      <c r="T286" s="113" t="s">
        <v>263</v>
      </c>
      <c r="U286" s="370"/>
      <c r="V286" s="370"/>
      <c r="W286" s="375"/>
      <c r="X286" s="374"/>
      <c r="Y286" s="370"/>
      <c r="Z286" s="371"/>
      <c r="AA286" s="371"/>
      <c r="AB286" s="744"/>
      <c r="AC286" s="270"/>
      <c r="AD286" s="372"/>
      <c r="AE286" s="270"/>
      <c r="AF286" s="270"/>
      <c r="AG286" s="270"/>
      <c r="AH286" s="350"/>
      <c r="AI286" s="365"/>
      <c r="AJ286" s="330"/>
      <c r="AK286" s="330"/>
      <c r="AL286" s="330"/>
      <c r="AM286" s="330"/>
    </row>
    <row r="287" spans="1:39" s="348" customFormat="1" x14ac:dyDescent="0.2">
      <c r="A287" s="423">
        <f t="shared" si="60"/>
        <v>282</v>
      </c>
      <c r="B287" s="721" t="s">
        <v>7359</v>
      </c>
      <c r="C287" s="771">
        <v>1520604</v>
      </c>
      <c r="D287" s="771" t="s">
        <v>686</v>
      </c>
      <c r="E287" s="771" t="s">
        <v>2953</v>
      </c>
      <c r="F287" s="546">
        <v>2017</v>
      </c>
      <c r="G287" s="772">
        <v>43029</v>
      </c>
      <c r="H287" s="771" t="s">
        <v>1211</v>
      </c>
      <c r="I287" s="771" t="s">
        <v>7092</v>
      </c>
      <c r="J287" s="712"/>
      <c r="K287" s="771" t="s">
        <v>7093</v>
      </c>
      <c r="L287" s="771" t="s">
        <v>3337</v>
      </c>
      <c r="M287" s="773">
        <v>318103.45</v>
      </c>
      <c r="N287" s="773">
        <v>0</v>
      </c>
      <c r="O287" s="773">
        <v>6896.55</v>
      </c>
      <c r="P287" s="773">
        <v>325000</v>
      </c>
      <c r="Q287" s="548"/>
      <c r="R287" s="773">
        <v>275000</v>
      </c>
      <c r="S287" s="549">
        <f t="shared" si="61"/>
        <v>50000</v>
      </c>
      <c r="T287" s="113" t="s">
        <v>263</v>
      </c>
      <c r="U287" s="370"/>
      <c r="V287" s="370"/>
      <c r="W287" s="375"/>
      <c r="X287" s="374"/>
      <c r="Y287" s="370"/>
      <c r="Z287" s="371"/>
      <c r="AA287" s="371"/>
      <c r="AB287" s="744"/>
      <c r="AC287" s="270"/>
      <c r="AD287" s="372"/>
      <c r="AE287" s="270"/>
      <c r="AF287" s="270"/>
      <c r="AG287" s="270"/>
      <c r="AH287" s="350"/>
      <c r="AI287" s="365"/>
      <c r="AJ287" s="330"/>
      <c r="AK287" s="330"/>
      <c r="AL287" s="330"/>
      <c r="AM287" s="330"/>
    </row>
    <row r="288" spans="1:39" s="348" customFormat="1" x14ac:dyDescent="0.2">
      <c r="A288" s="423">
        <f t="shared" si="60"/>
        <v>283</v>
      </c>
      <c r="B288" s="721" t="s">
        <v>7360</v>
      </c>
      <c r="C288" s="771">
        <v>520110</v>
      </c>
      <c r="D288" s="771" t="s">
        <v>686</v>
      </c>
      <c r="E288" s="771" t="s">
        <v>2953</v>
      </c>
      <c r="F288" s="546">
        <v>2017</v>
      </c>
      <c r="G288" s="772">
        <v>43035</v>
      </c>
      <c r="H288" s="771" t="s">
        <v>1207</v>
      </c>
      <c r="I288" s="771" t="s">
        <v>7094</v>
      </c>
      <c r="J288" s="712"/>
      <c r="K288" s="771" t="s">
        <v>7096</v>
      </c>
      <c r="L288" s="771" t="s">
        <v>7095</v>
      </c>
      <c r="M288" s="773">
        <v>172413.79</v>
      </c>
      <c r="N288" s="773">
        <v>0</v>
      </c>
      <c r="O288" s="773">
        <v>27586.21</v>
      </c>
      <c r="P288" s="773">
        <v>200000</v>
      </c>
      <c r="Q288" s="548"/>
      <c r="R288" s="773">
        <v>137931.04</v>
      </c>
      <c r="S288" s="549">
        <f t="shared" si="61"/>
        <v>62068.959999999992</v>
      </c>
      <c r="T288" s="113" t="s">
        <v>263</v>
      </c>
      <c r="U288" s="370"/>
      <c r="V288" s="370"/>
      <c r="W288" s="375"/>
      <c r="X288" s="374"/>
      <c r="Y288" s="370"/>
      <c r="Z288" s="371"/>
      <c r="AA288" s="371"/>
      <c r="AB288" s="744"/>
      <c r="AC288" s="270"/>
      <c r="AD288" s="372"/>
      <c r="AE288" s="270"/>
      <c r="AF288" s="270"/>
      <c r="AG288" s="270"/>
      <c r="AH288" s="350"/>
      <c r="AI288" s="365"/>
      <c r="AJ288" s="330"/>
      <c r="AK288" s="330"/>
      <c r="AL288" s="330"/>
      <c r="AM288" s="330"/>
    </row>
    <row r="289" spans="1:41" s="348" customFormat="1" x14ac:dyDescent="0.2">
      <c r="A289" s="423">
        <f t="shared" si="60"/>
        <v>284</v>
      </c>
      <c r="B289" s="721" t="s">
        <v>7361</v>
      </c>
      <c r="C289" s="771">
        <v>520220</v>
      </c>
      <c r="D289" s="771" t="s">
        <v>686</v>
      </c>
      <c r="E289" s="771" t="s">
        <v>2953</v>
      </c>
      <c r="F289" s="546">
        <v>2017</v>
      </c>
      <c r="G289" s="772">
        <v>43039</v>
      </c>
      <c r="H289" s="771" t="s">
        <v>912</v>
      </c>
      <c r="I289" s="771" t="s">
        <v>7097</v>
      </c>
      <c r="J289" s="712"/>
      <c r="K289" s="771" t="s">
        <v>7099</v>
      </c>
      <c r="L289" s="771" t="s">
        <v>7098</v>
      </c>
      <c r="M289" s="773">
        <v>235862.07</v>
      </c>
      <c r="N289" s="773">
        <v>0</v>
      </c>
      <c r="O289" s="773">
        <v>4137.93</v>
      </c>
      <c r="P289" s="773">
        <v>240000</v>
      </c>
      <c r="Q289" s="548"/>
      <c r="R289" s="773">
        <v>210000</v>
      </c>
      <c r="S289" s="549">
        <f t="shared" si="61"/>
        <v>30000</v>
      </c>
      <c r="T289" s="113" t="s">
        <v>263</v>
      </c>
      <c r="U289" s="370"/>
      <c r="V289" s="370"/>
      <c r="W289" s="375"/>
      <c r="X289" s="374"/>
      <c r="Y289" s="370"/>
      <c r="Z289" s="371"/>
      <c r="AA289" s="371"/>
      <c r="AB289" s="744"/>
      <c r="AC289" s="270"/>
      <c r="AD289" s="372"/>
      <c r="AE289" s="270"/>
      <c r="AF289" s="270"/>
      <c r="AG289" s="270"/>
      <c r="AH289" s="350"/>
      <c r="AI289" s="365"/>
      <c r="AJ289" s="330"/>
      <c r="AK289" s="330"/>
      <c r="AL289" s="330"/>
      <c r="AM289" s="330"/>
    </row>
    <row r="290" spans="1:41" s="348" customFormat="1" x14ac:dyDescent="0.2">
      <c r="A290" s="423"/>
      <c r="B290" s="657"/>
      <c r="C290" s="655"/>
      <c r="D290" s="658"/>
      <c r="E290" s="655"/>
      <c r="F290" s="546"/>
      <c r="G290" s="659"/>
      <c r="H290" s="655"/>
      <c r="I290" s="655"/>
      <c r="J290" s="712"/>
      <c r="K290" s="655"/>
      <c r="L290" s="655"/>
      <c r="M290" s="660"/>
      <c r="N290" s="660"/>
      <c r="O290" s="660"/>
      <c r="P290" s="660"/>
      <c r="Q290" s="548"/>
      <c r="R290" s="660"/>
      <c r="S290" s="549"/>
      <c r="T290" s="113"/>
      <c r="U290" s="370"/>
      <c r="V290" s="370"/>
      <c r="W290" s="375"/>
      <c r="X290" s="374"/>
      <c r="Y290" s="370"/>
      <c r="Z290" s="371"/>
      <c r="AA290" s="371"/>
      <c r="AB290" s="744"/>
      <c r="AC290" s="270"/>
      <c r="AD290" s="372"/>
      <c r="AE290" s="270"/>
      <c r="AF290" s="270"/>
      <c r="AG290" s="270"/>
      <c r="AH290" s="350"/>
      <c r="AI290" s="365"/>
      <c r="AJ290" s="330"/>
      <c r="AK290" s="330"/>
      <c r="AL290" s="330"/>
      <c r="AM290" s="330"/>
    </row>
    <row r="291" spans="1:41" s="53" customFormat="1" ht="13.5" thickBot="1" x14ac:dyDescent="0.25">
      <c r="A291" s="48"/>
      <c r="B291" s="557"/>
      <c r="C291" s="558"/>
      <c r="D291" s="558"/>
      <c r="E291" s="559"/>
      <c r="F291" s="559"/>
      <c r="G291" s="560"/>
      <c r="H291" s="559"/>
      <c r="I291" s="559"/>
      <c r="J291" s="559"/>
      <c r="K291" s="559"/>
      <c r="L291" s="559"/>
      <c r="M291" s="561"/>
      <c r="N291" s="561"/>
      <c r="O291" s="561"/>
      <c r="P291" s="561"/>
      <c r="Q291" s="561"/>
      <c r="R291" s="561"/>
      <c r="S291" s="562"/>
      <c r="T291" s="13"/>
      <c r="V291" s="116"/>
      <c r="W291" s="757"/>
      <c r="X291" s="382"/>
      <c r="Y291" s="441"/>
      <c r="Z291" s="438"/>
      <c r="AA291" s="439"/>
      <c r="AB291" s="715"/>
      <c r="AC291" s="396"/>
      <c r="AD291" s="425"/>
      <c r="AE291" s="440"/>
      <c r="AF291" s="439"/>
      <c r="AG291" s="396"/>
      <c r="AH291" s="346"/>
      <c r="AI291" s="313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592"/>
      <c r="C292" s="593"/>
      <c r="D292" s="593"/>
      <c r="E292" s="593"/>
      <c r="F292" s="594"/>
      <c r="G292" s="595"/>
      <c r="H292" s="596"/>
      <c r="I292" s="597"/>
      <c r="J292" s="598"/>
      <c r="K292" s="598"/>
      <c r="L292" s="594"/>
      <c r="M292" s="599"/>
      <c r="N292" s="600"/>
      <c r="O292" s="601"/>
      <c r="P292" s="601"/>
      <c r="Q292" s="601"/>
      <c r="R292" s="602"/>
      <c r="S292" s="603"/>
      <c r="T292" s="13"/>
      <c r="V292" s="116"/>
      <c r="W292" s="757"/>
      <c r="X292" s="271"/>
      <c r="Y292" s="441"/>
      <c r="Z292" s="476"/>
      <c r="AA292" s="472"/>
      <c r="AB292" s="473"/>
      <c r="AC292" s="474"/>
      <c r="AD292" s="436"/>
      <c r="AE292" s="431"/>
      <c r="AF292" s="431"/>
      <c r="AG292" s="440"/>
      <c r="AH292" s="270"/>
      <c r="AI292" s="313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604"/>
      <c r="C293" s="262"/>
      <c r="D293" s="262"/>
      <c r="E293" s="129"/>
      <c r="F293" s="40"/>
      <c r="G293" s="81"/>
      <c r="H293" s="254"/>
      <c r="I293" s="90"/>
      <c r="J293" s="90"/>
      <c r="K293" s="90"/>
      <c r="L293" s="40"/>
      <c r="M293" s="209">
        <f t="shared" ref="M293:S293" si="62">SUM(M6:M291)</f>
        <v>44123664.450000003</v>
      </c>
      <c r="N293" s="209">
        <f t="shared" si="62"/>
        <v>1017242.5999999995</v>
      </c>
      <c r="O293" s="209">
        <f t="shared" si="62"/>
        <v>6616305.1199999982</v>
      </c>
      <c r="P293" s="209">
        <f t="shared" si="62"/>
        <v>51757212.170000002</v>
      </c>
      <c r="Q293" s="209">
        <f t="shared" si="62"/>
        <v>0</v>
      </c>
      <c r="R293" s="209">
        <f t="shared" si="62"/>
        <v>41318923.43999999</v>
      </c>
      <c r="S293" s="605">
        <f t="shared" si="62"/>
        <v>10438288.73000001</v>
      </c>
      <c r="T293" s="13"/>
      <c r="V293" s="93"/>
      <c r="W293" s="267"/>
      <c r="X293" s="271"/>
      <c r="Y293" s="271"/>
      <c r="Z293" s="476"/>
      <c r="AA293" s="472"/>
      <c r="AB293" s="473"/>
      <c r="AC293" s="474"/>
      <c r="AD293" s="425"/>
      <c r="AE293" s="424"/>
      <c r="AF293" s="424"/>
      <c r="AG293" s="346"/>
      <c r="AH293" s="270"/>
      <c r="AI293" s="313"/>
      <c r="AJ293" s="21"/>
      <c r="AK293" s="21"/>
      <c r="AL293" s="21"/>
      <c r="AM293" s="21"/>
      <c r="AN293" s="21"/>
      <c r="AO293" s="21"/>
    </row>
    <row r="294" spans="1:41" s="53" customFormat="1" ht="13.5" thickBot="1" x14ac:dyDescent="0.25">
      <c r="A294" s="48"/>
      <c r="B294" s="606"/>
      <c r="C294" s="607"/>
      <c r="D294" s="607"/>
      <c r="E294" s="607"/>
      <c r="F294" s="608"/>
      <c r="G294" s="609"/>
      <c r="H294" s="610"/>
      <c r="I294" s="611"/>
      <c r="J294" s="612"/>
      <c r="K294" s="612"/>
      <c r="L294" s="608"/>
      <c r="M294" s="613"/>
      <c r="N294" s="614"/>
      <c r="O294" s="615"/>
      <c r="P294" s="615"/>
      <c r="Q294" s="615"/>
      <c r="R294" s="616"/>
      <c r="S294" s="617"/>
      <c r="T294" s="13"/>
      <c r="V294" s="429"/>
      <c r="W294" s="426"/>
      <c r="X294" s="382"/>
      <c r="Y294" s="442"/>
      <c r="Z294" s="476"/>
      <c r="AA294" s="472"/>
      <c r="AB294" s="473"/>
      <c r="AC294" s="474"/>
      <c r="AD294" s="443"/>
      <c r="AE294" s="439"/>
      <c r="AF294" s="439"/>
      <c r="AG294" s="291"/>
      <c r="AH294" s="270"/>
      <c r="AI294" s="313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05"/>
      <c r="C295" s="233"/>
      <c r="D295" s="233"/>
      <c r="E295" s="113"/>
      <c r="F295" s="48"/>
      <c r="G295" s="49"/>
      <c r="H295" s="256"/>
      <c r="I295" s="133"/>
      <c r="J295" s="117"/>
      <c r="K295" s="133" t="s">
        <v>37</v>
      </c>
      <c r="L295" s="8" t="s">
        <v>75</v>
      </c>
      <c r="M295" s="410">
        <v>25450497.899999999</v>
      </c>
      <c r="N295" s="326">
        <f>+N293</f>
        <v>1017242.5999999995</v>
      </c>
      <c r="O295" s="201"/>
      <c r="P295" s="279"/>
      <c r="Q295" s="201"/>
      <c r="R295" s="326">
        <v>27364079.710000001</v>
      </c>
      <c r="S295" s="201">
        <f>SUM(R6:R208)+SUM(Q306:Q307)-R296+Q1</f>
        <v>20069074.769999996</v>
      </c>
      <c r="T295" s="13"/>
      <c r="V295" s="331"/>
      <c r="W295" s="331"/>
      <c r="X295" s="331"/>
      <c r="Y295" s="331"/>
      <c r="Z295" s="759"/>
      <c r="AA295" s="472"/>
      <c r="AB295" s="473"/>
      <c r="AC295" s="474"/>
      <c r="AD295" s="331"/>
      <c r="AE295" s="331"/>
      <c r="AF295" s="351"/>
      <c r="AG295" s="351"/>
      <c r="AH295" s="270"/>
      <c r="AI295" s="313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05"/>
      <c r="C296" s="233"/>
      <c r="D296" s="233"/>
      <c r="E296" s="113"/>
      <c r="F296" s="48"/>
      <c r="G296" s="49"/>
      <c r="H296" s="256"/>
      <c r="I296" s="133"/>
      <c r="J296" s="117"/>
      <c r="K296" s="133" t="s">
        <v>74</v>
      </c>
      <c r="L296" s="8" t="s">
        <v>75</v>
      </c>
      <c r="M296" s="410">
        <v>14085890.699999999</v>
      </c>
      <c r="N296" s="326"/>
      <c r="O296" s="201"/>
      <c r="P296" s="279"/>
      <c r="Q296" s="201"/>
      <c r="R296" s="326">
        <v>7522946.3200000003</v>
      </c>
      <c r="S296" s="285"/>
      <c r="T296" s="13"/>
      <c r="V296" s="330"/>
      <c r="W296" s="330"/>
      <c r="X296" s="330"/>
      <c r="Y296" s="330"/>
      <c r="Z296" s="758"/>
      <c r="AA296" s="480"/>
      <c r="AB296" s="473"/>
      <c r="AC296" s="472"/>
      <c r="AD296" s="330"/>
      <c r="AE296" s="330"/>
      <c r="AF296" s="348"/>
      <c r="AG296" s="348"/>
      <c r="AH296" s="346"/>
      <c r="AI296" s="363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06"/>
      <c r="C297" s="233"/>
      <c r="D297" s="233"/>
      <c r="E297" s="113"/>
      <c r="F297" s="48"/>
      <c r="G297" s="49"/>
      <c r="H297" s="256"/>
      <c r="I297" s="133"/>
      <c r="J297" s="117"/>
      <c r="K297" s="133" t="s">
        <v>38</v>
      </c>
      <c r="L297" s="8" t="s">
        <v>75</v>
      </c>
      <c r="M297" s="410">
        <v>4587275.8499999996</v>
      </c>
      <c r="N297" s="201"/>
      <c r="O297" s="201"/>
      <c r="P297" s="279"/>
      <c r="Q297" s="332">
        <f>72*360</f>
        <v>25920</v>
      </c>
      <c r="R297" s="326">
        <v>5857317.5899999999</v>
      </c>
      <c r="S297" s="201" t="e">
        <f>SUM(#REF!)</f>
        <v>#REF!</v>
      </c>
      <c r="T297" s="13"/>
      <c r="U297" s="369"/>
      <c r="V297" s="370"/>
      <c r="W297" s="375"/>
      <c r="X297" s="375"/>
      <c r="Y297" s="375"/>
      <c r="Z297" s="376"/>
      <c r="AA297" s="371"/>
      <c r="AB297" s="744"/>
      <c r="AC297" s="371"/>
      <c r="AD297" s="372"/>
      <c r="AE297" s="371"/>
      <c r="AF297" s="371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x14ac:dyDescent="0.2">
      <c r="A298" s="48"/>
      <c r="B298" s="306"/>
      <c r="C298" s="233"/>
      <c r="D298" s="233"/>
      <c r="E298" s="113"/>
      <c r="F298" s="48"/>
      <c r="G298" s="49"/>
      <c r="H298" s="256"/>
      <c r="I298" s="133"/>
      <c r="J298" s="117"/>
      <c r="K298" s="117"/>
      <c r="L298" s="8"/>
      <c r="M298" s="326"/>
      <c r="N298" s="326"/>
      <c r="O298" s="326"/>
      <c r="P298" s="327"/>
      <c r="Q298" s="327"/>
      <c r="R298" s="400">
        <v>8200735.7800000003</v>
      </c>
      <c r="S298" s="401"/>
      <c r="T298" s="380"/>
      <c r="U298" s="369"/>
      <c r="V298" s="370"/>
      <c r="W298" s="375"/>
      <c r="X298" s="375"/>
      <c r="Y298" s="375"/>
      <c r="Z298" s="376"/>
      <c r="AA298" s="371"/>
      <c r="AB298" s="744"/>
      <c r="AC298" s="371"/>
      <c r="AD298" s="372"/>
      <c r="AE298" s="371"/>
      <c r="AF298" s="371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x14ac:dyDescent="0.2">
      <c r="A299" s="48"/>
      <c r="B299" s="306"/>
      <c r="C299" s="233"/>
      <c r="D299" s="233"/>
      <c r="E299" s="113"/>
      <c r="F299" s="48"/>
      <c r="G299" s="49"/>
      <c r="H299" s="256"/>
      <c r="I299" s="133"/>
      <c r="J299" s="117"/>
      <c r="K299" s="117"/>
      <c r="L299" s="8"/>
      <c r="M299" s="258">
        <v>0</v>
      </c>
      <c r="N299" s="258"/>
      <c r="O299" s="258"/>
      <c r="P299" s="280"/>
      <c r="Q299" s="280"/>
      <c r="R299" s="400">
        <v>604</v>
      </c>
      <c r="S299" s="401"/>
      <c r="T299" s="13"/>
      <c r="U299" s="320"/>
      <c r="V299" s="354"/>
      <c r="W299" s="355"/>
      <c r="X299" s="355"/>
      <c r="Y299" s="355"/>
      <c r="Z299" s="356"/>
      <c r="AA299" s="328"/>
      <c r="AB299" s="744"/>
      <c r="AC299" s="328"/>
      <c r="AD299" s="333"/>
      <c r="AE299" s="328"/>
      <c r="AF299" s="328"/>
      <c r="AG299" s="346"/>
      <c r="AH299" s="347"/>
      <c r="AI299" s="363"/>
      <c r="AJ299" s="21"/>
      <c r="AK299" s="21"/>
      <c r="AL299" s="21"/>
      <c r="AM299" s="21"/>
      <c r="AN299" s="21"/>
      <c r="AO299" s="21"/>
    </row>
    <row r="300" spans="1:41" s="53" customFormat="1" x14ac:dyDescent="0.2">
      <c r="A300" s="48"/>
      <c r="B300" s="306"/>
      <c r="C300" s="233"/>
      <c r="D300" s="233"/>
      <c r="E300" s="113"/>
      <c r="F300" s="48"/>
      <c r="G300" s="51"/>
      <c r="H300" s="257"/>
      <c r="I300" s="133"/>
      <c r="J300" s="117"/>
      <c r="K300" s="117"/>
      <c r="L300" s="8"/>
      <c r="M300" s="204">
        <f>SUM(M295:M299)</f>
        <v>44123664.449999996</v>
      </c>
      <c r="N300" s="204">
        <f>SUM(N295:N299)</f>
        <v>1017242.5999999995</v>
      </c>
      <c r="O300" s="204"/>
      <c r="P300" s="204"/>
      <c r="Q300" s="204">
        <f>+Q293-Q295</f>
        <v>0</v>
      </c>
      <c r="R300" s="402">
        <f>+SUM(R295:R299)</f>
        <v>48945683.400000006</v>
      </c>
      <c r="S300" s="285"/>
      <c r="T300" s="13"/>
      <c r="U300" s="369"/>
      <c r="V300" s="370"/>
      <c r="W300" s="375"/>
      <c r="X300" s="375"/>
      <c r="Y300" s="375"/>
      <c r="Z300" s="376"/>
      <c r="AA300" s="371"/>
      <c r="AB300" s="744"/>
      <c r="AC300" s="371"/>
      <c r="AD300" s="372"/>
      <c r="AE300" s="371"/>
      <c r="AF300" s="371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x14ac:dyDescent="0.2">
      <c r="A301" s="48"/>
      <c r="B301" s="306"/>
      <c r="C301" s="233"/>
      <c r="D301" s="233"/>
      <c r="E301" s="113"/>
      <c r="F301" s="48"/>
      <c r="G301" s="49"/>
      <c r="H301" s="256"/>
      <c r="I301" s="116"/>
      <c r="J301" s="117"/>
      <c r="K301" s="117"/>
      <c r="L301" s="8"/>
      <c r="M301" s="403"/>
      <c r="N301" s="201"/>
      <c r="O301" s="202"/>
      <c r="P301" s="200"/>
      <c r="Q301" s="200"/>
      <c r="R301" s="52"/>
      <c r="S301" s="285"/>
      <c r="T301" s="13"/>
      <c r="U301" s="369"/>
      <c r="V301" s="370"/>
      <c r="W301" s="375"/>
      <c r="X301" s="375"/>
      <c r="Y301" s="375"/>
      <c r="Z301" s="376"/>
      <c r="AA301" s="371"/>
      <c r="AB301" s="744"/>
      <c r="AC301" s="371"/>
      <c r="AD301" s="372"/>
      <c r="AE301" s="371"/>
      <c r="AF301" s="371"/>
      <c r="AG301" s="270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x14ac:dyDescent="0.2">
      <c r="A302" s="48"/>
      <c r="B302" s="306"/>
      <c r="C302" s="233"/>
      <c r="D302" s="233"/>
      <c r="E302" s="113"/>
      <c r="F302" s="48"/>
      <c r="G302" s="49"/>
      <c r="H302" s="256"/>
      <c r="I302" s="116"/>
      <c r="J302" s="117"/>
      <c r="K302" s="117"/>
      <c r="L302" s="8" t="s">
        <v>40</v>
      </c>
      <c r="M302" s="404">
        <f>+M293-M300</f>
        <v>0</v>
      </c>
      <c r="N302" s="404"/>
      <c r="O302" s="202"/>
      <c r="P302" s="200"/>
      <c r="Q302" s="200"/>
      <c r="R302" s="52"/>
      <c r="S302" s="285"/>
      <c r="T302" s="13"/>
      <c r="U302" s="369"/>
      <c r="V302" s="370"/>
      <c r="W302" s="375"/>
      <c r="X302" s="375"/>
      <c r="Y302" s="375"/>
      <c r="Z302" s="376"/>
      <c r="AA302" s="371"/>
      <c r="AB302" s="744"/>
      <c r="AC302" s="371"/>
      <c r="AD302" s="372"/>
      <c r="AE302" s="371"/>
      <c r="AF302" s="371"/>
      <c r="AG302" s="270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x14ac:dyDescent="0.2">
      <c r="A303" s="48"/>
      <c r="B303" s="369"/>
      <c r="C303" s="375"/>
      <c r="D303" s="374"/>
      <c r="E303" s="374"/>
      <c r="F303" s="374"/>
      <c r="G303" s="414"/>
      <c r="H303" s="415"/>
      <c r="I303" s="374"/>
      <c r="J303" s="374"/>
      <c r="K303" s="374"/>
      <c r="L303" s="374"/>
      <c r="M303" s="396"/>
      <c r="N303" s="396"/>
      <c r="O303" s="396"/>
      <c r="P303" s="396"/>
      <c r="Q303" s="401"/>
      <c r="R303" s="405"/>
      <c r="S303" s="406"/>
      <c r="T303" s="13"/>
      <c r="U303" s="369"/>
      <c r="V303" s="370"/>
      <c r="W303" s="375"/>
      <c r="X303" s="375"/>
      <c r="Y303" s="375"/>
      <c r="Z303" s="376"/>
      <c r="AA303" s="371"/>
      <c r="AB303" s="744"/>
      <c r="AC303" s="371"/>
      <c r="AD303" s="372"/>
      <c r="AE303" s="371"/>
      <c r="AF303" s="371"/>
      <c r="AG303" s="270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x14ac:dyDescent="0.2">
      <c r="A304" s="48"/>
      <c r="B304" s="369"/>
      <c r="C304" s="375"/>
      <c r="D304" s="374"/>
      <c r="E304" s="374"/>
      <c r="F304" s="374"/>
      <c r="G304" s="414"/>
      <c r="H304" s="318"/>
      <c r="I304" s="374"/>
      <c r="J304" s="374"/>
      <c r="K304" s="374"/>
      <c r="L304" s="374"/>
      <c r="M304" s="396"/>
      <c r="N304" s="396"/>
      <c r="O304" s="396"/>
      <c r="P304" s="396"/>
      <c r="Q304" s="97"/>
      <c r="R304" s="407"/>
      <c r="S304" s="94"/>
      <c r="T304" s="13"/>
      <c r="U304" s="320"/>
      <c r="V304" s="354"/>
      <c r="W304" s="355"/>
      <c r="X304" s="355"/>
      <c r="Y304" s="355"/>
      <c r="Z304" s="356"/>
      <c r="AA304" s="328"/>
      <c r="AB304" s="744"/>
      <c r="AC304" s="328"/>
      <c r="AD304" s="333"/>
      <c r="AE304" s="328"/>
      <c r="AF304" s="328"/>
      <c r="AG304" s="346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x14ac:dyDescent="0.2">
      <c r="A305" s="48"/>
      <c r="B305" s="369"/>
      <c r="C305" s="375"/>
      <c r="D305" s="374"/>
      <c r="E305" s="374"/>
      <c r="F305" s="374"/>
      <c r="G305" s="414"/>
      <c r="H305" s="318"/>
      <c r="I305" s="374"/>
      <c r="J305" s="374"/>
      <c r="K305" s="374"/>
      <c r="L305" s="297"/>
      <c r="M305" s="396"/>
      <c r="N305" s="396"/>
      <c r="O305" s="396"/>
      <c r="P305" s="396"/>
      <c r="Q305" s="21"/>
      <c r="R305" s="408"/>
      <c r="S305" s="94"/>
      <c r="T305" s="13"/>
      <c r="U305" s="320"/>
      <c r="V305" s="354"/>
      <c r="W305" s="355"/>
      <c r="X305" s="355"/>
      <c r="Y305" s="355"/>
      <c r="Z305" s="356"/>
      <c r="AA305" s="328"/>
      <c r="AB305" s="744"/>
      <c r="AC305" s="328"/>
      <c r="AD305" s="333"/>
      <c r="AE305" s="328"/>
      <c r="AF305" s="328"/>
      <c r="AG305" s="346"/>
      <c r="AH305" s="347"/>
      <c r="AI305" s="363"/>
      <c r="AJ305" s="21"/>
      <c r="AK305" s="21"/>
      <c r="AL305" s="21"/>
      <c r="AM305" s="21"/>
      <c r="AN305" s="21"/>
      <c r="AO305" s="21"/>
    </row>
    <row r="306" spans="1:41" s="53" customFormat="1" x14ac:dyDescent="0.2">
      <c r="A306" s="48"/>
      <c r="B306" s="369"/>
      <c r="C306" s="375"/>
      <c r="D306" s="374"/>
      <c r="E306" s="374"/>
      <c r="F306" s="374"/>
      <c r="G306" s="414"/>
      <c r="H306" s="415"/>
      <c r="I306" s="291"/>
      <c r="J306" s="291"/>
      <c r="K306" s="374"/>
      <c r="L306" s="416"/>
      <c r="M306" s="403"/>
      <c r="N306" s="396"/>
      <c r="O306" s="396"/>
      <c r="P306" s="409"/>
      <c r="Q306" s="50"/>
      <c r="R306" s="407"/>
      <c r="S306" s="97"/>
      <c r="T306" s="13"/>
      <c r="U306" s="369"/>
      <c r="V306" s="370"/>
      <c r="W306" s="375"/>
      <c r="X306" s="375"/>
      <c r="Y306" s="375"/>
      <c r="Z306" s="376"/>
      <c r="AA306" s="371"/>
      <c r="AB306" s="744"/>
      <c r="AC306" s="371"/>
      <c r="AD306" s="372"/>
      <c r="AE306" s="371"/>
      <c r="AF306" s="371"/>
      <c r="AG306" s="270"/>
      <c r="AH306" s="347"/>
      <c r="AI306" s="363"/>
      <c r="AJ306" s="21"/>
      <c r="AK306" s="21"/>
      <c r="AL306" s="21"/>
      <c r="AM306" s="21"/>
      <c r="AN306" s="21"/>
      <c r="AO306" s="21"/>
    </row>
    <row r="307" spans="1:41" s="53" customFormat="1" x14ac:dyDescent="0.2">
      <c r="A307" s="48"/>
      <c r="B307" s="369"/>
      <c r="C307" s="375"/>
      <c r="D307" s="374"/>
      <c r="E307" s="374"/>
      <c r="F307" s="374"/>
      <c r="G307" s="414"/>
      <c r="H307" s="415"/>
      <c r="I307" s="291"/>
      <c r="J307" s="291"/>
      <c r="K307" s="374"/>
      <c r="L307" s="377"/>
      <c r="M307" s="416"/>
      <c r="N307" s="270"/>
      <c r="O307" s="270"/>
      <c r="P307" s="296"/>
      <c r="Q307" s="78"/>
      <c r="S307" s="319"/>
      <c r="T307" s="13"/>
      <c r="U307" s="369"/>
      <c r="V307" s="370"/>
      <c r="W307" s="375"/>
      <c r="X307" s="375"/>
      <c r="Y307" s="375"/>
      <c r="Z307" s="376"/>
      <c r="AA307" s="371"/>
      <c r="AB307" s="744"/>
      <c r="AC307" s="371"/>
      <c r="AD307" s="372"/>
      <c r="AE307" s="371"/>
      <c r="AF307" s="371"/>
      <c r="AG307" s="270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69"/>
      <c r="C308" s="375"/>
      <c r="D308" s="374"/>
      <c r="E308" s="374"/>
      <c r="F308" s="374"/>
      <c r="G308" s="414"/>
      <c r="H308" s="415"/>
      <c r="I308" s="291"/>
      <c r="J308" s="291"/>
      <c r="K308" s="374"/>
      <c r="L308" s="291"/>
      <c r="M308" s="291"/>
      <c r="N308" s="270"/>
      <c r="O308" s="270"/>
      <c r="P308" s="387"/>
      <c r="Q308" s="417"/>
      <c r="T308" s="13"/>
      <c r="U308" s="369"/>
      <c r="V308" s="370"/>
      <c r="W308" s="375"/>
      <c r="X308" s="375"/>
      <c r="Y308" s="375"/>
      <c r="Z308" s="376"/>
      <c r="AA308" s="371"/>
      <c r="AB308" s="744"/>
      <c r="AC308" s="371"/>
      <c r="AD308" s="372"/>
      <c r="AE308" s="371"/>
      <c r="AF308" s="371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69"/>
      <c r="C309" s="375"/>
      <c r="D309" s="374"/>
      <c r="E309" s="374"/>
      <c r="F309" s="374"/>
      <c r="G309" s="414"/>
      <c r="H309" s="415"/>
      <c r="I309" s="291"/>
      <c r="J309" s="291"/>
      <c r="L309" s="374"/>
      <c r="M309" s="296"/>
      <c r="N309" s="316"/>
      <c r="O309" s="367"/>
      <c r="P309" s="387"/>
      <c r="Q309" s="417"/>
      <c r="T309" s="13"/>
      <c r="U309" s="369"/>
      <c r="V309" s="370"/>
      <c r="W309" s="375"/>
      <c r="X309" s="375"/>
      <c r="Y309" s="375"/>
      <c r="Z309" s="376"/>
      <c r="AA309" s="371"/>
      <c r="AB309" s="744"/>
      <c r="AC309" s="371"/>
      <c r="AD309" s="372"/>
      <c r="AE309" s="371"/>
      <c r="AF309" s="371"/>
      <c r="AG309" s="270"/>
      <c r="AH309" s="347"/>
      <c r="AI309" s="36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69"/>
      <c r="C310" s="375"/>
      <c r="D310" s="374"/>
      <c r="E310" s="374"/>
      <c r="F310" s="374"/>
      <c r="G310" s="414"/>
      <c r="H310" s="415"/>
      <c r="I310" s="291"/>
      <c r="J310" s="291"/>
      <c r="L310" s="384"/>
      <c r="M310" s="296"/>
      <c r="N310" s="316"/>
      <c r="O310" s="270"/>
      <c r="P310" s="387"/>
      <c r="Q310" s="417"/>
      <c r="T310" s="13"/>
      <c r="U310" s="369"/>
      <c r="V310" s="370"/>
      <c r="W310" s="375"/>
      <c r="X310" s="375"/>
      <c r="Y310" s="375"/>
      <c r="Z310" s="376"/>
      <c r="AA310" s="371"/>
      <c r="AB310" s="744"/>
      <c r="AC310" s="371"/>
      <c r="AD310" s="372"/>
      <c r="AE310" s="371"/>
      <c r="AF310" s="371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69"/>
      <c r="C311" s="375"/>
      <c r="D311" s="374"/>
      <c r="E311" s="374"/>
      <c r="F311" s="374"/>
      <c r="G311" s="414"/>
      <c r="H311" s="415"/>
      <c r="I311" s="291"/>
      <c r="J311" s="291"/>
      <c r="L311" s="374"/>
      <c r="M311" s="296"/>
      <c r="N311" s="316"/>
      <c r="O311" s="270"/>
      <c r="P311" s="387"/>
      <c r="Q311" s="417"/>
      <c r="T311" s="13"/>
      <c r="U311" s="369"/>
      <c r="V311" s="370"/>
      <c r="W311" s="375"/>
      <c r="X311" s="375"/>
      <c r="Y311" s="375"/>
      <c r="Z311" s="376"/>
      <c r="AA311" s="371"/>
      <c r="AB311" s="744"/>
      <c r="AC311" s="371"/>
      <c r="AD311" s="372"/>
      <c r="AE311" s="371"/>
      <c r="AF311" s="371"/>
      <c r="AG311" s="270"/>
      <c r="AH311" s="347"/>
      <c r="AI311" s="36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69"/>
      <c r="C312" s="375"/>
      <c r="D312" s="374"/>
      <c r="E312" s="374"/>
      <c r="F312" s="374"/>
      <c r="G312" s="414"/>
      <c r="H312" s="415"/>
      <c r="I312" s="291"/>
      <c r="J312" s="291"/>
      <c r="L312" s="374"/>
      <c r="M312" s="296"/>
      <c r="N312" s="316"/>
      <c r="O312" s="270"/>
      <c r="P312" s="387"/>
      <c r="Q312" s="417"/>
      <c r="T312" s="13"/>
      <c r="U312" s="369"/>
      <c r="V312" s="370"/>
      <c r="W312" s="375"/>
      <c r="X312" s="375"/>
      <c r="Y312" s="375"/>
      <c r="Z312" s="376"/>
      <c r="AA312" s="371"/>
      <c r="AB312" s="744"/>
      <c r="AC312" s="371"/>
      <c r="AD312" s="372"/>
      <c r="AE312" s="371"/>
      <c r="AF312" s="371"/>
      <c r="AG312" s="270"/>
      <c r="AH312" s="347"/>
      <c r="AI312" s="36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69"/>
      <c r="C313" s="375"/>
      <c r="D313" s="374"/>
      <c r="E313" s="374"/>
      <c r="F313" s="374"/>
      <c r="G313" s="414"/>
      <c r="H313" s="415"/>
      <c r="I313" s="78"/>
      <c r="J313" s="291"/>
      <c r="L313" s="374"/>
      <c r="M313" s="296"/>
      <c r="N313" s="316"/>
      <c r="O313" s="270"/>
      <c r="P313" s="418"/>
      <c r="Q313" s="417"/>
      <c r="T313" s="13"/>
      <c r="U313" s="366"/>
      <c r="V313" s="354"/>
      <c r="W313" s="355"/>
      <c r="X313" s="355"/>
      <c r="Y313" s="355"/>
      <c r="Z313" s="356"/>
      <c r="AA313" s="328"/>
      <c r="AB313" s="744"/>
      <c r="AC313" s="328"/>
      <c r="AD313" s="333"/>
      <c r="AE313" s="328"/>
      <c r="AF313" s="328"/>
      <c r="AG313" s="346"/>
      <c r="AH313" s="347"/>
      <c r="AI313" s="36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69"/>
      <c r="C314" s="375"/>
      <c r="D314" s="374"/>
      <c r="E314" s="374"/>
      <c r="F314" s="374"/>
      <c r="G314" s="414"/>
      <c r="H314" s="415"/>
      <c r="I314" s="78"/>
      <c r="J314" s="291"/>
      <c r="L314" s="374"/>
      <c r="M314" s="296"/>
      <c r="N314" s="316"/>
      <c r="O314" s="270"/>
      <c r="P314" s="387"/>
      <c r="Q314" s="417"/>
      <c r="T314" s="13"/>
      <c r="U314" s="320"/>
      <c r="V314" s="354"/>
      <c r="W314" s="355"/>
      <c r="X314" s="355"/>
      <c r="Y314" s="355"/>
      <c r="Z314" s="356"/>
      <c r="AA314" s="328"/>
      <c r="AB314" s="744"/>
      <c r="AC314" s="328"/>
      <c r="AD314" s="333"/>
      <c r="AE314" s="328"/>
      <c r="AF314" s="328"/>
      <c r="AG314" s="346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69"/>
      <c r="C315" s="375"/>
      <c r="D315" s="374"/>
      <c r="E315" s="374"/>
      <c r="F315" s="374"/>
      <c r="G315" s="414"/>
      <c r="H315" s="415"/>
      <c r="I315" s="78"/>
      <c r="J315" s="291"/>
      <c r="L315" s="374"/>
      <c r="M315" s="296"/>
      <c r="N315" s="316"/>
      <c r="O315" s="270"/>
      <c r="P315" s="387"/>
      <c r="Q315" s="417"/>
      <c r="T315" s="13"/>
      <c r="U315" s="320"/>
      <c r="V315" s="354"/>
      <c r="W315" s="355"/>
      <c r="X315" s="355"/>
      <c r="Y315" s="355"/>
      <c r="Z315" s="356"/>
      <c r="AA315" s="328"/>
      <c r="AB315" s="744"/>
      <c r="AC315" s="328"/>
      <c r="AD315" s="333"/>
      <c r="AE315" s="328"/>
      <c r="AF315" s="328"/>
      <c r="AG315" s="346"/>
      <c r="AH315" s="347"/>
      <c r="AI315" s="36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69"/>
      <c r="C316" s="375"/>
      <c r="D316" s="374"/>
      <c r="E316" s="374"/>
      <c r="F316" s="374"/>
      <c r="G316" s="414"/>
      <c r="H316" s="415"/>
      <c r="I316" s="78"/>
      <c r="J316" s="291"/>
      <c r="L316" s="374"/>
      <c r="M316" s="296"/>
      <c r="N316" s="316"/>
      <c r="O316" s="377"/>
      <c r="P316" s="388"/>
      <c r="Q316" s="417"/>
      <c r="T316" s="13"/>
      <c r="U316" s="366"/>
      <c r="V316" s="354"/>
      <c r="W316" s="359"/>
      <c r="X316" s="355"/>
      <c r="Y316" s="355"/>
      <c r="Z316" s="356"/>
      <c r="AA316" s="328"/>
      <c r="AB316" s="744"/>
      <c r="AC316" s="328"/>
      <c r="AD316" s="333"/>
      <c r="AE316" s="328"/>
      <c r="AF316" s="328"/>
      <c r="AG316" s="346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7"/>
      <c r="C317" s="375"/>
      <c r="D317" s="266"/>
      <c r="E317" s="267"/>
      <c r="F317" s="93"/>
      <c r="G317" s="268"/>
      <c r="H317" s="269"/>
      <c r="I317" s="78"/>
      <c r="J317" s="271"/>
      <c r="L317" s="382"/>
      <c r="M317" s="296"/>
      <c r="N317" s="316"/>
      <c r="O317" s="419"/>
      <c r="P317" s="387"/>
      <c r="Q317" s="417"/>
      <c r="T317" s="13"/>
      <c r="U317" s="366"/>
      <c r="V317" s="354"/>
      <c r="W317" s="355"/>
      <c r="X317" s="355"/>
      <c r="Y317" s="355"/>
      <c r="Z317" s="356"/>
      <c r="AA317" s="328"/>
      <c r="AB317" s="744"/>
      <c r="AC317" s="328"/>
      <c r="AD317" s="333"/>
      <c r="AE317" s="328"/>
      <c r="AF317" s="328"/>
      <c r="AG317" s="346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7"/>
      <c r="C318" s="375"/>
      <c r="D318" s="266"/>
      <c r="E318" s="267"/>
      <c r="F318" s="93"/>
      <c r="G318" s="268"/>
      <c r="H318" s="269"/>
      <c r="I318" s="78"/>
      <c r="J318" s="271"/>
      <c r="L318" s="271"/>
      <c r="M318" s="296"/>
      <c r="N318" s="316"/>
      <c r="O318" s="419"/>
      <c r="P318" s="387"/>
      <c r="Q318" s="417"/>
      <c r="T318" s="13"/>
      <c r="U318" s="320"/>
      <c r="V318" s="354"/>
      <c r="W318" s="355"/>
      <c r="X318" s="355"/>
      <c r="Y318" s="355"/>
      <c r="Z318" s="356"/>
      <c r="AA318" s="328"/>
      <c r="AB318" s="744"/>
      <c r="AC318" s="328"/>
      <c r="AD318" s="333"/>
      <c r="AE318" s="328"/>
      <c r="AF318" s="328"/>
      <c r="AG318" s="346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7"/>
      <c r="C319" s="375"/>
      <c r="D319" s="266"/>
      <c r="E319" s="267"/>
      <c r="F319" s="93"/>
      <c r="G319" s="268"/>
      <c r="H319" s="269"/>
      <c r="I319" s="78"/>
      <c r="J319" s="271"/>
      <c r="L319" s="271"/>
      <c r="M319" s="296"/>
      <c r="N319" s="316"/>
      <c r="O319" s="419"/>
      <c r="P319" s="387"/>
      <c r="Q319" s="417"/>
      <c r="T319" s="13"/>
      <c r="U319" s="357"/>
      <c r="V319" s="354"/>
      <c r="W319" s="355"/>
      <c r="X319" s="330"/>
      <c r="Y319" s="354"/>
      <c r="Z319" s="356"/>
      <c r="AA319" s="328"/>
      <c r="AB319" s="744"/>
      <c r="AC319" s="346"/>
      <c r="AD319" s="333"/>
      <c r="AE319" s="346"/>
      <c r="AF319" s="346"/>
      <c r="AG319" s="346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7"/>
      <c r="C320" s="375"/>
      <c r="D320" s="266"/>
      <c r="E320" s="267"/>
      <c r="F320" s="93"/>
      <c r="G320" s="268"/>
      <c r="H320" s="269"/>
      <c r="I320" s="78"/>
      <c r="J320" s="271"/>
      <c r="L320" s="382"/>
      <c r="M320" s="296"/>
      <c r="N320" s="316"/>
      <c r="O320" s="377"/>
      <c r="P320" s="387"/>
      <c r="Q320" s="417"/>
      <c r="T320" s="13"/>
      <c r="U320" s="370"/>
      <c r="V320" s="370"/>
      <c r="W320" s="375"/>
      <c r="X320" s="374"/>
      <c r="Y320" s="370"/>
      <c r="Z320" s="376"/>
      <c r="AA320" s="371"/>
      <c r="AB320" s="744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69"/>
      <c r="C321" s="375"/>
      <c r="D321" s="374"/>
      <c r="E321" s="374"/>
      <c r="F321" s="374"/>
      <c r="G321" s="414"/>
      <c r="H321" s="415"/>
      <c r="I321" s="78"/>
      <c r="J321" s="291"/>
      <c r="L321" s="271"/>
      <c r="M321" s="296"/>
      <c r="N321" s="316"/>
      <c r="O321" s="377"/>
      <c r="P321" s="388"/>
      <c r="Q321" s="417"/>
      <c r="T321" s="13"/>
      <c r="U321" s="370"/>
      <c r="V321" s="370"/>
      <c r="W321" s="375"/>
      <c r="X321" s="374"/>
      <c r="Y321" s="370"/>
      <c r="Z321" s="376"/>
      <c r="AA321" s="371"/>
      <c r="AB321" s="744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L322" s="94"/>
      <c r="M322" s="296"/>
      <c r="N322" s="316"/>
      <c r="O322" s="377"/>
      <c r="P322" s="388"/>
      <c r="Q322" s="417"/>
      <c r="T322" s="13"/>
      <c r="U322" s="370"/>
      <c r="V322" s="370"/>
      <c r="W322" s="375"/>
      <c r="X322" s="374"/>
      <c r="Y322" s="370"/>
      <c r="Z322" s="376"/>
      <c r="AA322" s="371"/>
      <c r="AB322" s="744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L323" s="94"/>
      <c r="M323" s="296"/>
      <c r="N323" s="316"/>
      <c r="O323" s="377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744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L324" s="117"/>
      <c r="M324" s="296"/>
      <c r="N324" s="316"/>
      <c r="O324" s="377"/>
      <c r="P324" s="387"/>
      <c r="Q324" s="417"/>
      <c r="T324" s="13"/>
      <c r="U324" s="370"/>
      <c r="V324" s="370"/>
      <c r="W324" s="375"/>
      <c r="X324" s="374"/>
      <c r="Y324" s="370"/>
      <c r="Z324" s="376"/>
      <c r="AA324" s="371"/>
      <c r="AB324" s="744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L325" s="94"/>
      <c r="M325" s="296"/>
      <c r="N325" s="316"/>
      <c r="O325" s="377"/>
      <c r="P325" s="388"/>
      <c r="Q325" s="417"/>
      <c r="T325" s="13"/>
      <c r="U325" s="370"/>
      <c r="V325" s="370"/>
      <c r="W325" s="375"/>
      <c r="X325" s="374"/>
      <c r="Y325" s="370"/>
      <c r="Z325" s="376"/>
      <c r="AA325" s="371"/>
      <c r="AB325" s="744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L326" s="94"/>
      <c r="M326" s="296"/>
      <c r="N326" s="316"/>
      <c r="O326" s="296"/>
      <c r="P326" s="387"/>
      <c r="Q326" s="417"/>
      <c r="T326" s="13"/>
      <c r="U326" s="370"/>
      <c r="V326" s="370"/>
      <c r="W326" s="375"/>
      <c r="X326" s="374"/>
      <c r="Y326" s="370"/>
      <c r="Z326" s="376"/>
      <c r="AA326" s="371"/>
      <c r="AB326" s="744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L327" s="94"/>
      <c r="M327" s="296"/>
      <c r="N327" s="316"/>
      <c r="O327" s="296"/>
      <c r="P327" s="388"/>
      <c r="Q327" s="417"/>
      <c r="T327" s="13"/>
      <c r="U327" s="370"/>
      <c r="V327" s="370"/>
      <c r="W327" s="375"/>
      <c r="X327" s="374"/>
      <c r="Y327" s="370"/>
      <c r="Z327" s="376"/>
      <c r="AA327" s="371"/>
      <c r="AB327" s="744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L328" s="94"/>
      <c r="M328" s="296"/>
      <c r="N328" s="316"/>
      <c r="O328" s="377"/>
      <c r="P328" s="387"/>
      <c r="Q328" s="417"/>
      <c r="T328" s="13"/>
      <c r="U328" s="370"/>
      <c r="V328" s="370"/>
      <c r="W328" s="375"/>
      <c r="X328" s="374"/>
      <c r="Y328" s="370"/>
      <c r="Z328" s="376"/>
      <c r="AA328" s="371"/>
      <c r="AB328" s="744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L329" s="385"/>
      <c r="M329" s="296"/>
      <c r="N329" s="316"/>
      <c r="O329" s="377"/>
      <c r="P329" s="387"/>
      <c r="Q329" s="417"/>
      <c r="T329" s="13"/>
      <c r="U329" s="370"/>
      <c r="V329" s="370"/>
      <c r="W329" s="375"/>
      <c r="X329" s="374"/>
      <c r="Y329" s="370"/>
      <c r="Z329" s="376"/>
      <c r="AA329" s="371"/>
      <c r="AB329" s="744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L330" s="94"/>
      <c r="M330" s="296"/>
      <c r="N330" s="316"/>
      <c r="O330" s="377"/>
      <c r="P330" s="387"/>
      <c r="Q330" s="417"/>
      <c r="T330" s="13"/>
      <c r="U330" s="370"/>
      <c r="V330" s="370"/>
      <c r="W330" s="375"/>
      <c r="X330" s="374"/>
      <c r="Y330" s="370"/>
      <c r="Z330" s="376"/>
      <c r="AA330" s="371"/>
      <c r="AB330" s="744"/>
      <c r="AC330" s="270"/>
      <c r="AD330" s="372"/>
      <c r="AE330" s="270"/>
      <c r="AF330" s="270"/>
      <c r="AG330" s="270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L331" s="94"/>
      <c r="M331" s="296"/>
      <c r="N331" s="316"/>
      <c r="O331" s="377"/>
      <c r="P331" s="387"/>
      <c r="Q331" s="417"/>
      <c r="T331" s="13"/>
      <c r="U331" s="370"/>
      <c r="V331" s="370"/>
      <c r="W331" s="375"/>
      <c r="X331" s="374"/>
      <c r="Y331" s="370"/>
      <c r="Z331" s="376"/>
      <c r="AA331" s="371"/>
      <c r="AB331" s="744"/>
      <c r="AC331" s="270"/>
      <c r="AD331" s="372"/>
      <c r="AE331" s="270"/>
      <c r="AF331" s="270"/>
      <c r="AG331" s="270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L332" s="94"/>
      <c r="M332" s="296"/>
      <c r="N332" s="316"/>
      <c r="O332" s="377"/>
      <c r="P332" s="387"/>
      <c r="Q332" s="417"/>
      <c r="T332" s="13"/>
      <c r="U332" s="370"/>
      <c r="V332" s="370"/>
      <c r="W332" s="375"/>
      <c r="X332" s="374"/>
      <c r="Y332" s="370"/>
      <c r="Z332" s="376"/>
      <c r="AA332" s="371"/>
      <c r="AB332" s="744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O333" s="296"/>
      <c r="P333" s="387"/>
      <c r="Q333" s="417"/>
      <c r="T333" s="13"/>
      <c r="U333" s="370"/>
      <c r="V333" s="370"/>
      <c r="W333" s="375"/>
      <c r="X333" s="374"/>
      <c r="Y333" s="370"/>
      <c r="Z333" s="376"/>
      <c r="AA333" s="371"/>
      <c r="AB333" s="744"/>
      <c r="AC333" s="270"/>
      <c r="AD333" s="372"/>
      <c r="AE333" s="270"/>
      <c r="AF333" s="270"/>
      <c r="AG333" s="270"/>
      <c r="AH333" s="272"/>
      <c r="AI333" s="313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O334" s="296"/>
      <c r="P334" s="387"/>
      <c r="Q334" s="417"/>
      <c r="T334" s="13"/>
      <c r="U334" s="370"/>
      <c r="V334" s="370"/>
      <c r="W334" s="375"/>
      <c r="X334" s="374"/>
      <c r="Y334" s="370"/>
      <c r="Z334" s="376"/>
      <c r="AA334" s="371"/>
      <c r="AB334" s="744"/>
      <c r="AC334" s="270"/>
      <c r="AD334" s="372"/>
      <c r="AE334" s="270"/>
      <c r="AF334" s="270"/>
      <c r="AG334" s="270"/>
      <c r="AH334" s="272"/>
      <c r="AI334" s="313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O335" s="296"/>
      <c r="P335" s="387"/>
      <c r="Q335" s="417"/>
      <c r="T335" s="13"/>
      <c r="U335" s="370"/>
      <c r="V335" s="370"/>
      <c r="W335" s="375"/>
      <c r="X335" s="374"/>
      <c r="Y335" s="370"/>
      <c r="Z335" s="376"/>
      <c r="AA335" s="371"/>
      <c r="AB335" s="744"/>
      <c r="AC335" s="270"/>
      <c r="AD335" s="372"/>
      <c r="AE335" s="270"/>
      <c r="AF335" s="270"/>
      <c r="AG335" s="270"/>
      <c r="AH335" s="272"/>
      <c r="AI335" s="313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7"/>
      <c r="Q336" s="417"/>
      <c r="T336" s="13"/>
      <c r="U336" s="370"/>
      <c r="V336" s="370"/>
      <c r="W336" s="375"/>
      <c r="X336" s="374"/>
      <c r="Y336" s="370"/>
      <c r="Z336" s="376"/>
      <c r="AA336" s="371"/>
      <c r="AB336" s="744"/>
      <c r="AC336" s="270"/>
      <c r="AD336" s="372"/>
      <c r="AE336" s="270"/>
      <c r="AF336" s="270"/>
      <c r="AG336" s="270"/>
      <c r="AH336" s="272"/>
      <c r="AI336" s="313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362"/>
      <c r="P337" s="387"/>
      <c r="Q337" s="417"/>
      <c r="T337" s="13"/>
      <c r="U337" s="370"/>
      <c r="V337" s="370"/>
      <c r="W337" s="375"/>
      <c r="X337" s="374"/>
      <c r="Y337" s="370"/>
      <c r="Z337" s="376"/>
      <c r="AA337" s="371"/>
      <c r="AB337" s="744"/>
      <c r="AC337" s="270"/>
      <c r="AD337" s="372"/>
      <c r="AE337" s="270"/>
      <c r="AF337" s="270"/>
      <c r="AG337" s="270"/>
      <c r="AH337" s="272"/>
      <c r="AI337" s="313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7"/>
      <c r="Q338" s="417"/>
      <c r="T338" s="13"/>
      <c r="U338" s="370"/>
      <c r="V338" s="370"/>
      <c r="W338" s="375"/>
      <c r="X338" s="374"/>
      <c r="Y338" s="370"/>
      <c r="Z338" s="376"/>
      <c r="AA338" s="371"/>
      <c r="AB338" s="744"/>
      <c r="AC338" s="270"/>
      <c r="AD338" s="372"/>
      <c r="AE338" s="270"/>
      <c r="AF338" s="270"/>
      <c r="AG338" s="270"/>
      <c r="AH338" s="272"/>
      <c r="AI338" s="313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7"/>
      <c r="Q339" s="417"/>
      <c r="T339" s="13"/>
      <c r="U339" s="370"/>
      <c r="V339" s="370"/>
      <c r="W339" s="375"/>
      <c r="X339" s="374"/>
      <c r="Y339" s="370"/>
      <c r="Z339" s="376"/>
      <c r="AA339" s="371"/>
      <c r="AB339" s="744"/>
      <c r="AC339" s="270"/>
      <c r="AD339" s="372"/>
      <c r="AE339" s="270"/>
      <c r="AF339" s="270"/>
      <c r="AG339" s="270"/>
      <c r="AH339" s="272"/>
      <c r="AI339" s="313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7"/>
      <c r="Q340" s="417"/>
      <c r="T340" s="13"/>
      <c r="U340" s="370"/>
      <c r="V340" s="370"/>
      <c r="W340" s="375"/>
      <c r="X340" s="374"/>
      <c r="Y340" s="370"/>
      <c r="Z340" s="376"/>
      <c r="AA340" s="371"/>
      <c r="AB340" s="744"/>
      <c r="AC340" s="270"/>
      <c r="AD340" s="372"/>
      <c r="AE340" s="270"/>
      <c r="AF340" s="270"/>
      <c r="AG340" s="270"/>
      <c r="AH340" s="272"/>
      <c r="AI340" s="313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296"/>
      <c r="P341" s="388"/>
      <c r="Q341" s="417"/>
      <c r="T341" s="13"/>
      <c r="U341" s="370"/>
      <c r="V341" s="370"/>
      <c r="W341" s="375"/>
      <c r="X341" s="374"/>
      <c r="Y341" s="370"/>
      <c r="Z341" s="376"/>
      <c r="AA341" s="371"/>
      <c r="AB341" s="744"/>
      <c r="AC341" s="270"/>
      <c r="AD341" s="372"/>
      <c r="AE341" s="270"/>
      <c r="AF341" s="270"/>
      <c r="AG341" s="270"/>
      <c r="AH341" s="272"/>
      <c r="AI341" s="313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296"/>
      <c r="P342" s="386"/>
      <c r="Q342" s="420"/>
      <c r="T342" s="13"/>
      <c r="U342" s="370"/>
      <c r="V342" s="370"/>
      <c r="W342" s="375"/>
      <c r="X342" s="374"/>
      <c r="Y342" s="370"/>
      <c r="Z342" s="376"/>
      <c r="AA342" s="371"/>
      <c r="AB342" s="744"/>
      <c r="AC342" s="270"/>
      <c r="AD342" s="372"/>
      <c r="AE342" s="270"/>
      <c r="AF342" s="270"/>
      <c r="AG342" s="270"/>
      <c r="AH342" s="272"/>
      <c r="AI342" s="313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296"/>
      <c r="P343" s="387"/>
      <c r="Q343" s="417"/>
      <c r="T343" s="13"/>
      <c r="U343" s="370"/>
      <c r="V343" s="370"/>
      <c r="W343" s="375"/>
      <c r="X343" s="374"/>
      <c r="Y343" s="370"/>
      <c r="Z343" s="376"/>
      <c r="AA343" s="371"/>
      <c r="AB343" s="744"/>
      <c r="AC343" s="270"/>
      <c r="AD343" s="372"/>
      <c r="AE343" s="270"/>
      <c r="AF343" s="270"/>
      <c r="AG343" s="270"/>
      <c r="AH343" s="272"/>
      <c r="AI343" s="313"/>
      <c r="AJ343" s="21"/>
      <c r="AK343" s="21"/>
      <c r="AL343" s="21"/>
      <c r="AM343" s="21"/>
      <c r="AN343" s="21"/>
      <c r="AO343" s="21"/>
    </row>
    <row r="344" spans="1:41" s="53" customFormat="1" ht="14.25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296"/>
      <c r="P344" s="387"/>
      <c r="Q344" s="417"/>
      <c r="T344" s="13"/>
      <c r="U344" s="370"/>
      <c r="V344" s="370"/>
      <c r="W344" s="375"/>
      <c r="X344" s="374"/>
      <c r="Y344" s="370"/>
      <c r="Z344" s="376"/>
      <c r="AA344" s="371"/>
      <c r="AB344" s="744"/>
      <c r="AC344" s="270"/>
      <c r="AD344" s="372"/>
      <c r="AE344" s="270"/>
      <c r="AF344" s="270"/>
      <c r="AG344" s="270"/>
      <c r="AH344" s="272"/>
      <c r="AI344" s="313"/>
      <c r="AJ344" s="21"/>
      <c r="AK344" s="21"/>
      <c r="AL344" s="21"/>
      <c r="AM344" s="21"/>
      <c r="AN344" s="21"/>
      <c r="AO344" s="21"/>
    </row>
    <row r="345" spans="1:41" s="53" customFormat="1" ht="14.25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296"/>
      <c r="P345" s="387"/>
      <c r="Q345" s="417"/>
      <c r="T345" s="13"/>
      <c r="U345" s="370"/>
      <c r="V345" s="370"/>
      <c r="W345" s="375"/>
      <c r="X345" s="374"/>
      <c r="Y345" s="370"/>
      <c r="Z345" s="376"/>
      <c r="AA345" s="371"/>
      <c r="AB345" s="744"/>
      <c r="AC345" s="270"/>
      <c r="AD345" s="372"/>
      <c r="AE345" s="270"/>
      <c r="AF345" s="270"/>
      <c r="AG345" s="270"/>
      <c r="AH345" s="272"/>
      <c r="AI345" s="313"/>
      <c r="AJ345" s="21"/>
      <c r="AK345" s="21"/>
      <c r="AL345" s="21"/>
      <c r="AM345" s="21"/>
      <c r="AN345" s="21"/>
      <c r="AO345" s="21"/>
    </row>
    <row r="346" spans="1:41" s="53" customFormat="1" ht="14.25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296"/>
      <c r="P346" s="387"/>
      <c r="Q346" s="417"/>
      <c r="T346" s="13"/>
      <c r="U346" s="370"/>
      <c r="V346" s="370"/>
      <c r="W346" s="375"/>
      <c r="X346" s="374"/>
      <c r="Y346" s="370"/>
      <c r="Z346" s="376"/>
      <c r="AA346" s="371"/>
      <c r="AB346" s="744"/>
      <c r="AC346" s="270"/>
      <c r="AD346" s="372"/>
      <c r="AE346" s="270"/>
      <c r="AF346" s="270"/>
      <c r="AG346" s="270"/>
      <c r="AH346" s="272"/>
      <c r="AI346" s="313"/>
      <c r="AJ346" s="21"/>
      <c r="AK346" s="21"/>
      <c r="AL346" s="21"/>
      <c r="AM346" s="21"/>
      <c r="AN346" s="21"/>
      <c r="AO346" s="21"/>
    </row>
    <row r="347" spans="1:41" s="53" customFormat="1" ht="14.25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296"/>
      <c r="P347" s="387"/>
      <c r="Q347" s="417"/>
      <c r="T347" s="13"/>
      <c r="U347" s="370"/>
      <c r="V347" s="370"/>
      <c r="W347" s="375"/>
      <c r="X347" s="374"/>
      <c r="Y347" s="370"/>
      <c r="Z347" s="376"/>
      <c r="AA347" s="371"/>
      <c r="AB347" s="744"/>
      <c r="AC347" s="270"/>
      <c r="AD347" s="372"/>
      <c r="AE347" s="270"/>
      <c r="AF347" s="270"/>
      <c r="AG347" s="270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ht="14.25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296"/>
      <c r="P348" s="388"/>
      <c r="Q348" s="417"/>
      <c r="T348" s="13"/>
      <c r="U348" s="370"/>
      <c r="V348" s="370"/>
      <c r="W348" s="375"/>
      <c r="X348" s="374"/>
      <c r="Y348" s="370"/>
      <c r="Z348" s="376"/>
      <c r="AA348" s="371"/>
      <c r="AB348" s="744"/>
      <c r="AC348" s="270"/>
      <c r="AD348" s="372"/>
      <c r="AE348" s="270"/>
      <c r="AF348" s="270"/>
      <c r="AG348" s="270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ht="14.25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296"/>
      <c r="P349" s="387"/>
      <c r="Q349" s="417"/>
      <c r="T349" s="13"/>
      <c r="U349" s="370"/>
      <c r="V349" s="370"/>
      <c r="W349" s="375"/>
      <c r="X349" s="374"/>
      <c r="Y349" s="370"/>
      <c r="Z349" s="376"/>
      <c r="AA349" s="371"/>
      <c r="AB349" s="744"/>
      <c r="AC349" s="270"/>
      <c r="AD349" s="372"/>
      <c r="AE349" s="270"/>
      <c r="AF349" s="270"/>
      <c r="AG349" s="270"/>
      <c r="AH349" s="272"/>
      <c r="AI349" s="313"/>
      <c r="AJ349" s="21"/>
      <c r="AK349" s="21"/>
      <c r="AL349" s="21"/>
      <c r="AM349" s="21"/>
      <c r="AN349" s="21"/>
      <c r="AO349" s="21"/>
    </row>
    <row r="350" spans="1:41" s="53" customFormat="1" ht="14.25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296"/>
      <c r="P350" s="387"/>
      <c r="Q350" s="417"/>
      <c r="T350" s="13"/>
      <c r="U350" s="370"/>
      <c r="V350" s="370"/>
      <c r="W350" s="375"/>
      <c r="X350" s="374"/>
      <c r="Y350" s="370"/>
      <c r="Z350" s="376"/>
      <c r="AA350" s="371"/>
      <c r="AB350" s="744"/>
      <c r="AC350" s="270"/>
      <c r="AD350" s="372"/>
      <c r="AE350" s="270"/>
      <c r="AF350" s="270"/>
      <c r="AG350" s="270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ht="14.25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296"/>
      <c r="P351" s="387"/>
      <c r="Q351" s="417"/>
      <c r="T351" s="13"/>
      <c r="U351" s="370"/>
      <c r="V351" s="370"/>
      <c r="W351" s="375"/>
      <c r="X351" s="374"/>
      <c r="Y351" s="370"/>
      <c r="Z351" s="376"/>
      <c r="AA351" s="371"/>
      <c r="AB351" s="744"/>
      <c r="AC351" s="270"/>
      <c r="AD351" s="372"/>
      <c r="AE351" s="270"/>
      <c r="AF351" s="270"/>
      <c r="AG351" s="270"/>
      <c r="AH351" s="272"/>
      <c r="AI351" s="313"/>
      <c r="AJ351" s="21"/>
      <c r="AK351" s="21"/>
      <c r="AL351" s="21"/>
      <c r="AM351" s="21"/>
      <c r="AN351" s="21"/>
      <c r="AO351" s="21"/>
    </row>
    <row r="352" spans="1:41" s="53" customFormat="1" ht="14.25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296"/>
      <c r="P352" s="387"/>
      <c r="Q352" s="417"/>
      <c r="T352" s="13"/>
      <c r="U352" s="370"/>
      <c r="V352" s="370"/>
      <c r="W352" s="375"/>
      <c r="X352" s="374"/>
      <c r="Y352" s="370"/>
      <c r="Z352" s="376"/>
      <c r="AA352" s="371"/>
      <c r="AB352" s="744"/>
      <c r="AC352" s="270"/>
      <c r="AD352" s="372"/>
      <c r="AE352" s="270"/>
      <c r="AF352" s="270"/>
      <c r="AG352" s="270"/>
      <c r="AH352" s="272"/>
      <c r="AI352" s="313"/>
      <c r="AJ352" s="21"/>
      <c r="AK352" s="21"/>
      <c r="AL352" s="21"/>
      <c r="AM352" s="21"/>
      <c r="AN352" s="21"/>
      <c r="AO352" s="21"/>
    </row>
    <row r="353" spans="1:41" s="53" customFormat="1" ht="14.25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387"/>
      <c r="Q353" s="417"/>
      <c r="T353" s="13"/>
      <c r="U353" s="370"/>
      <c r="V353" s="370"/>
      <c r="W353" s="375"/>
      <c r="X353" s="374"/>
      <c r="Y353" s="370"/>
      <c r="Z353" s="376"/>
      <c r="AA353" s="371"/>
      <c r="AB353" s="744"/>
      <c r="AC353" s="270"/>
      <c r="AD353" s="372"/>
      <c r="AE353" s="270"/>
      <c r="AF353" s="270"/>
      <c r="AG353" s="270"/>
      <c r="AH353" s="272"/>
      <c r="AI353" s="313"/>
      <c r="AJ353" s="21"/>
      <c r="AK353" s="21"/>
      <c r="AL353" s="21"/>
      <c r="AM353" s="21"/>
      <c r="AN353" s="21"/>
      <c r="AO353" s="21"/>
    </row>
    <row r="354" spans="1:41" s="53" customFormat="1" ht="14.25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387"/>
      <c r="Q354" s="417"/>
      <c r="T354" s="13"/>
      <c r="U354" s="370"/>
      <c r="V354" s="370"/>
      <c r="W354" s="375"/>
      <c r="X354" s="374"/>
      <c r="Y354" s="370"/>
      <c r="Z354" s="376"/>
      <c r="AA354" s="371"/>
      <c r="AB354" s="744"/>
      <c r="AC354" s="270"/>
      <c r="AD354" s="372"/>
      <c r="AE354" s="270"/>
      <c r="AF354" s="270"/>
      <c r="AG354" s="270"/>
      <c r="AH354" s="272"/>
      <c r="AI354" s="313"/>
      <c r="AJ354" s="21"/>
      <c r="AK354" s="21"/>
      <c r="AL354" s="21"/>
      <c r="AM354" s="21"/>
      <c r="AN354" s="21"/>
      <c r="AO354" s="21"/>
    </row>
    <row r="355" spans="1:41" s="53" customFormat="1" ht="14.25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388"/>
      <c r="Q355" s="417"/>
      <c r="T355" s="13"/>
      <c r="U355" s="370"/>
      <c r="V355" s="370"/>
      <c r="W355" s="375"/>
      <c r="X355" s="374"/>
      <c r="Y355" s="370"/>
      <c r="Z355" s="376"/>
      <c r="AA355" s="371"/>
      <c r="AB355" s="744"/>
      <c r="AC355" s="270"/>
      <c r="AD355" s="372"/>
      <c r="AE355" s="270"/>
      <c r="AF355" s="270"/>
      <c r="AG355" s="270"/>
      <c r="AH355" s="272"/>
      <c r="AI355" s="313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316"/>
      <c r="R356" s="362"/>
      <c r="S356" s="291"/>
      <c r="T356" s="13"/>
      <c r="U356" s="370"/>
      <c r="V356" s="370"/>
      <c r="W356" s="375"/>
      <c r="X356" s="374"/>
      <c r="Y356" s="370"/>
      <c r="Z356" s="376"/>
      <c r="AA356" s="371"/>
      <c r="AB356" s="744"/>
      <c r="AC356" s="270"/>
      <c r="AD356" s="372"/>
      <c r="AE356" s="270"/>
      <c r="AF356" s="270"/>
      <c r="AG356" s="270"/>
      <c r="AH356" s="272"/>
      <c r="AI356" s="313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62"/>
      <c r="S357" s="291"/>
      <c r="T357" s="13"/>
      <c r="U357" s="370"/>
      <c r="V357" s="370"/>
      <c r="W357" s="375"/>
      <c r="X357" s="374"/>
      <c r="Y357" s="370"/>
      <c r="Z357" s="376"/>
      <c r="AA357" s="371"/>
      <c r="AB357" s="744"/>
      <c r="AC357" s="270"/>
      <c r="AD357" s="372"/>
      <c r="AE357" s="270"/>
      <c r="AF357" s="270"/>
      <c r="AG357" s="270"/>
      <c r="AH357" s="272"/>
      <c r="AI357" s="313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21"/>
      <c r="R358" s="362"/>
      <c r="S358" s="291"/>
      <c r="T358" s="13"/>
      <c r="U358" s="370"/>
      <c r="V358" s="370"/>
      <c r="W358" s="375"/>
      <c r="X358" s="374"/>
      <c r="Y358" s="370"/>
      <c r="Z358" s="376"/>
      <c r="AA358" s="371"/>
      <c r="AB358" s="744"/>
      <c r="AC358" s="270"/>
      <c r="AD358" s="372"/>
      <c r="AE358" s="270"/>
      <c r="AF358" s="270"/>
      <c r="AG358" s="270"/>
      <c r="AH358" s="272"/>
      <c r="AI358" s="313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21"/>
      <c r="R359" s="362"/>
      <c r="S359" s="291"/>
      <c r="T359" s="13"/>
      <c r="U359" s="370"/>
      <c r="V359" s="370"/>
      <c r="W359" s="375"/>
      <c r="X359" s="374"/>
      <c r="Y359" s="370"/>
      <c r="Z359" s="376"/>
      <c r="AA359" s="371"/>
      <c r="AB359" s="744"/>
      <c r="AC359" s="270"/>
      <c r="AD359" s="372"/>
      <c r="AE359" s="270"/>
      <c r="AF359" s="270"/>
      <c r="AG359" s="270"/>
      <c r="AH359" s="272"/>
      <c r="AI359" s="313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21"/>
      <c r="R360" s="383"/>
      <c r="S360" s="21"/>
      <c r="T360" s="13"/>
      <c r="U360" s="370"/>
      <c r="V360" s="370"/>
      <c r="W360" s="375"/>
      <c r="X360" s="374"/>
      <c r="Y360" s="370"/>
      <c r="Z360" s="376"/>
      <c r="AA360" s="371"/>
      <c r="AB360" s="744"/>
      <c r="AC360" s="270"/>
      <c r="AD360" s="372"/>
      <c r="AE360" s="270"/>
      <c r="AF360" s="270"/>
      <c r="AG360" s="270"/>
      <c r="AH360" s="272"/>
      <c r="AI360" s="313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21"/>
      <c r="R361" s="383"/>
      <c r="S361" s="21"/>
      <c r="T361" s="13"/>
      <c r="U361" s="354"/>
      <c r="V361" s="354"/>
      <c r="W361" s="355"/>
      <c r="X361" s="330"/>
      <c r="Y361" s="354"/>
      <c r="Z361" s="356"/>
      <c r="AA361" s="328"/>
      <c r="AB361" s="744"/>
      <c r="AC361" s="346"/>
      <c r="AD361" s="333"/>
      <c r="AE361" s="346"/>
      <c r="AF361" s="346"/>
      <c r="AG361" s="346"/>
      <c r="AH361" s="272"/>
      <c r="AI361" s="313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O362" s="97"/>
      <c r="P362" s="296"/>
      <c r="Q362" s="421"/>
      <c r="R362" s="383"/>
      <c r="S362" s="21"/>
      <c r="T362" s="13"/>
      <c r="U362" s="354"/>
      <c r="V362" s="354"/>
      <c r="W362" s="355"/>
      <c r="X362" s="330"/>
      <c r="Y362" s="354"/>
      <c r="Z362" s="356"/>
      <c r="AA362" s="328"/>
      <c r="AB362" s="744"/>
      <c r="AC362" s="346"/>
      <c r="AD362" s="333"/>
      <c r="AE362" s="346"/>
      <c r="AF362" s="346"/>
      <c r="AG362" s="346"/>
      <c r="AH362" s="272"/>
      <c r="AI362" s="313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O363" s="97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744"/>
      <c r="AC363" s="270"/>
      <c r="AD363" s="372"/>
      <c r="AE363" s="270"/>
      <c r="AF363" s="270"/>
      <c r="AG363" s="270"/>
      <c r="AH363" s="272"/>
      <c r="AI363" s="313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744"/>
      <c r="AC364" s="270"/>
      <c r="AD364" s="372"/>
      <c r="AE364" s="270"/>
      <c r="AF364" s="270"/>
      <c r="AG364" s="270"/>
      <c r="AH364" s="272"/>
      <c r="AI364" s="389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744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744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744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O368" s="97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744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744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744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744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21"/>
      <c r="R372" s="383"/>
      <c r="S372" s="21"/>
      <c r="T372" s="13"/>
      <c r="U372" s="381"/>
      <c r="V372" s="381"/>
      <c r="W372" s="375"/>
      <c r="X372" s="374"/>
      <c r="Y372" s="370"/>
      <c r="Z372" s="376"/>
      <c r="AA372" s="371"/>
      <c r="AB372" s="744"/>
      <c r="AC372" s="270"/>
      <c r="AD372" s="372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21"/>
      <c r="R373" s="383"/>
      <c r="S373" s="1"/>
      <c r="T373" s="13"/>
      <c r="U373" s="381"/>
      <c r="V373" s="381"/>
      <c r="W373" s="375"/>
      <c r="X373" s="374"/>
      <c r="Y373" s="370"/>
      <c r="Z373" s="376"/>
      <c r="AA373" s="371"/>
      <c r="AB373" s="744"/>
      <c r="AC373" s="270"/>
      <c r="AD373" s="372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21"/>
      <c r="R374" s="383"/>
      <c r="S374" s="21"/>
      <c r="T374" s="13"/>
      <c r="U374" s="381"/>
      <c r="V374" s="381"/>
      <c r="W374" s="375"/>
      <c r="X374" s="374"/>
      <c r="Y374" s="370"/>
      <c r="Z374" s="376"/>
      <c r="AA374" s="371"/>
      <c r="AB374" s="744"/>
      <c r="AC374" s="270"/>
      <c r="AD374" s="372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21"/>
      <c r="R375" s="383"/>
      <c r="S375" s="21"/>
      <c r="T375" s="13"/>
      <c r="U375" s="381"/>
      <c r="V375" s="381"/>
      <c r="W375" s="375"/>
      <c r="X375" s="374"/>
      <c r="Y375" s="370"/>
      <c r="Z375" s="376"/>
      <c r="AA375" s="371"/>
      <c r="AB375" s="744"/>
      <c r="AC375" s="270"/>
      <c r="AD375" s="372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21"/>
      <c r="R376" s="383"/>
      <c r="S376" s="21"/>
      <c r="T376" s="13"/>
      <c r="U376" s="381"/>
      <c r="V376" s="381"/>
      <c r="W376" s="375"/>
      <c r="X376" s="374"/>
      <c r="Y376" s="370"/>
      <c r="Z376" s="376"/>
      <c r="AA376" s="371"/>
      <c r="AB376" s="744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97"/>
      <c r="P377" s="296"/>
      <c r="Q377" s="421"/>
      <c r="R377" s="383"/>
      <c r="S377" s="21"/>
      <c r="T377" s="13"/>
      <c r="U377" s="381"/>
      <c r="V377" s="381"/>
      <c r="W377" s="375"/>
      <c r="X377" s="374"/>
      <c r="Y377" s="370"/>
      <c r="Z377" s="376"/>
      <c r="AA377" s="371"/>
      <c r="AB377" s="744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97"/>
      <c r="P378" s="296"/>
      <c r="Q378" s="421"/>
      <c r="R378" s="383"/>
      <c r="S378" s="21"/>
      <c r="T378" s="13"/>
      <c r="U378" s="381"/>
      <c r="V378" s="381"/>
      <c r="W378" s="375"/>
      <c r="X378" s="374"/>
      <c r="Y378" s="370"/>
      <c r="Z378" s="376"/>
      <c r="AA378" s="371"/>
      <c r="AB378" s="744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97"/>
      <c r="P379" s="296"/>
      <c r="Q379" s="421"/>
      <c r="R379" s="383"/>
      <c r="S379" s="21"/>
      <c r="T379" s="13"/>
      <c r="U379" s="381"/>
      <c r="V379" s="381"/>
      <c r="W379" s="375"/>
      <c r="X379" s="374"/>
      <c r="Y379" s="370"/>
      <c r="Z379" s="376"/>
      <c r="AA379" s="371"/>
      <c r="AB379" s="744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97"/>
      <c r="P380" s="296"/>
      <c r="Q380" s="421"/>
      <c r="R380" s="383"/>
      <c r="S380" s="21"/>
      <c r="T380" s="13"/>
      <c r="U380" s="381"/>
      <c r="V380" s="381"/>
      <c r="W380" s="375"/>
      <c r="X380" s="374"/>
      <c r="Y380" s="370"/>
      <c r="Z380" s="376"/>
      <c r="AA380" s="371"/>
      <c r="AB380" s="744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97"/>
      <c r="P381" s="296"/>
      <c r="Q381" s="421"/>
      <c r="R381" s="383"/>
      <c r="S381" s="21"/>
      <c r="T381" s="13"/>
      <c r="U381" s="381"/>
      <c r="V381" s="381"/>
      <c r="W381" s="375"/>
      <c r="X381" s="374"/>
      <c r="Y381" s="370"/>
      <c r="Z381" s="376"/>
      <c r="AA381" s="371"/>
      <c r="AB381" s="744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97"/>
      <c r="P382" s="296"/>
      <c r="Q382" s="421"/>
      <c r="R382" s="383"/>
      <c r="S382" s="21"/>
      <c r="T382" s="13"/>
      <c r="U382" s="381"/>
      <c r="V382" s="381"/>
      <c r="W382" s="375"/>
      <c r="X382" s="374"/>
      <c r="Y382" s="370"/>
      <c r="Z382" s="376"/>
      <c r="AA382" s="371"/>
      <c r="AB382" s="744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97"/>
      <c r="P383" s="296"/>
      <c r="Q383" s="421"/>
      <c r="R383" s="383"/>
      <c r="S383" s="21"/>
      <c r="T383" s="13"/>
      <c r="U383" s="381"/>
      <c r="V383" s="381"/>
      <c r="W383" s="375"/>
      <c r="X383" s="374"/>
      <c r="Y383" s="370"/>
      <c r="Z383" s="376"/>
      <c r="AA383" s="371"/>
      <c r="AB383" s="744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97"/>
      <c r="P384" s="296"/>
      <c r="Q384" s="421"/>
      <c r="R384" s="383"/>
      <c r="S384" s="21"/>
      <c r="T384" s="13"/>
      <c r="U384" s="381"/>
      <c r="V384" s="381"/>
      <c r="W384" s="375"/>
      <c r="X384" s="374"/>
      <c r="Y384" s="370"/>
      <c r="Z384" s="376"/>
      <c r="AA384" s="371"/>
      <c r="AB384" s="744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97"/>
      <c r="P385" s="296"/>
      <c r="Q385" s="421"/>
      <c r="R385" s="383"/>
      <c r="S385" s="21"/>
      <c r="T385" s="13"/>
      <c r="U385" s="381"/>
      <c r="V385" s="381"/>
      <c r="W385" s="375"/>
      <c r="X385" s="374"/>
      <c r="Y385" s="370"/>
      <c r="Z385" s="376"/>
      <c r="AA385" s="371"/>
      <c r="AB385" s="744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97"/>
      <c r="P386" s="296"/>
      <c r="Q386" s="421"/>
      <c r="R386" s="383"/>
      <c r="S386" s="21"/>
      <c r="T386" s="13"/>
      <c r="U386" s="381"/>
      <c r="V386" s="381"/>
      <c r="W386" s="375"/>
      <c r="X386" s="374"/>
      <c r="Y386" s="370"/>
      <c r="Z386" s="376"/>
      <c r="AA386" s="371"/>
      <c r="AB386" s="744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97"/>
      <c r="P387" s="296"/>
      <c r="Q387" s="421"/>
      <c r="R387" s="383"/>
      <c r="S387" s="21"/>
      <c r="T387" s="13"/>
      <c r="U387" s="381"/>
      <c r="V387" s="381"/>
      <c r="W387" s="375"/>
      <c r="X387" s="374"/>
      <c r="Y387" s="370"/>
      <c r="Z387" s="376"/>
      <c r="AA387" s="371"/>
      <c r="AB387" s="744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97"/>
      <c r="P388" s="296"/>
      <c r="Q388" s="421"/>
      <c r="R388" s="383"/>
      <c r="S388" s="21"/>
      <c r="T388" s="13"/>
      <c r="U388" s="381"/>
      <c r="V388" s="381"/>
      <c r="W388" s="375"/>
      <c r="X388" s="374"/>
      <c r="Y388" s="370"/>
      <c r="Z388" s="376"/>
      <c r="AA388" s="371"/>
      <c r="AB388" s="744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81"/>
      <c r="W389" s="375"/>
      <c r="X389" s="374"/>
      <c r="Y389" s="370"/>
      <c r="Z389" s="376"/>
      <c r="AA389" s="371"/>
      <c r="AB389" s="744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81"/>
      <c r="W390" s="375"/>
      <c r="X390" s="374"/>
      <c r="Y390" s="370"/>
      <c r="Z390" s="376"/>
      <c r="AA390" s="371"/>
      <c r="AB390" s="744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81"/>
      <c r="W391" s="375"/>
      <c r="X391" s="374"/>
      <c r="Y391" s="370"/>
      <c r="Z391" s="376"/>
      <c r="AA391" s="371"/>
      <c r="AB391" s="744"/>
      <c r="AC391" s="270"/>
      <c r="AD391" s="372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81"/>
      <c r="W392" s="375"/>
      <c r="X392" s="374"/>
      <c r="Y392" s="370"/>
      <c r="Z392" s="376"/>
      <c r="AA392" s="371"/>
      <c r="AB392" s="744"/>
      <c r="AC392" s="270"/>
      <c r="AD392" s="372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21"/>
      <c r="R393" s="383"/>
      <c r="S393" s="21"/>
      <c r="T393" s="13"/>
      <c r="U393" s="381"/>
      <c r="V393" s="381"/>
      <c r="W393" s="375"/>
      <c r="X393" s="374"/>
      <c r="Y393" s="370"/>
      <c r="Z393" s="376"/>
      <c r="AA393" s="371"/>
      <c r="AB393" s="744"/>
      <c r="AC393" s="270"/>
      <c r="AD393" s="372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21"/>
      <c r="R394" s="383"/>
      <c r="S394" s="21"/>
      <c r="T394" s="13"/>
      <c r="U394" s="381"/>
      <c r="V394" s="381"/>
      <c r="W394" s="375"/>
      <c r="X394" s="374"/>
      <c r="Y394" s="370"/>
      <c r="Z394" s="376"/>
      <c r="AA394" s="371"/>
      <c r="AB394" s="744"/>
      <c r="AC394" s="270"/>
      <c r="AD394" s="372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21"/>
      <c r="R395" s="383"/>
      <c r="S395" s="21"/>
      <c r="T395" s="13"/>
      <c r="U395" s="381"/>
      <c r="V395" s="381"/>
      <c r="W395" s="375"/>
      <c r="X395" s="374"/>
      <c r="Y395" s="370"/>
      <c r="Z395" s="376"/>
      <c r="AA395" s="371"/>
      <c r="AB395" s="744"/>
      <c r="AC395" s="270"/>
      <c r="AD395" s="372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21"/>
      <c r="R396" s="383"/>
      <c r="S396" s="21"/>
      <c r="T396" s="13"/>
      <c r="U396" s="381"/>
      <c r="V396" s="381"/>
      <c r="W396" s="375"/>
      <c r="X396" s="374"/>
      <c r="Y396" s="370"/>
      <c r="Z396" s="376"/>
      <c r="AA396" s="371"/>
      <c r="AB396" s="744"/>
      <c r="AC396" s="270"/>
      <c r="AD396" s="372"/>
      <c r="AE396" s="270"/>
      <c r="AF396" s="270"/>
      <c r="AG396" s="270"/>
      <c r="AH396" s="272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421"/>
      <c r="R397" s="383"/>
      <c r="S397" s="21"/>
      <c r="T397" s="13"/>
      <c r="U397" s="381"/>
      <c r="V397" s="381"/>
      <c r="W397" s="375"/>
      <c r="X397" s="374"/>
      <c r="Y397" s="370"/>
      <c r="Z397" s="376"/>
      <c r="AA397" s="371"/>
      <c r="AB397" s="744"/>
      <c r="AC397" s="270"/>
      <c r="AD397" s="372"/>
      <c r="AE397" s="270"/>
      <c r="AF397" s="270"/>
      <c r="AG397" s="270"/>
      <c r="AH397" s="272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421"/>
      <c r="R398" s="383"/>
      <c r="S398" s="21"/>
      <c r="T398" s="13"/>
      <c r="U398" s="381"/>
      <c r="V398" s="381"/>
      <c r="W398" s="375"/>
      <c r="X398" s="374"/>
      <c r="Y398" s="370"/>
      <c r="Z398" s="376"/>
      <c r="AA398" s="371"/>
      <c r="AB398" s="744"/>
      <c r="AC398" s="270"/>
      <c r="AD398" s="372"/>
      <c r="AE398" s="270"/>
      <c r="AF398" s="270"/>
      <c r="AG398" s="270"/>
      <c r="AH398" s="272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296"/>
      <c r="Q399" s="421"/>
      <c r="R399" s="383"/>
      <c r="S399" s="21"/>
      <c r="T399" s="13"/>
      <c r="U399" s="381"/>
      <c r="V399" s="381"/>
      <c r="W399" s="375"/>
      <c r="X399" s="374"/>
      <c r="Y399" s="370"/>
      <c r="Z399" s="376"/>
      <c r="AA399" s="371"/>
      <c r="AB399" s="744"/>
      <c r="AC399" s="270"/>
      <c r="AD399" s="372"/>
      <c r="AE399" s="270"/>
      <c r="AF399" s="270"/>
      <c r="AG399" s="270"/>
      <c r="AH399" s="272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296"/>
      <c r="Q400" s="421"/>
      <c r="R400" s="383"/>
      <c r="S400" s="21"/>
      <c r="T400" s="13"/>
      <c r="U400" s="381"/>
      <c r="V400" s="381"/>
      <c r="W400" s="375"/>
      <c r="X400" s="374"/>
      <c r="Y400" s="370"/>
      <c r="Z400" s="376"/>
      <c r="AA400" s="371"/>
      <c r="AB400" s="744"/>
      <c r="AC400" s="270"/>
      <c r="AD400" s="372"/>
      <c r="AE400" s="270"/>
      <c r="AF400" s="270"/>
      <c r="AG400" s="270"/>
      <c r="AH400" s="272"/>
      <c r="AI400" s="1"/>
      <c r="AJ400" s="21"/>
      <c r="AK400" s="21"/>
      <c r="AL400" s="21"/>
      <c r="AM400" s="21"/>
      <c r="AN400" s="21"/>
      <c r="AO400" s="21"/>
    </row>
    <row r="401" spans="1:44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296"/>
      <c r="Q401" s="421"/>
      <c r="R401" s="383"/>
      <c r="S401" s="21"/>
      <c r="T401" s="13"/>
      <c r="U401" s="381"/>
      <c r="V401" s="381"/>
      <c r="W401" s="375"/>
      <c r="X401" s="374"/>
      <c r="Y401" s="370"/>
      <c r="Z401" s="376"/>
      <c r="AA401" s="371"/>
      <c r="AB401" s="744"/>
      <c r="AC401" s="270"/>
      <c r="AD401" s="372"/>
      <c r="AE401" s="270"/>
      <c r="AF401" s="270"/>
      <c r="AG401" s="270"/>
      <c r="AH401" s="272"/>
      <c r="AI401" s="1"/>
      <c r="AJ401" s="21"/>
      <c r="AK401" s="21"/>
      <c r="AL401" s="21"/>
      <c r="AM401" s="21"/>
      <c r="AN401" s="21"/>
      <c r="AO401" s="21"/>
    </row>
    <row r="402" spans="1:44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296"/>
      <c r="Q402" s="421"/>
      <c r="R402" s="383"/>
      <c r="S402" s="21"/>
      <c r="T402" s="13"/>
      <c r="U402" s="381"/>
      <c r="V402" s="381"/>
      <c r="W402" s="375"/>
      <c r="X402" s="374"/>
      <c r="Y402" s="370"/>
      <c r="Z402" s="376"/>
      <c r="AA402" s="371"/>
      <c r="AB402" s="744"/>
      <c r="AC402" s="270"/>
      <c r="AD402" s="372"/>
      <c r="AE402" s="270"/>
      <c r="AF402" s="270"/>
      <c r="AG402" s="270"/>
      <c r="AH402" s="272"/>
      <c r="AI402" s="1"/>
      <c r="AJ402" s="21"/>
      <c r="AK402" s="21"/>
      <c r="AL402" s="21"/>
      <c r="AM402" s="21"/>
      <c r="AN402" s="21"/>
      <c r="AO402" s="21"/>
    </row>
    <row r="403" spans="1:44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421"/>
      <c r="R403" s="383"/>
      <c r="S403" s="21"/>
      <c r="T403" s="13"/>
      <c r="U403" s="381"/>
      <c r="V403" s="321"/>
      <c r="W403" s="322"/>
      <c r="X403" s="322"/>
      <c r="Y403" s="322"/>
      <c r="Z403" s="323"/>
      <c r="AA403" s="371"/>
      <c r="AB403" s="744"/>
      <c r="AC403" s="371"/>
      <c r="AD403" s="372"/>
      <c r="AE403" s="371"/>
      <c r="AF403" s="371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4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21"/>
      <c r="R404" s="383"/>
      <c r="S404" s="21"/>
      <c r="T404" s="13"/>
      <c r="U404" s="381"/>
      <c r="V404" s="321"/>
      <c r="W404" s="322"/>
      <c r="X404" s="322"/>
      <c r="Y404" s="322"/>
      <c r="Z404" s="323"/>
      <c r="AA404" s="371"/>
      <c r="AB404" s="744"/>
      <c r="AC404" s="371"/>
      <c r="AD404" s="372"/>
      <c r="AE404" s="371"/>
      <c r="AF404" s="371"/>
      <c r="AG404" s="270"/>
      <c r="AH404" s="272"/>
      <c r="AI404" s="1"/>
      <c r="AJ404" s="21"/>
      <c r="AK404" s="21"/>
      <c r="AL404" s="21"/>
      <c r="AM404" s="21"/>
      <c r="AN404" s="21"/>
      <c r="AO404" s="21"/>
      <c r="AQ404" s="21"/>
      <c r="AR404" s="21"/>
    </row>
    <row r="405" spans="1:44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21"/>
      <c r="R405" s="383"/>
      <c r="S405" s="21"/>
      <c r="T405" s="13"/>
      <c r="U405" s="381"/>
      <c r="V405" s="321"/>
      <c r="W405" s="322"/>
      <c r="X405" s="322"/>
      <c r="Y405" s="322"/>
      <c r="Z405" s="323"/>
      <c r="AA405" s="371"/>
      <c r="AB405" s="744"/>
      <c r="AC405" s="371"/>
      <c r="AD405" s="372"/>
      <c r="AE405" s="371"/>
      <c r="AF405" s="371"/>
      <c r="AG405" s="270"/>
      <c r="AH405" s="272"/>
      <c r="AI405" s="1"/>
      <c r="AJ405" s="21"/>
      <c r="AK405" s="21"/>
      <c r="AL405" s="21"/>
      <c r="AM405" s="21"/>
      <c r="AN405" s="21"/>
      <c r="AO405" s="21"/>
      <c r="AQ405" s="21"/>
      <c r="AR405" s="21"/>
    </row>
    <row r="406" spans="1:44" x14ac:dyDescent="0.2">
      <c r="A406" s="48"/>
      <c r="B406" s="306"/>
      <c r="C406" s="233"/>
      <c r="D406" s="233"/>
      <c r="P406" s="296"/>
      <c r="Q406" s="421"/>
      <c r="R406" s="383"/>
      <c r="U406" s="381"/>
      <c r="V406" s="321"/>
      <c r="W406" s="322"/>
      <c r="X406" s="322"/>
      <c r="Y406" s="322"/>
      <c r="Z406" s="323"/>
      <c r="AA406" s="371"/>
      <c r="AB406" s="744"/>
      <c r="AC406" s="371"/>
      <c r="AD406" s="372"/>
      <c r="AE406" s="371"/>
      <c r="AF406" s="371"/>
      <c r="AG406" s="270"/>
      <c r="AH406" s="272"/>
      <c r="AP406" s="53"/>
    </row>
    <row r="407" spans="1:44" x14ac:dyDescent="0.2">
      <c r="A407" s="48"/>
      <c r="B407" s="306"/>
      <c r="C407" s="233"/>
      <c r="D407" s="233"/>
      <c r="P407" s="296"/>
      <c r="Q407" s="421"/>
      <c r="R407" s="383"/>
      <c r="U407" s="381"/>
      <c r="V407" s="321"/>
      <c r="W407" s="322"/>
      <c r="X407" s="322"/>
      <c r="Y407" s="322"/>
      <c r="Z407" s="323"/>
      <c r="AA407" s="371"/>
      <c r="AB407" s="744"/>
      <c r="AC407" s="371"/>
      <c r="AD407" s="372"/>
      <c r="AE407" s="371"/>
      <c r="AF407" s="371"/>
      <c r="AG407" s="270"/>
      <c r="AH407" s="272"/>
      <c r="AP407" s="53"/>
    </row>
    <row r="408" spans="1:44" x14ac:dyDescent="0.2">
      <c r="A408" s="48"/>
      <c r="B408" s="306"/>
      <c r="C408" s="233"/>
      <c r="D408" s="233"/>
      <c r="P408" s="296"/>
      <c r="Q408" s="421"/>
      <c r="R408" s="383"/>
      <c r="U408" s="381"/>
      <c r="V408" s="370"/>
      <c r="W408" s="375"/>
      <c r="X408" s="375"/>
      <c r="Y408" s="375"/>
      <c r="Z408" s="376"/>
      <c r="AA408" s="371"/>
      <c r="AB408" s="744"/>
      <c r="AC408" s="371"/>
      <c r="AD408" s="372"/>
      <c r="AE408" s="371"/>
      <c r="AF408" s="371"/>
      <c r="AG408" s="270"/>
      <c r="AH408" s="272"/>
      <c r="AP408" s="53"/>
    </row>
    <row r="409" spans="1:44" x14ac:dyDescent="0.2">
      <c r="A409" s="48"/>
      <c r="B409" s="306"/>
      <c r="C409" s="233"/>
      <c r="D409" s="233"/>
      <c r="P409" s="296"/>
      <c r="Q409" s="421"/>
      <c r="R409" s="383"/>
      <c r="U409" s="381"/>
      <c r="V409" s="370"/>
      <c r="W409" s="375"/>
      <c r="X409" s="374"/>
      <c r="Y409" s="370"/>
      <c r="Z409" s="376"/>
      <c r="AA409" s="371"/>
      <c r="AB409" s="744"/>
      <c r="AC409" s="270"/>
      <c r="AD409" s="372"/>
      <c r="AE409" s="270"/>
      <c r="AF409" s="270"/>
      <c r="AG409" s="270"/>
      <c r="AH409" s="272"/>
      <c r="AP409" s="53"/>
    </row>
    <row r="410" spans="1:44" x14ac:dyDescent="0.2">
      <c r="A410" s="48"/>
      <c r="B410" s="306"/>
      <c r="C410" s="233"/>
      <c r="D410" s="233"/>
      <c r="P410" s="296"/>
      <c r="Q410" s="421"/>
      <c r="R410" s="383"/>
      <c r="U410" s="381"/>
      <c r="V410" s="370"/>
      <c r="W410" s="375"/>
      <c r="X410" s="374"/>
      <c r="Y410" s="370"/>
      <c r="Z410" s="376"/>
      <c r="AA410" s="371"/>
      <c r="AB410" s="744"/>
      <c r="AC410" s="270"/>
      <c r="AD410" s="372"/>
      <c r="AE410" s="270"/>
      <c r="AF410" s="270"/>
      <c r="AG410" s="270"/>
      <c r="AH410" s="272"/>
      <c r="AP410" s="53"/>
    </row>
    <row r="411" spans="1:44" x14ac:dyDescent="0.2">
      <c r="A411" s="48"/>
      <c r="B411" s="306"/>
      <c r="C411" s="233"/>
      <c r="D411" s="233"/>
      <c r="P411" s="296"/>
      <c r="Q411" s="421"/>
      <c r="R411" s="383"/>
      <c r="U411" s="381"/>
      <c r="V411" s="370"/>
      <c r="W411" s="375"/>
      <c r="X411" s="374"/>
      <c r="Y411" s="370"/>
      <c r="Z411" s="376"/>
      <c r="AA411" s="371"/>
      <c r="AB411" s="744"/>
      <c r="AC411" s="270"/>
      <c r="AD411" s="372"/>
      <c r="AE411" s="270"/>
      <c r="AF411" s="270"/>
      <c r="AG411" s="270"/>
      <c r="AH411" s="272"/>
      <c r="AP411" s="53"/>
    </row>
    <row r="412" spans="1:44" x14ac:dyDescent="0.2">
      <c r="A412" s="48"/>
      <c r="B412" s="306"/>
      <c r="C412" s="233"/>
      <c r="D412" s="233"/>
      <c r="P412" s="296"/>
      <c r="Q412" s="421"/>
      <c r="R412" s="383"/>
      <c r="U412" s="381"/>
      <c r="V412" s="370"/>
      <c r="W412" s="375"/>
      <c r="X412" s="374"/>
      <c r="Y412" s="370"/>
      <c r="Z412" s="376"/>
      <c r="AA412" s="371"/>
      <c r="AB412" s="744"/>
      <c r="AC412" s="270"/>
      <c r="AD412" s="372"/>
      <c r="AE412" s="270"/>
      <c r="AF412" s="270"/>
      <c r="AG412" s="270"/>
      <c r="AH412" s="272"/>
      <c r="AP412" s="53"/>
    </row>
    <row r="413" spans="1:44" x14ac:dyDescent="0.2">
      <c r="A413" s="48"/>
      <c r="B413" s="306"/>
      <c r="C413" s="233"/>
      <c r="D413" s="233"/>
      <c r="P413" s="296"/>
      <c r="Q413" s="421"/>
      <c r="R413" s="383"/>
      <c r="U413" s="381"/>
      <c r="V413" s="370"/>
      <c r="W413" s="375"/>
      <c r="X413" s="374"/>
      <c r="Y413" s="370"/>
      <c r="Z413" s="376"/>
      <c r="AA413" s="371"/>
      <c r="AB413" s="744"/>
      <c r="AC413" s="270"/>
      <c r="AD413" s="372"/>
      <c r="AE413" s="270"/>
      <c r="AF413" s="270"/>
      <c r="AG413" s="270"/>
      <c r="AH413" s="272"/>
      <c r="AP413" s="53"/>
    </row>
    <row r="414" spans="1:44" x14ac:dyDescent="0.2">
      <c r="A414" s="48"/>
      <c r="B414" s="306"/>
      <c r="C414" s="233"/>
      <c r="D414" s="233"/>
      <c r="P414" s="296"/>
      <c r="Q414" s="421"/>
      <c r="R414" s="383"/>
      <c r="U414" s="381"/>
      <c r="V414" s="370"/>
      <c r="W414" s="375"/>
      <c r="X414" s="374"/>
      <c r="Y414" s="370"/>
      <c r="Z414" s="376"/>
      <c r="AA414" s="371"/>
      <c r="AB414" s="744"/>
      <c r="AC414" s="270"/>
      <c r="AD414" s="372"/>
      <c r="AE414" s="270"/>
      <c r="AF414" s="270"/>
      <c r="AG414" s="270"/>
      <c r="AH414" s="272"/>
      <c r="AP414" s="53"/>
      <c r="AQ414" s="53"/>
      <c r="AR414" s="53"/>
    </row>
    <row r="415" spans="1:44" x14ac:dyDescent="0.2">
      <c r="A415" s="48"/>
      <c r="B415" s="306"/>
      <c r="C415" s="233"/>
      <c r="D415" s="233"/>
      <c r="P415" s="296"/>
      <c r="Q415" s="421"/>
      <c r="R415" s="383"/>
      <c r="U415" s="381"/>
      <c r="V415" s="370"/>
      <c r="W415" s="375"/>
      <c r="X415" s="374"/>
      <c r="Y415" s="370"/>
      <c r="Z415" s="376"/>
      <c r="AA415" s="371"/>
      <c r="AB415" s="744"/>
      <c r="AC415" s="270"/>
      <c r="AD415" s="372"/>
      <c r="AE415" s="270"/>
      <c r="AF415" s="270"/>
      <c r="AG415" s="270"/>
      <c r="AH415" s="272"/>
      <c r="AP415" s="53"/>
      <c r="AQ415" s="53"/>
      <c r="AR415" s="53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21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744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21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744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21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744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21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744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421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744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421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744"/>
      <c r="AC421" s="270"/>
      <c r="AD421" s="372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421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744"/>
      <c r="AC422" s="270"/>
      <c r="AD422" s="372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421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744"/>
      <c r="AC423" s="270"/>
      <c r="AD423" s="372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296"/>
      <c r="Q424" s="421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744"/>
      <c r="AC424" s="270"/>
      <c r="AD424" s="372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296"/>
      <c r="Q425" s="421"/>
      <c r="R425" s="383"/>
      <c r="S425" s="21"/>
      <c r="T425" s="13"/>
      <c r="U425" s="381"/>
      <c r="V425" s="370"/>
      <c r="W425" s="375"/>
      <c r="X425" s="374"/>
      <c r="Y425" s="370"/>
      <c r="Z425" s="376"/>
      <c r="AA425" s="371"/>
      <c r="AB425" s="744"/>
      <c r="AC425" s="270"/>
      <c r="AD425" s="372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296"/>
      <c r="Q426" s="421"/>
      <c r="R426" s="383"/>
      <c r="S426" s="21"/>
      <c r="T426" s="13"/>
      <c r="U426" s="381"/>
      <c r="V426" s="370"/>
      <c r="W426" s="375"/>
      <c r="X426" s="374"/>
      <c r="Y426" s="370"/>
      <c r="Z426" s="376"/>
      <c r="AA426" s="371"/>
      <c r="AB426" s="744"/>
      <c r="AC426" s="270"/>
      <c r="AD426" s="372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296"/>
      <c r="Q427" s="421"/>
      <c r="R427" s="383"/>
      <c r="S427" s="21"/>
      <c r="T427" s="13"/>
      <c r="U427" s="381"/>
      <c r="V427" s="370"/>
      <c r="W427" s="375"/>
      <c r="X427" s="374"/>
      <c r="Y427" s="370"/>
      <c r="Z427" s="376"/>
      <c r="AA427" s="371"/>
      <c r="AB427" s="744"/>
      <c r="AC427" s="270"/>
      <c r="AD427" s="372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296"/>
      <c r="Q428" s="421"/>
      <c r="R428" s="383"/>
      <c r="S428" s="21"/>
      <c r="T428" s="13"/>
      <c r="U428" s="381"/>
      <c r="V428" s="370"/>
      <c r="W428" s="375"/>
      <c r="X428" s="374"/>
      <c r="Y428" s="370"/>
      <c r="Z428" s="376"/>
      <c r="AA428" s="371"/>
      <c r="AB428" s="744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296"/>
      <c r="Q429" s="421"/>
      <c r="R429" s="383"/>
      <c r="S429" s="21"/>
      <c r="T429" s="13"/>
      <c r="U429" s="381"/>
      <c r="V429" s="370"/>
      <c r="W429" s="375"/>
      <c r="X429" s="374"/>
      <c r="Y429" s="370"/>
      <c r="Z429" s="376"/>
      <c r="AA429" s="371"/>
      <c r="AB429" s="744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296"/>
      <c r="Q430" s="421"/>
      <c r="R430" s="383"/>
      <c r="S430" s="21"/>
      <c r="T430" s="13"/>
      <c r="U430" s="381"/>
      <c r="V430" s="370"/>
      <c r="W430" s="375"/>
      <c r="X430" s="374"/>
      <c r="Y430" s="370"/>
      <c r="Z430" s="376"/>
      <c r="AA430" s="371"/>
      <c r="AB430" s="744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296"/>
      <c r="Q431" s="421"/>
      <c r="R431" s="383"/>
      <c r="S431" s="21"/>
      <c r="T431" s="13"/>
      <c r="U431" s="381"/>
      <c r="V431" s="370"/>
      <c r="W431" s="375"/>
      <c r="X431" s="374"/>
      <c r="Y431" s="370"/>
      <c r="Z431" s="376"/>
      <c r="AA431" s="371"/>
      <c r="AB431" s="744"/>
      <c r="AC431" s="270"/>
      <c r="AD431" s="372"/>
      <c r="AE431" s="270"/>
      <c r="AF431" s="270"/>
      <c r="AG431" s="270"/>
      <c r="AH431" s="315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296"/>
      <c r="Q432" s="316"/>
      <c r="R432" s="383"/>
      <c r="S432" s="21"/>
      <c r="T432" s="13"/>
      <c r="U432" s="381"/>
      <c r="V432" s="370"/>
      <c r="W432" s="375"/>
      <c r="X432" s="374"/>
      <c r="Y432" s="370"/>
      <c r="Z432" s="376"/>
      <c r="AA432" s="371"/>
      <c r="AB432" s="744"/>
      <c r="AC432" s="270"/>
      <c r="AD432" s="372"/>
      <c r="AE432" s="270"/>
      <c r="AF432" s="270"/>
      <c r="AG432" s="270"/>
      <c r="AH432" s="315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296"/>
      <c r="Q433" s="316"/>
      <c r="R433" s="383"/>
      <c r="S433" s="21"/>
      <c r="T433" s="13"/>
      <c r="U433" s="381"/>
      <c r="V433" s="370"/>
      <c r="W433" s="375"/>
      <c r="X433" s="374"/>
      <c r="Y433" s="370"/>
      <c r="Z433" s="376"/>
      <c r="AA433" s="371"/>
      <c r="AB433" s="744"/>
      <c r="AC433" s="270"/>
      <c r="AD433" s="372"/>
      <c r="AE433" s="270"/>
      <c r="AF433" s="270"/>
      <c r="AG433" s="270"/>
      <c r="AH433" s="315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296"/>
      <c r="Q434" s="316"/>
      <c r="R434" s="383"/>
      <c r="S434" s="21"/>
      <c r="T434" s="13"/>
      <c r="U434" s="381"/>
      <c r="V434" s="370"/>
      <c r="W434" s="375"/>
      <c r="X434" s="374"/>
      <c r="Y434" s="370"/>
      <c r="Z434" s="376"/>
      <c r="AA434" s="371"/>
      <c r="AB434" s="744"/>
      <c r="AC434" s="270"/>
      <c r="AD434" s="372"/>
      <c r="AE434" s="270"/>
      <c r="AF434" s="270"/>
      <c r="AG434" s="270"/>
      <c r="AH434" s="315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296"/>
      <c r="Q435" s="316"/>
      <c r="R435" s="383"/>
      <c r="S435" s="21"/>
      <c r="T435" s="13"/>
      <c r="U435" s="381"/>
      <c r="V435" s="370"/>
      <c r="W435" s="375"/>
      <c r="X435" s="374"/>
      <c r="Y435" s="370"/>
      <c r="Z435" s="376"/>
      <c r="AA435" s="371"/>
      <c r="AB435" s="744"/>
      <c r="AC435" s="270"/>
      <c r="AD435" s="372"/>
      <c r="AE435" s="270"/>
      <c r="AF435" s="270"/>
      <c r="AG435" s="270"/>
      <c r="AH435" s="315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6"/>
      <c r="R436" s="383"/>
      <c r="S436" s="21"/>
      <c r="T436" s="13"/>
      <c r="U436" s="381"/>
      <c r="V436" s="370"/>
      <c r="W436" s="375"/>
      <c r="X436" s="374"/>
      <c r="Y436" s="370"/>
      <c r="Z436" s="376"/>
      <c r="AA436" s="371"/>
      <c r="AB436" s="744"/>
      <c r="AC436" s="270"/>
      <c r="AD436" s="372"/>
      <c r="AE436" s="270"/>
      <c r="AF436" s="270"/>
      <c r="AG436" s="270"/>
      <c r="AH436" s="315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6"/>
      <c r="R437" s="383"/>
      <c r="S437" s="21"/>
      <c r="T437" s="13"/>
      <c r="U437" s="381"/>
      <c r="V437" s="370"/>
      <c r="W437" s="375"/>
      <c r="X437" s="374"/>
      <c r="Y437" s="370"/>
      <c r="Z437" s="376"/>
      <c r="AA437" s="371"/>
      <c r="AB437" s="744"/>
      <c r="AC437" s="270"/>
      <c r="AD437" s="372"/>
      <c r="AE437" s="270"/>
      <c r="AF437" s="270"/>
      <c r="AG437" s="270"/>
      <c r="AH437" s="315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6"/>
      <c r="R438" s="383"/>
      <c r="S438" s="21"/>
      <c r="T438" s="13"/>
      <c r="U438" s="381"/>
      <c r="V438" s="370"/>
      <c r="W438" s="375"/>
      <c r="X438" s="374"/>
      <c r="Y438" s="370"/>
      <c r="Z438" s="376"/>
      <c r="AA438" s="371"/>
      <c r="AB438" s="744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6"/>
      <c r="R439" s="383"/>
      <c r="S439" s="21"/>
      <c r="T439" s="13"/>
      <c r="U439" s="381"/>
      <c r="V439" s="370"/>
      <c r="W439" s="375"/>
      <c r="X439" s="374"/>
      <c r="Y439" s="370"/>
      <c r="Z439" s="376"/>
      <c r="AA439" s="371"/>
      <c r="AB439" s="744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6"/>
      <c r="R440" s="383"/>
      <c r="S440" s="21"/>
      <c r="T440" s="13"/>
      <c r="U440" s="381"/>
      <c r="V440" s="370"/>
      <c r="W440" s="375"/>
      <c r="X440" s="374"/>
      <c r="Y440" s="370"/>
      <c r="Z440" s="376"/>
      <c r="AA440" s="371"/>
      <c r="AB440" s="744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6"/>
      <c r="R441" s="383"/>
      <c r="S441" s="21"/>
      <c r="T441" s="13"/>
      <c r="U441" s="381"/>
      <c r="V441" s="370"/>
      <c r="W441" s="375"/>
      <c r="X441" s="374"/>
      <c r="Y441" s="370"/>
      <c r="Z441" s="376"/>
      <c r="AA441" s="371"/>
      <c r="AB441" s="744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6"/>
      <c r="R442" s="383"/>
      <c r="S442" s="21"/>
      <c r="T442" s="13"/>
      <c r="U442" s="381"/>
      <c r="V442" s="370"/>
      <c r="W442" s="375"/>
      <c r="X442" s="374"/>
      <c r="Y442" s="370"/>
      <c r="Z442" s="376"/>
      <c r="AA442" s="371"/>
      <c r="AB442" s="744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6"/>
      <c r="R443" s="383"/>
      <c r="S443" s="21"/>
      <c r="T443" s="13"/>
      <c r="U443" s="381"/>
      <c r="V443" s="370"/>
      <c r="W443" s="375"/>
      <c r="X443" s="374"/>
      <c r="Y443" s="370"/>
      <c r="Z443" s="376"/>
      <c r="AA443" s="371"/>
      <c r="AB443" s="744"/>
      <c r="AC443" s="270"/>
      <c r="AD443" s="372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6"/>
      <c r="R444" s="383"/>
      <c r="S444" s="21"/>
      <c r="T444" s="13"/>
      <c r="U444" s="381"/>
      <c r="V444" s="370"/>
      <c r="W444" s="375"/>
      <c r="X444" s="374"/>
      <c r="Y444" s="370"/>
      <c r="Z444" s="376"/>
      <c r="AA444" s="371"/>
      <c r="AB444" s="744"/>
      <c r="AC444" s="270"/>
      <c r="AD444" s="372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6"/>
      <c r="R445" s="383"/>
      <c r="S445" s="21"/>
      <c r="T445" s="13"/>
      <c r="U445" s="381"/>
      <c r="V445" s="370"/>
      <c r="W445" s="375"/>
      <c r="X445" s="374"/>
      <c r="Y445" s="370"/>
      <c r="Z445" s="376"/>
      <c r="AA445" s="371"/>
      <c r="AB445" s="744"/>
      <c r="AC445" s="270"/>
      <c r="AD445" s="372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6"/>
      <c r="R446" s="383"/>
      <c r="S446" s="21"/>
      <c r="T446" s="13"/>
      <c r="U446" s="381"/>
      <c r="V446" s="370"/>
      <c r="W446" s="375"/>
      <c r="X446" s="374"/>
      <c r="Y446" s="370"/>
      <c r="Z446" s="376"/>
      <c r="AA446" s="371"/>
      <c r="AB446" s="744"/>
      <c r="AC446" s="270"/>
      <c r="AD446" s="372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6"/>
      <c r="R447" s="383"/>
      <c r="S447" s="21"/>
      <c r="T447" s="13"/>
      <c r="U447" s="381"/>
      <c r="V447" s="370"/>
      <c r="W447" s="375"/>
      <c r="X447" s="374"/>
      <c r="Y447" s="370"/>
      <c r="Z447" s="376"/>
      <c r="AA447" s="371"/>
      <c r="AB447" s="744"/>
      <c r="AC447" s="270"/>
      <c r="AD447" s="372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6"/>
      <c r="R448" s="383"/>
      <c r="S448" s="21"/>
      <c r="T448" s="13"/>
      <c r="U448" s="381"/>
      <c r="V448" s="370"/>
      <c r="W448" s="375"/>
      <c r="X448" s="374"/>
      <c r="Y448" s="370"/>
      <c r="Z448" s="376"/>
      <c r="AA448" s="371"/>
      <c r="AB448" s="744"/>
      <c r="AC448" s="270"/>
      <c r="AD448" s="372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6"/>
      <c r="R449" s="383"/>
      <c r="S449" s="21"/>
      <c r="T449" s="13"/>
      <c r="U449" s="381"/>
      <c r="V449" s="370"/>
      <c r="W449" s="375"/>
      <c r="X449" s="374"/>
      <c r="Y449" s="370"/>
      <c r="Z449" s="376"/>
      <c r="AA449" s="371"/>
      <c r="AB449" s="744"/>
      <c r="AC449" s="270"/>
      <c r="AD449" s="372"/>
      <c r="AE449" s="270"/>
      <c r="AF449" s="270"/>
      <c r="AG449" s="270"/>
      <c r="AH449" s="272"/>
      <c r="AI449" s="1"/>
      <c r="AJ449" s="21"/>
      <c r="AK449" s="21"/>
      <c r="AL449" s="21"/>
      <c r="AM449" s="21"/>
      <c r="AN449" s="21"/>
      <c r="AO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16"/>
      <c r="R450" s="383"/>
      <c r="S450" s="21"/>
      <c r="T450" s="13"/>
      <c r="U450" s="381"/>
      <c r="V450" s="370"/>
      <c r="W450" s="375"/>
      <c r="X450" s="374"/>
      <c r="Y450" s="370"/>
      <c r="Z450" s="376"/>
      <c r="AA450" s="371"/>
      <c r="AB450" s="744"/>
      <c r="AC450" s="270"/>
      <c r="AD450" s="372"/>
      <c r="AE450" s="270"/>
      <c r="AF450" s="270"/>
      <c r="AG450" s="270"/>
      <c r="AH450" s="272"/>
      <c r="AI450" s="1"/>
      <c r="AJ450" s="21"/>
      <c r="AK450" s="21"/>
      <c r="AL450" s="21"/>
      <c r="AM450" s="21"/>
      <c r="AN450" s="21"/>
      <c r="AO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Q451" s="316"/>
      <c r="R451" s="383"/>
      <c r="S451" s="21"/>
      <c r="T451" s="13"/>
      <c r="U451" s="381"/>
      <c r="V451" s="370"/>
      <c r="W451" s="375"/>
      <c r="X451" s="374"/>
      <c r="Y451" s="370"/>
      <c r="Z451" s="376"/>
      <c r="AA451" s="371"/>
      <c r="AB451" s="744"/>
      <c r="AC451" s="270"/>
      <c r="AD451" s="372"/>
      <c r="AE451" s="270"/>
      <c r="AF451" s="270"/>
      <c r="AG451" s="270"/>
      <c r="AH451" s="272"/>
      <c r="AI451" s="1"/>
      <c r="AJ451" s="21"/>
      <c r="AK451" s="21"/>
      <c r="AL451" s="21"/>
      <c r="AM451" s="21"/>
      <c r="AN451" s="21"/>
      <c r="AO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Q452" s="316"/>
      <c r="R452" s="383"/>
      <c r="S452" s="21"/>
      <c r="T452" s="13"/>
      <c r="U452" s="381"/>
      <c r="V452" s="370"/>
      <c r="W452" s="375"/>
      <c r="X452" s="374"/>
      <c r="Y452" s="370"/>
      <c r="Z452" s="376"/>
      <c r="AA452" s="371"/>
      <c r="AB452" s="744"/>
      <c r="AC452" s="270"/>
      <c r="AD452" s="372"/>
      <c r="AE452" s="270"/>
      <c r="AF452" s="270"/>
      <c r="AG452" s="270"/>
      <c r="AH452" s="272"/>
      <c r="AI452" s="1"/>
      <c r="AJ452" s="21"/>
      <c r="AK452" s="21"/>
      <c r="AL452" s="21"/>
      <c r="AM452" s="21"/>
      <c r="AN452" s="21"/>
      <c r="AO452" s="21"/>
      <c r="AP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Q453" s="316"/>
      <c r="R453" s="383"/>
      <c r="S453" s="21"/>
      <c r="T453" s="13"/>
      <c r="U453" s="381"/>
      <c r="V453" s="370"/>
      <c r="W453" s="375"/>
      <c r="X453" s="374"/>
      <c r="Y453" s="370"/>
      <c r="Z453" s="376"/>
      <c r="AA453" s="371"/>
      <c r="AB453" s="744"/>
      <c r="AC453" s="270"/>
      <c r="AD453" s="372"/>
      <c r="AE453" s="270"/>
      <c r="AF453" s="270"/>
      <c r="AG453" s="270"/>
      <c r="AH453" s="272"/>
      <c r="AI453" s="1"/>
      <c r="AJ453" s="21"/>
      <c r="AK453" s="21"/>
      <c r="AL453" s="21"/>
      <c r="AM453" s="21"/>
      <c r="AN453" s="21"/>
      <c r="AO453" s="21"/>
      <c r="AP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Q454" s="316"/>
      <c r="R454" s="383"/>
      <c r="S454" s="21"/>
      <c r="T454" s="13"/>
      <c r="U454" s="381"/>
      <c r="V454" s="370"/>
      <c r="W454" s="375"/>
      <c r="X454" s="374"/>
      <c r="Y454" s="370"/>
      <c r="Z454" s="376"/>
      <c r="AA454" s="371"/>
      <c r="AB454" s="744"/>
      <c r="AC454" s="270"/>
      <c r="AD454" s="372"/>
      <c r="AE454" s="270"/>
      <c r="AF454" s="270"/>
      <c r="AG454" s="270"/>
      <c r="AH454" s="272"/>
      <c r="AI454" s="1"/>
      <c r="AJ454" s="21"/>
      <c r="AK454" s="21"/>
      <c r="AL454" s="21"/>
      <c r="AM454" s="21"/>
      <c r="AN454" s="21"/>
      <c r="AO454" s="21"/>
      <c r="AP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Q455" s="316"/>
      <c r="R455" s="383"/>
      <c r="S455" s="21"/>
      <c r="T455" s="13"/>
      <c r="U455" s="381"/>
      <c r="V455" s="370"/>
      <c r="W455" s="375"/>
      <c r="X455" s="374"/>
      <c r="Y455" s="370"/>
      <c r="Z455" s="376"/>
      <c r="AA455" s="371"/>
      <c r="AB455" s="744"/>
      <c r="AC455" s="270"/>
      <c r="AD455" s="372"/>
      <c r="AE455" s="270"/>
      <c r="AF455" s="270"/>
      <c r="AG455" s="270"/>
      <c r="AH455" s="272"/>
      <c r="AI455" s="1"/>
      <c r="AJ455" s="21"/>
      <c r="AK455" s="21"/>
      <c r="AL455" s="21"/>
      <c r="AM455" s="21"/>
      <c r="AN455" s="21"/>
      <c r="AO455" s="21"/>
      <c r="AP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Q456" s="316"/>
      <c r="R456" s="383"/>
      <c r="S456" s="21"/>
      <c r="T456" s="13"/>
      <c r="U456" s="381"/>
      <c r="V456" s="375"/>
      <c r="W456" s="374"/>
      <c r="X456" s="370"/>
      <c r="Y456" s="376"/>
      <c r="Z456" s="371"/>
      <c r="AA456" s="371"/>
      <c r="AB456" s="745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  <c r="AP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Q457" s="316"/>
      <c r="R457" s="383"/>
      <c r="S457" s="21"/>
      <c r="T457" s="13"/>
      <c r="U457" s="381"/>
      <c r="V457" s="375"/>
      <c r="W457" s="374"/>
      <c r="X457" s="370"/>
      <c r="Y457" s="376"/>
      <c r="Z457" s="371"/>
      <c r="AA457" s="371"/>
      <c r="AB457" s="745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  <c r="AP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97"/>
      <c r="Q458" s="316"/>
      <c r="R458" s="383"/>
      <c r="S458" s="21"/>
      <c r="T458" s="13"/>
      <c r="U458" s="381"/>
      <c r="V458" s="375"/>
      <c r="W458" s="374"/>
      <c r="X458" s="370"/>
      <c r="Y458" s="376"/>
      <c r="Z458" s="371"/>
      <c r="AA458" s="371"/>
      <c r="AB458" s="745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  <c r="AP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97"/>
      <c r="Q459" s="316"/>
      <c r="R459" s="383"/>
      <c r="S459" s="21"/>
      <c r="T459" s="13"/>
      <c r="U459" s="381"/>
      <c r="V459" s="375"/>
      <c r="W459" s="374"/>
      <c r="X459" s="370"/>
      <c r="Y459" s="376"/>
      <c r="Z459" s="371"/>
      <c r="AA459" s="371"/>
      <c r="AB459" s="745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  <c r="AP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97"/>
      <c r="Q460" s="316"/>
      <c r="R460" s="383"/>
      <c r="S460" s="21"/>
      <c r="T460" s="13"/>
      <c r="U460" s="381"/>
      <c r="V460" s="375"/>
      <c r="W460" s="374"/>
      <c r="X460" s="370"/>
      <c r="Y460" s="376"/>
      <c r="Z460" s="371"/>
      <c r="AA460" s="371"/>
      <c r="AB460" s="745"/>
      <c r="AC460" s="372"/>
      <c r="AD460" s="270"/>
      <c r="AE460" s="270"/>
      <c r="AF460" s="270"/>
      <c r="AG460" s="376"/>
      <c r="AH460" s="272"/>
      <c r="AI460" s="1"/>
      <c r="AJ460" s="21"/>
      <c r="AK460" s="21"/>
      <c r="AL460" s="21"/>
      <c r="AM460" s="21"/>
      <c r="AN460" s="21"/>
      <c r="AO460" s="21"/>
      <c r="AP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97"/>
      <c r="Q461" s="316"/>
      <c r="R461" s="383"/>
      <c r="S461" s="21"/>
      <c r="T461" s="13"/>
      <c r="U461" s="381"/>
      <c r="V461" s="375"/>
      <c r="W461" s="374"/>
      <c r="X461" s="370"/>
      <c r="Y461" s="376"/>
      <c r="Z461" s="371"/>
      <c r="AA461" s="371"/>
      <c r="AB461" s="745"/>
      <c r="AC461" s="372"/>
      <c r="AD461" s="270"/>
      <c r="AE461" s="270"/>
      <c r="AF461" s="270"/>
      <c r="AG461" s="376"/>
      <c r="AH461" s="272"/>
      <c r="AI461" s="1"/>
      <c r="AJ461" s="21"/>
      <c r="AK461" s="21"/>
      <c r="AL461" s="21"/>
      <c r="AM461" s="21"/>
      <c r="AN461" s="21"/>
      <c r="AO461" s="21"/>
      <c r="AP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97"/>
      <c r="Q462" s="362"/>
      <c r="R462" s="383"/>
      <c r="S462" s="21"/>
      <c r="T462" s="13"/>
      <c r="U462" s="381"/>
      <c r="V462" s="375"/>
      <c r="W462" s="374"/>
      <c r="X462" s="370"/>
      <c r="Y462" s="376"/>
      <c r="Z462" s="371"/>
      <c r="AA462" s="371"/>
      <c r="AB462" s="745"/>
      <c r="AC462" s="372"/>
      <c r="AD462" s="270"/>
      <c r="AE462" s="270"/>
      <c r="AF462" s="270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97"/>
      <c r="R463" s="285"/>
      <c r="S463" s="21"/>
      <c r="T463" s="13"/>
      <c r="U463" s="381"/>
      <c r="V463" s="375"/>
      <c r="W463" s="374"/>
      <c r="X463" s="370"/>
      <c r="Y463" s="376"/>
      <c r="Z463" s="371"/>
      <c r="AA463" s="371"/>
      <c r="AB463" s="745"/>
      <c r="AC463" s="372"/>
      <c r="AD463" s="270"/>
      <c r="AE463" s="270"/>
      <c r="AF463" s="270"/>
      <c r="AG463" s="376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97"/>
      <c r="R464" s="285"/>
      <c r="S464" s="21"/>
      <c r="T464" s="13"/>
      <c r="U464" s="381"/>
      <c r="V464" s="375"/>
      <c r="W464" s="374"/>
      <c r="X464" s="370"/>
      <c r="Y464" s="376"/>
      <c r="Z464" s="371"/>
      <c r="AA464" s="371"/>
      <c r="AB464" s="745"/>
      <c r="AC464" s="372"/>
      <c r="AD464" s="270"/>
      <c r="AE464" s="270"/>
      <c r="AF464" s="270"/>
      <c r="AG464" s="376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97"/>
      <c r="R465" s="285"/>
      <c r="S465" s="21"/>
      <c r="T465" s="13"/>
      <c r="U465" s="381"/>
      <c r="V465" s="375"/>
      <c r="W465" s="374"/>
      <c r="X465" s="370"/>
      <c r="Y465" s="376"/>
      <c r="Z465" s="371"/>
      <c r="AA465" s="371"/>
      <c r="AB465" s="745"/>
      <c r="AC465" s="372"/>
      <c r="AD465" s="270"/>
      <c r="AE465" s="270"/>
      <c r="AF465" s="270"/>
      <c r="AG465" s="376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97"/>
      <c r="R466" s="285"/>
      <c r="S466" s="21"/>
      <c r="T466" s="13"/>
      <c r="U466" s="381"/>
      <c r="V466" s="375"/>
      <c r="W466" s="374"/>
      <c r="X466" s="370"/>
      <c r="Y466" s="376"/>
      <c r="Z466" s="371"/>
      <c r="AA466" s="371"/>
      <c r="AB466" s="745"/>
      <c r="AC466" s="372"/>
      <c r="AD466" s="270"/>
      <c r="AE466" s="270"/>
      <c r="AF466" s="270"/>
      <c r="AG466" s="376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97"/>
      <c r="R467" s="285"/>
      <c r="S467" s="21"/>
      <c r="T467" s="13"/>
      <c r="U467" s="381"/>
      <c r="V467" s="375"/>
      <c r="W467" s="374"/>
      <c r="X467" s="370"/>
      <c r="Y467" s="376"/>
      <c r="Z467" s="371"/>
      <c r="AA467" s="371"/>
      <c r="AB467" s="745"/>
      <c r="AC467" s="372"/>
      <c r="AD467" s="270"/>
      <c r="AE467" s="270"/>
      <c r="AF467" s="270"/>
      <c r="AG467" s="376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97"/>
      <c r="R468" s="285"/>
      <c r="S468" s="21"/>
      <c r="T468" s="13"/>
      <c r="U468" s="381"/>
      <c r="V468" s="375"/>
      <c r="W468" s="374"/>
      <c r="X468" s="370"/>
      <c r="Y468" s="376"/>
      <c r="Z468" s="371"/>
      <c r="AA468" s="371"/>
      <c r="AB468" s="745"/>
      <c r="AC468" s="372"/>
      <c r="AD468" s="270"/>
      <c r="AE468" s="270"/>
      <c r="AF468" s="270"/>
      <c r="AG468" s="376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97"/>
      <c r="R469" s="285"/>
      <c r="S469" s="21"/>
      <c r="T469" s="13"/>
      <c r="U469" s="381"/>
      <c r="V469" s="375"/>
      <c r="W469" s="374"/>
      <c r="X469" s="370"/>
      <c r="Y469" s="376"/>
      <c r="Z469" s="371"/>
      <c r="AA469" s="371"/>
      <c r="AB469" s="745"/>
      <c r="AC469" s="372"/>
      <c r="AD469" s="270"/>
      <c r="AE469" s="270"/>
      <c r="AF469" s="270"/>
      <c r="AG469" s="376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381"/>
      <c r="V470" s="375"/>
      <c r="W470" s="374"/>
      <c r="X470" s="370"/>
      <c r="Y470" s="376"/>
      <c r="Z470" s="371"/>
      <c r="AA470" s="371"/>
      <c r="AB470" s="745"/>
      <c r="AC470" s="372"/>
      <c r="AD470" s="270"/>
      <c r="AE470" s="270"/>
      <c r="AF470" s="270"/>
      <c r="AG470" s="376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381"/>
      <c r="V471" s="375"/>
      <c r="W471" s="374"/>
      <c r="X471" s="370"/>
      <c r="Y471" s="376"/>
      <c r="Z471" s="371"/>
      <c r="AA471" s="371"/>
      <c r="AB471" s="745"/>
      <c r="AC471" s="372"/>
      <c r="AD471" s="270"/>
      <c r="AE471" s="270"/>
      <c r="AF471" s="270"/>
      <c r="AG471" s="376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381"/>
      <c r="V472" s="375"/>
      <c r="W472" s="374"/>
      <c r="X472" s="370"/>
      <c r="Y472" s="376"/>
      <c r="Z472" s="371"/>
      <c r="AA472" s="371"/>
      <c r="AB472" s="745"/>
      <c r="AC472" s="372"/>
      <c r="AD472" s="270"/>
      <c r="AE472" s="270"/>
      <c r="AF472" s="270"/>
      <c r="AG472" s="376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381"/>
      <c r="V473" s="375"/>
      <c r="W473" s="374"/>
      <c r="X473" s="370"/>
      <c r="Y473" s="376"/>
      <c r="Z473" s="371"/>
      <c r="AA473" s="371"/>
      <c r="AB473" s="745"/>
      <c r="AC473" s="372"/>
      <c r="AD473" s="270"/>
      <c r="AE473" s="270"/>
      <c r="AF473" s="270"/>
      <c r="AG473" s="376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381"/>
      <c r="V474" s="375"/>
      <c r="W474" s="374"/>
      <c r="X474" s="370"/>
      <c r="Y474" s="376"/>
      <c r="Z474" s="371"/>
      <c r="AA474" s="371"/>
      <c r="AB474" s="745"/>
      <c r="AC474" s="372"/>
      <c r="AD474" s="270"/>
      <c r="AE474" s="270"/>
      <c r="AF474" s="270"/>
      <c r="AG474" s="376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370"/>
      <c r="V475" s="375"/>
      <c r="W475" s="374"/>
      <c r="X475" s="370"/>
      <c r="Y475" s="376"/>
      <c r="Z475" s="371"/>
      <c r="AA475" s="371"/>
      <c r="AB475" s="745"/>
      <c r="AC475" s="372"/>
      <c r="AD475" s="270"/>
      <c r="AE475" s="270"/>
      <c r="AF475" s="270"/>
      <c r="AG475" s="376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370"/>
      <c r="V476" s="375"/>
      <c r="W476" s="374"/>
      <c r="X476" s="370"/>
      <c r="Y476" s="376"/>
      <c r="Z476" s="371"/>
      <c r="AA476" s="371"/>
      <c r="AB476" s="745"/>
      <c r="AC476" s="372"/>
      <c r="AD476" s="270"/>
      <c r="AE476" s="270"/>
      <c r="AF476" s="270"/>
      <c r="AG476" s="376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370"/>
      <c r="V477" s="375"/>
      <c r="W477" s="374"/>
      <c r="X477" s="370"/>
      <c r="Y477" s="376"/>
      <c r="Z477" s="371"/>
      <c r="AA477" s="371"/>
      <c r="AB477" s="745"/>
      <c r="AC477" s="372"/>
      <c r="AD477" s="270"/>
      <c r="AE477" s="270"/>
      <c r="AF477" s="270"/>
      <c r="AG477" s="376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370"/>
      <c r="V478" s="375"/>
      <c r="W478" s="374"/>
      <c r="X478" s="370"/>
      <c r="Y478" s="376"/>
      <c r="Z478" s="371"/>
      <c r="AA478" s="371"/>
      <c r="AB478" s="745"/>
      <c r="AC478" s="372"/>
      <c r="AD478" s="270"/>
      <c r="AE478" s="270"/>
      <c r="AF478" s="270"/>
      <c r="AG478" s="376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370"/>
      <c r="V479" s="375"/>
      <c r="W479" s="374"/>
      <c r="X479" s="370"/>
      <c r="Y479" s="376"/>
      <c r="Z479" s="371"/>
      <c r="AA479" s="371"/>
      <c r="AB479" s="745"/>
      <c r="AC479" s="372"/>
      <c r="AD479" s="270"/>
      <c r="AE479" s="270"/>
      <c r="AF479" s="270"/>
      <c r="AG479" s="376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370"/>
      <c r="V480" s="375"/>
      <c r="W480" s="374"/>
      <c r="X480" s="370"/>
      <c r="Y480" s="376"/>
      <c r="Z480" s="371"/>
      <c r="AA480" s="371"/>
      <c r="AB480" s="745"/>
      <c r="AC480" s="372"/>
      <c r="AD480" s="270"/>
      <c r="AE480" s="270"/>
      <c r="AF480" s="270"/>
      <c r="AG480" s="376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422"/>
      <c r="V481" s="375"/>
      <c r="W481" s="374"/>
      <c r="X481" s="370"/>
      <c r="Y481" s="376"/>
      <c r="Z481" s="371"/>
      <c r="AA481" s="371"/>
      <c r="AB481" s="745"/>
      <c r="AC481" s="372"/>
      <c r="AD481" s="270"/>
      <c r="AE481" s="270"/>
      <c r="AF481" s="270"/>
      <c r="AG481" s="376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422"/>
      <c r="V482" s="375"/>
      <c r="W482" s="374"/>
      <c r="X482" s="370"/>
      <c r="Y482" s="376"/>
      <c r="Z482" s="371"/>
      <c r="AA482" s="371"/>
      <c r="AB482" s="745"/>
      <c r="AC482" s="372"/>
      <c r="AD482" s="270"/>
      <c r="AE482" s="270"/>
      <c r="AF482" s="270"/>
      <c r="AG482" s="376"/>
      <c r="AH482" s="272"/>
      <c r="AI482" s="1"/>
      <c r="AJ482" s="21"/>
      <c r="AK482" s="21"/>
      <c r="AL482" s="21"/>
      <c r="AM482" s="21"/>
      <c r="AN482" s="21"/>
      <c r="AO482" s="21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422"/>
      <c r="V483" s="375"/>
      <c r="W483" s="374"/>
      <c r="X483" s="370"/>
      <c r="Y483" s="376"/>
      <c r="Z483" s="371"/>
      <c r="AA483" s="371"/>
      <c r="AB483" s="745"/>
      <c r="AC483" s="372"/>
      <c r="AD483" s="270"/>
      <c r="AE483" s="270"/>
      <c r="AF483" s="270"/>
      <c r="AG483" s="376"/>
      <c r="AH483" s="272"/>
      <c r="AI483" s="1"/>
      <c r="AJ483" s="21"/>
      <c r="AK483" s="21"/>
      <c r="AL483" s="21"/>
      <c r="AM483" s="21"/>
      <c r="AN483" s="21"/>
      <c r="AO483" s="21"/>
    </row>
    <row r="484" spans="1:44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422"/>
      <c r="V484" s="375"/>
      <c r="W484" s="374"/>
      <c r="X484" s="370"/>
      <c r="Y484" s="376"/>
      <c r="Z484" s="371"/>
      <c r="AA484" s="371"/>
      <c r="AB484" s="745"/>
      <c r="AC484" s="372"/>
      <c r="AD484" s="270"/>
      <c r="AE484" s="270"/>
      <c r="AF484" s="270"/>
      <c r="AG484" s="376"/>
      <c r="AH484" s="272"/>
      <c r="AI484" s="1"/>
      <c r="AJ484" s="21"/>
      <c r="AK484" s="21"/>
      <c r="AL484" s="21"/>
      <c r="AM484" s="21"/>
      <c r="AN484" s="21"/>
      <c r="AO484" s="21"/>
    </row>
    <row r="485" spans="1:44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422"/>
      <c r="V485" s="375"/>
      <c r="W485" s="374"/>
      <c r="X485" s="370"/>
      <c r="Y485" s="376"/>
      <c r="Z485" s="371"/>
      <c r="AA485" s="371"/>
      <c r="AB485" s="745"/>
      <c r="AC485" s="372"/>
      <c r="AD485" s="270"/>
      <c r="AE485" s="270"/>
      <c r="AF485" s="270"/>
      <c r="AG485" s="376"/>
      <c r="AH485" s="272"/>
      <c r="AI485" s="1"/>
      <c r="AJ485" s="21"/>
      <c r="AK485" s="21"/>
      <c r="AL485" s="21"/>
      <c r="AM485" s="21"/>
      <c r="AN485" s="21"/>
      <c r="AO485" s="21"/>
    </row>
    <row r="486" spans="1:44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422"/>
      <c r="V486" s="375"/>
      <c r="W486" s="374"/>
      <c r="X486" s="370"/>
      <c r="Y486" s="376"/>
      <c r="Z486" s="371"/>
      <c r="AA486" s="371"/>
      <c r="AB486" s="745"/>
      <c r="AC486" s="372"/>
      <c r="AD486" s="270"/>
      <c r="AE486" s="270"/>
      <c r="AF486" s="270"/>
      <c r="AG486" s="376"/>
      <c r="AH486" s="272"/>
      <c r="AI486" s="1"/>
      <c r="AJ486" s="21"/>
      <c r="AK486" s="21"/>
      <c r="AL486" s="21"/>
      <c r="AM486" s="21"/>
      <c r="AN486" s="21"/>
      <c r="AO486" s="21"/>
    </row>
    <row r="487" spans="1:44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422"/>
      <c r="V487" s="375"/>
      <c r="W487" s="374"/>
      <c r="X487" s="370"/>
      <c r="Y487" s="376"/>
      <c r="Z487" s="371"/>
      <c r="AA487" s="371"/>
      <c r="AB487" s="745"/>
      <c r="AC487" s="372"/>
      <c r="AD487" s="270"/>
      <c r="AE487" s="270"/>
      <c r="AF487" s="270"/>
      <c r="AG487" s="376"/>
      <c r="AH487" s="272"/>
      <c r="AI487" s="1"/>
      <c r="AJ487" s="21"/>
      <c r="AK487" s="21"/>
      <c r="AL487" s="21"/>
      <c r="AM487" s="21"/>
      <c r="AN487" s="21"/>
      <c r="AO487" s="21"/>
    </row>
    <row r="488" spans="1:44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422"/>
      <c r="V488" s="375"/>
      <c r="W488" s="374"/>
      <c r="X488" s="370"/>
      <c r="Y488" s="376"/>
      <c r="Z488" s="371"/>
      <c r="AA488" s="371"/>
      <c r="AB488" s="745"/>
      <c r="AC488" s="372"/>
      <c r="AD488" s="270"/>
      <c r="AE488" s="270"/>
      <c r="AF488" s="270"/>
      <c r="AG488" s="376"/>
      <c r="AH488" s="272"/>
      <c r="AI488" s="1"/>
      <c r="AJ488" s="21"/>
      <c r="AK488" s="21"/>
      <c r="AL488" s="21"/>
      <c r="AM488" s="21"/>
      <c r="AN488" s="21"/>
      <c r="AO488" s="21"/>
    </row>
    <row r="489" spans="1:44" s="53" customFormat="1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422"/>
      <c r="V489" s="375"/>
      <c r="W489" s="374"/>
      <c r="X489" s="370"/>
      <c r="Y489" s="376"/>
      <c r="Z489" s="371"/>
      <c r="AA489" s="371"/>
      <c r="AB489" s="745"/>
      <c r="AC489" s="372"/>
      <c r="AD489" s="270"/>
      <c r="AE489" s="270"/>
      <c r="AF489" s="270"/>
      <c r="AG489" s="376"/>
      <c r="AH489" s="272"/>
      <c r="AI489" s="1"/>
      <c r="AJ489" s="21"/>
      <c r="AK489" s="21"/>
      <c r="AL489" s="21"/>
      <c r="AM489" s="21"/>
      <c r="AN489" s="21"/>
      <c r="AO489" s="21"/>
    </row>
    <row r="490" spans="1:44" s="53" customFormat="1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422"/>
      <c r="V490" s="375"/>
      <c r="W490" s="374"/>
      <c r="X490" s="370"/>
      <c r="Y490" s="376"/>
      <c r="Z490" s="371"/>
      <c r="AA490" s="371"/>
      <c r="AB490" s="745"/>
      <c r="AC490" s="372"/>
      <c r="AD490" s="270"/>
      <c r="AE490" s="270"/>
      <c r="AF490" s="270"/>
      <c r="AG490" s="376"/>
      <c r="AH490" s="272"/>
      <c r="AI490" s="1"/>
      <c r="AJ490" s="21"/>
      <c r="AK490" s="21"/>
      <c r="AL490" s="21"/>
      <c r="AM490" s="21"/>
      <c r="AN490" s="21"/>
      <c r="AO490" s="21"/>
    </row>
    <row r="491" spans="1:44" s="53" customFormat="1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1"/>
      <c r="AC491" s="64"/>
      <c r="AD491" s="50"/>
      <c r="AE491" s="50"/>
      <c r="AF491" s="19"/>
      <c r="AG491" s="376"/>
      <c r="AH491" s="272"/>
      <c r="AI491" s="1"/>
      <c r="AJ491" s="21"/>
      <c r="AK491" s="21"/>
      <c r="AL491" s="21"/>
      <c r="AM491" s="21"/>
      <c r="AN491" s="21"/>
      <c r="AO491" s="21"/>
    </row>
    <row r="492" spans="1:44" s="53" customFormat="1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1"/>
      <c r="AC492" s="64"/>
      <c r="AD492" s="50"/>
      <c r="AE492" s="50"/>
      <c r="AF492" s="19"/>
      <c r="AG492" s="376"/>
      <c r="AH492" s="272"/>
      <c r="AI492" s="1"/>
      <c r="AJ492" s="21"/>
      <c r="AK492" s="21"/>
      <c r="AL492" s="21"/>
      <c r="AM492" s="21"/>
      <c r="AN492" s="21"/>
      <c r="AO492" s="21"/>
    </row>
    <row r="493" spans="1:44" s="53" customFormat="1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1"/>
      <c r="AC493" s="64"/>
      <c r="AD493" s="50"/>
      <c r="AE493" s="50"/>
      <c r="AF493" s="19"/>
      <c r="AG493" s="376"/>
      <c r="AH493" s="272"/>
      <c r="AI493" s="1"/>
      <c r="AJ493" s="21"/>
      <c r="AK493" s="21"/>
      <c r="AL493" s="21"/>
      <c r="AM493" s="21"/>
      <c r="AN493" s="21"/>
      <c r="AO493" s="21"/>
    </row>
    <row r="494" spans="1:44" s="53" customFormat="1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1"/>
      <c r="AC494" s="64"/>
      <c r="AD494" s="50"/>
      <c r="AE494" s="50"/>
      <c r="AF494" s="19"/>
      <c r="AG494" s="376"/>
      <c r="AH494" s="272"/>
      <c r="AI494" s="1"/>
      <c r="AJ494" s="21"/>
      <c r="AK494" s="21"/>
      <c r="AL494" s="21"/>
      <c r="AM494" s="21"/>
      <c r="AN494" s="21"/>
      <c r="AO494" s="21"/>
      <c r="AQ494" s="308"/>
      <c r="AR494" s="308"/>
    </row>
    <row r="495" spans="1:44" s="53" customFormat="1" x14ac:dyDescent="0.2">
      <c r="A495" s="48"/>
      <c r="B495" s="306"/>
      <c r="C495" s="233"/>
      <c r="D495" s="233"/>
      <c r="F495" s="13"/>
      <c r="G495" s="1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1"/>
      <c r="AC495" s="64"/>
      <c r="AD495" s="50"/>
      <c r="AE495" s="50"/>
      <c r="AF495" s="19"/>
      <c r="AG495" s="376"/>
      <c r="AH495" s="272"/>
      <c r="AI495" s="1"/>
      <c r="AJ495" s="21"/>
      <c r="AK495" s="21"/>
      <c r="AL495" s="21"/>
      <c r="AM495" s="21"/>
      <c r="AN495" s="21"/>
      <c r="AO495" s="21"/>
      <c r="AQ495" s="308"/>
      <c r="AR495" s="308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1"/>
      <c r="AC496" s="64"/>
      <c r="AD496" s="50"/>
      <c r="AE496" s="50"/>
      <c r="AF496" s="19"/>
      <c r="AG496" s="376"/>
      <c r="AH496" s="272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1"/>
      <c r="AC497" s="64"/>
      <c r="AD497" s="50"/>
      <c r="AE497" s="50"/>
      <c r="AF497" s="19"/>
      <c r="AG497" s="376"/>
      <c r="AH497" s="272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1"/>
      <c r="AC498" s="64"/>
      <c r="AD498" s="50"/>
      <c r="AE498" s="50"/>
      <c r="AF498" s="19"/>
      <c r="AG498" s="120"/>
      <c r="AH498" s="272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  <c r="AP530" s="53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  <c r="AP531" s="53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  <c r="AP532" s="53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  <c r="AP533" s="53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  <c r="AP534" s="53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  <c r="AP535" s="53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  <c r="AP536" s="53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  <c r="AP537" s="53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  <c r="AP538" s="53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  <c r="AP539" s="53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  <c r="AP540" s="53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  <c r="AP541" s="53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3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23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  <c r="AQ681" s="21"/>
      <c r="AR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  <c r="AQ682" s="21"/>
      <c r="AR682" s="21"/>
    </row>
    <row r="683" spans="1:44" x14ac:dyDescent="0.2">
      <c r="A683" s="48"/>
      <c r="AP683" s="308"/>
    </row>
    <row r="684" spans="1:44" x14ac:dyDescent="0.2">
      <c r="A684" s="48"/>
      <c r="AP684" s="308"/>
    </row>
    <row r="685" spans="1:44" x14ac:dyDescent="0.2">
      <c r="A685" s="48"/>
      <c r="AP685" s="308"/>
    </row>
    <row r="686" spans="1:44" x14ac:dyDescent="0.2">
      <c r="A686" s="48"/>
      <c r="AP686" s="308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4" x14ac:dyDescent="0.2">
      <c r="A689" s="48"/>
      <c r="AP689" s="308"/>
      <c r="AQ689" s="308"/>
      <c r="AR689" s="308"/>
    </row>
    <row r="690" spans="1:44" x14ac:dyDescent="0.2">
      <c r="A690" s="48"/>
      <c r="AP690" s="308"/>
      <c r="AQ690" s="308"/>
      <c r="AR690" s="308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4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4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6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4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6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4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6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4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6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4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6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1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</row>
    <row r="710" spans="1:44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6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1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</row>
    <row r="711" spans="1:44" s="308" customFormat="1" x14ac:dyDescent="0.2">
      <c r="A711" s="48"/>
      <c r="C711" s="263"/>
      <c r="D711" s="26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316"/>
      <c r="R711" s="285"/>
      <c r="S711" s="21"/>
      <c r="T711" s="13"/>
      <c r="U711" s="13"/>
      <c r="V711" s="21"/>
      <c r="W711" s="21"/>
      <c r="X711" s="21"/>
      <c r="Y711" s="260"/>
      <c r="Z711" s="177"/>
      <c r="AA711" s="177"/>
      <c r="AB711" s="61"/>
      <c r="AC711" s="64"/>
      <c r="AD711" s="50"/>
      <c r="AE711" s="50"/>
      <c r="AF711" s="19"/>
      <c r="AG711" s="120"/>
      <c r="AH711" s="119"/>
      <c r="AI711" s="1"/>
      <c r="AJ711" s="21"/>
      <c r="AK711" s="21"/>
      <c r="AL711" s="21"/>
      <c r="AM711" s="21"/>
      <c r="AN711" s="21"/>
      <c r="AO711" s="21"/>
    </row>
    <row r="712" spans="1:44" s="308" customFormat="1" x14ac:dyDescent="0.2">
      <c r="A712" s="48"/>
      <c r="C712" s="263"/>
      <c r="D712" s="26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316"/>
      <c r="R712" s="285"/>
      <c r="S712" s="21"/>
      <c r="T712" s="13"/>
      <c r="U712" s="13"/>
      <c r="V712" s="21"/>
      <c r="W712" s="21"/>
      <c r="X712" s="21"/>
      <c r="Y712" s="260"/>
      <c r="Z712" s="177"/>
      <c r="AA712" s="177"/>
      <c r="AB712" s="61"/>
      <c r="AC712" s="64"/>
      <c r="AD712" s="50"/>
      <c r="AE712" s="50"/>
      <c r="AF712" s="19"/>
      <c r="AG712" s="120"/>
      <c r="AH712" s="119"/>
      <c r="AI712" s="1"/>
      <c r="AJ712" s="21"/>
      <c r="AK712" s="21"/>
      <c r="AL712" s="21"/>
      <c r="AM712" s="21"/>
      <c r="AN712" s="21"/>
      <c r="AO712" s="21"/>
    </row>
    <row r="713" spans="1:44" s="308" customFormat="1" x14ac:dyDescent="0.2">
      <c r="A713" s="48"/>
      <c r="C713" s="263"/>
      <c r="D713" s="26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316"/>
      <c r="R713" s="285"/>
      <c r="S713" s="21"/>
      <c r="T713" s="13"/>
      <c r="U713" s="13"/>
      <c r="V713" s="21"/>
      <c r="W713" s="21"/>
      <c r="X713" s="21"/>
      <c r="Y713" s="260"/>
      <c r="Z713" s="177"/>
      <c r="AA713" s="177"/>
      <c r="AB713" s="61"/>
      <c r="AC713" s="64"/>
      <c r="AD713" s="50"/>
      <c r="AE713" s="50"/>
      <c r="AF713" s="19"/>
      <c r="AG713" s="120"/>
      <c r="AH713" s="119"/>
      <c r="AI713" s="1"/>
      <c r="AJ713" s="21"/>
      <c r="AK713" s="21"/>
      <c r="AL713" s="21"/>
      <c r="AM713" s="21"/>
      <c r="AN713" s="21"/>
      <c r="AO713" s="21"/>
    </row>
    <row r="714" spans="1:44" s="308" customFormat="1" x14ac:dyDescent="0.2">
      <c r="A714" s="48"/>
      <c r="C714" s="263"/>
      <c r="D714" s="26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316"/>
      <c r="R714" s="285"/>
      <c r="S714" s="21"/>
      <c r="T714" s="13"/>
      <c r="U714" s="13"/>
      <c r="V714" s="21"/>
      <c r="W714" s="21"/>
      <c r="X714" s="21"/>
      <c r="Y714" s="260"/>
      <c r="Z714" s="177"/>
      <c r="AA714" s="177"/>
      <c r="AB714" s="61"/>
      <c r="AC714" s="64"/>
      <c r="AD714" s="50"/>
      <c r="AE714" s="50"/>
      <c r="AF714" s="19"/>
      <c r="AG714" s="120"/>
      <c r="AH714" s="119"/>
      <c r="AI714" s="1"/>
      <c r="AJ714" s="21"/>
      <c r="AK714" s="21"/>
      <c r="AL714" s="21"/>
      <c r="AM714" s="21"/>
      <c r="AN714" s="21"/>
      <c r="AO714" s="21"/>
    </row>
    <row r="715" spans="1:44" s="308" customFormat="1" x14ac:dyDescent="0.2">
      <c r="A715" s="48"/>
      <c r="C715" s="263"/>
      <c r="D715" s="26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316"/>
      <c r="R715" s="285"/>
      <c r="S715" s="21"/>
      <c r="T715" s="13"/>
      <c r="U715" s="13"/>
      <c r="V715" s="21"/>
      <c r="W715" s="21"/>
      <c r="X715" s="21"/>
      <c r="Y715" s="260"/>
      <c r="Z715" s="177"/>
      <c r="AA715" s="177"/>
      <c r="AB715" s="61"/>
      <c r="AC715" s="64"/>
      <c r="AD715" s="50"/>
      <c r="AE715" s="50"/>
      <c r="AF715" s="19"/>
      <c r="AG715" s="120"/>
      <c r="AH715" s="119"/>
      <c r="AI715" s="1"/>
      <c r="AJ715" s="21"/>
      <c r="AK715" s="21"/>
      <c r="AL715" s="21"/>
      <c r="AM715" s="21"/>
      <c r="AN715" s="21"/>
      <c r="AO715" s="21"/>
    </row>
    <row r="716" spans="1:44" s="308" customFormat="1" x14ac:dyDescent="0.2">
      <c r="A716" s="48"/>
      <c r="C716" s="263"/>
      <c r="D716" s="26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316"/>
      <c r="R716" s="285"/>
      <c r="S716" s="21"/>
      <c r="T716" s="13"/>
      <c r="U716" s="13"/>
      <c r="V716" s="21"/>
      <c r="W716" s="21"/>
      <c r="X716" s="21"/>
      <c r="Y716" s="260"/>
      <c r="Z716" s="177"/>
      <c r="AA716" s="177"/>
      <c r="AB716" s="61"/>
      <c r="AC716" s="64"/>
      <c r="AD716" s="50"/>
      <c r="AE716" s="50"/>
      <c r="AF716" s="19"/>
      <c r="AG716" s="120"/>
      <c r="AH716" s="119"/>
      <c r="AI716" s="1"/>
      <c r="AJ716" s="21"/>
      <c r="AK716" s="21"/>
      <c r="AL716" s="21"/>
      <c r="AM716" s="21"/>
      <c r="AN716" s="21"/>
      <c r="AO716" s="21"/>
      <c r="AQ716" s="21"/>
      <c r="AR716" s="21"/>
    </row>
    <row r="717" spans="1:44" s="308" customFormat="1" x14ac:dyDescent="0.2">
      <c r="A717" s="48"/>
      <c r="C717" s="263"/>
      <c r="D717" s="26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316"/>
      <c r="R717" s="285"/>
      <c r="S717" s="21"/>
      <c r="T717" s="13"/>
      <c r="U717" s="13"/>
      <c r="V717" s="21"/>
      <c r="W717" s="21"/>
      <c r="X717" s="21"/>
      <c r="Y717" s="260"/>
      <c r="Z717" s="177"/>
      <c r="AA717" s="177"/>
      <c r="AB717" s="61"/>
      <c r="AC717" s="64"/>
      <c r="AD717" s="50"/>
      <c r="AE717" s="50"/>
      <c r="AF717" s="19"/>
      <c r="AG717" s="120"/>
      <c r="AH717" s="119"/>
      <c r="AI717" s="1"/>
      <c r="AJ717" s="21"/>
      <c r="AK717" s="21"/>
      <c r="AL717" s="21"/>
      <c r="AM717" s="21"/>
      <c r="AN717" s="21"/>
      <c r="AO717" s="21"/>
      <c r="AQ717" s="21"/>
      <c r="AR717" s="21"/>
    </row>
    <row r="718" spans="1:44" x14ac:dyDescent="0.2">
      <c r="A718" s="48"/>
      <c r="AP718" s="308"/>
    </row>
    <row r="719" spans="1:44" x14ac:dyDescent="0.2">
      <c r="A719" s="48"/>
      <c r="AP719" s="308"/>
    </row>
    <row r="720" spans="1:44" x14ac:dyDescent="0.2">
      <c r="A720" s="48"/>
      <c r="AP720" s="308"/>
    </row>
    <row r="721" spans="1:42" x14ac:dyDescent="0.2">
      <c r="A721" s="48"/>
      <c r="AP721" s="308"/>
    </row>
    <row r="722" spans="1:42" x14ac:dyDescent="0.2">
      <c r="A722" s="48"/>
      <c r="AP722" s="308"/>
    </row>
    <row r="723" spans="1:42" x14ac:dyDescent="0.2">
      <c r="A723" s="48"/>
      <c r="AP723" s="308"/>
    </row>
    <row r="724" spans="1:42" x14ac:dyDescent="0.2">
      <c r="A724" s="48"/>
      <c r="AP724" s="30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</row>
    <row r="730" spans="1:42" x14ac:dyDescent="0.2">
      <c r="A730" s="48"/>
    </row>
    <row r="731" spans="1:42" x14ac:dyDescent="0.2">
      <c r="A731" s="48"/>
    </row>
    <row r="732" spans="1:42" x14ac:dyDescent="0.2">
      <c r="A732" s="48"/>
    </row>
    <row r="733" spans="1:42" x14ac:dyDescent="0.2">
      <c r="A733" s="48"/>
    </row>
    <row r="734" spans="1:42" x14ac:dyDescent="0.2">
      <c r="A734" s="48"/>
    </row>
    <row r="735" spans="1:42" x14ac:dyDescent="0.2">
      <c r="A735" s="48"/>
    </row>
    <row r="736" spans="1:42" x14ac:dyDescent="0.2">
      <c r="A736" s="4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  <c r="AP752" s="308"/>
    </row>
    <row r="753" spans="1:45" x14ac:dyDescent="0.2">
      <c r="A753" s="48"/>
      <c r="AP753" s="308"/>
    </row>
    <row r="754" spans="1:45" x14ac:dyDescent="0.2">
      <c r="A754" s="48"/>
      <c r="AP754" s="308"/>
    </row>
    <row r="755" spans="1:45" x14ac:dyDescent="0.2">
      <c r="A755" s="48"/>
      <c r="AP755" s="308"/>
    </row>
    <row r="756" spans="1:45" x14ac:dyDescent="0.2">
      <c r="A756" s="48"/>
      <c r="AP756" s="308"/>
    </row>
    <row r="757" spans="1:45" x14ac:dyDescent="0.2">
      <c r="A757" s="48"/>
      <c r="AP757" s="308"/>
    </row>
    <row r="758" spans="1:45" x14ac:dyDescent="0.2">
      <c r="A758" s="48"/>
      <c r="AP758" s="308"/>
    </row>
    <row r="759" spans="1:45" x14ac:dyDescent="0.2">
      <c r="A759" s="48"/>
      <c r="AP759" s="308"/>
    </row>
    <row r="760" spans="1:45" x14ac:dyDescent="0.2">
      <c r="A760" s="48"/>
      <c r="AP760" s="308"/>
    </row>
    <row r="761" spans="1:45" x14ac:dyDescent="0.2">
      <c r="A761" s="48"/>
      <c r="AP761" s="308"/>
    </row>
    <row r="762" spans="1:45" x14ac:dyDescent="0.2">
      <c r="A762" s="48"/>
      <c r="AP762" s="308"/>
    </row>
    <row r="763" spans="1:45" x14ac:dyDescent="0.2">
      <c r="A763" s="48"/>
      <c r="AP763" s="308"/>
    </row>
    <row r="764" spans="1:45" x14ac:dyDescent="0.2">
      <c r="A764" s="48"/>
    </row>
    <row r="765" spans="1:45" x14ac:dyDescent="0.2">
      <c r="A765" s="48"/>
    </row>
    <row r="766" spans="1:45" x14ac:dyDescent="0.2">
      <c r="A766" s="48"/>
    </row>
    <row r="767" spans="1:45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316"/>
      <c r="R767" s="285"/>
      <c r="S767" s="21"/>
      <c r="T767" s="13"/>
      <c r="U767" s="13"/>
      <c r="V767" s="21"/>
      <c r="W767" s="21"/>
      <c r="X767" s="21"/>
      <c r="Y767" s="260"/>
      <c r="Z767" s="177"/>
      <c r="AA767" s="177"/>
      <c r="AB767" s="61"/>
      <c r="AC767" s="64"/>
      <c r="AD767" s="50"/>
      <c r="AE767" s="50"/>
      <c r="AF767" s="19"/>
      <c r="AG767" s="120"/>
      <c r="AH767" s="119"/>
      <c r="AI767" s="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1:45" s="308" customFormat="1" x14ac:dyDescent="0.2">
      <c r="A768" s="48"/>
      <c r="C768" s="263"/>
      <c r="D768" s="263"/>
      <c r="E768" s="53"/>
      <c r="F768" s="13"/>
      <c r="G768" s="13"/>
      <c r="H768" s="53"/>
      <c r="I768" s="298"/>
      <c r="J768" s="21"/>
      <c r="K768" s="21"/>
      <c r="L768" s="13"/>
      <c r="M768" s="50"/>
      <c r="N768" s="97"/>
      <c r="O768" s="50"/>
      <c r="P768" s="50"/>
      <c r="Q768" s="316"/>
      <c r="R768" s="285"/>
      <c r="S768" s="21"/>
      <c r="T768" s="13"/>
      <c r="U768" s="13"/>
      <c r="V768" s="21"/>
      <c r="W768" s="21"/>
      <c r="X768" s="21"/>
      <c r="Y768" s="260"/>
      <c r="Z768" s="177"/>
      <c r="AA768" s="177"/>
      <c r="AB768" s="61"/>
      <c r="AC768" s="64"/>
      <c r="AD768" s="50"/>
      <c r="AE768" s="50"/>
      <c r="AF768" s="19"/>
      <c r="AG768" s="120"/>
      <c r="AH768" s="119"/>
      <c r="AI768" s="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</sheetData>
  <autoFilter ref="A5:T289">
    <filterColumn colId="3" showButton="0"/>
  </autoFilter>
  <sortState ref="B6:T94">
    <sortCondition ref="C6:C94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18"/>
  <sheetViews>
    <sheetView topLeftCell="T325" workbookViewId="0">
      <selection activeCell="X92" sqref="X92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8" style="53" bestFit="1" customWidth="1"/>
    <col min="6" max="6" width="6.28515625" style="13" customWidth="1" outlineLevel="1"/>
    <col min="7" max="7" width="8.7109375" style="13" bestFit="1" customWidth="1"/>
    <col min="8" max="8" width="28.5703125" style="53" bestFit="1" customWidth="1" outlineLevel="1"/>
    <col min="9" max="9" width="9.5703125" style="298" bestFit="1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1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9.85546875" style="177" bestFit="1" customWidth="1" outlineLevel="1"/>
    <col min="27" max="27" width="12" style="177" bestFit="1" customWidth="1" outlineLevel="1"/>
    <col min="28" max="28" width="4.4257812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74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74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7373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74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8206</v>
      </c>
      <c r="V4" s="67"/>
      <c r="W4" s="67"/>
      <c r="Y4" s="21"/>
      <c r="Z4" s="260"/>
      <c r="AB4" s="74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310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720" t="s">
        <v>7764</v>
      </c>
      <c r="C6" s="771">
        <v>522403</v>
      </c>
      <c r="D6" s="771">
        <v>1060</v>
      </c>
      <c r="E6" s="771" t="s">
        <v>5617</v>
      </c>
      <c r="F6" s="539"/>
      <c r="G6" s="659">
        <v>43043</v>
      </c>
      <c r="H6" s="655"/>
      <c r="I6" s="655" t="s">
        <v>7567</v>
      </c>
      <c r="J6" s="712"/>
      <c r="K6" s="655" t="s">
        <v>1144</v>
      </c>
      <c r="L6" s="655" t="s">
        <v>7375</v>
      </c>
      <c r="M6" s="660">
        <v>185479.29</v>
      </c>
      <c r="N6" s="660">
        <v>0</v>
      </c>
      <c r="O6" s="660">
        <v>29676.69</v>
      </c>
      <c r="P6" s="660">
        <v>215155.98</v>
      </c>
      <c r="Q6" s="541"/>
      <c r="R6" s="660">
        <v>185123.95</v>
      </c>
      <c r="S6" s="542">
        <f t="shared" ref="S6:S7" si="0">+P6-R6</f>
        <v>30032.03</v>
      </c>
      <c r="T6" s="267" t="s">
        <v>283</v>
      </c>
      <c r="U6" s="621" t="str">
        <f>+B6</f>
        <v>AA12235</v>
      </c>
      <c r="V6" s="622" t="str">
        <f>+I6</f>
        <v>0868-TCN17</v>
      </c>
      <c r="W6" s="621">
        <f>+C6</f>
        <v>522403</v>
      </c>
      <c r="X6" s="621" t="str">
        <f>+E6</f>
        <v>YARIS R LE MT</v>
      </c>
      <c r="Y6" s="622">
        <f>+F6</f>
        <v>0</v>
      </c>
      <c r="Z6" s="623">
        <f>+M6</f>
        <v>185479.29</v>
      </c>
      <c r="AA6" s="624"/>
      <c r="AB6" s="663"/>
      <c r="AC6" s="624">
        <v>0</v>
      </c>
      <c r="AD6" s="625">
        <v>0</v>
      </c>
      <c r="AE6" s="632">
        <v>0</v>
      </c>
      <c r="AF6" s="632">
        <f>+N6</f>
        <v>0</v>
      </c>
      <c r="AG6" s="632">
        <f>+N6-AF6</f>
        <v>0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721" t="s">
        <v>7765</v>
      </c>
      <c r="C7" s="771">
        <v>522403</v>
      </c>
      <c r="D7" s="771">
        <v>1060</v>
      </c>
      <c r="E7" s="771" t="s">
        <v>5617</v>
      </c>
      <c r="F7" s="546"/>
      <c r="G7" s="659">
        <v>43067</v>
      </c>
      <c r="H7" s="655"/>
      <c r="I7" s="655" t="s">
        <v>7568</v>
      </c>
      <c r="J7" s="712"/>
      <c r="K7" s="655" t="s">
        <v>1144</v>
      </c>
      <c r="L7" s="655" t="s">
        <v>7376</v>
      </c>
      <c r="M7" s="660">
        <v>195873.84</v>
      </c>
      <c r="N7" s="660">
        <v>0</v>
      </c>
      <c r="O7" s="660">
        <v>31339.81</v>
      </c>
      <c r="P7" s="660">
        <v>227213.65</v>
      </c>
      <c r="Q7" s="548"/>
      <c r="R7" s="660">
        <v>195872.97</v>
      </c>
      <c r="S7" s="549">
        <f t="shared" si="0"/>
        <v>31340.679999999993</v>
      </c>
      <c r="T7" s="267" t="s">
        <v>283</v>
      </c>
      <c r="U7" s="626" t="str">
        <f t="shared" ref="U7:U70" si="1">+B7</f>
        <v>AA12420</v>
      </c>
      <c r="V7" s="627" t="str">
        <f t="shared" ref="V7:V70" si="2">+I7</f>
        <v>1903-TCN17</v>
      </c>
      <c r="W7" s="626">
        <f t="shared" ref="W7:W70" si="3">+C7</f>
        <v>522403</v>
      </c>
      <c r="X7" s="626" t="str">
        <f t="shared" ref="X7:Y70" si="4">+E7</f>
        <v>YARIS R LE MT</v>
      </c>
      <c r="Y7" s="627">
        <f t="shared" si="4"/>
        <v>0</v>
      </c>
      <c r="Z7" s="628">
        <f t="shared" ref="Z7:Z70" si="5">+M7</f>
        <v>195873.84</v>
      </c>
      <c r="AA7" s="725"/>
      <c r="AB7" s="746"/>
      <c r="AC7" s="629">
        <f t="shared" ref="AC7:AC70" si="6">VLOOKUP(Z7,TARIFA,1)</f>
        <v>0.01</v>
      </c>
      <c r="AD7" s="630">
        <f t="shared" ref="AD7:AD70" si="7">VLOOKUP(Z7,TARIFA,4)</f>
        <v>0.02</v>
      </c>
      <c r="AE7" s="555">
        <f t="shared" ref="AE7:AE70" si="8">VLOOKUP(Z7,TARIFA,3)</f>
        <v>0</v>
      </c>
      <c r="AF7" s="555">
        <f t="shared" ref="AF7:AF24" si="9">IF(Z7&lt;281240.78,(((Z7-AC7)*AD7+AE7)/2),(Z7-AC7)*AD7+AE7)</f>
        <v>1958.7383</v>
      </c>
      <c r="AG7" s="555">
        <f t="shared" ref="AG7:AG70" si="10">+N7-AF7</f>
        <v>-1958.7383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721" t="s">
        <v>7877</v>
      </c>
      <c r="C8" s="771">
        <v>520108</v>
      </c>
      <c r="D8" s="771">
        <v>2593</v>
      </c>
      <c r="E8" s="771" t="s">
        <v>685</v>
      </c>
      <c r="F8" s="546">
        <v>2018</v>
      </c>
      <c r="G8" s="659">
        <v>43067</v>
      </c>
      <c r="H8" s="655" t="s">
        <v>1211</v>
      </c>
      <c r="I8" s="655" t="s">
        <v>7635</v>
      </c>
      <c r="J8" s="712"/>
      <c r="K8" s="655" t="s">
        <v>8136</v>
      </c>
      <c r="L8" s="655" t="s">
        <v>7443</v>
      </c>
      <c r="M8" s="660">
        <v>395529.4</v>
      </c>
      <c r="N8" s="660">
        <v>19901.63</v>
      </c>
      <c r="O8" s="660">
        <v>66468.97</v>
      </c>
      <c r="P8" s="660">
        <v>481900</v>
      </c>
      <c r="Q8" s="548"/>
      <c r="R8" s="660">
        <v>342616.49</v>
      </c>
      <c r="S8" s="549">
        <f t="shared" ref="S8:S71" si="12">+P8-R8</f>
        <v>139283.51</v>
      </c>
      <c r="T8" s="267" t="s">
        <v>1932</v>
      </c>
      <c r="U8" s="626" t="str">
        <f t="shared" si="1"/>
        <v>AA12451</v>
      </c>
      <c r="V8" s="627" t="str">
        <f t="shared" si="2"/>
        <v>0247-TCN18</v>
      </c>
      <c r="W8" s="626">
        <f t="shared" si="3"/>
        <v>520108</v>
      </c>
      <c r="X8" s="626" t="str">
        <f t="shared" si="4"/>
        <v>CAMRY XLE 4 -DOOR</v>
      </c>
      <c r="Y8" s="627">
        <f t="shared" si="4"/>
        <v>2018</v>
      </c>
      <c r="Z8" s="628">
        <f t="shared" si="5"/>
        <v>395529.4</v>
      </c>
      <c r="AA8" s="629">
        <f>+Z8</f>
        <v>395529.4</v>
      </c>
      <c r="AB8" s="793">
        <v>1</v>
      </c>
      <c r="AC8" s="780">
        <f t="shared" si="6"/>
        <v>344993.21</v>
      </c>
      <c r="AD8" s="630">
        <f t="shared" si="7"/>
        <v>0.15</v>
      </c>
      <c r="AE8" s="555">
        <f t="shared" si="8"/>
        <v>12321.2</v>
      </c>
      <c r="AF8" s="629">
        <f t="shared" si="9"/>
        <v>19901.628499999999</v>
      </c>
      <c r="AG8" s="555">
        <f t="shared" si="10"/>
        <v>1.5000000021245796E-3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721" t="s">
        <v>7885</v>
      </c>
      <c r="C9" s="771">
        <v>520112</v>
      </c>
      <c r="D9" s="771">
        <v>2594</v>
      </c>
      <c r="E9" s="771" t="s">
        <v>720</v>
      </c>
      <c r="F9" s="546">
        <v>2018</v>
      </c>
      <c r="G9" s="659">
        <v>43067</v>
      </c>
      <c r="H9" s="655" t="s">
        <v>764</v>
      </c>
      <c r="I9" s="655" t="s">
        <v>7637</v>
      </c>
      <c r="J9" s="712"/>
      <c r="K9" s="655" t="s">
        <v>8138</v>
      </c>
      <c r="L9" s="655" t="s">
        <v>7445</v>
      </c>
      <c r="M9" s="660">
        <v>416518.91</v>
      </c>
      <c r="N9" s="660">
        <v>23050.06</v>
      </c>
      <c r="O9" s="660">
        <v>70331.03</v>
      </c>
      <c r="P9" s="660">
        <v>509900</v>
      </c>
      <c r="Q9" s="548"/>
      <c r="R9" s="660">
        <v>360667.47</v>
      </c>
      <c r="S9" s="549">
        <f t="shared" si="12"/>
        <v>149232.53000000003</v>
      </c>
      <c r="T9" s="113" t="s">
        <v>1932</v>
      </c>
      <c r="U9" s="626" t="str">
        <f t="shared" si="1"/>
        <v>AA12446</v>
      </c>
      <c r="V9" s="627" t="str">
        <f t="shared" si="2"/>
        <v>0244-TCN18</v>
      </c>
      <c r="W9" s="626">
        <f t="shared" si="3"/>
        <v>520112</v>
      </c>
      <c r="X9" s="626" t="str">
        <f t="shared" si="4"/>
        <v>CAMRY XLE</v>
      </c>
      <c r="Y9" s="627">
        <f t="shared" si="4"/>
        <v>2018</v>
      </c>
      <c r="Z9" s="628">
        <f t="shared" si="5"/>
        <v>416518.91</v>
      </c>
      <c r="AA9" s="629"/>
      <c r="AB9" s="793"/>
      <c r="AC9" s="780">
        <f t="shared" si="6"/>
        <v>344993.21</v>
      </c>
      <c r="AD9" s="630">
        <f t="shared" si="7"/>
        <v>0.15</v>
      </c>
      <c r="AE9" s="555">
        <f t="shared" si="8"/>
        <v>12321.2</v>
      </c>
      <c r="AF9" s="629">
        <f t="shared" si="9"/>
        <v>23050.054999999993</v>
      </c>
      <c r="AG9" s="555">
        <f t="shared" si="10"/>
        <v>5.0000000082945917E-3</v>
      </c>
      <c r="AH9" s="361"/>
      <c r="AI9" s="313"/>
    </row>
    <row r="10" spans="1:45" s="291" customFormat="1" x14ac:dyDescent="0.2">
      <c r="A10" s="423">
        <f t="shared" si="11"/>
        <v>5</v>
      </c>
      <c r="B10" s="721" t="s">
        <v>7882</v>
      </c>
      <c r="C10" s="771">
        <v>520112</v>
      </c>
      <c r="D10" s="771">
        <v>2594</v>
      </c>
      <c r="E10" s="771" t="s">
        <v>720</v>
      </c>
      <c r="F10" s="546">
        <v>2017</v>
      </c>
      <c r="G10" s="659">
        <v>43060</v>
      </c>
      <c r="H10" s="655" t="s">
        <v>7761</v>
      </c>
      <c r="I10" s="655" t="s">
        <v>7636</v>
      </c>
      <c r="J10" s="712"/>
      <c r="K10" s="655" t="s">
        <v>8137</v>
      </c>
      <c r="L10" s="655" t="s">
        <v>7444</v>
      </c>
      <c r="M10" s="660">
        <v>321886.03999999998</v>
      </c>
      <c r="N10" s="660">
        <v>10010.51</v>
      </c>
      <c r="O10" s="660">
        <v>53103.45</v>
      </c>
      <c r="P10" s="660">
        <v>385000</v>
      </c>
      <c r="Q10" s="548"/>
      <c r="R10" s="660">
        <v>309664.12</v>
      </c>
      <c r="S10" s="549">
        <f t="shared" si="12"/>
        <v>75335.88</v>
      </c>
      <c r="T10" s="113" t="s">
        <v>1932</v>
      </c>
      <c r="U10" s="626" t="str">
        <f t="shared" si="1"/>
        <v>AA12354</v>
      </c>
      <c r="V10" s="627" t="str">
        <f t="shared" si="2"/>
        <v>0689-TCN17</v>
      </c>
      <c r="W10" s="626">
        <f t="shared" si="3"/>
        <v>520112</v>
      </c>
      <c r="X10" s="626" t="str">
        <f t="shared" si="4"/>
        <v>CAMRY XLE</v>
      </c>
      <c r="Y10" s="627">
        <f t="shared" si="4"/>
        <v>2017</v>
      </c>
      <c r="Z10" s="628">
        <f t="shared" si="5"/>
        <v>321886.03999999998</v>
      </c>
      <c r="AA10" s="629">
        <f>+Z10+Z9</f>
        <v>738404.95</v>
      </c>
      <c r="AB10" s="793">
        <v>2</v>
      </c>
      <c r="AC10" s="780">
        <f t="shared" si="6"/>
        <v>295708.34000000003</v>
      </c>
      <c r="AD10" s="630">
        <f t="shared" si="7"/>
        <v>0.1</v>
      </c>
      <c r="AE10" s="555">
        <f t="shared" si="8"/>
        <v>7392.74</v>
      </c>
      <c r="AF10" s="629">
        <f t="shared" si="9"/>
        <v>10010.509999999995</v>
      </c>
      <c r="AG10" s="555">
        <f t="shared" si="10"/>
        <v>0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721" t="s">
        <v>7984</v>
      </c>
      <c r="C11" s="771">
        <v>1520605</v>
      </c>
      <c r="D11" s="771">
        <v>7490</v>
      </c>
      <c r="E11" s="771" t="s">
        <v>6935</v>
      </c>
      <c r="F11" s="546"/>
      <c r="G11" s="659">
        <v>43046</v>
      </c>
      <c r="H11" s="655" t="s">
        <v>727</v>
      </c>
      <c r="I11" s="655" t="s">
        <v>6936</v>
      </c>
      <c r="J11" s="712"/>
      <c r="K11" s="655" t="s">
        <v>6938</v>
      </c>
      <c r="L11" s="655" t="s">
        <v>6937</v>
      </c>
      <c r="M11" s="660">
        <v>-345566.5</v>
      </c>
      <c r="N11" s="660">
        <v>-17278.330000000002</v>
      </c>
      <c r="O11" s="660">
        <v>-58055.17</v>
      </c>
      <c r="P11" s="660">
        <v>-420900</v>
      </c>
      <c r="Q11" s="548"/>
      <c r="R11" s="660">
        <v>-305701.96999999997</v>
      </c>
      <c r="S11" s="549">
        <f t="shared" si="12"/>
        <v>-115198.03000000003</v>
      </c>
      <c r="T11" s="113" t="s">
        <v>1931</v>
      </c>
      <c r="U11" s="626" t="str">
        <f t="shared" si="1"/>
        <v>ZA04419</v>
      </c>
      <c r="V11" s="627" t="str">
        <f t="shared" si="2"/>
        <v>0127-TCN18</v>
      </c>
      <c r="W11" s="626">
        <f t="shared" si="3"/>
        <v>1520605</v>
      </c>
      <c r="X11" s="626" t="str">
        <f t="shared" si="4"/>
        <v>HILUX DIESEL BASE</v>
      </c>
      <c r="Y11" s="627">
        <f t="shared" si="4"/>
        <v>0</v>
      </c>
      <c r="Z11" s="628">
        <f t="shared" si="5"/>
        <v>-345566.5</v>
      </c>
      <c r="AA11" s="624">
        <f>+Z11+Z10+Z9+Z8+Z7+Z6</f>
        <v>1169720.98</v>
      </c>
      <c r="AB11" s="663">
        <v>4</v>
      </c>
      <c r="AC11" s="629" t="e">
        <f t="shared" si="6"/>
        <v>#N/A</v>
      </c>
      <c r="AD11" s="630" t="e">
        <f t="shared" si="7"/>
        <v>#N/A</v>
      </c>
      <c r="AE11" s="555" t="e">
        <f t="shared" si="8"/>
        <v>#N/A</v>
      </c>
      <c r="AF11" s="555" t="e">
        <f t="shared" si="9"/>
        <v>#N/A</v>
      </c>
      <c r="AG11" s="555" t="e">
        <f t="shared" si="10"/>
        <v>#N/A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721" t="s">
        <v>7770</v>
      </c>
      <c r="C12" s="771">
        <v>521101</v>
      </c>
      <c r="D12" s="771">
        <v>1251</v>
      </c>
      <c r="E12" s="771" t="s">
        <v>700</v>
      </c>
      <c r="F12" s="546"/>
      <c r="G12" s="659">
        <v>43069</v>
      </c>
      <c r="H12" s="655"/>
      <c r="I12" s="655" t="s">
        <v>7571</v>
      </c>
      <c r="J12" s="712"/>
      <c r="K12" s="655" t="s">
        <v>1147</v>
      </c>
      <c r="L12" s="655" t="s">
        <v>7379</v>
      </c>
      <c r="M12" s="660">
        <v>300450.65999999997</v>
      </c>
      <c r="N12" s="660">
        <v>0</v>
      </c>
      <c r="O12" s="660">
        <v>48072.11</v>
      </c>
      <c r="P12" s="660">
        <v>348522.77</v>
      </c>
      <c r="Q12" s="548"/>
      <c r="R12" s="660">
        <v>300095.32</v>
      </c>
      <c r="S12" s="549">
        <f t="shared" si="12"/>
        <v>48427.450000000012</v>
      </c>
      <c r="T12" s="113" t="s">
        <v>283</v>
      </c>
      <c r="U12" s="626" t="str">
        <f t="shared" si="1"/>
        <v>AA12457</v>
      </c>
      <c r="V12" s="627" t="str">
        <f t="shared" si="2"/>
        <v>1913-TCN17</v>
      </c>
      <c r="W12" s="626">
        <f t="shared" si="3"/>
        <v>521101</v>
      </c>
      <c r="X12" s="626" t="str">
        <f t="shared" si="4"/>
        <v>PRIUS HYBRID BASE</v>
      </c>
      <c r="Y12" s="627">
        <f t="shared" si="4"/>
        <v>0</v>
      </c>
      <c r="Z12" s="628">
        <f t="shared" si="5"/>
        <v>300450.65999999997</v>
      </c>
      <c r="AA12" s="629"/>
      <c r="AB12" s="664"/>
      <c r="AC12" s="629">
        <f t="shared" si="6"/>
        <v>295708.34000000003</v>
      </c>
      <c r="AD12" s="630">
        <f t="shared" si="7"/>
        <v>0.1</v>
      </c>
      <c r="AE12" s="555">
        <f t="shared" si="8"/>
        <v>7392.74</v>
      </c>
      <c r="AF12" s="555">
        <f t="shared" si="9"/>
        <v>7866.9719999999943</v>
      </c>
      <c r="AG12" s="555">
        <f t="shared" si="10"/>
        <v>-7866.9719999999943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721" t="s">
        <v>7985</v>
      </c>
      <c r="C13" s="771">
        <v>1520605</v>
      </c>
      <c r="D13" s="771">
        <v>7490</v>
      </c>
      <c r="E13" s="771" t="s">
        <v>6935</v>
      </c>
      <c r="F13" s="546"/>
      <c r="G13" s="659">
        <v>43046</v>
      </c>
      <c r="H13" s="655" t="s">
        <v>727</v>
      </c>
      <c r="I13" s="655" t="s">
        <v>6936</v>
      </c>
      <c r="J13" s="712"/>
      <c r="K13" s="655" t="s">
        <v>6938</v>
      </c>
      <c r="L13" s="655" t="s">
        <v>6937</v>
      </c>
      <c r="M13" s="660">
        <v>-345566.5</v>
      </c>
      <c r="N13" s="660">
        <v>-17278.330000000002</v>
      </c>
      <c r="O13" s="660">
        <v>-58055.17</v>
      </c>
      <c r="P13" s="660">
        <v>-420900</v>
      </c>
      <c r="Q13" s="548"/>
      <c r="R13" s="660">
        <v>-305701.96999999997</v>
      </c>
      <c r="S13" s="549">
        <f t="shared" si="12"/>
        <v>-115198.03000000003</v>
      </c>
      <c r="T13" s="113" t="s">
        <v>1931</v>
      </c>
      <c r="U13" s="626" t="str">
        <f t="shared" si="1"/>
        <v>ZA04420</v>
      </c>
      <c r="V13" s="627" t="str">
        <f t="shared" si="2"/>
        <v>0127-TCN18</v>
      </c>
      <c r="W13" s="626">
        <f t="shared" si="3"/>
        <v>1520605</v>
      </c>
      <c r="X13" s="626" t="str">
        <f t="shared" si="4"/>
        <v>HILUX DIESEL BASE</v>
      </c>
      <c r="Y13" s="627">
        <f t="shared" si="4"/>
        <v>0</v>
      </c>
      <c r="Z13" s="628">
        <f t="shared" si="5"/>
        <v>-345566.5</v>
      </c>
      <c r="AA13" s="629">
        <f>+Z13+Z12-7467.78</f>
        <v>-52583.620000000024</v>
      </c>
      <c r="AB13" s="664">
        <v>2</v>
      </c>
      <c r="AC13" s="629" t="e">
        <f t="shared" si="6"/>
        <v>#N/A</v>
      </c>
      <c r="AD13" s="630" t="e">
        <f t="shared" si="7"/>
        <v>#N/A</v>
      </c>
      <c r="AE13" s="555" t="e">
        <f t="shared" si="8"/>
        <v>#N/A</v>
      </c>
      <c r="AF13" s="555" t="e">
        <f t="shared" si="9"/>
        <v>#N/A</v>
      </c>
      <c r="AG13" s="555" t="e">
        <f t="shared" si="10"/>
        <v>#N/A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721" t="s">
        <v>7986</v>
      </c>
      <c r="C14" s="771">
        <v>1520605</v>
      </c>
      <c r="D14" s="771">
        <v>7490</v>
      </c>
      <c r="E14" s="771" t="s">
        <v>6935</v>
      </c>
      <c r="F14" s="546"/>
      <c r="G14" s="659">
        <v>43046</v>
      </c>
      <c r="H14" s="655" t="s">
        <v>727</v>
      </c>
      <c r="I14" s="655" t="s">
        <v>6936</v>
      </c>
      <c r="J14" s="712"/>
      <c r="K14" s="655" t="s">
        <v>6938</v>
      </c>
      <c r="L14" s="655" t="s">
        <v>6937</v>
      </c>
      <c r="M14" s="660">
        <v>-345566.5</v>
      </c>
      <c r="N14" s="660">
        <v>-17278.330000000002</v>
      </c>
      <c r="O14" s="660">
        <v>-58055.17</v>
      </c>
      <c r="P14" s="660">
        <v>-420900</v>
      </c>
      <c r="Q14" s="548"/>
      <c r="R14" s="660">
        <v>-305701.96999999997</v>
      </c>
      <c r="S14" s="549">
        <f t="shared" si="12"/>
        <v>-115198.03000000003</v>
      </c>
      <c r="T14" s="267" t="s">
        <v>1931</v>
      </c>
      <c r="U14" s="626" t="str">
        <f t="shared" si="1"/>
        <v>ZA04421</v>
      </c>
      <c r="V14" s="627" t="str">
        <f t="shared" si="2"/>
        <v>0127-TCN18</v>
      </c>
      <c r="W14" s="626">
        <f t="shared" si="3"/>
        <v>1520605</v>
      </c>
      <c r="X14" s="626" t="str">
        <f t="shared" si="4"/>
        <v>HILUX DIESEL BASE</v>
      </c>
      <c r="Y14" s="627">
        <f t="shared" si="4"/>
        <v>0</v>
      </c>
      <c r="Z14" s="628">
        <f t="shared" si="5"/>
        <v>-345566.5</v>
      </c>
      <c r="AA14" s="629"/>
      <c r="AB14" s="664"/>
      <c r="AC14" s="629"/>
      <c r="AD14" s="630"/>
      <c r="AE14" s="555"/>
      <c r="AF14" s="555">
        <f>+N14</f>
        <v>-17278.330000000002</v>
      </c>
      <c r="AG14" s="555">
        <f t="shared" si="10"/>
        <v>0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721" t="s">
        <v>7987</v>
      </c>
      <c r="C15" s="771">
        <v>1520605</v>
      </c>
      <c r="D15" s="771">
        <v>7490</v>
      </c>
      <c r="E15" s="771" t="s">
        <v>6935</v>
      </c>
      <c r="F15" s="546"/>
      <c r="G15" s="659">
        <v>43046</v>
      </c>
      <c r="H15" s="655" t="s">
        <v>727</v>
      </c>
      <c r="I15" s="655" t="s">
        <v>6936</v>
      </c>
      <c r="J15" s="712"/>
      <c r="K15" s="655" t="s">
        <v>6938</v>
      </c>
      <c r="L15" s="655" t="s">
        <v>6937</v>
      </c>
      <c r="M15" s="660">
        <v>-345566.5</v>
      </c>
      <c r="N15" s="660">
        <v>-17278.330000000002</v>
      </c>
      <c r="O15" s="660">
        <v>-58055.17</v>
      </c>
      <c r="P15" s="660">
        <v>-420900</v>
      </c>
      <c r="Q15" s="548"/>
      <c r="R15" s="660">
        <v>-305701.96999999997</v>
      </c>
      <c r="S15" s="549">
        <f t="shared" si="12"/>
        <v>-115198.03000000003</v>
      </c>
      <c r="T15" s="113" t="s">
        <v>1931</v>
      </c>
      <c r="U15" s="626" t="str">
        <f t="shared" si="1"/>
        <v>ZA04423</v>
      </c>
      <c r="V15" s="627" t="str">
        <f t="shared" si="2"/>
        <v>0127-TCN18</v>
      </c>
      <c r="W15" s="626">
        <f t="shared" si="3"/>
        <v>1520605</v>
      </c>
      <c r="X15" s="626" t="str">
        <f t="shared" si="4"/>
        <v>HILUX DIESEL BASE</v>
      </c>
      <c r="Y15" s="627">
        <f t="shared" si="4"/>
        <v>0</v>
      </c>
      <c r="Z15" s="628">
        <f t="shared" si="5"/>
        <v>-345566.5</v>
      </c>
      <c r="AA15" s="555"/>
      <c r="AB15" s="664"/>
      <c r="AC15" s="629" t="e">
        <f t="shared" ref="AC15" si="13">VLOOKUP(Z15,TARIFA,1)</f>
        <v>#N/A</v>
      </c>
      <c r="AD15" s="630" t="e">
        <f t="shared" ref="AD15" si="14">VLOOKUP(Z15,TARIFA,4)</f>
        <v>#N/A</v>
      </c>
      <c r="AE15" s="555" t="e">
        <f t="shared" ref="AE15" si="15">VLOOKUP(Z15,TARIFA,3)</f>
        <v>#N/A</v>
      </c>
      <c r="AF15" s="555" t="e">
        <f t="shared" ref="AF15" si="16">IF(Z15&lt;281240.78,(((Z15-AC15)*AD15+AE15)/2),(Z15-AC15)*AD15+AE15)</f>
        <v>#N/A</v>
      </c>
      <c r="AG15" s="555" t="e">
        <f t="shared" si="10"/>
        <v>#N/A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721" t="s">
        <v>7988</v>
      </c>
      <c r="C16" s="771">
        <v>1520605</v>
      </c>
      <c r="D16" s="771">
        <v>7490</v>
      </c>
      <c r="E16" s="771" t="s">
        <v>6935</v>
      </c>
      <c r="F16" s="546"/>
      <c r="G16" s="659">
        <v>43046</v>
      </c>
      <c r="H16" s="655" t="s">
        <v>727</v>
      </c>
      <c r="I16" s="655" t="s">
        <v>6936</v>
      </c>
      <c r="J16" s="712"/>
      <c r="K16" s="655" t="s">
        <v>6938</v>
      </c>
      <c r="L16" s="655" t="s">
        <v>6937</v>
      </c>
      <c r="M16" s="660">
        <v>345566.5</v>
      </c>
      <c r="N16" s="660">
        <v>17278.330000000002</v>
      </c>
      <c r="O16" s="660">
        <v>58055.17</v>
      </c>
      <c r="P16" s="660">
        <v>420900</v>
      </c>
      <c r="Q16" s="548"/>
      <c r="R16" s="660">
        <v>305701.96999999997</v>
      </c>
      <c r="S16" s="549">
        <f t="shared" si="12"/>
        <v>115198.03000000003</v>
      </c>
      <c r="T16" s="113" t="s">
        <v>1931</v>
      </c>
      <c r="U16" s="626" t="str">
        <f t="shared" si="1"/>
        <v>AA12248</v>
      </c>
      <c r="V16" s="627" t="str">
        <f t="shared" si="2"/>
        <v>0127-TCN18</v>
      </c>
      <c r="W16" s="626">
        <f t="shared" si="3"/>
        <v>1520605</v>
      </c>
      <c r="X16" s="626" t="str">
        <f t="shared" si="4"/>
        <v>HILUX DIESEL BASE</v>
      </c>
      <c r="Y16" s="627">
        <f t="shared" si="4"/>
        <v>0</v>
      </c>
      <c r="Z16" s="628">
        <f t="shared" si="5"/>
        <v>345566.5</v>
      </c>
      <c r="AA16" s="629">
        <f>+Z16</f>
        <v>345566.5</v>
      </c>
      <c r="AB16" s="664">
        <v>1</v>
      </c>
      <c r="AC16" s="629">
        <f t="shared" si="6"/>
        <v>344993.21</v>
      </c>
      <c r="AD16" s="630">
        <f t="shared" si="7"/>
        <v>0.15</v>
      </c>
      <c r="AE16" s="555">
        <f t="shared" si="8"/>
        <v>12321.2</v>
      </c>
      <c r="AF16" s="555">
        <f t="shared" si="9"/>
        <v>12407.193499999998</v>
      </c>
      <c r="AG16" s="555">
        <f t="shared" si="10"/>
        <v>4871.1365000000042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721" t="s">
        <v>7989</v>
      </c>
      <c r="C17" s="771">
        <v>1520605</v>
      </c>
      <c r="D17" s="771">
        <v>7490</v>
      </c>
      <c r="E17" s="771" t="s">
        <v>6935</v>
      </c>
      <c r="F17" s="546"/>
      <c r="G17" s="659">
        <v>43046</v>
      </c>
      <c r="H17" s="655" t="s">
        <v>727</v>
      </c>
      <c r="I17" s="655" t="s">
        <v>6936</v>
      </c>
      <c r="J17" s="712"/>
      <c r="K17" s="655" t="s">
        <v>6938</v>
      </c>
      <c r="L17" s="655" t="s">
        <v>6937</v>
      </c>
      <c r="M17" s="660">
        <v>345566.5</v>
      </c>
      <c r="N17" s="660">
        <v>17278.330000000002</v>
      </c>
      <c r="O17" s="660">
        <v>58055.17</v>
      </c>
      <c r="P17" s="660">
        <v>420900</v>
      </c>
      <c r="Q17" s="548"/>
      <c r="R17" s="660">
        <v>305701.96999999997</v>
      </c>
      <c r="S17" s="549">
        <f t="shared" si="12"/>
        <v>115198.03000000003</v>
      </c>
      <c r="T17" s="267" t="s">
        <v>1931</v>
      </c>
      <c r="U17" s="626" t="str">
        <f t="shared" si="1"/>
        <v>AA12249</v>
      </c>
      <c r="V17" s="627" t="str">
        <f t="shared" si="2"/>
        <v>0127-TCN18</v>
      </c>
      <c r="W17" s="626">
        <f t="shared" si="3"/>
        <v>1520605</v>
      </c>
      <c r="X17" s="626" t="str">
        <f t="shared" si="4"/>
        <v>HILUX DIESEL BASE</v>
      </c>
      <c r="Y17" s="627">
        <f t="shared" si="4"/>
        <v>0</v>
      </c>
      <c r="Z17" s="628">
        <f t="shared" si="5"/>
        <v>345566.5</v>
      </c>
      <c r="AA17" s="629">
        <f>+Z17</f>
        <v>345566.5</v>
      </c>
      <c r="AB17" s="664">
        <v>1</v>
      </c>
      <c r="AC17" s="629">
        <f t="shared" si="6"/>
        <v>344993.21</v>
      </c>
      <c r="AD17" s="630">
        <f t="shared" si="7"/>
        <v>0.15</v>
      </c>
      <c r="AE17" s="555">
        <f t="shared" si="8"/>
        <v>12321.2</v>
      </c>
      <c r="AF17" s="555">
        <f>+N17</f>
        <v>17278.330000000002</v>
      </c>
      <c r="AG17" s="555">
        <f t="shared" si="10"/>
        <v>0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721" t="s">
        <v>7776</v>
      </c>
      <c r="C18" s="771">
        <v>521101</v>
      </c>
      <c r="D18" s="771">
        <v>1253</v>
      </c>
      <c r="E18" s="771" t="s">
        <v>30</v>
      </c>
      <c r="F18" s="546"/>
      <c r="G18" s="659">
        <v>43060</v>
      </c>
      <c r="H18" s="655"/>
      <c r="I18" s="655" t="s">
        <v>7574</v>
      </c>
      <c r="J18" s="712"/>
      <c r="K18" s="655" t="s">
        <v>1149</v>
      </c>
      <c r="L18" s="655" t="s">
        <v>7382</v>
      </c>
      <c r="M18" s="660">
        <v>345259.04</v>
      </c>
      <c r="N18" s="660">
        <v>0</v>
      </c>
      <c r="O18" s="660">
        <v>55241.45</v>
      </c>
      <c r="P18" s="660">
        <v>400500.49</v>
      </c>
      <c r="Q18" s="548"/>
      <c r="R18" s="660">
        <v>344903.7</v>
      </c>
      <c r="S18" s="549">
        <f t="shared" si="12"/>
        <v>55596.789999999979</v>
      </c>
      <c r="T18" s="113" t="s">
        <v>283</v>
      </c>
      <c r="U18" s="626" t="str">
        <f t="shared" si="1"/>
        <v>AA12348</v>
      </c>
      <c r="V18" s="627" t="str">
        <f t="shared" si="2"/>
        <v>1827-TCN17</v>
      </c>
      <c r="W18" s="626">
        <f t="shared" si="3"/>
        <v>521101</v>
      </c>
      <c r="X18" s="626" t="str">
        <f t="shared" si="4"/>
        <v>PRIUS</v>
      </c>
      <c r="Y18" s="627">
        <f t="shared" si="4"/>
        <v>0</v>
      </c>
      <c r="Z18" s="628">
        <f t="shared" si="5"/>
        <v>345259.04</v>
      </c>
      <c r="AA18" s="629"/>
      <c r="AB18" s="664"/>
      <c r="AC18" s="629">
        <f t="shared" si="6"/>
        <v>344993.21</v>
      </c>
      <c r="AD18" s="630">
        <f t="shared" si="7"/>
        <v>0.15</v>
      </c>
      <c r="AE18" s="555">
        <f t="shared" si="8"/>
        <v>12321.2</v>
      </c>
      <c r="AF18" s="555">
        <f t="shared" ref="AF18:AF20" si="17">IF(Z18&lt;281240.78,(((Z18-AC18)*AD18+AE18)/2),(Z18-AC18)*AD18+AE18)</f>
        <v>12361.074499999995</v>
      </c>
      <c r="AG18" s="555">
        <f t="shared" si="10"/>
        <v>-12361.074499999995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721" t="s">
        <v>7990</v>
      </c>
      <c r="C19" s="771">
        <v>1520605</v>
      </c>
      <c r="D19" s="771">
        <v>7490</v>
      </c>
      <c r="E19" s="771" t="s">
        <v>6935</v>
      </c>
      <c r="F19" s="546"/>
      <c r="G19" s="659">
        <v>43046</v>
      </c>
      <c r="H19" s="655" t="s">
        <v>727</v>
      </c>
      <c r="I19" s="655" t="s">
        <v>6936</v>
      </c>
      <c r="J19" s="712"/>
      <c r="K19" s="655" t="s">
        <v>6938</v>
      </c>
      <c r="L19" s="655" t="s">
        <v>6937</v>
      </c>
      <c r="M19" s="660">
        <v>345566.5</v>
      </c>
      <c r="N19" s="660">
        <v>17278.330000000002</v>
      </c>
      <c r="O19" s="660">
        <v>58055.17</v>
      </c>
      <c r="P19" s="660">
        <v>420900</v>
      </c>
      <c r="Q19" s="548"/>
      <c r="R19" s="660">
        <v>305701.96999999997</v>
      </c>
      <c r="S19" s="549">
        <f t="shared" si="12"/>
        <v>115198.03000000003</v>
      </c>
      <c r="T19" s="113" t="s">
        <v>1931</v>
      </c>
      <c r="U19" s="626" t="str">
        <f t="shared" si="1"/>
        <v>AA12252</v>
      </c>
      <c r="V19" s="627" t="str">
        <f t="shared" si="2"/>
        <v>0127-TCN18</v>
      </c>
      <c r="W19" s="626">
        <f t="shared" si="3"/>
        <v>1520605</v>
      </c>
      <c r="X19" s="626" t="str">
        <f t="shared" si="4"/>
        <v>HILUX DIESEL BASE</v>
      </c>
      <c r="Y19" s="627">
        <f t="shared" si="4"/>
        <v>0</v>
      </c>
      <c r="Z19" s="628">
        <f t="shared" si="5"/>
        <v>345566.5</v>
      </c>
      <c r="AA19" s="629"/>
      <c r="AB19" s="664"/>
      <c r="AC19" s="629">
        <f t="shared" si="6"/>
        <v>344993.21</v>
      </c>
      <c r="AD19" s="630">
        <f t="shared" si="7"/>
        <v>0.15</v>
      </c>
      <c r="AE19" s="555">
        <f t="shared" si="8"/>
        <v>12321.2</v>
      </c>
      <c r="AF19" s="555">
        <f t="shared" si="17"/>
        <v>12407.193499999998</v>
      </c>
      <c r="AG19" s="555">
        <f t="shared" si="10"/>
        <v>4871.1365000000042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721" t="s">
        <v>7991</v>
      </c>
      <c r="C20" s="771">
        <v>1520605</v>
      </c>
      <c r="D20" s="771">
        <v>7490</v>
      </c>
      <c r="E20" s="771" t="s">
        <v>6935</v>
      </c>
      <c r="F20" s="546"/>
      <c r="G20" s="659">
        <v>43046</v>
      </c>
      <c r="H20" s="655" t="s">
        <v>727</v>
      </c>
      <c r="I20" s="655" t="s">
        <v>6936</v>
      </c>
      <c r="J20" s="712"/>
      <c r="K20" s="655" t="s">
        <v>6938</v>
      </c>
      <c r="L20" s="655" t="s">
        <v>6937</v>
      </c>
      <c r="M20" s="660">
        <v>345566.5</v>
      </c>
      <c r="N20" s="660">
        <v>17278.330000000002</v>
      </c>
      <c r="O20" s="660">
        <v>58055.17</v>
      </c>
      <c r="P20" s="660">
        <v>420900</v>
      </c>
      <c r="Q20" s="548"/>
      <c r="R20" s="660">
        <v>305701.96999999997</v>
      </c>
      <c r="S20" s="549">
        <f t="shared" si="12"/>
        <v>115198.03000000003</v>
      </c>
      <c r="T20" s="113" t="s">
        <v>1931</v>
      </c>
      <c r="U20" s="626" t="str">
        <f t="shared" si="1"/>
        <v>AA12253</v>
      </c>
      <c r="V20" s="627" t="str">
        <f t="shared" si="2"/>
        <v>0127-TCN18</v>
      </c>
      <c r="W20" s="626">
        <f t="shared" si="3"/>
        <v>1520605</v>
      </c>
      <c r="X20" s="626" t="str">
        <f t="shared" si="4"/>
        <v>HILUX DIESEL BASE</v>
      </c>
      <c r="Y20" s="627">
        <f t="shared" si="4"/>
        <v>0</v>
      </c>
      <c r="Z20" s="628">
        <f t="shared" si="5"/>
        <v>345566.5</v>
      </c>
      <c r="AA20" s="725">
        <f>+Z20+Z19+Z18</f>
        <v>1036392.04</v>
      </c>
      <c r="AB20" s="746">
        <v>3</v>
      </c>
      <c r="AC20" s="629">
        <f t="shared" si="6"/>
        <v>344993.21</v>
      </c>
      <c r="AD20" s="630">
        <f t="shared" si="7"/>
        <v>0.15</v>
      </c>
      <c r="AE20" s="555">
        <f t="shared" si="8"/>
        <v>12321.2</v>
      </c>
      <c r="AF20" s="555">
        <f t="shared" si="17"/>
        <v>12407.193499999998</v>
      </c>
      <c r="AG20" s="555">
        <f t="shared" si="10"/>
        <v>4871.1365000000042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721" t="s">
        <v>7887</v>
      </c>
      <c r="C21" s="771">
        <v>520115</v>
      </c>
      <c r="D21" s="771">
        <v>2620</v>
      </c>
      <c r="E21" s="771" t="s">
        <v>5618</v>
      </c>
      <c r="F21" s="546">
        <v>2018</v>
      </c>
      <c r="G21" s="659">
        <v>43056</v>
      </c>
      <c r="H21" s="655" t="s">
        <v>788</v>
      </c>
      <c r="I21" s="655" t="s">
        <v>7639</v>
      </c>
      <c r="J21" s="712"/>
      <c r="K21" s="655" t="s">
        <v>923</v>
      </c>
      <c r="L21" s="655" t="s">
        <v>7447</v>
      </c>
      <c r="M21" s="660">
        <v>371541.4</v>
      </c>
      <c r="N21" s="660">
        <v>16303.43</v>
      </c>
      <c r="O21" s="660">
        <v>62055.17</v>
      </c>
      <c r="P21" s="660">
        <v>449900</v>
      </c>
      <c r="Q21" s="548"/>
      <c r="R21" s="660">
        <v>321850.53999999998</v>
      </c>
      <c r="S21" s="549">
        <f t="shared" si="12"/>
        <v>128049.46000000002</v>
      </c>
      <c r="T21" s="113" t="s">
        <v>1932</v>
      </c>
      <c r="U21" s="626" t="str">
        <f t="shared" si="1"/>
        <v>AA12332</v>
      </c>
      <c r="V21" s="627" t="str">
        <f t="shared" si="2"/>
        <v>0136-TCN18</v>
      </c>
      <c r="W21" s="626">
        <f t="shared" si="3"/>
        <v>520115</v>
      </c>
      <c r="X21" s="626" t="str">
        <f t="shared" si="4"/>
        <v>CAMRY 2018 SE</v>
      </c>
      <c r="Y21" s="627">
        <f t="shared" si="4"/>
        <v>2018</v>
      </c>
      <c r="Z21" s="628">
        <f t="shared" si="5"/>
        <v>371541.4</v>
      </c>
      <c r="AA21" s="629">
        <f>+Z21</f>
        <v>371541.4</v>
      </c>
      <c r="AB21" s="793">
        <v>1</v>
      </c>
      <c r="AC21" s="780">
        <f t="shared" si="6"/>
        <v>344993.21</v>
      </c>
      <c r="AD21" s="630">
        <f t="shared" si="7"/>
        <v>0.15</v>
      </c>
      <c r="AE21" s="555">
        <f t="shared" si="8"/>
        <v>12321.2</v>
      </c>
      <c r="AF21" s="629">
        <f t="shared" si="9"/>
        <v>16303.428500000002</v>
      </c>
      <c r="AG21" s="555">
        <f t="shared" si="10"/>
        <v>1.4999999984866008E-3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721" t="s">
        <v>7780</v>
      </c>
      <c r="C22" s="771">
        <v>520232</v>
      </c>
      <c r="D22" s="771">
        <v>1781</v>
      </c>
      <c r="E22" s="771" t="s">
        <v>690</v>
      </c>
      <c r="F22" s="546"/>
      <c r="G22" s="659">
        <v>43069</v>
      </c>
      <c r="H22" s="655"/>
      <c r="I22" s="655" t="s">
        <v>7575</v>
      </c>
      <c r="J22" s="712"/>
      <c r="K22" s="655" t="s">
        <v>1146</v>
      </c>
      <c r="L22" s="655" t="s">
        <v>7383</v>
      </c>
      <c r="M22" s="660">
        <v>250683.97</v>
      </c>
      <c r="N22" s="660">
        <v>0</v>
      </c>
      <c r="O22" s="660">
        <v>40109.43</v>
      </c>
      <c r="P22" s="660">
        <v>290793.40000000002</v>
      </c>
      <c r="Q22" s="548"/>
      <c r="R22" s="660">
        <v>250328.62</v>
      </c>
      <c r="S22" s="549">
        <f t="shared" si="12"/>
        <v>40464.780000000028</v>
      </c>
      <c r="T22" s="113" t="s">
        <v>283</v>
      </c>
      <c r="U22" s="626" t="str">
        <f t="shared" si="1"/>
        <v>AA12454</v>
      </c>
      <c r="V22" s="627" t="str">
        <f t="shared" si="2"/>
        <v>0082-TCN18</v>
      </c>
      <c r="W22" s="626">
        <f t="shared" si="3"/>
        <v>520232</v>
      </c>
      <c r="X22" s="626" t="str">
        <f t="shared" si="4"/>
        <v>COROLLA SE MT</v>
      </c>
      <c r="Y22" s="627">
        <f t="shared" si="4"/>
        <v>0</v>
      </c>
      <c r="Z22" s="628">
        <f t="shared" si="5"/>
        <v>250683.97</v>
      </c>
      <c r="AA22" s="624"/>
      <c r="AB22" s="663"/>
      <c r="AC22" s="629">
        <f t="shared" si="6"/>
        <v>246423.66</v>
      </c>
      <c r="AD22" s="630">
        <f t="shared" si="7"/>
        <v>0.05</v>
      </c>
      <c r="AE22" s="555">
        <f t="shared" si="8"/>
        <v>4928.3900000000003</v>
      </c>
      <c r="AF22" s="555">
        <f>IF(Z22&lt;281240.78,(((Z22-AC22)*AD22+AE22)/2),(Z22-AC22)*AD22+AE22)</f>
        <v>2570.7027499999999</v>
      </c>
      <c r="AG22" s="555">
        <f t="shared" si="10"/>
        <v>-2570.7027499999999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721" t="s">
        <v>7781</v>
      </c>
      <c r="C23" s="771">
        <v>520225</v>
      </c>
      <c r="D23" s="771">
        <v>1782</v>
      </c>
      <c r="E23" s="771" t="s">
        <v>691</v>
      </c>
      <c r="F23" s="546"/>
      <c r="G23" s="659">
        <v>43043</v>
      </c>
      <c r="H23" s="655"/>
      <c r="I23" s="655" t="s">
        <v>7576</v>
      </c>
      <c r="J23" s="712"/>
      <c r="K23" s="655" t="s">
        <v>62</v>
      </c>
      <c r="L23" s="655" t="s">
        <v>7384</v>
      </c>
      <c r="M23" s="660">
        <v>260687.84</v>
      </c>
      <c r="N23" s="660">
        <v>0</v>
      </c>
      <c r="O23" s="660">
        <v>41710.050000000003</v>
      </c>
      <c r="P23" s="660">
        <v>302397.89</v>
      </c>
      <c r="Q23" s="548"/>
      <c r="R23" s="660">
        <v>260686.97</v>
      </c>
      <c r="S23" s="549">
        <f t="shared" si="12"/>
        <v>41710.920000000013</v>
      </c>
      <c r="T23" s="113" t="s">
        <v>283</v>
      </c>
      <c r="U23" s="626" t="str">
        <f t="shared" si="1"/>
        <v>AA12233</v>
      </c>
      <c r="V23" s="627" t="str">
        <f t="shared" si="2"/>
        <v>1922-TCN17</v>
      </c>
      <c r="W23" s="626">
        <f t="shared" si="3"/>
        <v>520225</v>
      </c>
      <c r="X23" s="626" t="str">
        <f t="shared" si="4"/>
        <v>COROLLA SE CVT</v>
      </c>
      <c r="Y23" s="627">
        <f t="shared" si="4"/>
        <v>0</v>
      </c>
      <c r="Z23" s="628">
        <f t="shared" si="5"/>
        <v>260687.84</v>
      </c>
      <c r="AA23" s="629">
        <f>+Z23+Z22+Z21</f>
        <v>882913.21</v>
      </c>
      <c r="AB23" s="664">
        <v>3</v>
      </c>
      <c r="AC23" s="629">
        <f t="shared" si="6"/>
        <v>246423.66</v>
      </c>
      <c r="AD23" s="630">
        <f t="shared" si="7"/>
        <v>0.05</v>
      </c>
      <c r="AE23" s="555">
        <f t="shared" si="8"/>
        <v>4928.3900000000003</v>
      </c>
      <c r="AF23" s="555">
        <f>IF(Z23&lt;281240.78,(((Z23-AC23)*AD23+AE23)/2),(Z23-AC23)*AD23+AE23)</f>
        <v>2820.7995000000001</v>
      </c>
      <c r="AG23" s="555">
        <f t="shared" si="10"/>
        <v>-2820.7995000000001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721" t="s">
        <v>7782</v>
      </c>
      <c r="C24" s="771">
        <v>520233</v>
      </c>
      <c r="D24" s="771">
        <v>1782</v>
      </c>
      <c r="E24" s="771" t="s">
        <v>691</v>
      </c>
      <c r="F24" s="546"/>
      <c r="G24" s="659">
        <v>43054</v>
      </c>
      <c r="H24" s="655"/>
      <c r="I24" s="655" t="s">
        <v>7577</v>
      </c>
      <c r="J24" s="712"/>
      <c r="K24" s="655" t="s">
        <v>1745</v>
      </c>
      <c r="L24" s="655" t="s">
        <v>7385</v>
      </c>
      <c r="M24" s="660">
        <v>263967.62</v>
      </c>
      <c r="N24" s="660">
        <v>0</v>
      </c>
      <c r="O24" s="660">
        <v>42234.82</v>
      </c>
      <c r="P24" s="660">
        <v>306202.44</v>
      </c>
      <c r="Q24" s="548"/>
      <c r="R24" s="660">
        <v>263612.28000000003</v>
      </c>
      <c r="S24" s="549">
        <f t="shared" si="12"/>
        <v>42590.159999999974</v>
      </c>
      <c r="T24" s="113" t="s">
        <v>283</v>
      </c>
      <c r="U24" s="626" t="str">
        <f t="shared" si="1"/>
        <v>AA12307</v>
      </c>
      <c r="V24" s="627" t="str">
        <f t="shared" si="2"/>
        <v>0106-TCN18</v>
      </c>
      <c r="W24" s="626">
        <f t="shared" si="3"/>
        <v>520233</v>
      </c>
      <c r="X24" s="626" t="str">
        <f t="shared" si="4"/>
        <v>COROLLA SE CVT</v>
      </c>
      <c r="Y24" s="627">
        <f t="shared" si="4"/>
        <v>0</v>
      </c>
      <c r="Z24" s="628">
        <f t="shared" si="5"/>
        <v>263967.62</v>
      </c>
      <c r="AA24" s="629"/>
      <c r="AB24" s="664"/>
      <c r="AC24" s="629">
        <f t="shared" si="6"/>
        <v>246423.66</v>
      </c>
      <c r="AD24" s="630">
        <f t="shared" si="7"/>
        <v>0.05</v>
      </c>
      <c r="AE24" s="555">
        <f t="shared" si="8"/>
        <v>4928.3900000000003</v>
      </c>
      <c r="AF24" s="555">
        <f t="shared" si="9"/>
        <v>2902.7939999999999</v>
      </c>
      <c r="AG24" s="555">
        <f t="shared" si="10"/>
        <v>-2902.7939999999999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721" t="s">
        <v>7783</v>
      </c>
      <c r="C25" s="771">
        <v>520226</v>
      </c>
      <c r="D25" s="771">
        <v>1783</v>
      </c>
      <c r="E25" s="771" t="s">
        <v>692</v>
      </c>
      <c r="F25" s="546"/>
      <c r="G25" s="659">
        <v>43043</v>
      </c>
      <c r="H25" s="655"/>
      <c r="I25" s="655" t="s">
        <v>7578</v>
      </c>
      <c r="J25" s="712"/>
      <c r="K25" s="655" t="s">
        <v>1144</v>
      </c>
      <c r="L25" s="655" t="s">
        <v>7386</v>
      </c>
      <c r="M25" s="660">
        <v>275293.15999999997</v>
      </c>
      <c r="N25" s="660">
        <v>0</v>
      </c>
      <c r="O25" s="660">
        <v>44046.91</v>
      </c>
      <c r="P25" s="660">
        <v>319340.07</v>
      </c>
      <c r="Q25" s="548"/>
      <c r="R25" s="660">
        <v>274937.82</v>
      </c>
      <c r="S25" s="549">
        <f t="shared" si="12"/>
        <v>44402.25</v>
      </c>
      <c r="T25" s="113" t="s">
        <v>283</v>
      </c>
      <c r="U25" s="626" t="str">
        <f t="shared" si="1"/>
        <v>AA12234</v>
      </c>
      <c r="V25" s="627" t="str">
        <f t="shared" si="2"/>
        <v>1765-TCN17</v>
      </c>
      <c r="W25" s="626">
        <f t="shared" si="3"/>
        <v>520226</v>
      </c>
      <c r="X25" s="626" t="str">
        <f t="shared" si="4"/>
        <v>COROLLA SE  PLUS  AT</v>
      </c>
      <c r="Y25" s="627">
        <f t="shared" si="4"/>
        <v>0</v>
      </c>
      <c r="Z25" s="628">
        <f t="shared" si="5"/>
        <v>275293.15999999997</v>
      </c>
      <c r="AA25" s="629"/>
      <c r="AB25" s="664"/>
      <c r="AC25" s="629">
        <f>VLOOKUP(Z25,TARIFA,1)</f>
        <v>246423.66</v>
      </c>
      <c r="AD25" s="630">
        <f>VLOOKUP(Z25,TARIFA,4)</f>
        <v>0.05</v>
      </c>
      <c r="AE25" s="555">
        <f>VLOOKUP(Z25,TARIFA,3)</f>
        <v>4928.3900000000003</v>
      </c>
      <c r="AF25" s="555">
        <f>IF(Z25&lt;281240.78,(((Z25-AC25)*AD25+AE25)/2),(Z25-AC25)*AD25+AE25)</f>
        <v>3185.9324999999994</v>
      </c>
      <c r="AG25" s="555">
        <f>+N25-AF25</f>
        <v>-3185.9324999999994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721" t="s">
        <v>8049</v>
      </c>
      <c r="C26" s="771">
        <v>1520107</v>
      </c>
      <c r="D26" s="771">
        <v>7495</v>
      </c>
      <c r="E26" s="771" t="s">
        <v>718</v>
      </c>
      <c r="F26" s="546"/>
      <c r="G26" s="659">
        <v>43062</v>
      </c>
      <c r="H26" s="655" t="s">
        <v>792</v>
      </c>
      <c r="I26" s="655" t="s">
        <v>7021</v>
      </c>
      <c r="J26" s="712"/>
      <c r="K26" s="655" t="s">
        <v>7020</v>
      </c>
      <c r="L26" s="655" t="s">
        <v>7022</v>
      </c>
      <c r="M26" s="660">
        <v>-302298.84999999998</v>
      </c>
      <c r="N26" s="660">
        <v>-15114.94</v>
      </c>
      <c r="O26" s="660">
        <v>-50786.21</v>
      </c>
      <c r="P26" s="660">
        <v>-368200</v>
      </c>
      <c r="Q26" s="548"/>
      <c r="R26" s="660">
        <v>-267271.96000000002</v>
      </c>
      <c r="S26" s="549">
        <f t="shared" si="12"/>
        <v>-100928.03999999998</v>
      </c>
      <c r="T26" s="113" t="s">
        <v>1931</v>
      </c>
      <c r="U26" s="626" t="str">
        <f t="shared" si="1"/>
        <v>ZA04460</v>
      </c>
      <c r="V26" s="627" t="str">
        <f t="shared" si="2"/>
        <v>0147-TCN18</v>
      </c>
      <c r="W26" s="626">
        <f t="shared" si="3"/>
        <v>1520107</v>
      </c>
      <c r="X26" s="626" t="str">
        <f t="shared" si="4"/>
        <v>HILUX PICK UP D CAB SR A/C</v>
      </c>
      <c r="Y26" s="627">
        <f t="shared" si="4"/>
        <v>0</v>
      </c>
      <c r="Z26" s="628">
        <f t="shared" si="5"/>
        <v>-302298.84999999998</v>
      </c>
      <c r="AA26" s="629">
        <f>+Z26+Z25+Z24</f>
        <v>236961.93</v>
      </c>
      <c r="AB26" s="664">
        <v>3</v>
      </c>
      <c r="AC26" s="629" t="e">
        <f t="shared" ref="AC26:AC41" si="18">VLOOKUP(Z26,TARIFA,1)</f>
        <v>#N/A</v>
      </c>
      <c r="AD26" s="630" t="e">
        <f t="shared" ref="AD26:AD41" si="19">VLOOKUP(Z26,TARIFA,4)</f>
        <v>#N/A</v>
      </c>
      <c r="AE26" s="555" t="e">
        <f t="shared" ref="AE26:AE41" si="20">VLOOKUP(Z26,TARIFA,3)</f>
        <v>#N/A</v>
      </c>
      <c r="AF26" s="555" t="e">
        <f t="shared" ref="AF26:AF27" si="21">IF(Z26&lt;281240.78,(((Z26-AC26)*AD26+AE26)/2),(Z26-AC26)*AD26+AE26)</f>
        <v>#N/A</v>
      </c>
      <c r="AG26" s="555" t="e">
        <f t="shared" ref="AG26:AG29" si="22">+N26-AF26</f>
        <v>#N/A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721" t="s">
        <v>7785</v>
      </c>
      <c r="C27" s="771">
        <v>520231</v>
      </c>
      <c r="D27" s="771">
        <v>1794</v>
      </c>
      <c r="E27" s="771" t="s">
        <v>687</v>
      </c>
      <c r="F27" s="546"/>
      <c r="G27" s="659">
        <v>43042</v>
      </c>
      <c r="H27" s="655"/>
      <c r="I27" s="655" t="s">
        <v>7580</v>
      </c>
      <c r="J27" s="712"/>
      <c r="K27" s="655" t="s">
        <v>1698</v>
      </c>
      <c r="L27" s="655" t="s">
        <v>7388</v>
      </c>
      <c r="M27" s="660">
        <v>243472.03</v>
      </c>
      <c r="N27" s="660">
        <v>0</v>
      </c>
      <c r="O27" s="660">
        <v>38955.519999999997</v>
      </c>
      <c r="P27" s="660">
        <v>282427.55</v>
      </c>
      <c r="Q27" s="548"/>
      <c r="R27" s="660">
        <v>243116.68</v>
      </c>
      <c r="S27" s="549">
        <f t="shared" si="12"/>
        <v>39310.869999999995</v>
      </c>
      <c r="T27" s="113" t="s">
        <v>283</v>
      </c>
      <c r="U27" s="626" t="str">
        <f t="shared" si="1"/>
        <v>AA12223</v>
      </c>
      <c r="V27" s="627" t="str">
        <f t="shared" si="2"/>
        <v>0072-TCN18</v>
      </c>
      <c r="W27" s="626">
        <f t="shared" si="3"/>
        <v>520231</v>
      </c>
      <c r="X27" s="626" t="str">
        <f t="shared" si="4"/>
        <v>COROLLA LE AT</v>
      </c>
      <c r="Y27" s="627">
        <f t="shared" si="4"/>
        <v>0</v>
      </c>
      <c r="Z27" s="628">
        <f t="shared" si="5"/>
        <v>243472.03</v>
      </c>
      <c r="AA27" s="629">
        <f>+Z27</f>
        <v>243472.03</v>
      </c>
      <c r="AB27" s="664">
        <v>1</v>
      </c>
      <c r="AC27" s="629">
        <f t="shared" si="18"/>
        <v>0.01</v>
      </c>
      <c r="AD27" s="630">
        <f t="shared" si="19"/>
        <v>0.02</v>
      </c>
      <c r="AE27" s="555">
        <f t="shared" si="20"/>
        <v>0</v>
      </c>
      <c r="AF27" s="555">
        <f t="shared" si="21"/>
        <v>2434.7201999999997</v>
      </c>
      <c r="AG27" s="555">
        <f t="shared" si="22"/>
        <v>-2434.7201999999997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721" t="s">
        <v>7786</v>
      </c>
      <c r="C28" s="771">
        <v>520231</v>
      </c>
      <c r="D28" s="771">
        <v>1794</v>
      </c>
      <c r="E28" s="771" t="s">
        <v>687</v>
      </c>
      <c r="F28" s="546"/>
      <c r="G28" s="659">
        <v>43042</v>
      </c>
      <c r="H28" s="655"/>
      <c r="I28" s="655" t="s">
        <v>7581</v>
      </c>
      <c r="J28" s="712"/>
      <c r="K28" s="655" t="s">
        <v>1698</v>
      </c>
      <c r="L28" s="655" t="s">
        <v>7389</v>
      </c>
      <c r="M28" s="660">
        <v>243472.03</v>
      </c>
      <c r="N28" s="660">
        <v>0</v>
      </c>
      <c r="O28" s="660">
        <v>38955.519999999997</v>
      </c>
      <c r="P28" s="660">
        <v>282427.55</v>
      </c>
      <c r="Q28" s="548"/>
      <c r="R28" s="660">
        <v>243116.68</v>
      </c>
      <c r="S28" s="549">
        <f t="shared" si="12"/>
        <v>39310.869999999995</v>
      </c>
      <c r="T28" s="113" t="s">
        <v>283</v>
      </c>
      <c r="U28" s="626" t="str">
        <f t="shared" si="1"/>
        <v>AA12229</v>
      </c>
      <c r="V28" s="627" t="str">
        <f t="shared" si="2"/>
        <v>0085-TCN18</v>
      </c>
      <c r="W28" s="626">
        <f t="shared" si="3"/>
        <v>520231</v>
      </c>
      <c r="X28" s="626" t="str">
        <f t="shared" si="4"/>
        <v>COROLLA LE AT</v>
      </c>
      <c r="Y28" s="627">
        <f t="shared" si="4"/>
        <v>0</v>
      </c>
      <c r="Z28" s="628">
        <f t="shared" si="5"/>
        <v>243472.03</v>
      </c>
      <c r="AA28" s="629"/>
      <c r="AB28" s="664"/>
      <c r="AC28" s="629">
        <f>VLOOKUP(Z28,TARIFA,1)</f>
        <v>0.01</v>
      </c>
      <c r="AD28" s="630">
        <f>VLOOKUP(Z28,TARIFA,4)</f>
        <v>0.02</v>
      </c>
      <c r="AE28" s="629">
        <f>VLOOKUP(Z28,TARIFA,3)</f>
        <v>0</v>
      </c>
      <c r="AF28" s="629">
        <f t="shared" ref="AF28:AF39" si="23">+N28</f>
        <v>0</v>
      </c>
      <c r="AG28" s="555">
        <f t="shared" si="22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721" t="s">
        <v>7787</v>
      </c>
      <c r="C29" s="771">
        <v>520231</v>
      </c>
      <c r="D29" s="771">
        <v>1794</v>
      </c>
      <c r="E29" s="771" t="s">
        <v>687</v>
      </c>
      <c r="F29" s="546"/>
      <c r="G29" s="659">
        <v>43042</v>
      </c>
      <c r="H29" s="655"/>
      <c r="I29" s="655" t="s">
        <v>7582</v>
      </c>
      <c r="J29" s="712"/>
      <c r="K29" s="655" t="s">
        <v>1698</v>
      </c>
      <c r="L29" s="655" t="s">
        <v>7390</v>
      </c>
      <c r="M29" s="660">
        <v>243472.03</v>
      </c>
      <c r="N29" s="660">
        <v>0</v>
      </c>
      <c r="O29" s="660">
        <v>38955.519999999997</v>
      </c>
      <c r="P29" s="660">
        <v>282427.55</v>
      </c>
      <c r="Q29" s="548"/>
      <c r="R29" s="660">
        <v>243116.68</v>
      </c>
      <c r="S29" s="549">
        <f t="shared" si="12"/>
        <v>39310.869999999995</v>
      </c>
      <c r="T29" s="113" t="s">
        <v>283</v>
      </c>
      <c r="U29" s="626" t="str">
        <f t="shared" si="1"/>
        <v>AA12228</v>
      </c>
      <c r="V29" s="627" t="str">
        <f t="shared" si="2"/>
        <v>0110-TCN18</v>
      </c>
      <c r="W29" s="626">
        <f t="shared" si="3"/>
        <v>520231</v>
      </c>
      <c r="X29" s="626" t="str">
        <f t="shared" si="4"/>
        <v>COROLLA LE AT</v>
      </c>
      <c r="Y29" s="627">
        <f t="shared" si="4"/>
        <v>0</v>
      </c>
      <c r="Z29" s="628">
        <f t="shared" si="5"/>
        <v>243472.03</v>
      </c>
      <c r="AA29" s="629"/>
      <c r="AB29" s="664"/>
      <c r="AC29" s="629">
        <f>VLOOKUP(Z29,TARIFA,1)</f>
        <v>0.01</v>
      </c>
      <c r="AD29" s="630">
        <f>VLOOKUP(Z29,TARIFA,4)</f>
        <v>0.02</v>
      </c>
      <c r="AE29" s="629">
        <f>VLOOKUP(Z29,TARIFA,3)</f>
        <v>0</v>
      </c>
      <c r="AF29" s="629">
        <f t="shared" si="23"/>
        <v>0</v>
      </c>
      <c r="AG29" s="555">
        <f t="shared" si="22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721" t="s">
        <v>7788</v>
      </c>
      <c r="C30" s="771">
        <v>520231</v>
      </c>
      <c r="D30" s="771">
        <v>1794</v>
      </c>
      <c r="E30" s="771" t="s">
        <v>687</v>
      </c>
      <c r="F30" s="546"/>
      <c r="G30" s="659">
        <v>43053</v>
      </c>
      <c r="H30" s="655"/>
      <c r="I30" s="655" t="s">
        <v>7583</v>
      </c>
      <c r="J30" s="712"/>
      <c r="K30" s="655" t="s">
        <v>1698</v>
      </c>
      <c r="L30" s="655" t="s">
        <v>7391</v>
      </c>
      <c r="M30" s="660">
        <v>243472.03</v>
      </c>
      <c r="N30" s="660">
        <v>0</v>
      </c>
      <c r="O30" s="660">
        <v>38955.519999999997</v>
      </c>
      <c r="P30" s="660">
        <v>282427.55</v>
      </c>
      <c r="Q30" s="548"/>
      <c r="R30" s="660">
        <v>243116.68</v>
      </c>
      <c r="S30" s="549">
        <f t="shared" si="12"/>
        <v>39310.869999999995</v>
      </c>
      <c r="T30" s="113" t="s">
        <v>283</v>
      </c>
      <c r="U30" s="626" t="str">
        <f t="shared" si="1"/>
        <v>AA12295</v>
      </c>
      <c r="V30" s="627" t="str">
        <f t="shared" si="2"/>
        <v>0109-TCN18</v>
      </c>
      <c r="W30" s="626">
        <f t="shared" si="3"/>
        <v>520231</v>
      </c>
      <c r="X30" s="626" t="str">
        <f t="shared" si="4"/>
        <v>COROLLA LE AT</v>
      </c>
      <c r="Y30" s="627">
        <f t="shared" si="4"/>
        <v>0</v>
      </c>
      <c r="Z30" s="628">
        <f t="shared" si="5"/>
        <v>243472.03</v>
      </c>
      <c r="AA30" s="629">
        <f>+Z30+Z29+Z28</f>
        <v>730416.09</v>
      </c>
      <c r="AB30" s="763">
        <v>3</v>
      </c>
      <c r="AC30" s="629">
        <f>VLOOKUP(Z30,TARIFA,1)</f>
        <v>0.01</v>
      </c>
      <c r="AD30" s="630">
        <f>VLOOKUP(Z30,TARIFA,4)</f>
        <v>0.02</v>
      </c>
      <c r="AE30" s="629">
        <f>VLOOKUP(Z30,TARIFA,3)</f>
        <v>0</v>
      </c>
      <c r="AF30" s="629">
        <f t="shared" si="23"/>
        <v>0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721" t="s">
        <v>7789</v>
      </c>
      <c r="C31" s="771">
        <v>520220</v>
      </c>
      <c r="D31" s="771">
        <v>1794</v>
      </c>
      <c r="E31" s="771" t="s">
        <v>687</v>
      </c>
      <c r="F31" s="546"/>
      <c r="G31" s="659">
        <v>43053</v>
      </c>
      <c r="H31" s="655"/>
      <c r="I31" s="655" t="s">
        <v>7584</v>
      </c>
      <c r="J31" s="712"/>
      <c r="K31" s="655" t="s">
        <v>1698</v>
      </c>
      <c r="L31" s="655" t="s">
        <v>7392</v>
      </c>
      <c r="M31" s="660">
        <v>243472.03</v>
      </c>
      <c r="N31" s="660">
        <v>0</v>
      </c>
      <c r="O31" s="660">
        <v>38955.519999999997</v>
      </c>
      <c r="P31" s="660">
        <v>282427.55</v>
      </c>
      <c r="Q31" s="548"/>
      <c r="R31" s="660">
        <v>243471.16</v>
      </c>
      <c r="S31" s="549">
        <f t="shared" si="12"/>
        <v>38956.389999999985</v>
      </c>
      <c r="T31" s="113" t="s">
        <v>283</v>
      </c>
      <c r="U31" s="626" t="str">
        <f t="shared" si="1"/>
        <v>AA12294</v>
      </c>
      <c r="V31" s="627" t="str">
        <f t="shared" si="2"/>
        <v>1914-TCN17</v>
      </c>
      <c r="W31" s="626">
        <f t="shared" si="3"/>
        <v>520220</v>
      </c>
      <c r="X31" s="626" t="str">
        <f t="shared" si="4"/>
        <v>COROLLA LE AT</v>
      </c>
      <c r="Y31" s="627">
        <f t="shared" si="4"/>
        <v>0</v>
      </c>
      <c r="Z31" s="628">
        <f t="shared" si="5"/>
        <v>243472.03</v>
      </c>
      <c r="AA31" s="629"/>
      <c r="AB31" s="755"/>
      <c r="AC31" s="629">
        <f>VLOOKUP(Z31,TARIFA,1)</f>
        <v>0.01</v>
      </c>
      <c r="AD31" s="630">
        <f>VLOOKUP(Z31,TARIFA,4)</f>
        <v>0.02</v>
      </c>
      <c r="AE31" s="629">
        <f>VLOOKUP(Z31,TARIFA,3)</f>
        <v>0</v>
      </c>
      <c r="AF31" s="629">
        <f t="shared" si="23"/>
        <v>0</v>
      </c>
      <c r="AG31" s="555">
        <f>+N31-AF31</f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721" t="s">
        <v>7790</v>
      </c>
      <c r="C32" s="771">
        <v>520231</v>
      </c>
      <c r="D32" s="771">
        <v>1794</v>
      </c>
      <c r="E32" s="771" t="s">
        <v>687</v>
      </c>
      <c r="F32" s="546"/>
      <c r="G32" s="659">
        <v>43055</v>
      </c>
      <c r="H32" s="655"/>
      <c r="I32" s="655" t="s">
        <v>7585</v>
      </c>
      <c r="J32" s="712"/>
      <c r="K32" s="655" t="s">
        <v>1698</v>
      </c>
      <c r="L32" s="655" t="s">
        <v>7393</v>
      </c>
      <c r="M32" s="660">
        <v>243472.03</v>
      </c>
      <c r="N32" s="660">
        <v>0</v>
      </c>
      <c r="O32" s="660">
        <v>38955.519999999997</v>
      </c>
      <c r="P32" s="660">
        <v>282427.55</v>
      </c>
      <c r="Q32" s="548"/>
      <c r="R32" s="660">
        <v>243116.68</v>
      </c>
      <c r="S32" s="549">
        <f t="shared" si="12"/>
        <v>39310.869999999995</v>
      </c>
      <c r="T32" s="113" t="s">
        <v>283</v>
      </c>
      <c r="U32" s="626" t="str">
        <f t="shared" si="1"/>
        <v>AA12327</v>
      </c>
      <c r="V32" s="627" t="str">
        <f t="shared" si="2"/>
        <v>0083-TCN18</v>
      </c>
      <c r="W32" s="626">
        <f t="shared" si="3"/>
        <v>520231</v>
      </c>
      <c r="X32" s="626" t="str">
        <f t="shared" si="4"/>
        <v>COROLLA LE AT</v>
      </c>
      <c r="Y32" s="627">
        <f t="shared" si="4"/>
        <v>0</v>
      </c>
      <c r="Z32" s="628">
        <f t="shared" si="5"/>
        <v>243472.03</v>
      </c>
      <c r="AA32" s="629">
        <f>+Z32+Z31</f>
        <v>486944.06</v>
      </c>
      <c r="AB32" s="763">
        <v>2</v>
      </c>
      <c r="AC32" s="629">
        <f>VLOOKUP(Z32,TARIFA,1)</f>
        <v>0.01</v>
      </c>
      <c r="AD32" s="630">
        <f>VLOOKUP(Z32,TARIFA,4)</f>
        <v>0.02</v>
      </c>
      <c r="AE32" s="629">
        <f>VLOOKUP(Z32,TARIFA,3)</f>
        <v>0</v>
      </c>
      <c r="AF32" s="629">
        <f t="shared" si="23"/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721" t="s">
        <v>7791</v>
      </c>
      <c r="C33" s="771">
        <v>520231</v>
      </c>
      <c r="D33" s="771">
        <v>1794</v>
      </c>
      <c r="E33" s="771" t="s">
        <v>687</v>
      </c>
      <c r="F33" s="546"/>
      <c r="G33" s="659">
        <v>43056</v>
      </c>
      <c r="H33" s="655"/>
      <c r="I33" s="655" t="s">
        <v>7586</v>
      </c>
      <c r="J33" s="712"/>
      <c r="K33" s="655" t="s">
        <v>1698</v>
      </c>
      <c r="L33" s="655" t="s">
        <v>7394</v>
      </c>
      <c r="M33" s="660">
        <v>243472.03</v>
      </c>
      <c r="N33" s="660">
        <v>0</v>
      </c>
      <c r="O33" s="660">
        <v>38955.519999999997</v>
      </c>
      <c r="P33" s="660">
        <v>282427.55</v>
      </c>
      <c r="Q33" s="548"/>
      <c r="R33" s="660">
        <v>243116.68</v>
      </c>
      <c r="S33" s="549">
        <f t="shared" si="12"/>
        <v>39310.869999999995</v>
      </c>
      <c r="T33" s="113" t="s">
        <v>283</v>
      </c>
      <c r="U33" s="626" t="str">
        <f t="shared" si="1"/>
        <v>AA12333</v>
      </c>
      <c r="V33" s="627" t="str">
        <f t="shared" si="2"/>
        <v>0074-TCN18</v>
      </c>
      <c r="W33" s="626">
        <f t="shared" si="3"/>
        <v>520231</v>
      </c>
      <c r="X33" s="626" t="str">
        <f t="shared" si="4"/>
        <v>COROLLA LE AT</v>
      </c>
      <c r="Y33" s="627">
        <f t="shared" si="4"/>
        <v>0</v>
      </c>
      <c r="Z33" s="628">
        <f t="shared" si="5"/>
        <v>243472.03</v>
      </c>
      <c r="AA33" s="629"/>
      <c r="AB33" s="755"/>
      <c r="AC33" s="629">
        <f t="shared" si="18"/>
        <v>0.01</v>
      </c>
      <c r="AD33" s="630">
        <f t="shared" si="19"/>
        <v>0.02</v>
      </c>
      <c r="AE33" s="555">
        <f t="shared" si="20"/>
        <v>0</v>
      </c>
      <c r="AF33" s="555">
        <f t="shared" si="23"/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721" t="s">
        <v>7792</v>
      </c>
      <c r="C34" s="771">
        <v>520231</v>
      </c>
      <c r="D34" s="771">
        <v>1794</v>
      </c>
      <c r="E34" s="771" t="s">
        <v>687</v>
      </c>
      <c r="F34" s="546"/>
      <c r="G34" s="659">
        <v>43056</v>
      </c>
      <c r="H34" s="655"/>
      <c r="I34" s="655" t="s">
        <v>7585</v>
      </c>
      <c r="J34" s="712"/>
      <c r="K34" s="655" t="s">
        <v>1698</v>
      </c>
      <c r="L34" s="655" t="s">
        <v>7393</v>
      </c>
      <c r="M34" s="660">
        <v>-243472.03</v>
      </c>
      <c r="N34" s="660">
        <v>0</v>
      </c>
      <c r="O34" s="660">
        <v>-38955.519999999997</v>
      </c>
      <c r="P34" s="660">
        <v>-282427.55</v>
      </c>
      <c r="Q34" s="548"/>
      <c r="R34" s="660">
        <v>-243116.68</v>
      </c>
      <c r="S34" s="549">
        <f t="shared" si="12"/>
        <v>-39310.869999999995</v>
      </c>
      <c r="T34" s="113" t="s">
        <v>283</v>
      </c>
      <c r="U34" s="626" t="str">
        <f t="shared" si="1"/>
        <v>ZA04445</v>
      </c>
      <c r="V34" s="627" t="str">
        <f t="shared" si="2"/>
        <v>0083-TCN18</v>
      </c>
      <c r="W34" s="626">
        <f t="shared" si="3"/>
        <v>520231</v>
      </c>
      <c r="X34" s="626" t="str">
        <f t="shared" si="4"/>
        <v>COROLLA LE AT</v>
      </c>
      <c r="Y34" s="627">
        <f t="shared" si="4"/>
        <v>0</v>
      </c>
      <c r="Z34" s="628">
        <f t="shared" si="5"/>
        <v>-243472.03</v>
      </c>
      <c r="AA34" s="629"/>
      <c r="AB34" s="755"/>
      <c r="AC34" s="629"/>
      <c r="AD34" s="630"/>
      <c r="AE34" s="555"/>
      <c r="AF34" s="555">
        <f t="shared" si="23"/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721" t="s">
        <v>7793</v>
      </c>
      <c r="C35" s="771">
        <v>520220</v>
      </c>
      <c r="D35" s="771">
        <v>1794</v>
      </c>
      <c r="E35" s="771" t="s">
        <v>687</v>
      </c>
      <c r="F35" s="546"/>
      <c r="G35" s="659">
        <v>43067</v>
      </c>
      <c r="H35" s="655"/>
      <c r="I35" s="655" t="s">
        <v>7587</v>
      </c>
      <c r="J35" s="712"/>
      <c r="K35" s="655" t="s">
        <v>3871</v>
      </c>
      <c r="L35" s="655" t="s">
        <v>7395</v>
      </c>
      <c r="M35" s="660">
        <v>230841.27</v>
      </c>
      <c r="N35" s="660">
        <v>0</v>
      </c>
      <c r="O35" s="660">
        <v>36934.6</v>
      </c>
      <c r="P35" s="660">
        <v>267775.87</v>
      </c>
      <c r="Q35" s="548"/>
      <c r="R35" s="660">
        <v>230840.41</v>
      </c>
      <c r="S35" s="549">
        <f t="shared" si="12"/>
        <v>36935.459999999992</v>
      </c>
      <c r="T35" s="113" t="s">
        <v>283</v>
      </c>
      <c r="U35" s="626" t="str">
        <f t="shared" si="1"/>
        <v>AA12429</v>
      </c>
      <c r="V35" s="627" t="str">
        <f t="shared" si="2"/>
        <v>1402-TCN17</v>
      </c>
      <c r="W35" s="626">
        <f t="shared" si="3"/>
        <v>520220</v>
      </c>
      <c r="X35" s="626" t="str">
        <f t="shared" si="4"/>
        <v>COROLLA LE AT</v>
      </c>
      <c r="Y35" s="627">
        <f t="shared" si="4"/>
        <v>0</v>
      </c>
      <c r="Z35" s="628">
        <f t="shared" si="5"/>
        <v>230841.27</v>
      </c>
      <c r="AA35" s="629"/>
      <c r="AB35" s="755"/>
      <c r="AC35" s="629">
        <f t="shared" ref="AC35:AC39" si="24">VLOOKUP(Z35,TARIFA,1)</f>
        <v>0.01</v>
      </c>
      <c r="AD35" s="630">
        <f t="shared" ref="AD35:AD39" si="25">VLOOKUP(Z35,TARIFA,4)</f>
        <v>0.02</v>
      </c>
      <c r="AE35" s="555">
        <f t="shared" ref="AE35:AE39" si="26">VLOOKUP(Z35,TARIFA,3)</f>
        <v>0</v>
      </c>
      <c r="AF35" s="555">
        <f t="shared" si="23"/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721" t="s">
        <v>7794</v>
      </c>
      <c r="C36" s="771">
        <v>520220</v>
      </c>
      <c r="D36" s="771">
        <v>1794</v>
      </c>
      <c r="E36" s="771" t="s">
        <v>687</v>
      </c>
      <c r="F36" s="546"/>
      <c r="G36" s="659">
        <v>43068</v>
      </c>
      <c r="H36" s="655"/>
      <c r="I36" s="655" t="s">
        <v>7584</v>
      </c>
      <c r="J36" s="712"/>
      <c r="K36" s="655" t="s">
        <v>1698</v>
      </c>
      <c r="L36" s="655" t="s">
        <v>7392</v>
      </c>
      <c r="M36" s="660">
        <v>-243472.03</v>
      </c>
      <c r="N36" s="660">
        <v>0</v>
      </c>
      <c r="O36" s="660">
        <v>-38955.519999999997</v>
      </c>
      <c r="P36" s="660">
        <v>-282427.55</v>
      </c>
      <c r="Q36" s="548"/>
      <c r="R36" s="660">
        <v>-243471.16</v>
      </c>
      <c r="S36" s="549">
        <f t="shared" si="12"/>
        <v>-38956.389999999985</v>
      </c>
      <c r="T36" s="113" t="s">
        <v>283</v>
      </c>
      <c r="U36" s="626" t="str">
        <f t="shared" si="1"/>
        <v>ZA04472</v>
      </c>
      <c r="V36" s="627" t="str">
        <f t="shared" si="2"/>
        <v>1914-TCN17</v>
      </c>
      <c r="W36" s="626">
        <f t="shared" si="3"/>
        <v>520220</v>
      </c>
      <c r="X36" s="626" t="str">
        <f t="shared" si="4"/>
        <v>COROLLA LE AT</v>
      </c>
      <c r="Y36" s="627">
        <f t="shared" si="4"/>
        <v>0</v>
      </c>
      <c r="Z36" s="628">
        <f t="shared" si="5"/>
        <v>-243472.03</v>
      </c>
      <c r="AA36" s="629"/>
      <c r="AB36" s="755"/>
      <c r="AC36" s="629" t="e">
        <f t="shared" si="24"/>
        <v>#N/A</v>
      </c>
      <c r="AD36" s="630" t="e">
        <f t="shared" si="25"/>
        <v>#N/A</v>
      </c>
      <c r="AE36" s="555" t="e">
        <f t="shared" si="26"/>
        <v>#N/A</v>
      </c>
      <c r="AF36" s="555">
        <f t="shared" si="23"/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721" t="s">
        <v>7795</v>
      </c>
      <c r="C37" s="771">
        <v>520220</v>
      </c>
      <c r="D37" s="771">
        <v>1794</v>
      </c>
      <c r="E37" s="771" t="s">
        <v>687</v>
      </c>
      <c r="F37" s="546"/>
      <c r="G37" s="659">
        <v>43069</v>
      </c>
      <c r="H37" s="655"/>
      <c r="I37" s="655" t="s">
        <v>7584</v>
      </c>
      <c r="J37" s="712"/>
      <c r="K37" s="655" t="s">
        <v>1698</v>
      </c>
      <c r="L37" s="655" t="s">
        <v>7392</v>
      </c>
      <c r="M37" s="660">
        <v>243472.03</v>
      </c>
      <c r="N37" s="660">
        <v>0</v>
      </c>
      <c r="O37" s="660">
        <v>38955.519999999997</v>
      </c>
      <c r="P37" s="660">
        <v>282427.55</v>
      </c>
      <c r="Q37" s="548"/>
      <c r="R37" s="660">
        <v>243471.16</v>
      </c>
      <c r="S37" s="549">
        <f t="shared" si="12"/>
        <v>38956.389999999985</v>
      </c>
      <c r="T37" s="113" t="s">
        <v>283</v>
      </c>
      <c r="U37" s="626" t="str">
        <f t="shared" si="1"/>
        <v>AA12459</v>
      </c>
      <c r="V37" s="627" t="str">
        <f t="shared" si="2"/>
        <v>1914-TCN17</v>
      </c>
      <c r="W37" s="626">
        <f t="shared" si="3"/>
        <v>520220</v>
      </c>
      <c r="X37" s="626" t="str">
        <f t="shared" si="4"/>
        <v>COROLLA LE AT</v>
      </c>
      <c r="Y37" s="627">
        <f t="shared" si="4"/>
        <v>0</v>
      </c>
      <c r="Z37" s="628">
        <f t="shared" si="5"/>
        <v>243472.03</v>
      </c>
      <c r="AA37" s="629"/>
      <c r="AB37" s="755"/>
      <c r="AC37" s="629">
        <f t="shared" si="24"/>
        <v>0.01</v>
      </c>
      <c r="AD37" s="630">
        <f t="shared" si="25"/>
        <v>0.02</v>
      </c>
      <c r="AE37" s="555">
        <f t="shared" si="26"/>
        <v>0</v>
      </c>
      <c r="AF37" s="555">
        <f t="shared" si="23"/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721" t="s">
        <v>7796</v>
      </c>
      <c r="C38" s="771">
        <v>520223</v>
      </c>
      <c r="D38" s="771">
        <v>1796</v>
      </c>
      <c r="E38" s="771" t="s">
        <v>689</v>
      </c>
      <c r="F38" s="546"/>
      <c r="G38" s="659">
        <v>43056</v>
      </c>
      <c r="H38" s="655"/>
      <c r="I38" s="655" t="s">
        <v>6300</v>
      </c>
      <c r="J38" s="712"/>
      <c r="K38" s="655" t="s">
        <v>2404</v>
      </c>
      <c r="L38" s="655" t="s">
        <v>6562</v>
      </c>
      <c r="M38" s="660">
        <v>-223602.39</v>
      </c>
      <c r="N38" s="660">
        <v>0</v>
      </c>
      <c r="O38" s="660">
        <v>-35776.379999999997</v>
      </c>
      <c r="P38" s="660">
        <v>-259378.77</v>
      </c>
      <c r="Q38" s="548"/>
      <c r="R38" s="660">
        <v>-220255.74</v>
      </c>
      <c r="S38" s="549">
        <f t="shared" si="12"/>
        <v>-39123.03</v>
      </c>
      <c r="T38" s="113" t="s">
        <v>283</v>
      </c>
      <c r="U38" s="626" t="str">
        <f t="shared" si="1"/>
        <v>ZA04444</v>
      </c>
      <c r="V38" s="627" t="str">
        <f t="shared" si="2"/>
        <v>1619-TCN17</v>
      </c>
      <c r="W38" s="626">
        <f t="shared" si="3"/>
        <v>520223</v>
      </c>
      <c r="X38" s="626" t="str">
        <f t="shared" si="4"/>
        <v>COROLLA BASE AT</v>
      </c>
      <c r="Y38" s="627">
        <f t="shared" si="4"/>
        <v>0</v>
      </c>
      <c r="Z38" s="628">
        <f t="shared" si="5"/>
        <v>-223602.39</v>
      </c>
      <c r="AA38" s="629">
        <f>+SUM(Z33:Z38)</f>
        <v>7238.8799999999756</v>
      </c>
      <c r="AB38" s="764">
        <v>4</v>
      </c>
      <c r="AC38" s="629" t="e">
        <f t="shared" si="24"/>
        <v>#N/A</v>
      </c>
      <c r="AD38" s="630" t="e">
        <f t="shared" si="25"/>
        <v>#N/A</v>
      </c>
      <c r="AE38" s="555" t="e">
        <f t="shared" si="26"/>
        <v>#N/A</v>
      </c>
      <c r="AF38" s="555">
        <f t="shared" si="23"/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721" t="s">
        <v>7797</v>
      </c>
      <c r="C39" s="771">
        <v>520223</v>
      </c>
      <c r="D39" s="771">
        <v>1796</v>
      </c>
      <c r="E39" s="771" t="s">
        <v>689</v>
      </c>
      <c r="F39" s="546"/>
      <c r="G39" s="659">
        <v>43056</v>
      </c>
      <c r="H39" s="655"/>
      <c r="I39" s="655" t="s">
        <v>6300</v>
      </c>
      <c r="J39" s="712"/>
      <c r="K39" s="655" t="s">
        <v>2404</v>
      </c>
      <c r="L39" s="655" t="s">
        <v>6562</v>
      </c>
      <c r="M39" s="660">
        <v>220610.83</v>
      </c>
      <c r="N39" s="660">
        <v>0</v>
      </c>
      <c r="O39" s="660">
        <v>35297.730000000003</v>
      </c>
      <c r="P39" s="660">
        <v>255908.56</v>
      </c>
      <c r="Q39" s="548"/>
      <c r="R39" s="660">
        <v>220255.74</v>
      </c>
      <c r="S39" s="549">
        <f t="shared" si="12"/>
        <v>35652.820000000007</v>
      </c>
      <c r="T39" s="113" t="s">
        <v>283</v>
      </c>
      <c r="U39" s="626" t="str">
        <f t="shared" si="1"/>
        <v>AA12330</v>
      </c>
      <c r="V39" s="627" t="str">
        <f t="shared" si="2"/>
        <v>1619-TCN17</v>
      </c>
      <c r="W39" s="626">
        <f t="shared" si="3"/>
        <v>520223</v>
      </c>
      <c r="X39" s="626" t="str">
        <f t="shared" si="4"/>
        <v>COROLLA BASE AT</v>
      </c>
      <c r="Y39" s="627">
        <f t="shared" si="4"/>
        <v>0</v>
      </c>
      <c r="Z39" s="628">
        <f t="shared" si="5"/>
        <v>220610.83</v>
      </c>
      <c r="AA39" s="629"/>
      <c r="AB39" s="755"/>
      <c r="AC39" s="629">
        <f t="shared" si="24"/>
        <v>0.01</v>
      </c>
      <c r="AD39" s="630">
        <f t="shared" si="25"/>
        <v>0.02</v>
      </c>
      <c r="AE39" s="555">
        <f t="shared" si="26"/>
        <v>0</v>
      </c>
      <c r="AF39" s="555">
        <f t="shared" si="23"/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721" t="s">
        <v>8050</v>
      </c>
      <c r="C40" s="771">
        <v>1520107</v>
      </c>
      <c r="D40" s="771">
        <v>7495</v>
      </c>
      <c r="E40" s="771" t="s">
        <v>718</v>
      </c>
      <c r="F40" s="546"/>
      <c r="G40" s="659">
        <v>43062</v>
      </c>
      <c r="H40" s="655" t="s">
        <v>792</v>
      </c>
      <c r="I40" s="655" t="s">
        <v>7021</v>
      </c>
      <c r="J40" s="712"/>
      <c r="K40" s="655" t="s">
        <v>7020</v>
      </c>
      <c r="L40" s="655" t="s">
        <v>7022</v>
      </c>
      <c r="M40" s="660">
        <v>302298.84999999998</v>
      </c>
      <c r="N40" s="660">
        <v>15114.94</v>
      </c>
      <c r="O40" s="660">
        <v>50786.21</v>
      </c>
      <c r="P40" s="660">
        <v>368200</v>
      </c>
      <c r="Q40" s="548"/>
      <c r="R40" s="660">
        <v>267271.96000000002</v>
      </c>
      <c r="S40" s="549">
        <f t="shared" si="12"/>
        <v>100928.03999999998</v>
      </c>
      <c r="T40" s="113" t="s">
        <v>1931</v>
      </c>
      <c r="U40" s="626" t="str">
        <f t="shared" si="1"/>
        <v>AA12380</v>
      </c>
      <c r="V40" s="627" t="str">
        <f t="shared" si="2"/>
        <v>0147-TCN18</v>
      </c>
      <c r="W40" s="626">
        <f t="shared" si="3"/>
        <v>1520107</v>
      </c>
      <c r="X40" s="626" t="str">
        <f t="shared" si="4"/>
        <v>HILUX PICK UP D CAB SR A/C</v>
      </c>
      <c r="Y40" s="627">
        <f t="shared" si="4"/>
        <v>0</v>
      </c>
      <c r="Z40" s="628">
        <f t="shared" si="5"/>
        <v>302298.84999999998</v>
      </c>
      <c r="AA40" s="629"/>
      <c r="AB40" s="755"/>
      <c r="AC40" s="629">
        <f t="shared" si="18"/>
        <v>295708.34000000003</v>
      </c>
      <c r="AD40" s="630">
        <f t="shared" si="19"/>
        <v>0.1</v>
      </c>
      <c r="AE40" s="555">
        <f t="shared" si="20"/>
        <v>7392.74</v>
      </c>
      <c r="AF40" s="555">
        <v>0</v>
      </c>
      <c r="AG40" s="555">
        <f t="shared" si="10"/>
        <v>15114.94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721" t="s">
        <v>7873</v>
      </c>
      <c r="C41" s="771">
        <v>521802</v>
      </c>
      <c r="D41" s="771">
        <v>2204</v>
      </c>
      <c r="E41" s="771" t="s">
        <v>705</v>
      </c>
      <c r="F41" s="546"/>
      <c r="G41" s="659">
        <v>43048</v>
      </c>
      <c r="H41" s="655" t="s">
        <v>810</v>
      </c>
      <c r="I41" s="655" t="s">
        <v>6827</v>
      </c>
      <c r="J41" s="712"/>
      <c r="K41" s="655" t="s">
        <v>6829</v>
      </c>
      <c r="L41" s="655" t="s">
        <v>6828</v>
      </c>
      <c r="M41" s="660">
        <v>-232417.21</v>
      </c>
      <c r="N41" s="660">
        <v>-2324.17</v>
      </c>
      <c r="O41" s="660">
        <v>-37558.620000000003</v>
      </c>
      <c r="P41" s="660">
        <v>-272300</v>
      </c>
      <c r="Q41" s="548"/>
      <c r="R41" s="660">
        <v>-210301.82</v>
      </c>
      <c r="S41" s="549">
        <f t="shared" si="12"/>
        <v>-61998.179999999993</v>
      </c>
      <c r="T41" s="113" t="s">
        <v>1931</v>
      </c>
      <c r="U41" s="626" t="str">
        <f t="shared" si="1"/>
        <v>ZA04428</v>
      </c>
      <c r="V41" s="627" t="str">
        <f t="shared" si="2"/>
        <v>0151-TCN18</v>
      </c>
      <c r="W41" s="626">
        <f t="shared" si="3"/>
        <v>521802</v>
      </c>
      <c r="X41" s="626" t="str">
        <f t="shared" si="4"/>
        <v>AVANZA LIMITED</v>
      </c>
      <c r="Y41" s="627">
        <f t="shared" si="4"/>
        <v>0</v>
      </c>
      <c r="Z41" s="628">
        <f t="shared" si="5"/>
        <v>-232417.21</v>
      </c>
      <c r="AA41" s="629"/>
      <c r="AB41" s="755"/>
      <c r="AC41" s="629" t="e">
        <f t="shared" si="18"/>
        <v>#N/A</v>
      </c>
      <c r="AD41" s="630" t="e">
        <f t="shared" si="19"/>
        <v>#N/A</v>
      </c>
      <c r="AE41" s="629" t="e">
        <f t="shared" si="20"/>
        <v>#N/A</v>
      </c>
      <c r="AF41" s="629">
        <v>0</v>
      </c>
      <c r="AG41" s="555">
        <f t="shared" si="10"/>
        <v>-2324.17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721" t="s">
        <v>7874</v>
      </c>
      <c r="C42" s="771">
        <v>521802</v>
      </c>
      <c r="D42" s="771">
        <v>2204</v>
      </c>
      <c r="E42" s="771" t="s">
        <v>705</v>
      </c>
      <c r="F42" s="546"/>
      <c r="G42" s="659">
        <v>43048</v>
      </c>
      <c r="H42" s="655" t="s">
        <v>810</v>
      </c>
      <c r="I42" s="655" t="s">
        <v>6827</v>
      </c>
      <c r="J42" s="712"/>
      <c r="K42" s="655" t="s">
        <v>6829</v>
      </c>
      <c r="L42" s="655" t="s">
        <v>6828</v>
      </c>
      <c r="M42" s="660">
        <v>232417.21</v>
      </c>
      <c r="N42" s="660">
        <v>2324.17</v>
      </c>
      <c r="O42" s="660">
        <v>37558.620000000003</v>
      </c>
      <c r="P42" s="660">
        <v>272300</v>
      </c>
      <c r="Q42" s="548"/>
      <c r="R42" s="660">
        <v>210301.82</v>
      </c>
      <c r="S42" s="549">
        <f t="shared" si="12"/>
        <v>61998.179999999993</v>
      </c>
      <c r="T42" s="113" t="s">
        <v>1931</v>
      </c>
      <c r="U42" s="626" t="str">
        <f t="shared" si="1"/>
        <v>AA12266</v>
      </c>
      <c r="V42" s="627" t="str">
        <f t="shared" si="2"/>
        <v>0151-TCN18</v>
      </c>
      <c r="W42" s="626">
        <f t="shared" si="3"/>
        <v>521802</v>
      </c>
      <c r="X42" s="626" t="str">
        <f t="shared" si="4"/>
        <v>AVANZA LIMITED</v>
      </c>
      <c r="Y42" s="627">
        <f t="shared" si="4"/>
        <v>0</v>
      </c>
      <c r="Z42" s="628">
        <f t="shared" si="5"/>
        <v>232417.21</v>
      </c>
      <c r="AA42" s="629"/>
      <c r="AB42" s="755"/>
      <c r="AC42" s="629">
        <f t="shared" si="6"/>
        <v>0.01</v>
      </c>
      <c r="AD42" s="630">
        <f t="shared" si="7"/>
        <v>0.02</v>
      </c>
      <c r="AE42" s="555">
        <f t="shared" si="8"/>
        <v>0</v>
      </c>
      <c r="AF42" s="555">
        <v>0</v>
      </c>
      <c r="AG42" s="555">
        <f t="shared" si="10"/>
        <v>2324.17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721" t="s">
        <v>7852</v>
      </c>
      <c r="C43" s="771">
        <v>521801</v>
      </c>
      <c r="D43" s="771">
        <v>2201</v>
      </c>
      <c r="E43" s="771" t="s">
        <v>704</v>
      </c>
      <c r="F43" s="546"/>
      <c r="G43" s="659">
        <v>43049</v>
      </c>
      <c r="H43" s="655" t="s">
        <v>2213</v>
      </c>
      <c r="I43" s="655" t="s">
        <v>7624</v>
      </c>
      <c r="J43" s="712"/>
      <c r="K43" s="655" t="s">
        <v>8127</v>
      </c>
      <c r="L43" s="655" t="s">
        <v>7432</v>
      </c>
      <c r="M43" s="660">
        <v>195948.28</v>
      </c>
      <c r="N43" s="660">
        <v>0</v>
      </c>
      <c r="O43" s="660">
        <v>31351.72</v>
      </c>
      <c r="P43" s="660">
        <v>227300</v>
      </c>
      <c r="Q43" s="548"/>
      <c r="R43" s="660">
        <v>185980.78</v>
      </c>
      <c r="S43" s="549">
        <f t="shared" si="12"/>
        <v>41319.22</v>
      </c>
      <c r="T43" s="113" t="s">
        <v>1931</v>
      </c>
      <c r="U43" s="626" t="str">
        <f t="shared" si="1"/>
        <v>AA12280</v>
      </c>
      <c r="V43" s="627" t="str">
        <f t="shared" si="2"/>
        <v>0152-TCN18</v>
      </c>
      <c r="W43" s="626">
        <f t="shared" si="3"/>
        <v>521801</v>
      </c>
      <c r="X43" s="626" t="str">
        <f t="shared" si="4"/>
        <v>AVANZA HI 5MT</v>
      </c>
      <c r="Y43" s="627">
        <f t="shared" si="4"/>
        <v>0</v>
      </c>
      <c r="Z43" s="628">
        <f t="shared" si="5"/>
        <v>195948.28</v>
      </c>
      <c r="AA43" s="629">
        <f>+SUM(Z39:Z43)</f>
        <v>718857.96</v>
      </c>
      <c r="AB43" s="763">
        <v>3</v>
      </c>
      <c r="AC43" s="629">
        <f t="shared" si="6"/>
        <v>0.01</v>
      </c>
      <c r="AD43" s="630">
        <f t="shared" si="7"/>
        <v>0.02</v>
      </c>
      <c r="AE43" s="555">
        <f t="shared" si="8"/>
        <v>0</v>
      </c>
      <c r="AF43" s="555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721" t="s">
        <v>7855</v>
      </c>
      <c r="C44" s="771">
        <v>521801</v>
      </c>
      <c r="D44" s="771">
        <v>2201</v>
      </c>
      <c r="E44" s="771" t="s">
        <v>704</v>
      </c>
      <c r="F44" s="546"/>
      <c r="G44" s="659">
        <v>43054</v>
      </c>
      <c r="H44" s="655" t="s">
        <v>2213</v>
      </c>
      <c r="I44" s="655" t="s">
        <v>7624</v>
      </c>
      <c r="J44" s="712"/>
      <c r="K44" s="655" t="s">
        <v>8127</v>
      </c>
      <c r="L44" s="655" t="s">
        <v>7432</v>
      </c>
      <c r="M44" s="660">
        <v>-195948.28</v>
      </c>
      <c r="N44" s="660">
        <v>0</v>
      </c>
      <c r="O44" s="660">
        <v>-31351.72</v>
      </c>
      <c r="P44" s="660">
        <v>-227300</v>
      </c>
      <c r="Q44" s="548"/>
      <c r="R44" s="660">
        <v>-185980.78</v>
      </c>
      <c r="S44" s="549">
        <f t="shared" si="12"/>
        <v>-41319.22</v>
      </c>
      <c r="T44" s="113" t="s">
        <v>1931</v>
      </c>
      <c r="U44" s="626" t="str">
        <f t="shared" si="1"/>
        <v>ZA04439</v>
      </c>
      <c r="V44" s="627" t="str">
        <f t="shared" si="2"/>
        <v>0152-TCN18</v>
      </c>
      <c r="W44" s="626">
        <f t="shared" si="3"/>
        <v>521801</v>
      </c>
      <c r="X44" s="626" t="str">
        <f t="shared" si="4"/>
        <v>AVANZA HI 5MT</v>
      </c>
      <c r="Y44" s="627">
        <f t="shared" si="4"/>
        <v>0</v>
      </c>
      <c r="Z44" s="628">
        <f t="shared" si="5"/>
        <v>-195948.28</v>
      </c>
      <c r="AA44" s="725"/>
      <c r="AB44" s="756"/>
      <c r="AC44" s="629" t="e">
        <f t="shared" si="6"/>
        <v>#N/A</v>
      </c>
      <c r="AD44" s="630" t="e">
        <f t="shared" si="7"/>
        <v>#N/A</v>
      </c>
      <c r="AE44" s="629" t="e">
        <f t="shared" si="8"/>
        <v>#N/A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721" t="s">
        <v>7801</v>
      </c>
      <c r="C45" s="771">
        <v>520222</v>
      </c>
      <c r="D45" s="771">
        <v>1797</v>
      </c>
      <c r="E45" s="771" t="s">
        <v>688</v>
      </c>
      <c r="F45" s="546">
        <v>2018</v>
      </c>
      <c r="G45" s="659">
        <v>43057</v>
      </c>
      <c r="H45" s="655" t="s">
        <v>7761</v>
      </c>
      <c r="I45" s="655" t="s">
        <v>7589</v>
      </c>
      <c r="J45" s="712"/>
      <c r="K45" s="655" t="s">
        <v>8102</v>
      </c>
      <c r="L45" s="655" t="s">
        <v>7397</v>
      </c>
      <c r="M45" s="660">
        <v>244708.09</v>
      </c>
      <c r="N45" s="660">
        <v>2447.08</v>
      </c>
      <c r="O45" s="660">
        <v>39544.83</v>
      </c>
      <c r="P45" s="660">
        <v>286700</v>
      </c>
      <c r="Q45" s="548"/>
      <c r="R45" s="660">
        <v>215706.25</v>
      </c>
      <c r="S45" s="549">
        <f t="shared" si="12"/>
        <v>70993.75</v>
      </c>
      <c r="T45" s="267" t="s">
        <v>1932</v>
      </c>
      <c r="U45" s="626" t="str">
        <f t="shared" si="1"/>
        <v>AA12337</v>
      </c>
      <c r="V45" s="627" t="str">
        <f t="shared" si="2"/>
        <v>0211-TCN18</v>
      </c>
      <c r="W45" s="626">
        <f t="shared" si="3"/>
        <v>520222</v>
      </c>
      <c r="X45" s="626" t="str">
        <f t="shared" si="4"/>
        <v>COROLLA BASE MANUAL</v>
      </c>
      <c r="Y45" s="627">
        <f t="shared" si="4"/>
        <v>2018</v>
      </c>
      <c r="Z45" s="628">
        <f t="shared" si="5"/>
        <v>244708.09</v>
      </c>
      <c r="AA45" s="629">
        <f>+Z45</f>
        <v>244708.09</v>
      </c>
      <c r="AB45" s="794">
        <v>1</v>
      </c>
      <c r="AC45" s="780">
        <f t="shared" si="6"/>
        <v>0.01</v>
      </c>
      <c r="AD45" s="630">
        <f t="shared" si="7"/>
        <v>0.02</v>
      </c>
      <c r="AE45" s="555">
        <f t="shared" si="8"/>
        <v>0</v>
      </c>
      <c r="AF45" s="629">
        <f t="shared" ref="AF45" si="27">IF(Z45&lt;281240.78,(((Z45-AC45)*AD45+AE45)/2),(Z45-AC45)*AD45+AE45)</f>
        <v>2447.0807999999997</v>
      </c>
      <c r="AG45" s="555">
        <f t="shared" si="10"/>
        <v>-7.9999999979918357E-4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721" t="s">
        <v>8031</v>
      </c>
      <c r="C46" s="771">
        <v>1520107</v>
      </c>
      <c r="D46" s="771">
        <v>7495</v>
      </c>
      <c r="E46" s="771" t="s">
        <v>718</v>
      </c>
      <c r="F46" s="546"/>
      <c r="G46" s="659">
        <v>43049</v>
      </c>
      <c r="H46" s="655" t="s">
        <v>817</v>
      </c>
      <c r="I46" s="655" t="s">
        <v>7718</v>
      </c>
      <c r="J46" s="712"/>
      <c r="K46" s="655" t="s">
        <v>8169</v>
      </c>
      <c r="L46" s="655" t="s">
        <v>7526</v>
      </c>
      <c r="M46" s="660">
        <v>302298.84999999998</v>
      </c>
      <c r="N46" s="660">
        <v>15114.94</v>
      </c>
      <c r="O46" s="660">
        <v>50786.21</v>
      </c>
      <c r="P46" s="660">
        <v>368200</v>
      </c>
      <c r="Q46" s="548"/>
      <c r="R46" s="660">
        <v>267271.96000000002</v>
      </c>
      <c r="S46" s="549">
        <f t="shared" si="12"/>
        <v>100928.03999999998</v>
      </c>
      <c r="T46" s="113" t="s">
        <v>1931</v>
      </c>
      <c r="U46" s="626" t="str">
        <f t="shared" si="1"/>
        <v>AA12281</v>
      </c>
      <c r="V46" s="627" t="str">
        <f t="shared" si="2"/>
        <v>0157-TCN18</v>
      </c>
      <c r="W46" s="626">
        <f t="shared" si="3"/>
        <v>1520107</v>
      </c>
      <c r="X46" s="626" t="str">
        <f t="shared" si="4"/>
        <v>HILUX PICK UP D CAB SR A/C</v>
      </c>
      <c r="Y46" s="627">
        <f t="shared" si="4"/>
        <v>0</v>
      </c>
      <c r="Z46" s="628">
        <f t="shared" si="5"/>
        <v>302298.84999999998</v>
      </c>
      <c r="AA46" s="624">
        <f>+Z46+Z45+Z44</f>
        <v>351058.65999999992</v>
      </c>
      <c r="AB46" s="788">
        <v>3</v>
      </c>
      <c r="AC46" s="629">
        <f t="shared" si="6"/>
        <v>295708.34000000003</v>
      </c>
      <c r="AD46" s="630">
        <f t="shared" si="7"/>
        <v>0.1</v>
      </c>
      <c r="AE46" s="629">
        <f t="shared" si="8"/>
        <v>7392.74</v>
      </c>
      <c r="AF46" s="629">
        <v>0</v>
      </c>
      <c r="AG46" s="555">
        <f t="shared" si="10"/>
        <v>15114.94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721" t="s">
        <v>8038</v>
      </c>
      <c r="C47" s="771">
        <v>1520107</v>
      </c>
      <c r="D47" s="771">
        <v>7495</v>
      </c>
      <c r="E47" s="771" t="s">
        <v>718</v>
      </c>
      <c r="F47" s="546"/>
      <c r="G47" s="659">
        <v>43057</v>
      </c>
      <c r="H47" s="655" t="s">
        <v>817</v>
      </c>
      <c r="I47" s="655" t="s">
        <v>7718</v>
      </c>
      <c r="J47" s="712"/>
      <c r="K47" s="655" t="s">
        <v>8169</v>
      </c>
      <c r="L47" s="655" t="s">
        <v>7526</v>
      </c>
      <c r="M47" s="660">
        <v>-302298.84999999998</v>
      </c>
      <c r="N47" s="660">
        <v>-15114.94</v>
      </c>
      <c r="O47" s="660">
        <v>-50786.21</v>
      </c>
      <c r="P47" s="660">
        <v>-368200</v>
      </c>
      <c r="Q47" s="548"/>
      <c r="R47" s="660">
        <v>-267271.96000000002</v>
      </c>
      <c r="S47" s="549">
        <f t="shared" si="12"/>
        <v>-100928.03999999998</v>
      </c>
      <c r="T47" s="113" t="s">
        <v>1931</v>
      </c>
      <c r="U47" s="626" t="str">
        <f t="shared" si="1"/>
        <v>ZA04447</v>
      </c>
      <c r="V47" s="627" t="str">
        <f t="shared" si="2"/>
        <v>0157-TCN18</v>
      </c>
      <c r="W47" s="626">
        <f t="shared" si="3"/>
        <v>1520107</v>
      </c>
      <c r="X47" s="626" t="str">
        <f t="shared" si="4"/>
        <v>HILUX PICK UP D CAB SR A/C</v>
      </c>
      <c r="Y47" s="627">
        <f t="shared" si="4"/>
        <v>0</v>
      </c>
      <c r="Z47" s="628">
        <f t="shared" si="5"/>
        <v>-302298.84999999998</v>
      </c>
      <c r="AA47" s="629">
        <f>+Z47</f>
        <v>-302298.84999999998</v>
      </c>
      <c r="AB47" s="763">
        <v>1</v>
      </c>
      <c r="AC47" s="629" t="e">
        <f t="shared" si="6"/>
        <v>#N/A</v>
      </c>
      <c r="AD47" s="630" t="e">
        <f t="shared" si="7"/>
        <v>#N/A</v>
      </c>
      <c r="AE47" s="629" t="e">
        <f t="shared" si="8"/>
        <v>#N/A</v>
      </c>
      <c r="AF47" s="629">
        <v>0</v>
      </c>
      <c r="AG47" s="555">
        <f t="shared" si="10"/>
        <v>-15114.94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721" t="s">
        <v>8039</v>
      </c>
      <c r="C48" s="771">
        <v>1520107</v>
      </c>
      <c r="D48" s="771">
        <v>7495</v>
      </c>
      <c r="E48" s="771" t="s">
        <v>718</v>
      </c>
      <c r="F48" s="546"/>
      <c r="G48" s="659">
        <v>43057</v>
      </c>
      <c r="H48" s="655" t="s">
        <v>5622</v>
      </c>
      <c r="I48" s="655" t="s">
        <v>7718</v>
      </c>
      <c r="J48" s="712"/>
      <c r="K48" s="655" t="s">
        <v>8172</v>
      </c>
      <c r="L48" s="655" t="s">
        <v>7526</v>
      </c>
      <c r="M48" s="660">
        <v>302298.84999999998</v>
      </c>
      <c r="N48" s="660">
        <v>15114.94</v>
      </c>
      <c r="O48" s="660">
        <v>50786.21</v>
      </c>
      <c r="P48" s="660">
        <v>368200</v>
      </c>
      <c r="Q48" s="548"/>
      <c r="R48" s="660">
        <v>267271.96000000002</v>
      </c>
      <c r="S48" s="549">
        <f t="shared" si="12"/>
        <v>100928.03999999998</v>
      </c>
      <c r="T48" s="113" t="s">
        <v>1931</v>
      </c>
      <c r="U48" s="626" t="str">
        <f t="shared" si="1"/>
        <v>AA12338</v>
      </c>
      <c r="V48" s="627" t="str">
        <f t="shared" si="2"/>
        <v>0157-TCN18</v>
      </c>
      <c r="W48" s="626">
        <f t="shared" si="3"/>
        <v>1520107</v>
      </c>
      <c r="X48" s="626" t="str">
        <f t="shared" si="4"/>
        <v>HILUX PICK UP D CAB SR A/C</v>
      </c>
      <c r="Y48" s="627">
        <f t="shared" si="4"/>
        <v>0</v>
      </c>
      <c r="Z48" s="628">
        <f t="shared" si="5"/>
        <v>302298.84999999998</v>
      </c>
      <c r="AA48" s="629"/>
      <c r="AB48" s="755"/>
      <c r="AC48" s="629">
        <f t="shared" si="6"/>
        <v>295708.34000000003</v>
      </c>
      <c r="AD48" s="630">
        <f t="shared" si="7"/>
        <v>0.1</v>
      </c>
      <c r="AE48" s="629">
        <f t="shared" si="8"/>
        <v>7392.74</v>
      </c>
      <c r="AF48" s="629">
        <v>0</v>
      </c>
      <c r="AG48" s="555">
        <f t="shared" si="10"/>
        <v>15114.94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721" t="s">
        <v>8040</v>
      </c>
      <c r="C49" s="771">
        <v>1520107</v>
      </c>
      <c r="D49" s="771">
        <v>7495</v>
      </c>
      <c r="E49" s="771" t="s">
        <v>718</v>
      </c>
      <c r="F49" s="546"/>
      <c r="G49" s="659">
        <v>43060</v>
      </c>
      <c r="H49" s="655" t="s">
        <v>5622</v>
      </c>
      <c r="I49" s="655" t="s">
        <v>7718</v>
      </c>
      <c r="J49" s="712"/>
      <c r="K49" s="655" t="s">
        <v>8172</v>
      </c>
      <c r="L49" s="655" t="s">
        <v>7526</v>
      </c>
      <c r="M49" s="660">
        <v>-302298.84999999998</v>
      </c>
      <c r="N49" s="660">
        <v>-15114.94</v>
      </c>
      <c r="O49" s="660">
        <v>-50786.21</v>
      </c>
      <c r="P49" s="660">
        <v>-368200</v>
      </c>
      <c r="Q49" s="548"/>
      <c r="R49" s="660">
        <v>-267271.96000000002</v>
      </c>
      <c r="S49" s="549">
        <f t="shared" si="12"/>
        <v>-100928.03999999998</v>
      </c>
      <c r="T49" s="113" t="s">
        <v>1931</v>
      </c>
      <c r="U49" s="626" t="str">
        <f t="shared" si="1"/>
        <v>ZA04449</v>
      </c>
      <c r="V49" s="627" t="str">
        <f t="shared" si="2"/>
        <v>0157-TCN18</v>
      </c>
      <c r="W49" s="626">
        <f t="shared" si="3"/>
        <v>1520107</v>
      </c>
      <c r="X49" s="626" t="str">
        <f t="shared" si="4"/>
        <v>HILUX PICK UP D CAB SR A/C</v>
      </c>
      <c r="Y49" s="627">
        <f t="shared" si="4"/>
        <v>0</v>
      </c>
      <c r="Z49" s="628">
        <f t="shared" si="5"/>
        <v>-302298.84999999998</v>
      </c>
      <c r="AA49" s="725"/>
      <c r="AB49" s="756"/>
      <c r="AC49" s="629" t="e">
        <f t="shared" si="6"/>
        <v>#N/A</v>
      </c>
      <c r="AD49" s="630" t="e">
        <f t="shared" si="7"/>
        <v>#N/A</v>
      </c>
      <c r="AE49" s="629" t="e">
        <f t="shared" si="8"/>
        <v>#N/A</v>
      </c>
      <c r="AF49" s="629">
        <f t="shared" ref="AF49" si="28">+N49</f>
        <v>-15114.94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721" t="s">
        <v>7798</v>
      </c>
      <c r="C50" s="771">
        <v>520223</v>
      </c>
      <c r="D50" s="771">
        <v>1796</v>
      </c>
      <c r="E50" s="771" t="s">
        <v>689</v>
      </c>
      <c r="F50" s="546">
        <v>2017</v>
      </c>
      <c r="G50" s="659">
        <v>43060</v>
      </c>
      <c r="H50" s="655" t="s">
        <v>727</v>
      </c>
      <c r="I50" s="655" t="s">
        <v>7588</v>
      </c>
      <c r="J50" s="712"/>
      <c r="K50" s="655" t="s">
        <v>8101</v>
      </c>
      <c r="L50" s="655" t="s">
        <v>7396</v>
      </c>
      <c r="M50" s="660">
        <v>237794.47</v>
      </c>
      <c r="N50" s="660">
        <v>2377.94</v>
      </c>
      <c r="O50" s="660">
        <v>38427.589999999997</v>
      </c>
      <c r="P50" s="660">
        <v>278600</v>
      </c>
      <c r="Q50" s="548"/>
      <c r="R50" s="660">
        <v>220612.07</v>
      </c>
      <c r="S50" s="549">
        <f t="shared" si="12"/>
        <v>57987.929999999993</v>
      </c>
      <c r="T50" s="113" t="s">
        <v>1932</v>
      </c>
      <c r="U50" s="626" t="str">
        <f t="shared" si="1"/>
        <v>AA12356</v>
      </c>
      <c r="V50" s="627" t="str">
        <f t="shared" si="2"/>
        <v>1958-TCN17</v>
      </c>
      <c r="W50" s="626">
        <f t="shared" si="3"/>
        <v>520223</v>
      </c>
      <c r="X50" s="626" t="str">
        <f t="shared" si="4"/>
        <v>COROLLA BASE AT</v>
      </c>
      <c r="Y50" s="627">
        <f t="shared" si="4"/>
        <v>2017</v>
      </c>
      <c r="Z50" s="628">
        <f t="shared" si="5"/>
        <v>237794.47</v>
      </c>
      <c r="AA50" s="629">
        <f>+Z50</f>
        <v>237794.47</v>
      </c>
      <c r="AB50" s="794">
        <v>1</v>
      </c>
      <c r="AC50" s="780">
        <f t="shared" si="6"/>
        <v>0.01</v>
      </c>
      <c r="AD50" s="630">
        <f t="shared" si="7"/>
        <v>0.02</v>
      </c>
      <c r="AE50" s="555">
        <f t="shared" si="8"/>
        <v>0</v>
      </c>
      <c r="AF50" s="629">
        <f t="shared" ref="AF50" si="29">IF(Z50&lt;281240.78,(((Z50-AC50)*AD50+AE50)/2),(Z50-AC50)*AD50+AE50)</f>
        <v>2377.9445999999998</v>
      </c>
      <c r="AG50" s="555">
        <f t="shared" si="10"/>
        <v>-4.5999999997548002E-3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721" t="s">
        <v>7809</v>
      </c>
      <c r="C51" s="771">
        <v>521702</v>
      </c>
      <c r="D51" s="771">
        <v>2005</v>
      </c>
      <c r="E51" s="771" t="s">
        <v>701</v>
      </c>
      <c r="F51" s="546"/>
      <c r="G51" s="659">
        <v>43061</v>
      </c>
      <c r="H51" s="655"/>
      <c r="I51" s="655" t="s">
        <v>7595</v>
      </c>
      <c r="J51" s="712"/>
      <c r="K51" s="655" t="s">
        <v>1688</v>
      </c>
      <c r="L51" s="655" t="s">
        <v>7403</v>
      </c>
      <c r="M51" s="660">
        <v>168469.59</v>
      </c>
      <c r="N51" s="660">
        <v>0</v>
      </c>
      <c r="O51" s="660">
        <v>26955.13</v>
      </c>
      <c r="P51" s="660">
        <v>195424.72</v>
      </c>
      <c r="Q51" s="548"/>
      <c r="R51" s="660">
        <v>168114.24</v>
      </c>
      <c r="S51" s="549">
        <f t="shared" si="12"/>
        <v>27310.48000000001</v>
      </c>
      <c r="T51" s="113" t="s">
        <v>283</v>
      </c>
      <c r="U51" s="626" t="str">
        <f t="shared" si="1"/>
        <v>AA12373</v>
      </c>
      <c r="V51" s="627" t="str">
        <f t="shared" si="2"/>
        <v>1963-TCN17</v>
      </c>
      <c r="W51" s="626">
        <f t="shared" si="3"/>
        <v>521702</v>
      </c>
      <c r="X51" s="626" t="str">
        <f t="shared" si="4"/>
        <v>YARIS CORE MT, SEDAN</v>
      </c>
      <c r="Y51" s="627">
        <f t="shared" si="4"/>
        <v>0</v>
      </c>
      <c r="Z51" s="628">
        <f t="shared" si="5"/>
        <v>168469.59</v>
      </c>
      <c r="AA51" s="789"/>
      <c r="AB51" s="790"/>
      <c r="AC51" s="629">
        <f t="shared" si="6"/>
        <v>0.01</v>
      </c>
      <c r="AD51" s="630">
        <f t="shared" si="7"/>
        <v>0.02</v>
      </c>
      <c r="AE51" s="555">
        <f t="shared" si="8"/>
        <v>0</v>
      </c>
      <c r="AF51" s="555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721" t="s">
        <v>7779</v>
      </c>
      <c r="C52" s="771">
        <v>520224</v>
      </c>
      <c r="D52" s="771">
        <v>1781</v>
      </c>
      <c r="E52" s="771" t="s">
        <v>690</v>
      </c>
      <c r="F52" s="546">
        <v>2017</v>
      </c>
      <c r="G52" s="659">
        <v>43053</v>
      </c>
      <c r="H52" s="655" t="s">
        <v>788</v>
      </c>
      <c r="I52" s="655" t="s">
        <v>6286</v>
      </c>
      <c r="J52" s="712"/>
      <c r="K52" s="655" t="s">
        <v>8099</v>
      </c>
      <c r="L52" s="655" t="s">
        <v>6548</v>
      </c>
      <c r="M52" s="660">
        <v>266852.65999999997</v>
      </c>
      <c r="N52" s="660">
        <v>2974.93</v>
      </c>
      <c r="O52" s="660">
        <v>43172.41</v>
      </c>
      <c r="P52" s="660">
        <v>313000</v>
      </c>
      <c r="Q52" s="548"/>
      <c r="R52" s="660">
        <v>247778.87</v>
      </c>
      <c r="S52" s="549">
        <f t="shared" si="12"/>
        <v>65221.130000000005</v>
      </c>
      <c r="T52" s="113" t="s">
        <v>1932</v>
      </c>
      <c r="U52" s="626" t="str">
        <f t="shared" si="1"/>
        <v>AA12293</v>
      </c>
      <c r="V52" s="627" t="str">
        <f t="shared" si="2"/>
        <v>1628-TCN17</v>
      </c>
      <c r="W52" s="626">
        <f t="shared" si="3"/>
        <v>520224</v>
      </c>
      <c r="X52" s="626" t="str">
        <f t="shared" si="4"/>
        <v>COROLLA SE MT</v>
      </c>
      <c r="Y52" s="627">
        <f t="shared" si="4"/>
        <v>2017</v>
      </c>
      <c r="Z52" s="628">
        <f t="shared" si="5"/>
        <v>266852.65999999997</v>
      </c>
      <c r="AA52" s="629">
        <f>+Z52</f>
        <v>266852.65999999997</v>
      </c>
      <c r="AB52" s="794">
        <v>1</v>
      </c>
      <c r="AC52" s="780">
        <f t="shared" si="6"/>
        <v>246423.66</v>
      </c>
      <c r="AD52" s="630">
        <f t="shared" si="7"/>
        <v>0.05</v>
      </c>
      <c r="AE52" s="555">
        <f t="shared" si="8"/>
        <v>4928.3900000000003</v>
      </c>
      <c r="AF52" s="629">
        <f t="shared" ref="AF52" si="30">IF(Z52&lt;281240.78,(((Z52-AC52)*AD52+AE52)/2),(Z52-AC52)*AD52+AE52)</f>
        <v>2974.9199999999996</v>
      </c>
      <c r="AG52" s="555">
        <f t="shared" si="10"/>
        <v>1.0000000000218279E-2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721" t="s">
        <v>7784</v>
      </c>
      <c r="C53" s="771">
        <v>520226</v>
      </c>
      <c r="D53" s="771">
        <v>1783</v>
      </c>
      <c r="E53" s="771" t="s">
        <v>692</v>
      </c>
      <c r="F53" s="546">
        <v>2017</v>
      </c>
      <c r="G53" s="659">
        <v>43056</v>
      </c>
      <c r="H53" s="655" t="s">
        <v>764</v>
      </c>
      <c r="I53" s="655" t="s">
        <v>7579</v>
      </c>
      <c r="J53" s="712"/>
      <c r="K53" s="655" t="s">
        <v>8100</v>
      </c>
      <c r="L53" s="655" t="s">
        <v>7387</v>
      </c>
      <c r="M53" s="660">
        <v>285355.59999999998</v>
      </c>
      <c r="N53" s="660">
        <v>3437.5</v>
      </c>
      <c r="O53" s="660">
        <v>46206.9</v>
      </c>
      <c r="P53" s="660">
        <v>335000</v>
      </c>
      <c r="Q53" s="548"/>
      <c r="R53" s="660">
        <v>264720.34000000003</v>
      </c>
      <c r="S53" s="549">
        <f t="shared" si="12"/>
        <v>70279.659999999974</v>
      </c>
      <c r="T53" s="113" t="s">
        <v>1932</v>
      </c>
      <c r="U53" s="626" t="str">
        <f t="shared" si="1"/>
        <v>AA12329</v>
      </c>
      <c r="V53" s="627" t="str">
        <f t="shared" si="2"/>
        <v>0961-TCN17</v>
      </c>
      <c r="W53" s="626">
        <f t="shared" si="3"/>
        <v>520226</v>
      </c>
      <c r="X53" s="626" t="str">
        <f t="shared" si="4"/>
        <v>COROLLA SE  PLUS  AT</v>
      </c>
      <c r="Y53" s="627">
        <f t="shared" si="4"/>
        <v>2017</v>
      </c>
      <c r="Z53" s="628">
        <f t="shared" si="5"/>
        <v>285355.59999999998</v>
      </c>
      <c r="AA53" s="629">
        <f>+Z53</f>
        <v>285355.59999999998</v>
      </c>
      <c r="AB53" s="793">
        <v>1</v>
      </c>
      <c r="AC53" s="779">
        <f t="shared" si="6"/>
        <v>246423.66</v>
      </c>
      <c r="AD53" s="726">
        <f t="shared" si="7"/>
        <v>0.05</v>
      </c>
      <c r="AE53" s="727">
        <f t="shared" si="8"/>
        <v>4928.3900000000003</v>
      </c>
      <c r="AF53" s="725">
        <f t="shared" ref="AF53" si="31">+N53</f>
        <v>3437.5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721" t="s">
        <v>7997</v>
      </c>
      <c r="C54" s="771">
        <v>1520605</v>
      </c>
      <c r="D54" s="771">
        <v>7491</v>
      </c>
      <c r="E54" s="771" t="s">
        <v>6939</v>
      </c>
      <c r="F54" s="546"/>
      <c r="G54" s="659">
        <v>43042</v>
      </c>
      <c r="H54" s="655" t="s">
        <v>4285</v>
      </c>
      <c r="I54" s="655" t="s">
        <v>7701</v>
      </c>
      <c r="J54" s="712"/>
      <c r="K54" s="655" t="s">
        <v>6732</v>
      </c>
      <c r="L54" s="655" t="s">
        <v>7509</v>
      </c>
      <c r="M54" s="660">
        <v>-442780.79</v>
      </c>
      <c r="N54" s="660">
        <v>-22139.040000000001</v>
      </c>
      <c r="O54" s="660">
        <v>-74387.17</v>
      </c>
      <c r="P54" s="660">
        <v>-539307</v>
      </c>
      <c r="Q54" s="548"/>
      <c r="R54" s="660">
        <v>-420224.34</v>
      </c>
      <c r="S54" s="549">
        <f t="shared" si="12"/>
        <v>-119082.65999999997</v>
      </c>
      <c r="T54" s="113" t="s">
        <v>1931</v>
      </c>
      <c r="U54" s="626" t="str">
        <f t="shared" si="1"/>
        <v>ZA04414</v>
      </c>
      <c r="V54" s="627" t="str">
        <f t="shared" si="2"/>
        <v>0170-TCN18</v>
      </c>
      <c r="W54" s="626">
        <f t="shared" si="3"/>
        <v>1520605</v>
      </c>
      <c r="X54" s="626" t="str">
        <f t="shared" si="4"/>
        <v>HILUX DIESEL EQUIPADA</v>
      </c>
      <c r="Y54" s="627">
        <f t="shared" si="4"/>
        <v>0</v>
      </c>
      <c r="Z54" s="628">
        <f t="shared" si="5"/>
        <v>-442780.79</v>
      </c>
      <c r="AA54" s="624">
        <f>+Z54</f>
        <v>-442780.79</v>
      </c>
      <c r="AB54" s="791">
        <v>1</v>
      </c>
      <c r="AC54" s="629" t="e">
        <f t="shared" si="6"/>
        <v>#N/A</v>
      </c>
      <c r="AD54" s="630" t="e">
        <f t="shared" si="7"/>
        <v>#N/A</v>
      </c>
      <c r="AE54" s="555" t="e">
        <f t="shared" si="8"/>
        <v>#N/A</v>
      </c>
      <c r="AF54" s="629">
        <f t="shared" ref="AF54" si="32">+N54</f>
        <v>-22139.040000000001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721" t="s">
        <v>7998</v>
      </c>
      <c r="C55" s="771">
        <v>1520605</v>
      </c>
      <c r="D55" s="771">
        <v>7491</v>
      </c>
      <c r="E55" s="771" t="s">
        <v>6939</v>
      </c>
      <c r="F55" s="546"/>
      <c r="G55" s="659">
        <v>43042</v>
      </c>
      <c r="H55" s="655" t="s">
        <v>4285</v>
      </c>
      <c r="I55" s="655" t="s">
        <v>7701</v>
      </c>
      <c r="J55" s="712"/>
      <c r="K55" s="655" t="s">
        <v>6732</v>
      </c>
      <c r="L55" s="655" t="s">
        <v>7509</v>
      </c>
      <c r="M55" s="660">
        <v>442780.79</v>
      </c>
      <c r="N55" s="660">
        <v>22139.040000000001</v>
      </c>
      <c r="O55" s="660">
        <v>74387.17</v>
      </c>
      <c r="P55" s="660">
        <v>539307</v>
      </c>
      <c r="Q55" s="548"/>
      <c r="R55" s="660">
        <v>420224.34</v>
      </c>
      <c r="S55" s="549">
        <f t="shared" si="12"/>
        <v>119082.65999999997</v>
      </c>
      <c r="T55" s="113" t="s">
        <v>1931</v>
      </c>
      <c r="U55" s="626" t="str">
        <f t="shared" si="1"/>
        <v>AA12221</v>
      </c>
      <c r="V55" s="627" t="str">
        <f t="shared" si="2"/>
        <v>0170-TCN18</v>
      </c>
      <c r="W55" s="626">
        <f t="shared" si="3"/>
        <v>1520605</v>
      </c>
      <c r="X55" s="626" t="str">
        <f t="shared" si="4"/>
        <v>HILUX DIESEL EQUIPADA</v>
      </c>
      <c r="Y55" s="627">
        <f t="shared" si="4"/>
        <v>0</v>
      </c>
      <c r="Z55" s="628">
        <f t="shared" si="5"/>
        <v>442780.79</v>
      </c>
      <c r="AA55" s="725">
        <f>+Z55</f>
        <v>442780.79</v>
      </c>
      <c r="AB55" s="756">
        <v>1</v>
      </c>
      <c r="AC55" s="629">
        <f t="shared" si="6"/>
        <v>344993.21</v>
      </c>
      <c r="AD55" s="630">
        <f t="shared" si="7"/>
        <v>0.15</v>
      </c>
      <c r="AE55" s="555">
        <f t="shared" si="8"/>
        <v>12321.2</v>
      </c>
      <c r="AF55" s="555">
        <f t="shared" ref="AF55:AF56" si="33">IF(Z55&lt;281240.78,(((Z55-AC55)*AD55+AE55)/2),(Z55-AC55)*AD55+AE55)</f>
        <v>26989.336999999992</v>
      </c>
      <c r="AG55" s="555">
        <f t="shared" si="10"/>
        <v>-4850.2969999999914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721" t="s">
        <v>7928</v>
      </c>
      <c r="C56" s="771">
        <v>520504</v>
      </c>
      <c r="D56" s="771">
        <v>5396</v>
      </c>
      <c r="E56" s="771" t="s">
        <v>132</v>
      </c>
      <c r="F56" s="546">
        <v>2017</v>
      </c>
      <c r="G56" s="659">
        <v>43063</v>
      </c>
      <c r="H56" s="655" t="s">
        <v>5623</v>
      </c>
      <c r="I56" s="655" t="s">
        <v>7668</v>
      </c>
      <c r="J56" s="712"/>
      <c r="K56" s="655" t="s">
        <v>8147</v>
      </c>
      <c r="L56" s="655" t="s">
        <v>7476</v>
      </c>
      <c r="M56" s="660">
        <v>459200.49</v>
      </c>
      <c r="N56" s="660">
        <v>29765.03</v>
      </c>
      <c r="O56" s="660">
        <v>78234.48</v>
      </c>
      <c r="P56" s="660">
        <v>567200</v>
      </c>
      <c r="Q56" s="548"/>
      <c r="R56" s="660">
        <v>426248.19</v>
      </c>
      <c r="S56" s="549">
        <f t="shared" si="12"/>
        <v>140951.81</v>
      </c>
      <c r="T56" s="113" t="s">
        <v>1932</v>
      </c>
      <c r="U56" s="626" t="str">
        <f t="shared" si="1"/>
        <v>AA12396</v>
      </c>
      <c r="V56" s="627" t="str">
        <f t="shared" si="2"/>
        <v>1966-TCN17</v>
      </c>
      <c r="W56" s="626">
        <f t="shared" si="3"/>
        <v>520504</v>
      </c>
      <c r="X56" s="626" t="str">
        <f t="shared" si="4"/>
        <v>SIENNA XLE</v>
      </c>
      <c r="Y56" s="627">
        <f t="shared" si="4"/>
        <v>2017</v>
      </c>
      <c r="Z56" s="628">
        <f t="shared" si="5"/>
        <v>459200.49</v>
      </c>
      <c r="AA56" s="629">
        <f>+Z56</f>
        <v>459200.49</v>
      </c>
      <c r="AB56" s="794">
        <v>1</v>
      </c>
      <c r="AC56" s="780">
        <f t="shared" si="6"/>
        <v>443562.4</v>
      </c>
      <c r="AD56" s="630">
        <f t="shared" si="7"/>
        <v>0.17</v>
      </c>
      <c r="AE56" s="555">
        <f t="shared" si="8"/>
        <v>27106.55</v>
      </c>
      <c r="AF56" s="629">
        <f t="shared" si="33"/>
        <v>29765.025299999994</v>
      </c>
      <c r="AG56" s="555">
        <f t="shared" si="10"/>
        <v>4.7000000049592927E-3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721" t="s">
        <v>8024</v>
      </c>
      <c r="C57" s="771">
        <v>1520105</v>
      </c>
      <c r="D57" s="771">
        <v>7494</v>
      </c>
      <c r="E57" s="771" t="s">
        <v>712</v>
      </c>
      <c r="F57" s="546"/>
      <c r="G57" s="659">
        <v>43055</v>
      </c>
      <c r="H57" s="655" t="s">
        <v>788</v>
      </c>
      <c r="I57" s="655" t="s">
        <v>7714</v>
      </c>
      <c r="J57" s="712"/>
      <c r="K57" s="655" t="s">
        <v>8166</v>
      </c>
      <c r="L57" s="655" t="s">
        <v>7522</v>
      </c>
      <c r="M57" s="660">
        <v>-238587.85</v>
      </c>
      <c r="N57" s="660">
        <v>-11929.39</v>
      </c>
      <c r="O57" s="660">
        <v>-40082.76</v>
      </c>
      <c r="P57" s="660">
        <v>-290600</v>
      </c>
      <c r="Q57" s="548"/>
      <c r="R57" s="660">
        <v>-218704.68</v>
      </c>
      <c r="S57" s="549">
        <f t="shared" si="12"/>
        <v>-71895.320000000007</v>
      </c>
      <c r="T57" s="267" t="s">
        <v>1931</v>
      </c>
      <c r="U57" s="626" t="str">
        <f t="shared" si="1"/>
        <v>ZA04442</v>
      </c>
      <c r="V57" s="627" t="str">
        <f t="shared" si="2"/>
        <v>0173-TCN18</v>
      </c>
      <c r="W57" s="626">
        <f t="shared" si="3"/>
        <v>1520105</v>
      </c>
      <c r="X57" s="626" t="str">
        <f t="shared" si="4"/>
        <v>HILUX PICK UP CHASSIS CAB</v>
      </c>
      <c r="Y57" s="627">
        <f t="shared" si="4"/>
        <v>0</v>
      </c>
      <c r="Z57" s="628">
        <f t="shared" si="5"/>
        <v>-238587.85</v>
      </c>
      <c r="AA57" s="632"/>
      <c r="AB57" s="791"/>
      <c r="AC57" s="629"/>
      <c r="AD57" s="630"/>
      <c r="AE57" s="555"/>
      <c r="AF57" s="555">
        <f>+N57</f>
        <v>-11929.39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721" t="s">
        <v>8025</v>
      </c>
      <c r="C58" s="771">
        <v>1520105</v>
      </c>
      <c r="D58" s="771">
        <v>7494</v>
      </c>
      <c r="E58" s="771" t="s">
        <v>712</v>
      </c>
      <c r="F58" s="546"/>
      <c r="G58" s="659">
        <v>43055</v>
      </c>
      <c r="H58" s="655" t="s">
        <v>788</v>
      </c>
      <c r="I58" s="655" t="s">
        <v>7714</v>
      </c>
      <c r="J58" s="712"/>
      <c r="K58" s="655" t="s">
        <v>8166</v>
      </c>
      <c r="L58" s="655" t="s">
        <v>7522</v>
      </c>
      <c r="M58" s="660">
        <v>238587.85</v>
      </c>
      <c r="N58" s="660">
        <v>11929.39</v>
      </c>
      <c r="O58" s="660">
        <v>40082.76</v>
      </c>
      <c r="P58" s="660">
        <v>290600</v>
      </c>
      <c r="Q58" s="548"/>
      <c r="R58" s="660">
        <v>218704.68</v>
      </c>
      <c r="S58" s="549">
        <f t="shared" si="12"/>
        <v>71895.320000000007</v>
      </c>
      <c r="T58" s="113" t="s">
        <v>1931</v>
      </c>
      <c r="U58" s="626" t="str">
        <f t="shared" si="1"/>
        <v>AA12315</v>
      </c>
      <c r="V58" s="627" t="str">
        <f t="shared" si="2"/>
        <v>0173-TCN18</v>
      </c>
      <c r="W58" s="626">
        <f t="shared" si="3"/>
        <v>1520105</v>
      </c>
      <c r="X58" s="626" t="str">
        <f t="shared" si="4"/>
        <v>HILUX PICK UP CHASSIS CAB</v>
      </c>
      <c r="Y58" s="627">
        <f t="shared" si="4"/>
        <v>0</v>
      </c>
      <c r="Z58" s="628">
        <f t="shared" si="5"/>
        <v>238587.85</v>
      </c>
      <c r="AA58" s="629">
        <f>+Z58+Z57+Z56</f>
        <v>459200.49</v>
      </c>
      <c r="AB58" s="762">
        <v>1</v>
      </c>
      <c r="AC58" s="629">
        <f t="shared" si="6"/>
        <v>0.01</v>
      </c>
      <c r="AD58" s="630">
        <f t="shared" si="7"/>
        <v>0.02</v>
      </c>
      <c r="AE58" s="555">
        <f t="shared" si="8"/>
        <v>0</v>
      </c>
      <c r="AF58" s="629">
        <f t="shared" ref="AF58:AF94" si="34">+N58</f>
        <v>11929.39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721" t="s">
        <v>7817</v>
      </c>
      <c r="C59" s="771">
        <v>521707</v>
      </c>
      <c r="D59" s="771">
        <v>2006</v>
      </c>
      <c r="E59" s="771" t="s">
        <v>702</v>
      </c>
      <c r="F59" s="546"/>
      <c r="G59" s="659">
        <v>43053</v>
      </c>
      <c r="H59" s="655"/>
      <c r="I59" s="655" t="s">
        <v>7601</v>
      </c>
      <c r="J59" s="712"/>
      <c r="K59" s="655" t="s">
        <v>1147</v>
      </c>
      <c r="L59" s="655" t="s">
        <v>7409</v>
      </c>
      <c r="M59" s="660">
        <v>183407.6</v>
      </c>
      <c r="N59" s="660">
        <v>0</v>
      </c>
      <c r="O59" s="660">
        <v>29345.22</v>
      </c>
      <c r="P59" s="660">
        <v>212752.82</v>
      </c>
      <c r="Q59" s="548"/>
      <c r="R59" s="660">
        <v>183052.26</v>
      </c>
      <c r="S59" s="549">
        <f t="shared" si="12"/>
        <v>29700.559999999998</v>
      </c>
      <c r="T59" s="113" t="s">
        <v>283</v>
      </c>
      <c r="U59" s="626" t="str">
        <f t="shared" si="1"/>
        <v>AA12302</v>
      </c>
      <c r="V59" s="627" t="str">
        <f t="shared" si="2"/>
        <v>1726-TCN17</v>
      </c>
      <c r="W59" s="626">
        <f t="shared" si="3"/>
        <v>521707</v>
      </c>
      <c r="X59" s="626" t="str">
        <f t="shared" si="4"/>
        <v>YARIS CORE,SEDAN CVT.</v>
      </c>
      <c r="Y59" s="627">
        <f t="shared" si="4"/>
        <v>0</v>
      </c>
      <c r="Z59" s="628">
        <f t="shared" si="5"/>
        <v>183407.6</v>
      </c>
      <c r="AA59" s="725"/>
      <c r="AB59" s="756"/>
      <c r="AC59" s="629">
        <f t="shared" si="6"/>
        <v>0.01</v>
      </c>
      <c r="AD59" s="630">
        <f t="shared" si="7"/>
        <v>0.02</v>
      </c>
      <c r="AE59" s="629">
        <f t="shared" si="8"/>
        <v>0</v>
      </c>
      <c r="AF59" s="629">
        <f t="shared" si="34"/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721" t="s">
        <v>7975</v>
      </c>
      <c r="C60" s="771">
        <v>520508</v>
      </c>
      <c r="D60" s="771">
        <v>7440</v>
      </c>
      <c r="E60" s="771" t="s">
        <v>1520</v>
      </c>
      <c r="F60" s="546">
        <v>2017</v>
      </c>
      <c r="G60" s="659">
        <v>43047</v>
      </c>
      <c r="H60" s="655" t="s">
        <v>751</v>
      </c>
      <c r="I60" s="655" t="s">
        <v>7697</v>
      </c>
      <c r="J60" s="712"/>
      <c r="K60" s="655" t="s">
        <v>7064</v>
      </c>
      <c r="L60" s="655" t="s">
        <v>7505</v>
      </c>
      <c r="M60" s="660">
        <v>586781.61</v>
      </c>
      <c r="N60" s="660">
        <v>29339.08</v>
      </c>
      <c r="O60" s="660">
        <v>98579.31</v>
      </c>
      <c r="P60" s="660">
        <v>714700</v>
      </c>
      <c r="Q60" s="548"/>
      <c r="R60" s="660">
        <v>519067.76</v>
      </c>
      <c r="S60" s="549">
        <f t="shared" si="12"/>
        <v>195632.24</v>
      </c>
      <c r="T60" s="113" t="s">
        <v>1932</v>
      </c>
      <c r="U60" s="626" t="str">
        <f t="shared" si="1"/>
        <v>AA12261</v>
      </c>
      <c r="V60" s="627" t="str">
        <f t="shared" si="2"/>
        <v>1951-TCN17</v>
      </c>
      <c r="W60" s="626">
        <f t="shared" si="3"/>
        <v>520508</v>
      </c>
      <c r="X60" s="626" t="str">
        <f t="shared" si="4"/>
        <v>TACOMA EDICION ESPECIAL</v>
      </c>
      <c r="Y60" s="627">
        <f t="shared" si="4"/>
        <v>2017</v>
      </c>
      <c r="Z60" s="628">
        <f t="shared" si="5"/>
        <v>586781.61</v>
      </c>
      <c r="AA60" s="629">
        <f>+Z60</f>
        <v>586781.61</v>
      </c>
      <c r="AB60" s="794">
        <v>1</v>
      </c>
      <c r="AC60" s="779">
        <f t="shared" si="6"/>
        <v>443562.4</v>
      </c>
      <c r="AD60" s="726">
        <f t="shared" si="7"/>
        <v>0.17</v>
      </c>
      <c r="AE60" s="727">
        <f t="shared" si="8"/>
        <v>27106.55</v>
      </c>
      <c r="AF60" s="725">
        <f t="shared" si="34"/>
        <v>29339.08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721" t="s">
        <v>8002</v>
      </c>
      <c r="C61" s="771">
        <v>1520605</v>
      </c>
      <c r="D61" s="771">
        <v>7491</v>
      </c>
      <c r="E61" s="771" t="s">
        <v>6939</v>
      </c>
      <c r="F61" s="546"/>
      <c r="G61" s="659">
        <v>43042</v>
      </c>
      <c r="H61" s="655" t="s">
        <v>4285</v>
      </c>
      <c r="I61" s="655" t="s">
        <v>7702</v>
      </c>
      <c r="J61" s="712"/>
      <c r="K61" s="655" t="s">
        <v>6732</v>
      </c>
      <c r="L61" s="655" t="s">
        <v>7510</v>
      </c>
      <c r="M61" s="660">
        <v>-442780.79</v>
      </c>
      <c r="N61" s="660">
        <v>-22139.040000000001</v>
      </c>
      <c r="O61" s="660">
        <v>-74387.17</v>
      </c>
      <c r="P61" s="660">
        <v>-539307</v>
      </c>
      <c r="Q61" s="548"/>
      <c r="R61" s="660">
        <v>-420224.34</v>
      </c>
      <c r="S61" s="549">
        <f t="shared" si="12"/>
        <v>-119082.65999999997</v>
      </c>
      <c r="T61" s="113" t="s">
        <v>1931</v>
      </c>
      <c r="U61" s="626" t="str">
        <f t="shared" si="1"/>
        <v>ZA04415</v>
      </c>
      <c r="V61" s="627" t="str">
        <f t="shared" si="2"/>
        <v>0178-TCN18</v>
      </c>
      <c r="W61" s="626">
        <f t="shared" si="3"/>
        <v>1520605</v>
      </c>
      <c r="X61" s="626" t="str">
        <f t="shared" si="4"/>
        <v>HILUX DIESEL EQUIPADA</v>
      </c>
      <c r="Y61" s="627">
        <f t="shared" si="4"/>
        <v>0</v>
      </c>
      <c r="Z61" s="628">
        <f t="shared" si="5"/>
        <v>-442780.79</v>
      </c>
      <c r="AA61" s="624"/>
      <c r="AB61" s="791"/>
      <c r="AC61" s="629" t="e">
        <f t="shared" si="6"/>
        <v>#N/A</v>
      </c>
      <c r="AD61" s="630" t="e">
        <f t="shared" si="7"/>
        <v>#N/A</v>
      </c>
      <c r="AE61" s="629" t="e">
        <f t="shared" si="8"/>
        <v>#N/A</v>
      </c>
      <c r="AF61" s="629">
        <f t="shared" si="34"/>
        <v>-22139.040000000001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721" t="s">
        <v>7820</v>
      </c>
      <c r="C62" s="771">
        <v>521707</v>
      </c>
      <c r="D62" s="771">
        <v>2006</v>
      </c>
      <c r="E62" s="771" t="s">
        <v>702</v>
      </c>
      <c r="F62" s="546"/>
      <c r="G62" s="659">
        <v>43055</v>
      </c>
      <c r="H62" s="655"/>
      <c r="I62" s="655" t="s">
        <v>6780</v>
      </c>
      <c r="J62" s="712"/>
      <c r="K62" s="655" t="s">
        <v>1147</v>
      </c>
      <c r="L62" s="655" t="s">
        <v>6781</v>
      </c>
      <c r="M62" s="660">
        <v>183407.6</v>
      </c>
      <c r="N62" s="660">
        <v>0</v>
      </c>
      <c r="O62" s="660">
        <v>29345.22</v>
      </c>
      <c r="P62" s="660">
        <v>212752.82</v>
      </c>
      <c r="Q62" s="548"/>
      <c r="R62" s="660">
        <v>183052.26</v>
      </c>
      <c r="S62" s="549">
        <f t="shared" si="12"/>
        <v>29700.559999999998</v>
      </c>
      <c r="T62" s="113" t="s">
        <v>283</v>
      </c>
      <c r="U62" s="626" t="str">
        <f t="shared" si="1"/>
        <v>AA12324</v>
      </c>
      <c r="V62" s="627" t="str">
        <f t="shared" si="2"/>
        <v>1516-TCN17</v>
      </c>
      <c r="W62" s="626">
        <f t="shared" si="3"/>
        <v>521707</v>
      </c>
      <c r="X62" s="626" t="str">
        <f t="shared" si="4"/>
        <v>YARIS CORE,SEDAN CVT.</v>
      </c>
      <c r="Y62" s="627">
        <f t="shared" si="4"/>
        <v>0</v>
      </c>
      <c r="Z62" s="777">
        <f t="shared" si="5"/>
        <v>183407.6</v>
      </c>
      <c r="AA62" s="629"/>
      <c r="AB62" s="755"/>
      <c r="AC62" s="779">
        <f t="shared" si="6"/>
        <v>0.01</v>
      </c>
      <c r="AD62" s="726">
        <f t="shared" si="7"/>
        <v>0.02</v>
      </c>
      <c r="AE62" s="727">
        <f t="shared" si="8"/>
        <v>0</v>
      </c>
      <c r="AF62" s="727">
        <f t="shared" si="34"/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721" t="s">
        <v>7821</v>
      </c>
      <c r="C63" s="771">
        <v>521707</v>
      </c>
      <c r="D63" s="771">
        <v>2006</v>
      </c>
      <c r="E63" s="771" t="s">
        <v>702</v>
      </c>
      <c r="F63" s="546"/>
      <c r="G63" s="659">
        <v>43055</v>
      </c>
      <c r="H63" s="655"/>
      <c r="I63" s="655" t="s">
        <v>7603</v>
      </c>
      <c r="J63" s="712"/>
      <c r="K63" s="655" t="s">
        <v>1147</v>
      </c>
      <c r="L63" s="655" t="s">
        <v>7411</v>
      </c>
      <c r="M63" s="660">
        <v>183407.6</v>
      </c>
      <c r="N63" s="660">
        <v>0</v>
      </c>
      <c r="O63" s="660">
        <v>29345.22</v>
      </c>
      <c r="P63" s="660">
        <v>212752.82</v>
      </c>
      <c r="Q63" s="548"/>
      <c r="R63" s="660">
        <v>183052.26</v>
      </c>
      <c r="S63" s="549">
        <f t="shared" si="12"/>
        <v>29700.559999999998</v>
      </c>
      <c r="T63" s="113" t="s">
        <v>283</v>
      </c>
      <c r="U63" s="626" t="str">
        <f t="shared" si="1"/>
        <v>AA12325</v>
      </c>
      <c r="V63" s="627" t="str">
        <f t="shared" si="2"/>
        <v>1611-TCN17</v>
      </c>
      <c r="W63" s="626">
        <f t="shared" si="3"/>
        <v>521707</v>
      </c>
      <c r="X63" s="626" t="str">
        <f t="shared" si="4"/>
        <v>YARIS CORE,SEDAN CVT.</v>
      </c>
      <c r="Y63" s="627">
        <f t="shared" si="4"/>
        <v>0</v>
      </c>
      <c r="Z63" s="777">
        <f t="shared" si="5"/>
        <v>183407.6</v>
      </c>
      <c r="AA63" s="629">
        <f>+SUM(Z59:Z63)</f>
        <v>694223.62</v>
      </c>
      <c r="AB63" s="762">
        <v>5</v>
      </c>
      <c r="AC63" s="779">
        <f t="shared" si="6"/>
        <v>0.01</v>
      </c>
      <c r="AD63" s="726">
        <f t="shared" si="7"/>
        <v>0.02</v>
      </c>
      <c r="AE63" s="727">
        <f t="shared" si="8"/>
        <v>0</v>
      </c>
      <c r="AF63" s="727">
        <f t="shared" si="34"/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721" t="s">
        <v>8003</v>
      </c>
      <c r="C64" s="771">
        <v>1520605</v>
      </c>
      <c r="D64" s="771">
        <v>7491</v>
      </c>
      <c r="E64" s="771" t="s">
        <v>6939</v>
      </c>
      <c r="F64" s="546"/>
      <c r="G64" s="659">
        <v>43042</v>
      </c>
      <c r="H64" s="655" t="s">
        <v>4285</v>
      </c>
      <c r="I64" s="655" t="s">
        <v>7702</v>
      </c>
      <c r="J64" s="712"/>
      <c r="K64" s="655" t="s">
        <v>6732</v>
      </c>
      <c r="L64" s="655" t="s">
        <v>7510</v>
      </c>
      <c r="M64" s="660">
        <v>442780.79</v>
      </c>
      <c r="N64" s="660">
        <v>22139.040000000001</v>
      </c>
      <c r="O64" s="660">
        <v>74387.17</v>
      </c>
      <c r="P64" s="660">
        <v>539307</v>
      </c>
      <c r="Q64" s="548"/>
      <c r="R64" s="660">
        <v>420224.34</v>
      </c>
      <c r="S64" s="549">
        <f t="shared" si="12"/>
        <v>119082.65999999997</v>
      </c>
      <c r="T64" s="113" t="s">
        <v>1931</v>
      </c>
      <c r="U64" s="626" t="str">
        <f t="shared" si="1"/>
        <v>AA12222</v>
      </c>
      <c r="V64" s="627" t="str">
        <f t="shared" si="2"/>
        <v>0178-TCN18</v>
      </c>
      <c r="W64" s="626">
        <f t="shared" si="3"/>
        <v>1520605</v>
      </c>
      <c r="X64" s="626" t="str">
        <f t="shared" si="4"/>
        <v>HILUX DIESEL EQUIPADA</v>
      </c>
      <c r="Y64" s="627">
        <f t="shared" si="4"/>
        <v>0</v>
      </c>
      <c r="Z64" s="777">
        <f t="shared" si="5"/>
        <v>442780.79</v>
      </c>
      <c r="AA64" s="725"/>
      <c r="AB64" s="756"/>
      <c r="AC64" s="779">
        <f t="shared" si="6"/>
        <v>344993.21</v>
      </c>
      <c r="AD64" s="726">
        <f t="shared" si="7"/>
        <v>0.15</v>
      </c>
      <c r="AE64" s="727">
        <f t="shared" si="8"/>
        <v>12321.2</v>
      </c>
      <c r="AF64" s="727">
        <f t="shared" si="34"/>
        <v>22139.040000000001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721" t="s">
        <v>7927</v>
      </c>
      <c r="C65" s="771">
        <v>520512</v>
      </c>
      <c r="D65" s="771">
        <v>5394</v>
      </c>
      <c r="E65" s="771" t="s">
        <v>223</v>
      </c>
      <c r="F65" s="546">
        <v>2017</v>
      </c>
      <c r="G65" s="659">
        <v>43069</v>
      </c>
      <c r="H65" s="655" t="s">
        <v>5129</v>
      </c>
      <c r="I65" s="655" t="s">
        <v>7667</v>
      </c>
      <c r="J65" s="712"/>
      <c r="K65" s="655" t="s">
        <v>8146</v>
      </c>
      <c r="L65" s="655" t="s">
        <v>7475</v>
      </c>
      <c r="M65" s="660">
        <v>423640.35</v>
      </c>
      <c r="N65" s="660">
        <v>24118.27</v>
      </c>
      <c r="O65" s="660">
        <v>71641.38</v>
      </c>
      <c r="P65" s="660">
        <v>519400</v>
      </c>
      <c r="Q65" s="548"/>
      <c r="R65" s="660">
        <v>392350.68</v>
      </c>
      <c r="S65" s="549">
        <f t="shared" si="12"/>
        <v>127049.32</v>
      </c>
      <c r="T65" s="267" t="s">
        <v>1932</v>
      </c>
      <c r="U65" s="626" t="str">
        <f t="shared" si="1"/>
        <v>AA12456</v>
      </c>
      <c r="V65" s="627" t="str">
        <f t="shared" si="2"/>
        <v>1976-TCN17</v>
      </c>
      <c r="W65" s="626">
        <f t="shared" si="3"/>
        <v>520512</v>
      </c>
      <c r="X65" s="626" t="str">
        <f t="shared" si="4"/>
        <v>SIENNA LE</v>
      </c>
      <c r="Y65" s="627">
        <f t="shared" si="4"/>
        <v>2017</v>
      </c>
      <c r="Z65" s="777">
        <f t="shared" si="5"/>
        <v>423640.35</v>
      </c>
      <c r="AA65" s="629">
        <f>+Z65</f>
        <v>423640.35</v>
      </c>
      <c r="AB65" s="794">
        <v>1</v>
      </c>
      <c r="AC65" s="779">
        <f t="shared" si="6"/>
        <v>344993.21</v>
      </c>
      <c r="AD65" s="726">
        <f t="shared" si="7"/>
        <v>0.15</v>
      </c>
      <c r="AE65" s="555">
        <f t="shared" si="8"/>
        <v>12321.2</v>
      </c>
      <c r="AF65" s="629">
        <f t="shared" ref="AF65:AF66" si="35">IF(Z65&lt;281240.78,(((Z65-AC65)*AD65+AE65)/2),(Z65-AC65)*AD65+AE65)</f>
        <v>24118.270999999993</v>
      </c>
      <c r="AG65" s="555">
        <f t="shared" si="10"/>
        <v>-9.999999929277692E-4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721" t="s">
        <v>7934</v>
      </c>
      <c r="C66" s="771">
        <v>520513</v>
      </c>
      <c r="D66" s="771">
        <v>5396</v>
      </c>
      <c r="E66" s="771" t="s">
        <v>132</v>
      </c>
      <c r="F66" s="546">
        <v>2017</v>
      </c>
      <c r="G66" s="659">
        <v>43069</v>
      </c>
      <c r="H66" s="655" t="s">
        <v>2213</v>
      </c>
      <c r="I66" s="655" t="s">
        <v>7672</v>
      </c>
      <c r="J66" s="712"/>
      <c r="K66" s="655" t="s">
        <v>830</v>
      </c>
      <c r="L66" s="655" t="s">
        <v>7480</v>
      </c>
      <c r="M66" s="660">
        <v>459200.49</v>
      </c>
      <c r="N66" s="660">
        <v>29765.03</v>
      </c>
      <c r="O66" s="660">
        <v>78234.48</v>
      </c>
      <c r="P66" s="660">
        <v>567200</v>
      </c>
      <c r="Q66" s="548"/>
      <c r="R66" s="660">
        <v>426248.19</v>
      </c>
      <c r="S66" s="549">
        <f t="shared" si="12"/>
        <v>140951.81</v>
      </c>
      <c r="T66" s="267" t="s">
        <v>1932</v>
      </c>
      <c r="U66" s="626" t="str">
        <f t="shared" si="1"/>
        <v>AA12466</v>
      </c>
      <c r="V66" s="627" t="str">
        <f t="shared" si="2"/>
        <v>1973-TCN17</v>
      </c>
      <c r="W66" s="626">
        <f t="shared" si="3"/>
        <v>520513</v>
      </c>
      <c r="X66" s="626" t="str">
        <f t="shared" si="4"/>
        <v>SIENNA XLE</v>
      </c>
      <c r="Y66" s="627">
        <f t="shared" si="4"/>
        <v>2017</v>
      </c>
      <c r="Z66" s="777">
        <f t="shared" si="5"/>
        <v>459200.49</v>
      </c>
      <c r="AA66" s="629">
        <f>+Z66</f>
        <v>459200.49</v>
      </c>
      <c r="AB66" s="794">
        <v>1</v>
      </c>
      <c r="AC66" s="780">
        <f t="shared" si="6"/>
        <v>443562.4</v>
      </c>
      <c r="AD66" s="630">
        <f t="shared" si="7"/>
        <v>0.17</v>
      </c>
      <c r="AE66" s="555">
        <f t="shared" si="8"/>
        <v>27106.55</v>
      </c>
      <c r="AF66" s="629">
        <f t="shared" si="35"/>
        <v>29765.025299999994</v>
      </c>
      <c r="AG66" s="555">
        <f t="shared" si="10"/>
        <v>4.7000000049592927E-3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721" t="s">
        <v>7825</v>
      </c>
      <c r="C67" s="771">
        <v>521707</v>
      </c>
      <c r="D67" s="771">
        <v>2006</v>
      </c>
      <c r="E67" s="771" t="s">
        <v>702</v>
      </c>
      <c r="F67" s="546"/>
      <c r="G67" s="659">
        <v>43062</v>
      </c>
      <c r="H67" s="655"/>
      <c r="I67" s="655" t="s">
        <v>7607</v>
      </c>
      <c r="J67" s="712"/>
      <c r="K67" s="655" t="s">
        <v>1173</v>
      </c>
      <c r="L67" s="655" t="s">
        <v>7415</v>
      </c>
      <c r="M67" s="660">
        <v>183407.6</v>
      </c>
      <c r="N67" s="660">
        <v>0</v>
      </c>
      <c r="O67" s="660">
        <v>29345.22</v>
      </c>
      <c r="P67" s="660">
        <v>212752.82</v>
      </c>
      <c r="Q67" s="548"/>
      <c r="R67" s="660">
        <v>183052.26</v>
      </c>
      <c r="S67" s="549">
        <f t="shared" si="12"/>
        <v>29700.559999999998</v>
      </c>
      <c r="T67" s="113" t="s">
        <v>283</v>
      </c>
      <c r="U67" s="626" t="str">
        <f t="shared" si="1"/>
        <v>AA12383</v>
      </c>
      <c r="V67" s="627" t="str">
        <f t="shared" si="2"/>
        <v>1591-TCN17</v>
      </c>
      <c r="W67" s="626">
        <f t="shared" si="3"/>
        <v>521707</v>
      </c>
      <c r="X67" s="626" t="str">
        <f t="shared" si="4"/>
        <v>YARIS CORE,SEDAN CVT.</v>
      </c>
      <c r="Y67" s="627">
        <f t="shared" si="4"/>
        <v>0</v>
      </c>
      <c r="Z67" s="777">
        <f t="shared" si="5"/>
        <v>183407.6</v>
      </c>
      <c r="AA67" s="624"/>
      <c r="AB67" s="791"/>
      <c r="AC67" s="780">
        <f t="shared" si="6"/>
        <v>0.01</v>
      </c>
      <c r="AD67" s="630">
        <f t="shared" si="7"/>
        <v>0.02</v>
      </c>
      <c r="AE67" s="555">
        <f t="shared" si="8"/>
        <v>0</v>
      </c>
      <c r="AF67" s="555">
        <f t="shared" si="34"/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721" t="s">
        <v>7826</v>
      </c>
      <c r="C68" s="771">
        <v>521707</v>
      </c>
      <c r="D68" s="771">
        <v>2006</v>
      </c>
      <c r="E68" s="771" t="s">
        <v>702</v>
      </c>
      <c r="F68" s="546"/>
      <c r="G68" s="659">
        <v>43062</v>
      </c>
      <c r="H68" s="655"/>
      <c r="I68" s="655" t="s">
        <v>7608</v>
      </c>
      <c r="J68" s="712"/>
      <c r="K68" s="655" t="s">
        <v>1144</v>
      </c>
      <c r="L68" s="655" t="s">
        <v>7416</v>
      </c>
      <c r="M68" s="660">
        <v>183407.6</v>
      </c>
      <c r="N68" s="660">
        <v>0</v>
      </c>
      <c r="O68" s="660">
        <v>29345.22</v>
      </c>
      <c r="P68" s="660">
        <v>212752.82</v>
      </c>
      <c r="Q68" s="548"/>
      <c r="R68" s="660">
        <v>183052.26</v>
      </c>
      <c r="S68" s="549">
        <f t="shared" si="12"/>
        <v>29700.559999999998</v>
      </c>
      <c r="T68" s="113" t="s">
        <v>283</v>
      </c>
      <c r="U68" s="626" t="str">
        <f t="shared" si="1"/>
        <v>AA12382</v>
      </c>
      <c r="V68" s="627" t="str">
        <f t="shared" si="2"/>
        <v>1725-TCN17</v>
      </c>
      <c r="W68" s="626">
        <f t="shared" si="3"/>
        <v>521707</v>
      </c>
      <c r="X68" s="626" t="str">
        <f t="shared" si="4"/>
        <v>YARIS CORE,SEDAN CVT.</v>
      </c>
      <c r="Y68" s="627">
        <f t="shared" si="4"/>
        <v>0</v>
      </c>
      <c r="Z68" s="777">
        <f t="shared" si="5"/>
        <v>183407.6</v>
      </c>
      <c r="AA68" s="725"/>
      <c r="AB68" s="756"/>
      <c r="AC68" s="780">
        <f t="shared" si="6"/>
        <v>0.01</v>
      </c>
      <c r="AD68" s="630">
        <f t="shared" si="7"/>
        <v>0.02</v>
      </c>
      <c r="AE68" s="555">
        <f t="shared" si="8"/>
        <v>0</v>
      </c>
      <c r="AF68" s="555">
        <f t="shared" si="34"/>
        <v>0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721" t="s">
        <v>7935</v>
      </c>
      <c r="C69" s="771">
        <v>520514</v>
      </c>
      <c r="D69" s="771">
        <v>5398</v>
      </c>
      <c r="E69" s="771" t="s">
        <v>117</v>
      </c>
      <c r="F69" s="546">
        <v>2017</v>
      </c>
      <c r="G69" s="659">
        <v>43040</v>
      </c>
      <c r="H69" s="655" t="s">
        <v>727</v>
      </c>
      <c r="I69" s="655" t="s">
        <v>7673</v>
      </c>
      <c r="J69" s="712"/>
      <c r="K69" s="655" t="s">
        <v>8149</v>
      </c>
      <c r="L69" s="655" t="s">
        <v>7481</v>
      </c>
      <c r="M69" s="660">
        <v>501640.81</v>
      </c>
      <c r="N69" s="660">
        <v>36979.879999999997</v>
      </c>
      <c r="O69" s="660">
        <v>86179.31</v>
      </c>
      <c r="P69" s="660">
        <v>624800</v>
      </c>
      <c r="Q69" s="548"/>
      <c r="R69" s="660">
        <v>467193.12</v>
      </c>
      <c r="S69" s="549">
        <f t="shared" si="12"/>
        <v>157606.88</v>
      </c>
      <c r="T69" s="113" t="s">
        <v>1932</v>
      </c>
      <c r="U69" s="626" t="str">
        <f t="shared" si="1"/>
        <v>AA12214</v>
      </c>
      <c r="V69" s="627" t="str">
        <f t="shared" si="2"/>
        <v>1911-TCN17</v>
      </c>
      <c r="W69" s="626">
        <f t="shared" si="3"/>
        <v>520514</v>
      </c>
      <c r="X69" s="626" t="str">
        <f t="shared" si="4"/>
        <v>SIENNA XLE PIEL</v>
      </c>
      <c r="Y69" s="627">
        <f t="shared" si="4"/>
        <v>2017</v>
      </c>
      <c r="Z69" s="777">
        <f t="shared" si="5"/>
        <v>501640.81</v>
      </c>
      <c r="AA69" s="629"/>
      <c r="AB69" s="794"/>
      <c r="AC69" s="780">
        <f t="shared" si="6"/>
        <v>443562.4</v>
      </c>
      <c r="AD69" s="630">
        <f t="shared" si="7"/>
        <v>0.17</v>
      </c>
      <c r="AE69" s="555">
        <f t="shared" si="8"/>
        <v>27106.55</v>
      </c>
      <c r="AF69" s="629">
        <f t="shared" si="34"/>
        <v>36979.879999999997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721" t="s">
        <v>7936</v>
      </c>
      <c r="C70" s="771">
        <v>520514</v>
      </c>
      <c r="D70" s="771">
        <v>5398</v>
      </c>
      <c r="E70" s="771" t="s">
        <v>117</v>
      </c>
      <c r="F70" s="546">
        <v>2017</v>
      </c>
      <c r="G70" s="659">
        <v>43045</v>
      </c>
      <c r="H70" s="655" t="s">
        <v>727</v>
      </c>
      <c r="I70" s="655" t="s">
        <v>7674</v>
      </c>
      <c r="J70" s="712"/>
      <c r="K70" s="655" t="s">
        <v>8149</v>
      </c>
      <c r="L70" s="655" t="s">
        <v>7482</v>
      </c>
      <c r="M70" s="660">
        <v>501640.81</v>
      </c>
      <c r="N70" s="660">
        <v>36979.879999999997</v>
      </c>
      <c r="O70" s="660">
        <v>86179.31</v>
      </c>
      <c r="P70" s="660">
        <v>624800</v>
      </c>
      <c r="Q70" s="548"/>
      <c r="R70" s="660">
        <v>467198.5</v>
      </c>
      <c r="S70" s="549">
        <f t="shared" si="12"/>
        <v>157601.5</v>
      </c>
      <c r="T70" s="113" t="s">
        <v>1932</v>
      </c>
      <c r="U70" s="626" t="str">
        <f t="shared" si="1"/>
        <v>AA12241</v>
      </c>
      <c r="V70" s="627" t="str">
        <f t="shared" si="2"/>
        <v>1950-TCN17</v>
      </c>
      <c r="W70" s="626">
        <f t="shared" si="3"/>
        <v>520514</v>
      </c>
      <c r="X70" s="626" t="str">
        <f t="shared" si="4"/>
        <v>SIENNA XLE PIEL</v>
      </c>
      <c r="Y70" s="627">
        <f t="shared" si="4"/>
        <v>2017</v>
      </c>
      <c r="Z70" s="777">
        <f t="shared" si="5"/>
        <v>501640.81</v>
      </c>
      <c r="AA70" s="629"/>
      <c r="AB70" s="794"/>
      <c r="AC70" s="780">
        <f t="shared" si="6"/>
        <v>443562.4</v>
      </c>
      <c r="AD70" s="630">
        <f t="shared" si="7"/>
        <v>0.17</v>
      </c>
      <c r="AE70" s="555">
        <f t="shared" si="8"/>
        <v>27106.55</v>
      </c>
      <c r="AF70" s="629">
        <f t="shared" si="34"/>
        <v>36979.879999999997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721" t="s">
        <v>7858</v>
      </c>
      <c r="C71" s="771">
        <v>521801</v>
      </c>
      <c r="D71" s="771">
        <v>2201</v>
      </c>
      <c r="E71" s="771" t="s">
        <v>704</v>
      </c>
      <c r="F71" s="546"/>
      <c r="G71" s="659">
        <v>43066</v>
      </c>
      <c r="H71" s="655" t="s">
        <v>5621</v>
      </c>
      <c r="I71" s="655" t="s">
        <v>7627</v>
      </c>
      <c r="J71" s="712"/>
      <c r="K71" s="655" t="s">
        <v>8130</v>
      </c>
      <c r="L71" s="655" t="s">
        <v>7435</v>
      </c>
      <c r="M71" s="660">
        <v>205000</v>
      </c>
      <c r="N71" s="660">
        <v>0</v>
      </c>
      <c r="O71" s="660">
        <v>32800</v>
      </c>
      <c r="P71" s="660">
        <v>237800</v>
      </c>
      <c r="Q71" s="548"/>
      <c r="R71" s="660">
        <v>185625.31</v>
      </c>
      <c r="S71" s="549">
        <f t="shared" si="12"/>
        <v>52174.69</v>
      </c>
      <c r="T71" s="267" t="s">
        <v>1931</v>
      </c>
      <c r="U71" s="626" t="str">
        <f t="shared" ref="U71:U94" si="36">+B71</f>
        <v>AA12404</v>
      </c>
      <c r="V71" s="627" t="str">
        <f t="shared" ref="V71:V94" si="37">+I71</f>
        <v>0189-TCN18</v>
      </c>
      <c r="W71" s="626">
        <f t="shared" ref="W71:W94" si="38">+C71</f>
        <v>521801</v>
      </c>
      <c r="X71" s="626" t="str">
        <f t="shared" ref="X71:Y86" si="39">+E71</f>
        <v>AVANZA HI 5MT</v>
      </c>
      <c r="Y71" s="627">
        <f t="shared" si="39"/>
        <v>0</v>
      </c>
      <c r="Z71" s="777">
        <f t="shared" ref="Z71:Z94" si="40">+M71</f>
        <v>205000</v>
      </c>
      <c r="AA71" s="624"/>
      <c r="AB71" s="791"/>
      <c r="AC71" s="780">
        <f t="shared" ref="AC71:AC94" si="41">VLOOKUP(Z71,TARIFA,1)</f>
        <v>0.01</v>
      </c>
      <c r="AD71" s="630">
        <f t="shared" ref="AD71:AD94" si="42">VLOOKUP(Z71,TARIFA,4)</f>
        <v>0.02</v>
      </c>
      <c r="AE71" s="555">
        <f t="shared" ref="AE71:AE94" si="43">VLOOKUP(Z71,TARIFA,3)</f>
        <v>0</v>
      </c>
      <c r="AF71" s="555">
        <f t="shared" si="34"/>
        <v>0</v>
      </c>
      <c r="AG71" s="555">
        <f t="shared" ref="AG71:AG94" si="44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45">+A71+1</f>
        <v>67</v>
      </c>
      <c r="B72" s="721" t="s">
        <v>7859</v>
      </c>
      <c r="C72" s="771">
        <v>521801</v>
      </c>
      <c r="D72" s="771">
        <v>2201</v>
      </c>
      <c r="E72" s="771" t="s">
        <v>704</v>
      </c>
      <c r="F72" s="546"/>
      <c r="G72" s="659">
        <v>43067</v>
      </c>
      <c r="H72" s="655" t="s">
        <v>5621</v>
      </c>
      <c r="I72" s="655" t="s">
        <v>7627</v>
      </c>
      <c r="J72" s="712"/>
      <c r="K72" s="655" t="s">
        <v>8130</v>
      </c>
      <c r="L72" s="655" t="s">
        <v>7435</v>
      </c>
      <c r="M72" s="660">
        <v>-205000</v>
      </c>
      <c r="N72" s="660">
        <v>0</v>
      </c>
      <c r="O72" s="660">
        <v>-32800</v>
      </c>
      <c r="P72" s="660">
        <v>-237800</v>
      </c>
      <c r="Q72" s="548"/>
      <c r="R72" s="660">
        <v>-185625.31</v>
      </c>
      <c r="S72" s="774">
        <f t="shared" ref="S72:S135" si="46">+P72-R72</f>
        <v>-52174.69</v>
      </c>
      <c r="T72" s="113" t="s">
        <v>1931</v>
      </c>
      <c r="U72" s="626" t="str">
        <f t="shared" si="36"/>
        <v>ZA04467</v>
      </c>
      <c r="V72" s="627" t="str">
        <f t="shared" si="37"/>
        <v>0189-TCN18</v>
      </c>
      <c r="W72" s="626">
        <f t="shared" si="38"/>
        <v>521801</v>
      </c>
      <c r="X72" s="626" t="str">
        <f t="shared" si="39"/>
        <v>AVANZA HI 5MT</v>
      </c>
      <c r="Y72" s="627">
        <f t="shared" si="39"/>
        <v>0</v>
      </c>
      <c r="Z72" s="777">
        <f t="shared" si="40"/>
        <v>-205000</v>
      </c>
      <c r="AA72" s="725">
        <f>+Z72+Z71</f>
        <v>0</v>
      </c>
      <c r="AB72" s="761">
        <v>2</v>
      </c>
      <c r="AC72" s="779" t="e">
        <f t="shared" si="41"/>
        <v>#N/A</v>
      </c>
      <c r="AD72" s="726" t="e">
        <f t="shared" si="42"/>
        <v>#N/A</v>
      </c>
      <c r="AE72" s="727" t="e">
        <f t="shared" si="43"/>
        <v>#N/A</v>
      </c>
      <c r="AF72" s="727">
        <f t="shared" si="34"/>
        <v>0</v>
      </c>
      <c r="AG72" s="555">
        <f t="shared" si="44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45"/>
        <v>68</v>
      </c>
      <c r="B73" s="721" t="s">
        <v>7942</v>
      </c>
      <c r="C73" s="771">
        <v>520514</v>
      </c>
      <c r="D73" s="771">
        <v>5398</v>
      </c>
      <c r="E73" s="771" t="s">
        <v>117</v>
      </c>
      <c r="F73" s="546">
        <v>2017</v>
      </c>
      <c r="G73" s="659">
        <v>43060</v>
      </c>
      <c r="H73" s="655" t="s">
        <v>727</v>
      </c>
      <c r="I73" s="655" t="s">
        <v>7676</v>
      </c>
      <c r="J73" s="712"/>
      <c r="K73" s="655" t="s">
        <v>3168</v>
      </c>
      <c r="L73" s="655" t="s">
        <v>7484</v>
      </c>
      <c r="M73" s="660">
        <v>501640.81</v>
      </c>
      <c r="N73" s="660">
        <v>36979.879999999997</v>
      </c>
      <c r="O73" s="660">
        <v>86179.31</v>
      </c>
      <c r="P73" s="660">
        <v>624800</v>
      </c>
      <c r="Q73" s="548"/>
      <c r="R73" s="660">
        <v>467198.67</v>
      </c>
      <c r="S73" s="549">
        <f t="shared" si="46"/>
        <v>157601.33000000002</v>
      </c>
      <c r="T73" s="113" t="s">
        <v>1932</v>
      </c>
      <c r="U73" s="626" t="str">
        <f t="shared" si="36"/>
        <v>AA12364</v>
      </c>
      <c r="V73" s="627" t="str">
        <f t="shared" si="37"/>
        <v>1959-TCN17</v>
      </c>
      <c r="W73" s="626">
        <f t="shared" si="38"/>
        <v>520514</v>
      </c>
      <c r="X73" s="626" t="str">
        <f t="shared" si="39"/>
        <v>SIENNA XLE PIEL</v>
      </c>
      <c r="Y73" s="627">
        <f t="shared" si="39"/>
        <v>2017</v>
      </c>
      <c r="Z73" s="777">
        <f t="shared" si="40"/>
        <v>501640.81</v>
      </c>
      <c r="AA73" s="629">
        <f>+Z73+Z70+Z69</f>
        <v>1504922.43</v>
      </c>
      <c r="AB73" s="794">
        <v>3</v>
      </c>
      <c r="AC73" s="779">
        <f t="shared" si="41"/>
        <v>443562.4</v>
      </c>
      <c r="AD73" s="726">
        <f t="shared" si="42"/>
        <v>0.17</v>
      </c>
      <c r="AE73" s="727">
        <f t="shared" si="43"/>
        <v>27106.55</v>
      </c>
      <c r="AF73" s="725">
        <f t="shared" si="34"/>
        <v>36979.879999999997</v>
      </c>
      <c r="AG73" s="555">
        <f t="shared" si="44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45"/>
        <v>69</v>
      </c>
      <c r="B74" s="721" t="s">
        <v>7832</v>
      </c>
      <c r="C74" s="771">
        <v>521707</v>
      </c>
      <c r="D74" s="771">
        <v>2006</v>
      </c>
      <c r="E74" s="771" t="s">
        <v>702</v>
      </c>
      <c r="F74" s="546"/>
      <c r="G74" s="659">
        <v>43069</v>
      </c>
      <c r="H74" s="655"/>
      <c r="I74" s="655" t="s">
        <v>7611</v>
      </c>
      <c r="J74" s="712"/>
      <c r="K74" s="655" t="s">
        <v>1147</v>
      </c>
      <c r="L74" s="655" t="s">
        <v>7419</v>
      </c>
      <c r="M74" s="660">
        <v>183407.6</v>
      </c>
      <c r="N74" s="660">
        <v>0</v>
      </c>
      <c r="O74" s="660">
        <v>29345.22</v>
      </c>
      <c r="P74" s="660">
        <v>212752.82</v>
      </c>
      <c r="Q74" s="548"/>
      <c r="R74" s="660">
        <v>183052.26</v>
      </c>
      <c r="S74" s="549">
        <f t="shared" si="46"/>
        <v>29700.559999999998</v>
      </c>
      <c r="T74" s="113" t="s">
        <v>283</v>
      </c>
      <c r="U74" s="626" t="str">
        <f t="shared" si="36"/>
        <v>AA12471</v>
      </c>
      <c r="V74" s="627" t="str">
        <f t="shared" si="37"/>
        <v>1731-TCN17</v>
      </c>
      <c r="W74" s="626">
        <f t="shared" si="38"/>
        <v>521707</v>
      </c>
      <c r="X74" s="626" t="str">
        <f t="shared" si="39"/>
        <v>YARIS CORE,SEDAN CVT.</v>
      </c>
      <c r="Y74" s="627">
        <f t="shared" si="39"/>
        <v>0</v>
      </c>
      <c r="Z74" s="777">
        <f t="shared" si="40"/>
        <v>183407.6</v>
      </c>
      <c r="AA74" s="624"/>
      <c r="AB74" s="791"/>
      <c r="AC74" s="779">
        <f t="shared" si="41"/>
        <v>0.01</v>
      </c>
      <c r="AD74" s="726">
        <f t="shared" si="42"/>
        <v>0.02</v>
      </c>
      <c r="AE74" s="727">
        <f t="shared" si="43"/>
        <v>0</v>
      </c>
      <c r="AF74" s="727">
        <f t="shared" si="34"/>
        <v>0</v>
      </c>
      <c r="AG74" s="555">
        <f t="shared" si="44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45"/>
        <v>70</v>
      </c>
      <c r="B75" s="721" t="s">
        <v>7861</v>
      </c>
      <c r="C75" s="771">
        <v>521801</v>
      </c>
      <c r="D75" s="771">
        <v>2201</v>
      </c>
      <c r="E75" s="771" t="s">
        <v>704</v>
      </c>
      <c r="F75" s="546"/>
      <c r="G75" s="659">
        <v>43067</v>
      </c>
      <c r="H75" s="655" t="s">
        <v>792</v>
      </c>
      <c r="I75" s="655" t="s">
        <v>7628</v>
      </c>
      <c r="J75" s="712"/>
      <c r="K75" s="655" t="s">
        <v>8131</v>
      </c>
      <c r="L75" s="655" t="s">
        <v>7436</v>
      </c>
      <c r="M75" s="660">
        <v>-205000</v>
      </c>
      <c r="N75" s="660">
        <v>0</v>
      </c>
      <c r="O75" s="660">
        <v>-32800</v>
      </c>
      <c r="P75" s="660">
        <v>-237800</v>
      </c>
      <c r="Q75" s="548"/>
      <c r="R75" s="660">
        <v>-185625.31</v>
      </c>
      <c r="S75" s="549">
        <f t="shared" si="46"/>
        <v>-52174.69</v>
      </c>
      <c r="T75" s="267" t="s">
        <v>1931</v>
      </c>
      <c r="U75" s="626" t="str">
        <f t="shared" si="36"/>
        <v>ZA04471</v>
      </c>
      <c r="V75" s="627" t="str">
        <f t="shared" si="37"/>
        <v>0190-TCN18</v>
      </c>
      <c r="W75" s="626">
        <f t="shared" si="38"/>
        <v>521801</v>
      </c>
      <c r="X75" s="626" t="str">
        <f t="shared" si="39"/>
        <v>AVANZA HI 5MT</v>
      </c>
      <c r="Y75" s="627">
        <f t="shared" si="39"/>
        <v>0</v>
      </c>
      <c r="Z75" s="777">
        <f t="shared" si="40"/>
        <v>-205000</v>
      </c>
      <c r="AA75" s="629"/>
      <c r="AB75" s="755"/>
      <c r="AC75" s="779" t="e">
        <f t="shared" si="41"/>
        <v>#N/A</v>
      </c>
      <c r="AD75" s="726" t="e">
        <f t="shared" si="42"/>
        <v>#N/A</v>
      </c>
      <c r="AE75" s="727" t="e">
        <f t="shared" si="43"/>
        <v>#N/A</v>
      </c>
      <c r="AF75" s="727">
        <f t="shared" si="34"/>
        <v>0</v>
      </c>
      <c r="AG75" s="555">
        <f t="shared" si="44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45"/>
        <v>71</v>
      </c>
      <c r="B76" s="721" t="s">
        <v>7834</v>
      </c>
      <c r="C76" s="771">
        <v>520908</v>
      </c>
      <c r="D76" s="771">
        <v>2008</v>
      </c>
      <c r="E76" s="771" t="s">
        <v>697</v>
      </c>
      <c r="F76" s="546"/>
      <c r="G76" s="659">
        <v>43049</v>
      </c>
      <c r="H76" s="655"/>
      <c r="I76" s="655" t="s">
        <v>4819</v>
      </c>
      <c r="J76" s="712"/>
      <c r="K76" s="655" t="s">
        <v>1147</v>
      </c>
      <c r="L76" s="655" t="s">
        <v>5255</v>
      </c>
      <c r="M76" s="660">
        <v>189108.39</v>
      </c>
      <c r="N76" s="660">
        <v>0</v>
      </c>
      <c r="O76" s="660">
        <v>30257.34</v>
      </c>
      <c r="P76" s="660">
        <v>219365.73</v>
      </c>
      <c r="Q76" s="548"/>
      <c r="R76" s="660">
        <v>188753.04</v>
      </c>
      <c r="S76" s="549">
        <f t="shared" si="46"/>
        <v>30612.690000000002</v>
      </c>
      <c r="T76" s="113" t="s">
        <v>283</v>
      </c>
      <c r="U76" s="626" t="str">
        <f t="shared" si="36"/>
        <v>AA12278</v>
      </c>
      <c r="V76" s="627" t="str">
        <f t="shared" si="37"/>
        <v>1570-TCN17</v>
      </c>
      <c r="W76" s="626">
        <f t="shared" si="38"/>
        <v>520908</v>
      </c>
      <c r="X76" s="626" t="str">
        <f t="shared" si="39"/>
        <v>YARIS HB S MT</v>
      </c>
      <c r="Y76" s="627">
        <f t="shared" si="39"/>
        <v>0</v>
      </c>
      <c r="Z76" s="777">
        <f t="shared" si="40"/>
        <v>189108.39</v>
      </c>
      <c r="AA76" s="629">
        <f>+SUM(Z73:Z76)</f>
        <v>669156.80000000005</v>
      </c>
      <c r="AB76" s="762">
        <v>4</v>
      </c>
      <c r="AC76" s="779">
        <f t="shared" si="41"/>
        <v>0.01</v>
      </c>
      <c r="AD76" s="726">
        <f t="shared" si="42"/>
        <v>0.02</v>
      </c>
      <c r="AE76" s="727">
        <f t="shared" si="43"/>
        <v>0</v>
      </c>
      <c r="AF76" s="727">
        <f t="shared" si="34"/>
        <v>0</v>
      </c>
      <c r="AG76" s="555">
        <f t="shared" si="44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45"/>
        <v>72</v>
      </c>
      <c r="B77" s="721" t="s">
        <v>7835</v>
      </c>
      <c r="C77" s="771">
        <v>520908</v>
      </c>
      <c r="D77" s="771">
        <v>2008</v>
      </c>
      <c r="E77" s="771" t="s">
        <v>697</v>
      </c>
      <c r="F77" s="546"/>
      <c r="G77" s="659">
        <v>43050</v>
      </c>
      <c r="H77" s="655"/>
      <c r="I77" s="655" t="s">
        <v>4819</v>
      </c>
      <c r="J77" s="712"/>
      <c r="K77" s="655" t="s">
        <v>1147</v>
      </c>
      <c r="L77" s="655" t="s">
        <v>5255</v>
      </c>
      <c r="M77" s="660">
        <v>-189108.39</v>
      </c>
      <c r="N77" s="660">
        <v>0</v>
      </c>
      <c r="O77" s="660">
        <v>-30257.34</v>
      </c>
      <c r="P77" s="660">
        <v>-219365.73</v>
      </c>
      <c r="Q77" s="548"/>
      <c r="R77" s="660">
        <v>-188753.04</v>
      </c>
      <c r="S77" s="549">
        <f t="shared" si="46"/>
        <v>-30612.690000000002</v>
      </c>
      <c r="T77" s="113" t="s">
        <v>283</v>
      </c>
      <c r="U77" s="626" t="str">
        <f t="shared" si="36"/>
        <v>ZA04434</v>
      </c>
      <c r="V77" s="627" t="str">
        <f t="shared" si="37"/>
        <v>1570-TCN17</v>
      </c>
      <c r="W77" s="626">
        <f t="shared" si="38"/>
        <v>520908</v>
      </c>
      <c r="X77" s="626" t="str">
        <f t="shared" si="39"/>
        <v>YARIS HB S MT</v>
      </c>
      <c r="Y77" s="627">
        <f t="shared" si="39"/>
        <v>0</v>
      </c>
      <c r="Z77" s="777">
        <f t="shared" si="40"/>
        <v>-189108.39</v>
      </c>
      <c r="AA77" s="629">
        <f>+Z77</f>
        <v>-189108.39</v>
      </c>
      <c r="AB77" s="762">
        <v>1</v>
      </c>
      <c r="AC77" s="779" t="e">
        <f t="shared" si="41"/>
        <v>#N/A</v>
      </c>
      <c r="AD77" s="726" t="e">
        <f t="shared" si="42"/>
        <v>#N/A</v>
      </c>
      <c r="AE77" s="727" t="e">
        <f t="shared" si="43"/>
        <v>#N/A</v>
      </c>
      <c r="AF77" s="727">
        <f t="shared" si="34"/>
        <v>0</v>
      </c>
      <c r="AG77" s="555">
        <f t="shared" si="44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45"/>
        <v>73</v>
      </c>
      <c r="B78" s="721" t="s">
        <v>7836</v>
      </c>
      <c r="C78" s="771">
        <v>520908</v>
      </c>
      <c r="D78" s="771">
        <v>2008</v>
      </c>
      <c r="E78" s="771" t="s">
        <v>697</v>
      </c>
      <c r="F78" s="546"/>
      <c r="G78" s="659">
        <v>43050</v>
      </c>
      <c r="H78" s="655"/>
      <c r="I78" s="655" t="s">
        <v>4819</v>
      </c>
      <c r="J78" s="712"/>
      <c r="K78" s="655" t="s">
        <v>1147</v>
      </c>
      <c r="L78" s="655" t="s">
        <v>5255</v>
      </c>
      <c r="M78" s="660">
        <v>189108.39</v>
      </c>
      <c r="N78" s="660">
        <v>0</v>
      </c>
      <c r="O78" s="660">
        <v>30257.34</v>
      </c>
      <c r="P78" s="660">
        <v>219365.73</v>
      </c>
      <c r="Q78" s="548"/>
      <c r="R78" s="660">
        <v>188753.04</v>
      </c>
      <c r="S78" s="549">
        <f t="shared" si="46"/>
        <v>30612.690000000002</v>
      </c>
      <c r="T78" s="113" t="s">
        <v>283</v>
      </c>
      <c r="U78" s="626" t="str">
        <f t="shared" si="36"/>
        <v>AA12282</v>
      </c>
      <c r="V78" s="627" t="str">
        <f t="shared" si="37"/>
        <v>1570-TCN17</v>
      </c>
      <c r="W78" s="626">
        <f t="shared" si="38"/>
        <v>520908</v>
      </c>
      <c r="X78" s="626" t="str">
        <f t="shared" si="39"/>
        <v>YARIS HB S MT</v>
      </c>
      <c r="Y78" s="627">
        <f t="shared" si="39"/>
        <v>0</v>
      </c>
      <c r="Z78" s="777">
        <f t="shared" si="40"/>
        <v>189108.39</v>
      </c>
      <c r="AA78" s="629"/>
      <c r="AB78" s="755"/>
      <c r="AC78" s="779">
        <f t="shared" si="41"/>
        <v>0.01</v>
      </c>
      <c r="AD78" s="726">
        <f t="shared" si="42"/>
        <v>0.02</v>
      </c>
      <c r="AE78" s="727">
        <f t="shared" si="43"/>
        <v>0</v>
      </c>
      <c r="AF78" s="727">
        <f t="shared" si="34"/>
        <v>0</v>
      </c>
      <c r="AG78" s="555">
        <f t="shared" si="44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45"/>
        <v>74</v>
      </c>
      <c r="B79" s="721" t="s">
        <v>7862</v>
      </c>
      <c r="C79" s="771">
        <v>521801</v>
      </c>
      <c r="D79" s="771">
        <v>2201</v>
      </c>
      <c r="E79" s="771" t="s">
        <v>704</v>
      </c>
      <c r="F79" s="546"/>
      <c r="G79" s="659">
        <v>43067</v>
      </c>
      <c r="H79" s="655" t="s">
        <v>792</v>
      </c>
      <c r="I79" s="655" t="s">
        <v>7628</v>
      </c>
      <c r="J79" s="712"/>
      <c r="K79" s="655" t="s">
        <v>8131</v>
      </c>
      <c r="L79" s="655" t="s">
        <v>7436</v>
      </c>
      <c r="M79" s="660">
        <v>205000</v>
      </c>
      <c r="N79" s="660">
        <v>0</v>
      </c>
      <c r="O79" s="660">
        <v>32800</v>
      </c>
      <c r="P79" s="660">
        <v>237800</v>
      </c>
      <c r="Q79" s="548"/>
      <c r="R79" s="660">
        <v>185625.31</v>
      </c>
      <c r="S79" s="549">
        <f t="shared" si="46"/>
        <v>52174.69</v>
      </c>
      <c r="T79" s="113" t="s">
        <v>1931</v>
      </c>
      <c r="U79" s="626" t="str">
        <f t="shared" si="36"/>
        <v>AA12437</v>
      </c>
      <c r="V79" s="627" t="str">
        <f t="shared" si="37"/>
        <v>0190-TCN18</v>
      </c>
      <c r="W79" s="626">
        <f t="shared" si="38"/>
        <v>521801</v>
      </c>
      <c r="X79" s="626" t="str">
        <f t="shared" si="39"/>
        <v>AVANZA HI 5MT</v>
      </c>
      <c r="Y79" s="627">
        <f t="shared" si="39"/>
        <v>0</v>
      </c>
      <c r="Z79" s="777">
        <f t="shared" si="40"/>
        <v>205000</v>
      </c>
      <c r="AA79" s="629">
        <f>+Z79+Z78</f>
        <v>394108.39</v>
      </c>
      <c r="AB79" s="762">
        <v>2</v>
      </c>
      <c r="AC79" s="779">
        <f t="shared" si="41"/>
        <v>0.01</v>
      </c>
      <c r="AD79" s="726">
        <f t="shared" si="42"/>
        <v>0.02</v>
      </c>
      <c r="AE79" s="727">
        <f t="shared" si="43"/>
        <v>0</v>
      </c>
      <c r="AF79" s="727">
        <f t="shared" si="34"/>
        <v>0</v>
      </c>
      <c r="AG79" s="555">
        <f t="shared" si="44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45"/>
        <v>75</v>
      </c>
      <c r="B80" s="721" t="s">
        <v>7838</v>
      </c>
      <c r="C80" s="771">
        <v>520907</v>
      </c>
      <c r="D80" s="771">
        <v>2008</v>
      </c>
      <c r="E80" s="771" t="s">
        <v>697</v>
      </c>
      <c r="F80" s="546"/>
      <c r="G80" s="659">
        <v>43060</v>
      </c>
      <c r="H80" s="655"/>
      <c r="I80" s="655" t="s">
        <v>7614</v>
      </c>
      <c r="J80" s="712"/>
      <c r="K80" s="655" t="s">
        <v>62</v>
      </c>
      <c r="L80" s="655" t="s">
        <v>7422</v>
      </c>
      <c r="M80" s="660">
        <v>189108.4</v>
      </c>
      <c r="N80" s="660">
        <v>0</v>
      </c>
      <c r="O80" s="660">
        <v>30257.34</v>
      </c>
      <c r="P80" s="660">
        <v>219365.74</v>
      </c>
      <c r="Q80" s="548"/>
      <c r="R80" s="660">
        <v>188753.05</v>
      </c>
      <c r="S80" s="549">
        <f t="shared" si="46"/>
        <v>30612.690000000002</v>
      </c>
      <c r="T80" s="113" t="s">
        <v>283</v>
      </c>
      <c r="U80" s="626" t="str">
        <f t="shared" si="36"/>
        <v>AA12347</v>
      </c>
      <c r="V80" s="627" t="str">
        <f t="shared" si="37"/>
        <v>1761-TCN17</v>
      </c>
      <c r="W80" s="626">
        <f t="shared" si="38"/>
        <v>520907</v>
      </c>
      <c r="X80" s="626" t="str">
        <f t="shared" si="39"/>
        <v>YARIS HB S MT</v>
      </c>
      <c r="Y80" s="627">
        <f t="shared" si="39"/>
        <v>0</v>
      </c>
      <c r="Z80" s="777">
        <f t="shared" si="40"/>
        <v>189108.4</v>
      </c>
      <c r="AA80" s="725"/>
      <c r="AB80" s="756"/>
      <c r="AC80" s="780">
        <f t="shared" si="41"/>
        <v>0.01</v>
      </c>
      <c r="AD80" s="630">
        <f t="shared" si="42"/>
        <v>0.02</v>
      </c>
      <c r="AE80" s="555">
        <f t="shared" si="43"/>
        <v>0</v>
      </c>
      <c r="AF80" s="555">
        <f t="shared" si="34"/>
        <v>0</v>
      </c>
      <c r="AG80" s="555">
        <f t="shared" si="44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45"/>
        <v>76</v>
      </c>
      <c r="B81" s="721" t="s">
        <v>7945</v>
      </c>
      <c r="C81" s="771">
        <v>520515</v>
      </c>
      <c r="D81" s="771">
        <v>5399</v>
      </c>
      <c r="E81" s="771" t="s">
        <v>267</v>
      </c>
      <c r="F81" s="546">
        <v>2018</v>
      </c>
      <c r="G81" s="659">
        <v>43069</v>
      </c>
      <c r="H81" s="655" t="s">
        <v>2214</v>
      </c>
      <c r="I81" s="655" t="s">
        <v>7679</v>
      </c>
      <c r="J81" s="712"/>
      <c r="K81" s="655" t="s">
        <v>8153</v>
      </c>
      <c r="L81" s="655" t="s">
        <v>7487</v>
      </c>
      <c r="M81" s="660">
        <v>629919.62</v>
      </c>
      <c r="N81" s="660">
        <v>58787.28</v>
      </c>
      <c r="O81" s="660">
        <v>110193.1</v>
      </c>
      <c r="P81" s="660">
        <v>798900</v>
      </c>
      <c r="Q81" s="548"/>
      <c r="R81" s="660">
        <v>688706.9</v>
      </c>
      <c r="S81" s="549">
        <f t="shared" si="46"/>
        <v>110193.09999999998</v>
      </c>
      <c r="T81" s="113" t="s">
        <v>1932</v>
      </c>
      <c r="U81" s="722" t="str">
        <f t="shared" si="36"/>
        <v>AA12473</v>
      </c>
      <c r="V81" s="723" t="str">
        <f t="shared" si="37"/>
        <v>0255-TCN18</v>
      </c>
      <c r="W81" s="722">
        <f t="shared" si="38"/>
        <v>520515</v>
      </c>
      <c r="X81" s="722" t="str">
        <f t="shared" si="39"/>
        <v>SIENNA LIMITED</v>
      </c>
      <c r="Y81" s="723">
        <f t="shared" si="39"/>
        <v>2018</v>
      </c>
      <c r="Z81" s="778">
        <f t="shared" si="40"/>
        <v>629919.62</v>
      </c>
      <c r="AA81" s="629"/>
      <c r="AB81" s="794"/>
      <c r="AC81" s="779">
        <f t="shared" si="41"/>
        <v>443562.4</v>
      </c>
      <c r="AD81" s="726">
        <f t="shared" si="42"/>
        <v>0.17</v>
      </c>
      <c r="AE81" s="727">
        <f t="shared" si="43"/>
        <v>27106.55</v>
      </c>
      <c r="AF81" s="725">
        <f t="shared" si="34"/>
        <v>58787.28</v>
      </c>
      <c r="AG81" s="727">
        <f t="shared" si="44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45"/>
        <v>77</v>
      </c>
      <c r="B82" s="721" t="s">
        <v>7943</v>
      </c>
      <c r="C82" s="771">
        <v>520515</v>
      </c>
      <c r="D82" s="771">
        <v>5399</v>
      </c>
      <c r="E82" s="771" t="s">
        <v>267</v>
      </c>
      <c r="F82" s="546">
        <v>2017</v>
      </c>
      <c r="G82" s="659">
        <v>43054</v>
      </c>
      <c r="H82" s="655" t="s">
        <v>788</v>
      </c>
      <c r="I82" s="655" t="s">
        <v>7677</v>
      </c>
      <c r="J82" s="712"/>
      <c r="K82" s="655" t="s">
        <v>8151</v>
      </c>
      <c r="L82" s="655" t="s">
        <v>7485</v>
      </c>
      <c r="M82" s="660">
        <v>600889.26</v>
      </c>
      <c r="N82" s="660">
        <v>53852.12</v>
      </c>
      <c r="O82" s="660">
        <v>104758.62</v>
      </c>
      <c r="P82" s="660">
        <v>759500</v>
      </c>
      <c r="Q82" s="548"/>
      <c r="R82" s="660">
        <v>557773.72</v>
      </c>
      <c r="S82" s="549">
        <f t="shared" si="46"/>
        <v>201726.28000000003</v>
      </c>
      <c r="T82" s="113" t="s">
        <v>1932</v>
      </c>
      <c r="U82" s="722" t="str">
        <f t="shared" si="36"/>
        <v>AA12310</v>
      </c>
      <c r="V82" s="723" t="str">
        <f t="shared" si="37"/>
        <v>1956-TCN17</v>
      </c>
      <c r="W82" s="722">
        <f t="shared" si="38"/>
        <v>520515</v>
      </c>
      <c r="X82" s="722" t="str">
        <f t="shared" si="39"/>
        <v>SIENNA LIMITED</v>
      </c>
      <c r="Y82" s="723">
        <f t="shared" si="39"/>
        <v>2017</v>
      </c>
      <c r="Z82" s="778">
        <f t="shared" si="40"/>
        <v>600889.26</v>
      </c>
      <c r="AA82" s="629"/>
      <c r="AB82" s="794"/>
      <c r="AC82" s="779">
        <f t="shared" si="41"/>
        <v>443562.4</v>
      </c>
      <c r="AD82" s="726">
        <f t="shared" si="42"/>
        <v>0.17</v>
      </c>
      <c r="AE82" s="727">
        <f t="shared" si="43"/>
        <v>27106.55</v>
      </c>
      <c r="AF82" s="725">
        <f t="shared" si="34"/>
        <v>53852.12</v>
      </c>
      <c r="AG82" s="727">
        <f t="shared" si="44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3">
        <f t="shared" si="45"/>
        <v>78</v>
      </c>
      <c r="B83" s="721" t="s">
        <v>7944</v>
      </c>
      <c r="C83" s="771">
        <v>520515</v>
      </c>
      <c r="D83" s="771">
        <v>5399</v>
      </c>
      <c r="E83" s="771" t="s">
        <v>267</v>
      </c>
      <c r="F83" s="546">
        <v>2017</v>
      </c>
      <c r="G83" s="659">
        <v>43066</v>
      </c>
      <c r="H83" s="655" t="s">
        <v>2213</v>
      </c>
      <c r="I83" s="655" t="s">
        <v>7678</v>
      </c>
      <c r="J83" s="712"/>
      <c r="K83" s="655" t="s">
        <v>8152</v>
      </c>
      <c r="L83" s="655" t="s">
        <v>7486</v>
      </c>
      <c r="M83" s="660">
        <v>600889.26</v>
      </c>
      <c r="N83" s="660">
        <v>53852.12</v>
      </c>
      <c r="O83" s="660">
        <v>104758.62</v>
      </c>
      <c r="P83" s="660">
        <v>759500</v>
      </c>
      <c r="Q83" s="548"/>
      <c r="R83" s="660">
        <v>557773.59</v>
      </c>
      <c r="S83" s="549">
        <f t="shared" si="46"/>
        <v>201726.41000000003</v>
      </c>
      <c r="T83" s="113" t="s">
        <v>1932</v>
      </c>
      <c r="U83" s="722" t="str">
        <f t="shared" si="36"/>
        <v>AA12402</v>
      </c>
      <c r="V83" s="723" t="str">
        <f t="shared" si="37"/>
        <v>1965-TCN17</v>
      </c>
      <c r="W83" s="722">
        <f t="shared" si="38"/>
        <v>520515</v>
      </c>
      <c r="X83" s="722" t="str">
        <f t="shared" si="39"/>
        <v>SIENNA LIMITED</v>
      </c>
      <c r="Y83" s="723">
        <f t="shared" si="39"/>
        <v>2017</v>
      </c>
      <c r="Z83" s="778">
        <f t="shared" si="40"/>
        <v>600889.26</v>
      </c>
      <c r="AA83" s="629">
        <f>+SUM(Z81:Z83)</f>
        <v>1831698.14</v>
      </c>
      <c r="AB83" s="794">
        <v>3</v>
      </c>
      <c r="AC83" s="779">
        <f t="shared" si="41"/>
        <v>443562.4</v>
      </c>
      <c r="AD83" s="726">
        <f t="shared" si="42"/>
        <v>0.17</v>
      </c>
      <c r="AE83" s="727">
        <f t="shared" si="43"/>
        <v>27106.55</v>
      </c>
      <c r="AF83" s="725">
        <f t="shared" si="34"/>
        <v>53852.12</v>
      </c>
      <c r="AG83" s="727">
        <f t="shared" si="44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x14ac:dyDescent="0.2">
      <c r="A84" s="423">
        <f t="shared" si="45"/>
        <v>79</v>
      </c>
      <c r="B84" s="721" t="s">
        <v>7949</v>
      </c>
      <c r="C84" s="771">
        <v>1520202</v>
      </c>
      <c r="D84" s="771">
        <v>5611</v>
      </c>
      <c r="E84" s="771" t="s">
        <v>225</v>
      </c>
      <c r="F84" s="546"/>
      <c r="G84" s="659">
        <v>43047</v>
      </c>
      <c r="H84" s="655" t="s">
        <v>792</v>
      </c>
      <c r="I84" s="655" t="s">
        <v>7682</v>
      </c>
      <c r="J84" s="712"/>
      <c r="K84" s="655" t="s">
        <v>8154</v>
      </c>
      <c r="L84" s="655" t="s">
        <v>7490</v>
      </c>
      <c r="M84" s="660">
        <v>394255.04</v>
      </c>
      <c r="N84" s="660">
        <v>19710.48</v>
      </c>
      <c r="O84" s="660">
        <v>66234.48</v>
      </c>
      <c r="P84" s="660">
        <v>480200</v>
      </c>
      <c r="Q84" s="548"/>
      <c r="R84" s="660">
        <v>349547.89</v>
      </c>
      <c r="S84" s="549">
        <f t="shared" si="46"/>
        <v>130652.10999999999</v>
      </c>
      <c r="T84" s="113" t="s">
        <v>1931</v>
      </c>
      <c r="U84" s="722" t="str">
        <f t="shared" si="36"/>
        <v>AA12265</v>
      </c>
      <c r="V84" s="723" t="str">
        <f t="shared" si="37"/>
        <v>0198-TCN18</v>
      </c>
      <c r="W84" s="722">
        <f t="shared" si="38"/>
        <v>1520202</v>
      </c>
      <c r="X84" s="722" t="str">
        <f t="shared" si="39"/>
        <v>HIACE PANEL 15 PASAJ AC</v>
      </c>
      <c r="Y84" s="723">
        <f t="shared" si="39"/>
        <v>0</v>
      </c>
      <c r="Z84" s="778">
        <f t="shared" si="40"/>
        <v>394255.04</v>
      </c>
      <c r="AA84" s="624"/>
      <c r="AB84" s="791"/>
      <c r="AC84" s="779">
        <f t="shared" si="41"/>
        <v>344993.21</v>
      </c>
      <c r="AD84" s="726">
        <f t="shared" si="42"/>
        <v>0.15</v>
      </c>
      <c r="AE84" s="727">
        <f t="shared" si="43"/>
        <v>12321.2</v>
      </c>
      <c r="AF84" s="727">
        <f t="shared" si="34"/>
        <v>19710.48</v>
      </c>
      <c r="AG84" s="727">
        <f t="shared" si="44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x14ac:dyDescent="0.2">
      <c r="A85" s="423">
        <f t="shared" si="45"/>
        <v>80</v>
      </c>
      <c r="B85" s="721" t="s">
        <v>7951</v>
      </c>
      <c r="C85" s="771">
        <v>1520202</v>
      </c>
      <c r="D85" s="771">
        <v>5611</v>
      </c>
      <c r="E85" s="771" t="s">
        <v>225</v>
      </c>
      <c r="F85" s="546"/>
      <c r="G85" s="659">
        <v>43053</v>
      </c>
      <c r="H85" s="655" t="s">
        <v>792</v>
      </c>
      <c r="I85" s="655" t="s">
        <v>7682</v>
      </c>
      <c r="J85" s="712"/>
      <c r="K85" s="655" t="s">
        <v>8154</v>
      </c>
      <c r="L85" s="655" t="s">
        <v>7490</v>
      </c>
      <c r="M85" s="660">
        <v>-394255.04</v>
      </c>
      <c r="N85" s="660">
        <v>-19710.48</v>
      </c>
      <c r="O85" s="660">
        <v>-66234.48</v>
      </c>
      <c r="P85" s="660">
        <v>-480200</v>
      </c>
      <c r="Q85" s="548"/>
      <c r="R85" s="660">
        <v>-349547.89</v>
      </c>
      <c r="S85" s="549">
        <f t="shared" si="46"/>
        <v>-130652.10999999999</v>
      </c>
      <c r="T85" s="113" t="s">
        <v>1931</v>
      </c>
      <c r="U85" s="722" t="str">
        <f t="shared" si="36"/>
        <v>ZA04437</v>
      </c>
      <c r="V85" s="723" t="str">
        <f t="shared" si="37"/>
        <v>0198-TCN18</v>
      </c>
      <c r="W85" s="722">
        <f t="shared" si="38"/>
        <v>1520202</v>
      </c>
      <c r="X85" s="722" t="str">
        <f t="shared" si="39"/>
        <v>HIACE PANEL 15 PASAJ AC</v>
      </c>
      <c r="Y85" s="723">
        <f t="shared" si="39"/>
        <v>0</v>
      </c>
      <c r="Z85" s="778">
        <f t="shared" si="40"/>
        <v>-394255.04</v>
      </c>
      <c r="AA85" s="725"/>
      <c r="AB85" s="756"/>
      <c r="AC85" s="779" t="e">
        <f t="shared" si="41"/>
        <v>#N/A</v>
      </c>
      <c r="AD85" s="726" t="e">
        <f t="shared" si="42"/>
        <v>#N/A</v>
      </c>
      <c r="AE85" s="727" t="e">
        <f t="shared" si="43"/>
        <v>#N/A</v>
      </c>
      <c r="AF85" s="727">
        <f t="shared" si="34"/>
        <v>-19710.48</v>
      </c>
      <c r="AG85" s="727">
        <f t="shared" si="44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x14ac:dyDescent="0.2">
      <c r="A86" s="423">
        <f t="shared" si="45"/>
        <v>81</v>
      </c>
      <c r="B86" s="721" t="s">
        <v>7895</v>
      </c>
      <c r="C86" s="771">
        <v>520815</v>
      </c>
      <c r="D86" s="771">
        <v>4492</v>
      </c>
      <c r="E86" s="771" t="s">
        <v>694</v>
      </c>
      <c r="F86" s="546">
        <v>2018</v>
      </c>
      <c r="G86" s="659">
        <v>43060</v>
      </c>
      <c r="H86" s="655" t="s">
        <v>2216</v>
      </c>
      <c r="I86" s="655" t="s">
        <v>7645</v>
      </c>
      <c r="J86" s="712"/>
      <c r="K86" s="655" t="s">
        <v>8139</v>
      </c>
      <c r="L86" s="655" t="s">
        <v>7453</v>
      </c>
      <c r="M86" s="660">
        <v>360072.13</v>
      </c>
      <c r="N86" s="660">
        <v>14583.04</v>
      </c>
      <c r="O86" s="660">
        <v>59944.83</v>
      </c>
      <c r="P86" s="660">
        <v>434600</v>
      </c>
      <c r="Q86" s="548"/>
      <c r="R86" s="660">
        <v>315880.67</v>
      </c>
      <c r="S86" s="549">
        <f t="shared" si="46"/>
        <v>118719.33000000002</v>
      </c>
      <c r="T86" s="267" t="s">
        <v>1932</v>
      </c>
      <c r="U86" s="722" t="str">
        <f t="shared" si="36"/>
        <v>AA12366</v>
      </c>
      <c r="V86" s="723" t="str">
        <f t="shared" si="37"/>
        <v>0215-TCN18</v>
      </c>
      <c r="W86" s="722">
        <f t="shared" si="38"/>
        <v>520815</v>
      </c>
      <c r="X86" s="722" t="str">
        <f t="shared" si="39"/>
        <v>RAV4 L4 AWD XLE</v>
      </c>
      <c r="Y86" s="723">
        <f t="shared" si="39"/>
        <v>2018</v>
      </c>
      <c r="Z86" s="778">
        <f t="shared" si="40"/>
        <v>360072.13</v>
      </c>
      <c r="AA86" s="629"/>
      <c r="AB86" s="794"/>
      <c r="AC86" s="779">
        <f t="shared" si="41"/>
        <v>344993.21</v>
      </c>
      <c r="AD86" s="726">
        <f t="shared" si="42"/>
        <v>0.15</v>
      </c>
      <c r="AE86" s="727">
        <f t="shared" si="43"/>
        <v>12321.2</v>
      </c>
      <c r="AF86" s="725">
        <f t="shared" si="34"/>
        <v>14583.04</v>
      </c>
      <c r="AG86" s="727">
        <f t="shared" si="44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x14ac:dyDescent="0.2">
      <c r="A87" s="423">
        <f t="shared" si="45"/>
        <v>82</v>
      </c>
      <c r="B87" s="721" t="s">
        <v>8011</v>
      </c>
      <c r="C87" s="771">
        <v>1520104</v>
      </c>
      <c r="D87" s="771">
        <v>7491</v>
      </c>
      <c r="E87" s="771" t="s">
        <v>6939</v>
      </c>
      <c r="F87" s="546"/>
      <c r="G87" s="659">
        <v>43067</v>
      </c>
      <c r="H87" s="655" t="s">
        <v>2216</v>
      </c>
      <c r="I87" s="655" t="s">
        <v>7707</v>
      </c>
      <c r="J87" s="712"/>
      <c r="K87" s="655" t="s">
        <v>8164</v>
      </c>
      <c r="L87" s="655" t="s">
        <v>7515</v>
      </c>
      <c r="M87" s="660">
        <v>-476108.37</v>
      </c>
      <c r="N87" s="660">
        <v>-23805.42</v>
      </c>
      <c r="O87" s="660">
        <v>-79986.210000000006</v>
      </c>
      <c r="P87" s="660">
        <v>-579900</v>
      </c>
      <c r="Q87" s="548"/>
      <c r="R87" s="660">
        <v>-420579.82</v>
      </c>
      <c r="S87" s="549">
        <f t="shared" si="46"/>
        <v>-159320.18</v>
      </c>
      <c r="T87" s="113" t="s">
        <v>1931</v>
      </c>
      <c r="U87" s="722" t="str">
        <f t="shared" si="36"/>
        <v>ZA04468</v>
      </c>
      <c r="V87" s="723" t="str">
        <f t="shared" si="37"/>
        <v>0200-TCN18</v>
      </c>
      <c r="W87" s="722">
        <f t="shared" si="38"/>
        <v>1520104</v>
      </c>
      <c r="X87" s="722" t="str">
        <f t="shared" ref="X87:Y94" si="47">+E87</f>
        <v>HILUX DIESEL EQUIPADA</v>
      </c>
      <c r="Y87" s="723">
        <f t="shared" si="47"/>
        <v>0</v>
      </c>
      <c r="Z87" s="778">
        <f t="shared" si="40"/>
        <v>-476108.37</v>
      </c>
      <c r="AA87" s="624"/>
      <c r="AB87" s="791"/>
      <c r="AC87" s="779" t="e">
        <f t="shared" si="41"/>
        <v>#N/A</v>
      </c>
      <c r="AD87" s="726" t="e">
        <f t="shared" si="42"/>
        <v>#N/A</v>
      </c>
      <c r="AE87" s="727" t="e">
        <f t="shared" si="43"/>
        <v>#N/A</v>
      </c>
      <c r="AF87" s="727">
        <f t="shared" si="34"/>
        <v>-23805.42</v>
      </c>
      <c r="AG87" s="727">
        <f t="shared" si="44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x14ac:dyDescent="0.2">
      <c r="A88" s="423">
        <f t="shared" si="45"/>
        <v>83</v>
      </c>
      <c r="B88" s="786" t="s">
        <v>8012</v>
      </c>
      <c r="C88" s="771">
        <v>1520104</v>
      </c>
      <c r="D88" s="771">
        <v>7491</v>
      </c>
      <c r="E88" s="771" t="s">
        <v>6939</v>
      </c>
      <c r="F88" s="546"/>
      <c r="G88" s="659">
        <v>43067</v>
      </c>
      <c r="H88" s="655" t="s">
        <v>2216</v>
      </c>
      <c r="I88" s="655" t="s">
        <v>7707</v>
      </c>
      <c r="J88" s="712"/>
      <c r="K88" s="655" t="s">
        <v>8164</v>
      </c>
      <c r="L88" s="655" t="s">
        <v>7515</v>
      </c>
      <c r="M88" s="660">
        <v>476108.37</v>
      </c>
      <c r="N88" s="660">
        <v>23805.42</v>
      </c>
      <c r="O88" s="660">
        <v>79986.210000000006</v>
      </c>
      <c r="P88" s="660">
        <v>579900</v>
      </c>
      <c r="Q88" s="548"/>
      <c r="R88" s="660">
        <v>420579.82</v>
      </c>
      <c r="S88" s="549">
        <f t="shared" si="46"/>
        <v>159320.18</v>
      </c>
      <c r="T88" s="444" t="s">
        <v>1931</v>
      </c>
      <c r="U88" s="722" t="str">
        <f t="shared" si="36"/>
        <v>AA12425</v>
      </c>
      <c r="V88" s="723" t="str">
        <f t="shared" si="37"/>
        <v>0200-TCN18</v>
      </c>
      <c r="W88" s="722">
        <f t="shared" si="38"/>
        <v>1520104</v>
      </c>
      <c r="X88" s="722" t="str">
        <f t="shared" si="47"/>
        <v>HILUX DIESEL EQUIPADA</v>
      </c>
      <c r="Y88" s="723">
        <f t="shared" si="47"/>
        <v>0</v>
      </c>
      <c r="Z88" s="778">
        <f t="shared" si="40"/>
        <v>476108.37</v>
      </c>
      <c r="AA88" s="725"/>
      <c r="AB88" s="756"/>
      <c r="AC88" s="779">
        <f t="shared" si="41"/>
        <v>443562.4</v>
      </c>
      <c r="AD88" s="726">
        <f t="shared" si="42"/>
        <v>0.17</v>
      </c>
      <c r="AE88" s="727">
        <f t="shared" si="43"/>
        <v>27106.55</v>
      </c>
      <c r="AF88" s="727">
        <f t="shared" si="34"/>
        <v>23805.42</v>
      </c>
      <c r="AG88" s="727">
        <f t="shared" si="44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x14ac:dyDescent="0.2">
      <c r="A89" s="423">
        <f t="shared" si="45"/>
        <v>84</v>
      </c>
      <c r="B89" s="721" t="s">
        <v>7907</v>
      </c>
      <c r="C89" s="771">
        <v>520815</v>
      </c>
      <c r="D89" s="771">
        <v>4492</v>
      </c>
      <c r="E89" s="771" t="s">
        <v>694</v>
      </c>
      <c r="F89" s="546">
        <v>2018</v>
      </c>
      <c r="G89" s="659">
        <v>43069</v>
      </c>
      <c r="H89" s="655" t="s">
        <v>819</v>
      </c>
      <c r="I89" s="655" t="s">
        <v>7652</v>
      </c>
      <c r="J89" s="712"/>
      <c r="K89" s="655" t="s">
        <v>830</v>
      </c>
      <c r="L89" s="655" t="s">
        <v>7460</v>
      </c>
      <c r="M89" s="660">
        <v>360072.13</v>
      </c>
      <c r="N89" s="660">
        <v>14583.04</v>
      </c>
      <c r="O89" s="660">
        <v>59944.83</v>
      </c>
      <c r="P89" s="660">
        <v>434600</v>
      </c>
      <c r="Q89" s="548"/>
      <c r="R89" s="660">
        <v>315880.53000000003</v>
      </c>
      <c r="S89" s="549">
        <f t="shared" si="46"/>
        <v>118719.46999999997</v>
      </c>
      <c r="T89" s="113" t="s">
        <v>1932</v>
      </c>
      <c r="U89" s="722" t="str">
        <f t="shared" si="36"/>
        <v>AA12467</v>
      </c>
      <c r="V89" s="723" t="str">
        <f t="shared" si="37"/>
        <v>0216-TCN18</v>
      </c>
      <c r="W89" s="722">
        <f t="shared" si="38"/>
        <v>520815</v>
      </c>
      <c r="X89" s="722" t="str">
        <f t="shared" si="47"/>
        <v>RAV4 L4 AWD XLE</v>
      </c>
      <c r="Y89" s="723">
        <f t="shared" si="47"/>
        <v>2018</v>
      </c>
      <c r="Z89" s="778">
        <f t="shared" si="40"/>
        <v>360072.13</v>
      </c>
      <c r="AA89" s="629"/>
      <c r="AB89" s="794"/>
      <c r="AC89" s="779">
        <f t="shared" si="41"/>
        <v>344993.21</v>
      </c>
      <c r="AD89" s="726">
        <f t="shared" si="42"/>
        <v>0.15</v>
      </c>
      <c r="AE89" s="727">
        <f t="shared" si="43"/>
        <v>12321.2</v>
      </c>
      <c r="AF89" s="725">
        <f t="shared" si="34"/>
        <v>14583.04</v>
      </c>
      <c r="AG89" s="727">
        <f t="shared" si="44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x14ac:dyDescent="0.2">
      <c r="A90" s="423">
        <f t="shared" si="45"/>
        <v>85</v>
      </c>
      <c r="B90" s="721" t="s">
        <v>7896</v>
      </c>
      <c r="C90" s="771">
        <v>520815</v>
      </c>
      <c r="D90" s="771">
        <v>4492</v>
      </c>
      <c r="E90" s="771" t="s">
        <v>694</v>
      </c>
      <c r="F90" s="546">
        <v>2018</v>
      </c>
      <c r="G90" s="659">
        <v>43060</v>
      </c>
      <c r="H90" s="655" t="s">
        <v>792</v>
      </c>
      <c r="I90" s="655" t="s">
        <v>7646</v>
      </c>
      <c r="J90" s="712"/>
      <c r="K90" s="655" t="s">
        <v>8140</v>
      </c>
      <c r="L90" s="655" t="s">
        <v>7454</v>
      </c>
      <c r="M90" s="660">
        <v>360072.13</v>
      </c>
      <c r="N90" s="660">
        <v>14583.04</v>
      </c>
      <c r="O90" s="660">
        <v>59944.83</v>
      </c>
      <c r="P90" s="660">
        <v>434600</v>
      </c>
      <c r="Q90" s="548"/>
      <c r="R90" s="660">
        <v>315880.7</v>
      </c>
      <c r="S90" s="549">
        <f t="shared" si="46"/>
        <v>118719.29999999999</v>
      </c>
      <c r="T90" s="113" t="s">
        <v>1932</v>
      </c>
      <c r="U90" s="722" t="str">
        <f t="shared" si="36"/>
        <v>AA12362</v>
      </c>
      <c r="V90" s="723" t="str">
        <f t="shared" si="37"/>
        <v>0218-TCN18</v>
      </c>
      <c r="W90" s="722">
        <f t="shared" si="38"/>
        <v>520815</v>
      </c>
      <c r="X90" s="722" t="str">
        <f t="shared" si="47"/>
        <v>RAV4 L4 AWD XLE</v>
      </c>
      <c r="Y90" s="723">
        <f t="shared" si="47"/>
        <v>2018</v>
      </c>
      <c r="Z90" s="778">
        <f t="shared" si="40"/>
        <v>360072.13</v>
      </c>
      <c r="AA90" s="629"/>
      <c r="AB90" s="794"/>
      <c r="AC90" s="779">
        <f t="shared" si="41"/>
        <v>344993.21</v>
      </c>
      <c r="AD90" s="726">
        <f t="shared" si="42"/>
        <v>0.15</v>
      </c>
      <c r="AE90" s="727">
        <f t="shared" si="43"/>
        <v>12321.2</v>
      </c>
      <c r="AF90" s="725">
        <f t="shared" si="34"/>
        <v>14583.04</v>
      </c>
      <c r="AG90" s="727">
        <f t="shared" si="44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45"/>
        <v>86</v>
      </c>
      <c r="B91" s="721" t="s">
        <v>7950</v>
      </c>
      <c r="C91" s="771">
        <v>1520202</v>
      </c>
      <c r="D91" s="771">
        <v>5611</v>
      </c>
      <c r="E91" s="771" t="s">
        <v>225</v>
      </c>
      <c r="F91" s="546"/>
      <c r="G91" s="659">
        <v>43052</v>
      </c>
      <c r="H91" s="655" t="s">
        <v>819</v>
      </c>
      <c r="I91" s="655" t="s">
        <v>7683</v>
      </c>
      <c r="J91" s="712"/>
      <c r="K91" s="655" t="s">
        <v>8155</v>
      </c>
      <c r="L91" s="655" t="s">
        <v>7491</v>
      </c>
      <c r="M91" s="660">
        <v>394255.04</v>
      </c>
      <c r="N91" s="660">
        <v>19710.48</v>
      </c>
      <c r="O91" s="660">
        <v>66234.48</v>
      </c>
      <c r="P91" s="660">
        <v>480200</v>
      </c>
      <c r="Q91" s="548"/>
      <c r="R91" s="660">
        <v>349547.89</v>
      </c>
      <c r="S91" s="549">
        <f t="shared" si="46"/>
        <v>130652.10999999999</v>
      </c>
      <c r="T91" s="113" t="s">
        <v>1931</v>
      </c>
      <c r="U91" s="722" t="str">
        <f t="shared" si="36"/>
        <v>AA12292</v>
      </c>
      <c r="V91" s="723" t="str">
        <f t="shared" si="37"/>
        <v>0206-TCN18</v>
      </c>
      <c r="W91" s="722">
        <f t="shared" si="38"/>
        <v>1520202</v>
      </c>
      <c r="X91" s="722" t="str">
        <f t="shared" si="47"/>
        <v>HIACE PANEL 15 PASAJ AC</v>
      </c>
      <c r="Y91" s="723">
        <f t="shared" si="47"/>
        <v>0</v>
      </c>
      <c r="Z91" s="778">
        <f t="shared" si="40"/>
        <v>394255.04</v>
      </c>
      <c r="AA91" s="624"/>
      <c r="AB91" s="791"/>
      <c r="AC91" s="779">
        <f t="shared" si="41"/>
        <v>344993.21</v>
      </c>
      <c r="AD91" s="726">
        <f t="shared" si="42"/>
        <v>0.15</v>
      </c>
      <c r="AE91" s="727">
        <f t="shared" si="43"/>
        <v>12321.2</v>
      </c>
      <c r="AF91" s="727">
        <f t="shared" si="34"/>
        <v>19710.48</v>
      </c>
      <c r="AG91" s="727">
        <f t="shared" si="44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45"/>
        <v>87</v>
      </c>
      <c r="B92" s="721" t="s">
        <v>7953</v>
      </c>
      <c r="C92" s="771">
        <v>1520202</v>
      </c>
      <c r="D92" s="771">
        <v>5611</v>
      </c>
      <c r="E92" s="771" t="s">
        <v>225</v>
      </c>
      <c r="F92" s="546"/>
      <c r="G92" s="659">
        <v>43053</v>
      </c>
      <c r="H92" s="655" t="s">
        <v>819</v>
      </c>
      <c r="I92" s="655" t="s">
        <v>7683</v>
      </c>
      <c r="J92" s="712"/>
      <c r="K92" s="655" t="s">
        <v>8155</v>
      </c>
      <c r="L92" s="655" t="s">
        <v>7491</v>
      </c>
      <c r="M92" s="660">
        <v>-394255.04</v>
      </c>
      <c r="N92" s="660">
        <v>-19710.48</v>
      </c>
      <c r="O92" s="660">
        <v>-66234.48</v>
      </c>
      <c r="P92" s="660">
        <v>-480200</v>
      </c>
      <c r="Q92" s="548"/>
      <c r="R92" s="660">
        <v>-349547.89</v>
      </c>
      <c r="S92" s="549">
        <f t="shared" si="46"/>
        <v>-130652.10999999999</v>
      </c>
      <c r="T92" s="113" t="s">
        <v>1931</v>
      </c>
      <c r="U92" s="722" t="str">
        <f t="shared" si="36"/>
        <v>ZA04438</v>
      </c>
      <c r="V92" s="723" t="str">
        <f t="shared" si="37"/>
        <v>0206-TCN18</v>
      </c>
      <c r="W92" s="722">
        <f t="shared" si="38"/>
        <v>1520202</v>
      </c>
      <c r="X92" s="722" t="str">
        <f t="shared" si="47"/>
        <v>HIACE PANEL 15 PASAJ AC</v>
      </c>
      <c r="Y92" s="723">
        <f t="shared" si="47"/>
        <v>0</v>
      </c>
      <c r="Z92" s="778">
        <f t="shared" si="40"/>
        <v>-394255.04</v>
      </c>
      <c r="AA92" s="725">
        <f>+SUM(Z80:Z92)</f>
        <v>3101022.9299999997</v>
      </c>
      <c r="AB92" s="761">
        <v>13</v>
      </c>
      <c r="AC92" s="779" t="e">
        <f t="shared" si="41"/>
        <v>#N/A</v>
      </c>
      <c r="AD92" s="726" t="e">
        <f t="shared" si="42"/>
        <v>#N/A</v>
      </c>
      <c r="AE92" s="727" t="e">
        <f t="shared" si="43"/>
        <v>#N/A</v>
      </c>
      <c r="AF92" s="727">
        <f t="shared" si="34"/>
        <v>-19710.48</v>
      </c>
      <c r="AG92" s="727">
        <f t="shared" si="44"/>
        <v>0</v>
      </c>
      <c r="AH92" s="361"/>
      <c r="AI92" s="740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3">
        <f t="shared" si="45"/>
        <v>88</v>
      </c>
      <c r="B93" s="721" t="s">
        <v>7897</v>
      </c>
      <c r="C93" s="771">
        <v>520815</v>
      </c>
      <c r="D93" s="771">
        <v>4492</v>
      </c>
      <c r="E93" s="771" t="s">
        <v>694</v>
      </c>
      <c r="F93" s="546">
        <v>2018</v>
      </c>
      <c r="G93" s="659">
        <v>43060</v>
      </c>
      <c r="H93" s="655" t="s">
        <v>1207</v>
      </c>
      <c r="I93" s="655" t="s">
        <v>7647</v>
      </c>
      <c r="J93" s="712"/>
      <c r="K93" s="655" t="s">
        <v>8141</v>
      </c>
      <c r="L93" s="655" t="s">
        <v>7455</v>
      </c>
      <c r="M93" s="660">
        <v>360072.13</v>
      </c>
      <c r="N93" s="660">
        <v>14583.04</v>
      </c>
      <c r="O93" s="660">
        <v>59944.83</v>
      </c>
      <c r="P93" s="660">
        <v>434600</v>
      </c>
      <c r="Q93" s="548"/>
      <c r="R93" s="660">
        <v>315879.67</v>
      </c>
      <c r="S93" s="549">
        <f t="shared" si="46"/>
        <v>118720.33000000002</v>
      </c>
      <c r="T93" s="267" t="s">
        <v>1932</v>
      </c>
      <c r="U93" s="722" t="str">
        <f t="shared" si="36"/>
        <v>AA12363</v>
      </c>
      <c r="V93" s="723" t="str">
        <f t="shared" si="37"/>
        <v>0219-TCN18</v>
      </c>
      <c r="W93" s="722">
        <f t="shared" si="38"/>
        <v>520815</v>
      </c>
      <c r="X93" s="722" t="str">
        <f t="shared" si="47"/>
        <v>RAV4 L4 AWD XLE</v>
      </c>
      <c r="Y93" s="723">
        <f t="shared" si="47"/>
        <v>2018</v>
      </c>
      <c r="Z93" s="778">
        <f t="shared" si="40"/>
        <v>360072.13</v>
      </c>
      <c r="AA93" s="629"/>
      <c r="AB93" s="794"/>
      <c r="AC93" s="779">
        <f t="shared" si="41"/>
        <v>344993.21</v>
      </c>
      <c r="AD93" s="726">
        <f t="shared" si="42"/>
        <v>0.15</v>
      </c>
      <c r="AE93" s="727">
        <f t="shared" si="43"/>
        <v>12321.2</v>
      </c>
      <c r="AF93" s="725">
        <f t="shared" si="34"/>
        <v>14583.04</v>
      </c>
      <c r="AG93" s="727">
        <f t="shared" si="44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3">
        <f t="shared" si="45"/>
        <v>89</v>
      </c>
      <c r="B94" s="721" t="s">
        <v>7902</v>
      </c>
      <c r="C94" s="771">
        <v>520815</v>
      </c>
      <c r="D94" s="771">
        <v>4492</v>
      </c>
      <c r="E94" s="771" t="s">
        <v>694</v>
      </c>
      <c r="F94" s="546">
        <v>2018</v>
      </c>
      <c r="G94" s="659">
        <v>43067</v>
      </c>
      <c r="H94" s="655" t="s">
        <v>774</v>
      </c>
      <c r="I94" s="655" t="s">
        <v>7649</v>
      </c>
      <c r="J94" s="712"/>
      <c r="K94" s="655" t="s">
        <v>8142</v>
      </c>
      <c r="L94" s="655" t="s">
        <v>7457</v>
      </c>
      <c r="M94" s="660">
        <v>360072.13</v>
      </c>
      <c r="N94" s="660">
        <v>14583.04</v>
      </c>
      <c r="O94" s="660">
        <v>59944.83</v>
      </c>
      <c r="P94" s="660">
        <v>434600</v>
      </c>
      <c r="Q94" s="548"/>
      <c r="R94" s="660">
        <v>315879.67</v>
      </c>
      <c r="S94" s="549">
        <f t="shared" si="46"/>
        <v>118720.33000000002</v>
      </c>
      <c r="T94" s="113" t="s">
        <v>1932</v>
      </c>
      <c r="U94" s="722" t="str">
        <f t="shared" si="36"/>
        <v>AA12424</v>
      </c>
      <c r="V94" s="723" t="str">
        <f t="shared" si="37"/>
        <v>0232-TCN18</v>
      </c>
      <c r="W94" s="722">
        <f t="shared" si="38"/>
        <v>520815</v>
      </c>
      <c r="X94" s="722" t="str">
        <f t="shared" si="47"/>
        <v>RAV4 L4 AWD XLE</v>
      </c>
      <c r="Y94" s="723">
        <f t="shared" si="47"/>
        <v>2018</v>
      </c>
      <c r="Z94" s="778">
        <f t="shared" si="40"/>
        <v>360072.13</v>
      </c>
      <c r="AA94" s="629"/>
      <c r="AB94" s="794"/>
      <c r="AC94" s="779">
        <f t="shared" si="41"/>
        <v>344993.21</v>
      </c>
      <c r="AD94" s="726">
        <f t="shared" si="42"/>
        <v>0.15</v>
      </c>
      <c r="AE94" s="629">
        <f t="shared" si="43"/>
        <v>12321.2</v>
      </c>
      <c r="AF94" s="629">
        <f t="shared" si="34"/>
        <v>14583.04</v>
      </c>
      <c r="AG94" s="727">
        <f t="shared" si="44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45"/>
        <v>90</v>
      </c>
      <c r="B95" s="721" t="s">
        <v>7799</v>
      </c>
      <c r="C95" s="771">
        <v>520222</v>
      </c>
      <c r="D95" s="771">
        <v>1797</v>
      </c>
      <c r="E95" s="771" t="s">
        <v>688</v>
      </c>
      <c r="F95" s="546"/>
      <c r="G95" s="659">
        <v>43057</v>
      </c>
      <c r="H95" s="655" t="s">
        <v>778</v>
      </c>
      <c r="I95" s="655" t="s">
        <v>7589</v>
      </c>
      <c r="J95" s="712"/>
      <c r="K95" s="655" t="s">
        <v>8102</v>
      </c>
      <c r="L95" s="655" t="s">
        <v>7397</v>
      </c>
      <c r="M95" s="660">
        <v>-290620.39</v>
      </c>
      <c r="N95" s="660">
        <v>-7138.23</v>
      </c>
      <c r="O95" s="660">
        <v>-47641.38</v>
      </c>
      <c r="P95" s="660">
        <v>-345400</v>
      </c>
      <c r="Q95" s="548"/>
      <c r="R95" s="660">
        <v>-215706.25</v>
      </c>
      <c r="S95" s="549">
        <f t="shared" si="46"/>
        <v>-129693.75</v>
      </c>
      <c r="T95" s="113" t="s">
        <v>1931</v>
      </c>
      <c r="U95" s="722"/>
      <c r="V95" s="723"/>
      <c r="W95" s="722"/>
      <c r="X95" s="722"/>
      <c r="Y95" s="723"/>
      <c r="Z95" s="778"/>
      <c r="AA95" s="424"/>
      <c r="AB95" s="775"/>
      <c r="AC95" s="779"/>
      <c r="AD95" s="726"/>
      <c r="AE95" s="727"/>
      <c r="AF95" s="727"/>
      <c r="AG95" s="727"/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45"/>
        <v>91</v>
      </c>
      <c r="B96" s="721" t="s">
        <v>7800</v>
      </c>
      <c r="C96" s="771">
        <v>520222</v>
      </c>
      <c r="D96" s="771">
        <v>1797</v>
      </c>
      <c r="E96" s="771" t="s">
        <v>688</v>
      </c>
      <c r="F96" s="546"/>
      <c r="G96" s="659">
        <v>43057</v>
      </c>
      <c r="H96" s="655" t="s">
        <v>778</v>
      </c>
      <c r="I96" s="655" t="s">
        <v>7589</v>
      </c>
      <c r="J96" s="712"/>
      <c r="K96" s="655" t="s">
        <v>8102</v>
      </c>
      <c r="L96" s="655" t="s">
        <v>7397</v>
      </c>
      <c r="M96" s="660">
        <v>290620.39</v>
      </c>
      <c r="N96" s="660">
        <v>7138.23</v>
      </c>
      <c r="O96" s="660">
        <v>47641.38</v>
      </c>
      <c r="P96" s="660">
        <v>345400</v>
      </c>
      <c r="Q96" s="548"/>
      <c r="R96" s="660">
        <v>215706.25</v>
      </c>
      <c r="S96" s="549">
        <f t="shared" si="46"/>
        <v>129693.75</v>
      </c>
      <c r="T96" s="113" t="s">
        <v>1931</v>
      </c>
      <c r="U96" s="267"/>
      <c r="V96" s="93"/>
      <c r="W96" s="267"/>
      <c r="X96" s="267"/>
      <c r="Y96" s="93"/>
      <c r="Z96" s="618"/>
      <c r="AA96" s="424"/>
      <c r="AB96" s="775"/>
      <c r="AC96" s="424"/>
      <c r="AD96" s="425"/>
      <c r="AE96" s="396"/>
      <c r="AF96" s="396"/>
      <c r="AG96" s="396"/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45"/>
        <v>92</v>
      </c>
      <c r="B97" s="721" t="s">
        <v>7906</v>
      </c>
      <c r="C97" s="771">
        <v>520815</v>
      </c>
      <c r="D97" s="771">
        <v>4492</v>
      </c>
      <c r="E97" s="771" t="s">
        <v>694</v>
      </c>
      <c r="F97" s="546">
        <v>2018</v>
      </c>
      <c r="G97" s="659">
        <v>43067</v>
      </c>
      <c r="H97" s="655" t="s">
        <v>792</v>
      </c>
      <c r="I97" s="655" t="s">
        <v>7651</v>
      </c>
      <c r="J97" s="712"/>
      <c r="K97" s="655" t="s">
        <v>8143</v>
      </c>
      <c r="L97" s="655" t="s">
        <v>7459</v>
      </c>
      <c r="M97" s="660">
        <v>360072.13</v>
      </c>
      <c r="N97" s="660">
        <v>14583.04</v>
      </c>
      <c r="O97" s="660">
        <v>59944.83</v>
      </c>
      <c r="P97" s="660">
        <v>434600</v>
      </c>
      <c r="Q97" s="548"/>
      <c r="R97" s="660">
        <v>315879.67</v>
      </c>
      <c r="S97" s="549">
        <f t="shared" si="46"/>
        <v>118720.33000000002</v>
      </c>
      <c r="T97" s="267" t="s">
        <v>1932</v>
      </c>
      <c r="U97" s="722" t="str">
        <f t="shared" ref="U97:U98" si="48">+B97</f>
        <v>AA12475</v>
      </c>
      <c r="V97" s="723" t="str">
        <f t="shared" ref="V97:V98" si="49">+I97</f>
        <v>0243-TCN18</v>
      </c>
      <c r="W97" s="722">
        <f t="shared" ref="W97:W98" si="50">+C97</f>
        <v>520815</v>
      </c>
      <c r="X97" s="722" t="str">
        <f t="shared" ref="X97:X98" si="51">+E97</f>
        <v>RAV4 L4 AWD XLE</v>
      </c>
      <c r="Y97" s="723">
        <f t="shared" ref="Y97:Y98" si="52">+F97</f>
        <v>2018</v>
      </c>
      <c r="Z97" s="778">
        <f t="shared" ref="Z97:Z98" si="53">+M97</f>
        <v>360072.13</v>
      </c>
      <c r="AA97" s="629"/>
      <c r="AB97" s="793"/>
      <c r="AC97" s="779">
        <f t="shared" ref="AC97:AC98" si="54">VLOOKUP(Z97,TARIFA,1)</f>
        <v>344993.21</v>
      </c>
      <c r="AD97" s="726">
        <f t="shared" ref="AD97:AD98" si="55">VLOOKUP(Z97,TARIFA,4)</f>
        <v>0.15</v>
      </c>
      <c r="AE97" s="629">
        <f t="shared" ref="AE97:AE98" si="56">VLOOKUP(Z97,TARIFA,3)</f>
        <v>12321.2</v>
      </c>
      <c r="AF97" s="629">
        <f t="shared" ref="AF97:AF98" si="57">+N97</f>
        <v>14583.04</v>
      </c>
      <c r="AG97" s="727">
        <f t="shared" ref="AG97:AG98" si="58">+N97-AF97</f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45"/>
        <v>93</v>
      </c>
      <c r="B98" s="721" t="s">
        <v>7892</v>
      </c>
      <c r="C98" s="771">
        <v>520815</v>
      </c>
      <c r="D98" s="771">
        <v>4492</v>
      </c>
      <c r="E98" s="771" t="s">
        <v>694</v>
      </c>
      <c r="F98" s="546">
        <v>2017</v>
      </c>
      <c r="G98" s="659">
        <v>43040</v>
      </c>
      <c r="H98" s="655" t="s">
        <v>817</v>
      </c>
      <c r="I98" s="655" t="s">
        <v>6842</v>
      </c>
      <c r="J98" s="712"/>
      <c r="K98" s="655" t="s">
        <v>6844</v>
      </c>
      <c r="L98" s="655" t="s">
        <v>6843</v>
      </c>
      <c r="M98" s="660">
        <v>-346054.14</v>
      </c>
      <c r="N98" s="660">
        <v>-12480.34</v>
      </c>
      <c r="O98" s="660">
        <v>-57365.52</v>
      </c>
      <c r="P98" s="660">
        <v>-415900</v>
      </c>
      <c r="Q98" s="548"/>
      <c r="R98" s="660">
        <v>-311605.18</v>
      </c>
      <c r="S98" s="549">
        <f t="shared" si="46"/>
        <v>-104294.82</v>
      </c>
      <c r="T98" s="113" t="s">
        <v>1266</v>
      </c>
      <c r="U98" s="722" t="str">
        <f t="shared" si="48"/>
        <v>ZA04408</v>
      </c>
      <c r="V98" s="723" t="str">
        <f t="shared" si="49"/>
        <v>1692-TCN17</v>
      </c>
      <c r="W98" s="722">
        <f t="shared" si="50"/>
        <v>520815</v>
      </c>
      <c r="X98" s="722" t="str">
        <f t="shared" si="51"/>
        <v>RAV4 L4 AWD XLE</v>
      </c>
      <c r="Y98" s="723">
        <f t="shared" si="52"/>
        <v>2017</v>
      </c>
      <c r="Z98" s="778">
        <f t="shared" si="53"/>
        <v>-346054.14</v>
      </c>
      <c r="AA98" s="629">
        <f>+SUM(Z86:Z98)</f>
        <v>1814378.6399999997</v>
      </c>
      <c r="AB98" s="793">
        <v>5</v>
      </c>
      <c r="AC98" s="779" t="e">
        <f t="shared" si="54"/>
        <v>#N/A</v>
      </c>
      <c r="AD98" s="726" t="e">
        <f t="shared" si="55"/>
        <v>#N/A</v>
      </c>
      <c r="AE98" s="629" t="e">
        <f t="shared" si="56"/>
        <v>#N/A</v>
      </c>
      <c r="AF98" s="629">
        <f t="shared" si="57"/>
        <v>-12480.34</v>
      </c>
      <c r="AG98" s="727">
        <f t="shared" si="58"/>
        <v>0</v>
      </c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3">
        <f t="shared" si="45"/>
        <v>94</v>
      </c>
      <c r="B99" s="721" t="s">
        <v>7857</v>
      </c>
      <c r="C99" s="771">
        <v>521801</v>
      </c>
      <c r="D99" s="771">
        <v>2201</v>
      </c>
      <c r="E99" s="771" t="s">
        <v>704</v>
      </c>
      <c r="F99" s="546"/>
      <c r="G99" s="659">
        <v>43060</v>
      </c>
      <c r="H99" s="655"/>
      <c r="I99" s="655" t="s">
        <v>7626</v>
      </c>
      <c r="J99" s="712"/>
      <c r="K99" s="655" t="s">
        <v>135</v>
      </c>
      <c r="L99" s="655" t="s">
        <v>7434</v>
      </c>
      <c r="M99" s="660">
        <v>185980.66</v>
      </c>
      <c r="N99" s="660">
        <v>0</v>
      </c>
      <c r="O99" s="660">
        <v>29756.9</v>
      </c>
      <c r="P99" s="660">
        <v>215737.56</v>
      </c>
      <c r="Q99" s="548"/>
      <c r="R99" s="660">
        <v>185625.31</v>
      </c>
      <c r="S99" s="549">
        <f t="shared" si="46"/>
        <v>30112.25</v>
      </c>
      <c r="T99" s="113" t="s">
        <v>283</v>
      </c>
      <c r="U99" s="267"/>
      <c r="V99" s="93"/>
      <c r="W99" s="267"/>
      <c r="X99" s="267"/>
      <c r="Y99" s="93"/>
      <c r="Z99" s="618"/>
      <c r="AA99" s="424"/>
      <c r="AB99" s="715"/>
      <c r="AC99" s="424"/>
      <c r="AD99" s="425"/>
      <c r="AE99" s="424"/>
      <c r="AF99" s="424"/>
      <c r="AG99" s="396"/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3">
        <f t="shared" si="45"/>
        <v>95</v>
      </c>
      <c r="B100" s="721" t="s">
        <v>7922</v>
      </c>
      <c r="C100" s="771">
        <v>520819</v>
      </c>
      <c r="D100" s="771">
        <v>4498</v>
      </c>
      <c r="E100" s="771" t="s">
        <v>696</v>
      </c>
      <c r="F100" s="546">
        <v>2018</v>
      </c>
      <c r="G100" s="659">
        <v>43055</v>
      </c>
      <c r="H100" s="655" t="s">
        <v>2954</v>
      </c>
      <c r="I100" s="655" t="s">
        <v>7664</v>
      </c>
      <c r="J100" s="712"/>
      <c r="K100" s="655" t="s">
        <v>8145</v>
      </c>
      <c r="L100" s="655" t="s">
        <v>7472</v>
      </c>
      <c r="M100" s="660">
        <v>388632.85</v>
      </c>
      <c r="N100" s="660">
        <v>18867.150000000001</v>
      </c>
      <c r="O100" s="660">
        <v>65200</v>
      </c>
      <c r="P100" s="660">
        <v>472700</v>
      </c>
      <c r="Q100" s="548"/>
      <c r="R100" s="660">
        <v>336481.41</v>
      </c>
      <c r="S100" s="549">
        <f t="shared" si="46"/>
        <v>136218.59000000003</v>
      </c>
      <c r="T100" s="113" t="s">
        <v>1932</v>
      </c>
      <c r="U100" s="722" t="str">
        <f t="shared" ref="U100:U102" si="59">+B100</f>
        <v>AA12328</v>
      </c>
      <c r="V100" s="723" t="str">
        <f t="shared" ref="V100:V102" si="60">+I100</f>
        <v>0212-TCN18</v>
      </c>
      <c r="W100" s="722">
        <f t="shared" ref="W100:W102" si="61">+C100</f>
        <v>520819</v>
      </c>
      <c r="X100" s="722" t="str">
        <f t="shared" ref="X100:X102" si="62">+E100</f>
        <v>RAV4 XLE PLUS</v>
      </c>
      <c r="Y100" s="723">
        <f t="shared" ref="Y100:Y102" si="63">+F100</f>
        <v>2018</v>
      </c>
      <c r="Z100" s="778">
        <f t="shared" ref="Z100:Z102" si="64">+M100</f>
        <v>388632.85</v>
      </c>
      <c r="AA100" s="629">
        <f>+Z100</f>
        <v>388632.85</v>
      </c>
      <c r="AB100" s="795">
        <v>1</v>
      </c>
      <c r="AC100" s="779">
        <f t="shared" ref="AC100:AC102" si="65">VLOOKUP(Z100,TARIFA,1)</f>
        <v>344993.21</v>
      </c>
      <c r="AD100" s="726">
        <f t="shared" ref="AD100:AD102" si="66">VLOOKUP(Z100,TARIFA,4)</f>
        <v>0.15</v>
      </c>
      <c r="AE100" s="629">
        <f t="shared" ref="AE100:AE102" si="67">VLOOKUP(Z100,TARIFA,3)</f>
        <v>12321.2</v>
      </c>
      <c r="AF100" s="629">
        <f t="shared" ref="AF100:AF102" si="68">+N100</f>
        <v>18867.150000000001</v>
      </c>
      <c r="AG100" s="727">
        <f t="shared" ref="AG100:AG102" si="69">+N100-AF100</f>
        <v>0</v>
      </c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3">
        <f t="shared" si="45"/>
        <v>96</v>
      </c>
      <c r="B101" s="721" t="s">
        <v>7844</v>
      </c>
      <c r="C101" s="771">
        <v>520905</v>
      </c>
      <c r="D101" s="771">
        <v>2009</v>
      </c>
      <c r="E101" s="771" t="s">
        <v>698</v>
      </c>
      <c r="F101" s="546">
        <v>2017</v>
      </c>
      <c r="G101" s="659">
        <v>43060</v>
      </c>
      <c r="H101" s="655" t="s">
        <v>5621</v>
      </c>
      <c r="I101" s="655" t="s">
        <v>7618</v>
      </c>
      <c r="J101" s="712"/>
      <c r="K101" s="655" t="s">
        <v>8120</v>
      </c>
      <c r="L101" s="655" t="s">
        <v>7426</v>
      </c>
      <c r="M101" s="660">
        <v>213275.86</v>
      </c>
      <c r="N101" s="660">
        <v>0</v>
      </c>
      <c r="O101" s="660">
        <v>34124.14</v>
      </c>
      <c r="P101" s="660">
        <v>247400</v>
      </c>
      <c r="Q101" s="548"/>
      <c r="R101" s="660">
        <v>203130</v>
      </c>
      <c r="S101" s="549">
        <f t="shared" si="46"/>
        <v>44270</v>
      </c>
      <c r="T101" s="113" t="s">
        <v>1932</v>
      </c>
      <c r="U101" s="722" t="str">
        <f t="shared" si="59"/>
        <v>AA12339</v>
      </c>
      <c r="V101" s="723" t="str">
        <f t="shared" si="60"/>
        <v>1954-TCN17</v>
      </c>
      <c r="W101" s="722">
        <f t="shared" si="61"/>
        <v>520905</v>
      </c>
      <c r="X101" s="722" t="str">
        <f t="shared" si="62"/>
        <v>YARIS HB S CVT</v>
      </c>
      <c r="Y101" s="723">
        <f t="shared" si="63"/>
        <v>2017</v>
      </c>
      <c r="Z101" s="778">
        <f t="shared" si="64"/>
        <v>213275.86</v>
      </c>
      <c r="AA101" s="629"/>
      <c r="AB101" s="795"/>
      <c r="AC101" s="779">
        <f t="shared" si="65"/>
        <v>0.01</v>
      </c>
      <c r="AD101" s="726">
        <f t="shared" si="66"/>
        <v>0.02</v>
      </c>
      <c r="AE101" s="629">
        <f t="shared" si="67"/>
        <v>0</v>
      </c>
      <c r="AF101" s="629">
        <f t="shared" si="68"/>
        <v>0</v>
      </c>
      <c r="AG101" s="727">
        <f t="shared" si="69"/>
        <v>0</v>
      </c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45"/>
        <v>97</v>
      </c>
      <c r="B102" s="721" t="s">
        <v>7849</v>
      </c>
      <c r="C102" s="771">
        <v>520905</v>
      </c>
      <c r="D102" s="771">
        <v>2009</v>
      </c>
      <c r="E102" s="771" t="s">
        <v>698</v>
      </c>
      <c r="F102" s="546">
        <v>2017</v>
      </c>
      <c r="G102" s="659">
        <v>43067</v>
      </c>
      <c r="H102" s="655" t="s">
        <v>727</v>
      </c>
      <c r="I102" s="655" t="s">
        <v>7623</v>
      </c>
      <c r="J102" s="712"/>
      <c r="K102" s="655" t="s">
        <v>8125</v>
      </c>
      <c r="L102" s="655" t="s">
        <v>7431</v>
      </c>
      <c r="M102" s="660">
        <v>213275.86</v>
      </c>
      <c r="N102" s="660">
        <v>0</v>
      </c>
      <c r="O102" s="660">
        <v>34124.14</v>
      </c>
      <c r="P102" s="660">
        <v>247400</v>
      </c>
      <c r="Q102" s="548"/>
      <c r="R102" s="660">
        <v>201323.01</v>
      </c>
      <c r="S102" s="549">
        <f t="shared" si="46"/>
        <v>46076.989999999991</v>
      </c>
      <c r="T102" s="113" t="s">
        <v>1932</v>
      </c>
      <c r="U102" s="722" t="str">
        <f t="shared" si="59"/>
        <v>AA12438</v>
      </c>
      <c r="V102" s="723" t="str">
        <f t="shared" si="60"/>
        <v>1975-TCN17</v>
      </c>
      <c r="W102" s="722">
        <f t="shared" si="61"/>
        <v>520905</v>
      </c>
      <c r="X102" s="722" t="str">
        <f t="shared" si="62"/>
        <v>YARIS HB S CVT</v>
      </c>
      <c r="Y102" s="723">
        <f t="shared" si="63"/>
        <v>2017</v>
      </c>
      <c r="Z102" s="778">
        <f t="shared" si="64"/>
        <v>213275.86</v>
      </c>
      <c r="AA102" s="629">
        <f>+Z102+Z101</f>
        <v>426551.72</v>
      </c>
      <c r="AB102" s="799">
        <v>2</v>
      </c>
      <c r="AC102" s="779">
        <f t="shared" si="65"/>
        <v>0.01</v>
      </c>
      <c r="AD102" s="726">
        <f t="shared" si="66"/>
        <v>0.02</v>
      </c>
      <c r="AE102" s="629">
        <f t="shared" si="67"/>
        <v>0</v>
      </c>
      <c r="AF102" s="629">
        <f t="shared" si="68"/>
        <v>0</v>
      </c>
      <c r="AG102" s="727">
        <f t="shared" si="69"/>
        <v>0</v>
      </c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3">
        <f t="shared" si="45"/>
        <v>98</v>
      </c>
      <c r="B103" s="721" t="s">
        <v>8019</v>
      </c>
      <c r="C103" s="771">
        <v>1520104</v>
      </c>
      <c r="D103" s="771">
        <v>7493</v>
      </c>
      <c r="E103" s="771" t="s">
        <v>6945</v>
      </c>
      <c r="F103" s="546"/>
      <c r="G103" s="659">
        <v>43060</v>
      </c>
      <c r="H103" s="655" t="s">
        <v>727</v>
      </c>
      <c r="I103" s="655" t="s">
        <v>7711</v>
      </c>
      <c r="J103" s="712"/>
      <c r="K103" s="655" t="s">
        <v>8166</v>
      </c>
      <c r="L103" s="655" t="s">
        <v>7519</v>
      </c>
      <c r="M103" s="660">
        <v>-253694.58</v>
      </c>
      <c r="N103" s="660">
        <v>-12684.73</v>
      </c>
      <c r="O103" s="660">
        <v>-42620.69</v>
      </c>
      <c r="P103" s="660">
        <v>-309000</v>
      </c>
      <c r="Q103" s="548"/>
      <c r="R103" s="660">
        <v>-232834.08</v>
      </c>
      <c r="S103" s="549">
        <f t="shared" si="46"/>
        <v>-76165.920000000013</v>
      </c>
      <c r="T103" s="113" t="s">
        <v>1931</v>
      </c>
      <c r="U103" s="267"/>
      <c r="V103" s="298" t="s">
        <v>6705</v>
      </c>
      <c r="W103" s="437" t="s">
        <v>7125</v>
      </c>
      <c r="X103" s="382"/>
      <c r="AG103" s="424" t="e">
        <f>SUM(AG6:AG102)</f>
        <v>#N/A</v>
      </c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3">
        <f t="shared" si="45"/>
        <v>99</v>
      </c>
      <c r="B104" s="721" t="s">
        <v>8020</v>
      </c>
      <c r="C104" s="771">
        <v>1520104</v>
      </c>
      <c r="D104" s="771">
        <v>7493</v>
      </c>
      <c r="E104" s="771" t="s">
        <v>6945</v>
      </c>
      <c r="F104" s="546"/>
      <c r="G104" s="659">
        <v>43060</v>
      </c>
      <c r="H104" s="655" t="s">
        <v>727</v>
      </c>
      <c r="I104" s="655" t="s">
        <v>7711</v>
      </c>
      <c r="J104" s="712"/>
      <c r="K104" s="655" t="s">
        <v>8166</v>
      </c>
      <c r="L104" s="655" t="s">
        <v>7519</v>
      </c>
      <c r="M104" s="660">
        <v>253694.58</v>
      </c>
      <c r="N104" s="660">
        <v>12684.73</v>
      </c>
      <c r="O104" s="660">
        <v>42620.69</v>
      </c>
      <c r="P104" s="660">
        <v>309000</v>
      </c>
      <c r="Q104" s="548"/>
      <c r="R104" s="660">
        <v>232834.08</v>
      </c>
      <c r="S104" s="549">
        <f t="shared" si="46"/>
        <v>76165.920000000013</v>
      </c>
      <c r="T104" s="113" t="s">
        <v>1931</v>
      </c>
      <c r="U104" s="267"/>
      <c r="V104" s="298" t="s">
        <v>6704</v>
      </c>
      <c r="W104" s="437" t="s">
        <v>7270</v>
      </c>
      <c r="X104" s="271"/>
      <c r="AG104" s="440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3">
        <f t="shared" si="45"/>
        <v>100</v>
      </c>
      <c r="B105" s="721" t="s">
        <v>7837</v>
      </c>
      <c r="C105" s="771">
        <v>520908</v>
      </c>
      <c r="D105" s="771">
        <v>2008</v>
      </c>
      <c r="E105" s="771" t="s">
        <v>697</v>
      </c>
      <c r="F105" s="546">
        <v>2017</v>
      </c>
      <c r="G105" s="659">
        <v>43053</v>
      </c>
      <c r="H105" s="655" t="s">
        <v>774</v>
      </c>
      <c r="I105" s="655" t="s">
        <v>7613</v>
      </c>
      <c r="J105" s="712"/>
      <c r="K105" s="655" t="s">
        <v>8116</v>
      </c>
      <c r="L105" s="655" t="s">
        <v>7421</v>
      </c>
      <c r="M105" s="660">
        <v>203534.48</v>
      </c>
      <c r="N105" s="660">
        <v>0</v>
      </c>
      <c r="O105" s="660">
        <v>32565.52</v>
      </c>
      <c r="P105" s="660">
        <v>236100</v>
      </c>
      <c r="Q105" s="548"/>
      <c r="R105" s="660">
        <v>189107.53</v>
      </c>
      <c r="S105" s="549">
        <f t="shared" si="46"/>
        <v>46992.47</v>
      </c>
      <c r="T105" s="113" t="s">
        <v>1932</v>
      </c>
      <c r="U105" s="722" t="str">
        <f t="shared" ref="U105:U110" si="70">+B105</f>
        <v>AA12303</v>
      </c>
      <c r="V105" s="723" t="str">
        <f t="shared" ref="V105:V110" si="71">+I105</f>
        <v>1641-TCN17</v>
      </c>
      <c r="W105" s="722">
        <f t="shared" ref="W105:W110" si="72">+C105</f>
        <v>520908</v>
      </c>
      <c r="X105" s="722" t="str">
        <f t="shared" ref="X105:X110" si="73">+E105</f>
        <v>YARIS HB S MT</v>
      </c>
      <c r="Y105" s="723">
        <f t="shared" ref="Y105:Y110" si="74">+F105</f>
        <v>2017</v>
      </c>
      <c r="Z105" s="778">
        <f t="shared" ref="Z105:Z110" si="75">+M105</f>
        <v>203534.48</v>
      </c>
      <c r="AA105" s="629"/>
      <c r="AB105" s="795"/>
      <c r="AC105" s="779">
        <f t="shared" ref="AC105:AC110" si="76">VLOOKUP(Z105,TARIFA,1)</f>
        <v>0.01</v>
      </c>
      <c r="AD105" s="726">
        <f t="shared" ref="AD105:AD110" si="77">VLOOKUP(Z105,TARIFA,4)</f>
        <v>0.02</v>
      </c>
      <c r="AE105" s="629">
        <f t="shared" ref="AE105:AE110" si="78">VLOOKUP(Z105,TARIFA,3)</f>
        <v>0</v>
      </c>
      <c r="AF105" s="629">
        <f t="shared" ref="AF105:AF110" si="79">+N105</f>
        <v>0</v>
      </c>
      <c r="AG105" s="727">
        <f t="shared" ref="AG105:AG110" si="80">+N105-AF105</f>
        <v>0</v>
      </c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3">
        <f t="shared" si="45"/>
        <v>101</v>
      </c>
      <c r="B106" s="721" t="s">
        <v>7833</v>
      </c>
      <c r="C106" s="771">
        <v>520908</v>
      </c>
      <c r="D106" s="771">
        <v>2008</v>
      </c>
      <c r="E106" s="771" t="s">
        <v>697</v>
      </c>
      <c r="F106" s="546">
        <v>2017</v>
      </c>
      <c r="G106" s="659">
        <v>43048</v>
      </c>
      <c r="H106" s="655" t="s">
        <v>1207</v>
      </c>
      <c r="I106" s="655" t="s">
        <v>7612</v>
      </c>
      <c r="J106" s="712"/>
      <c r="K106" s="655" t="s">
        <v>8115</v>
      </c>
      <c r="L106" s="655" t="s">
        <v>7420</v>
      </c>
      <c r="M106" s="660">
        <v>203534.48</v>
      </c>
      <c r="N106" s="660">
        <v>0</v>
      </c>
      <c r="O106" s="660">
        <v>32565.52</v>
      </c>
      <c r="P106" s="660">
        <v>236100</v>
      </c>
      <c r="Q106" s="548"/>
      <c r="R106" s="660">
        <v>188753.05</v>
      </c>
      <c r="S106" s="549">
        <f t="shared" si="46"/>
        <v>47346.950000000012</v>
      </c>
      <c r="T106" s="113" t="s">
        <v>1932</v>
      </c>
      <c r="U106" s="722" t="str">
        <f t="shared" si="70"/>
        <v>AA12274</v>
      </c>
      <c r="V106" s="723" t="str">
        <f t="shared" si="71"/>
        <v>1760-TCN17</v>
      </c>
      <c r="W106" s="722">
        <f t="shared" si="72"/>
        <v>520908</v>
      </c>
      <c r="X106" s="722" t="str">
        <f t="shared" si="73"/>
        <v>YARIS HB S MT</v>
      </c>
      <c r="Y106" s="723">
        <f t="shared" si="74"/>
        <v>2017</v>
      </c>
      <c r="Z106" s="778">
        <f t="shared" si="75"/>
        <v>203534.48</v>
      </c>
      <c r="AA106" s="629">
        <f>+Z106+Z105</f>
        <v>407068.96</v>
      </c>
      <c r="AB106" s="799">
        <v>2</v>
      </c>
      <c r="AC106" s="779">
        <f t="shared" si="76"/>
        <v>0.01</v>
      </c>
      <c r="AD106" s="726">
        <f t="shared" si="77"/>
        <v>0.02</v>
      </c>
      <c r="AE106" s="629">
        <f t="shared" si="78"/>
        <v>0</v>
      </c>
      <c r="AF106" s="629">
        <f t="shared" si="79"/>
        <v>0</v>
      </c>
      <c r="AG106" s="727">
        <f t="shared" si="80"/>
        <v>0</v>
      </c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3">
        <f t="shared" si="45"/>
        <v>102</v>
      </c>
      <c r="B107" s="721" t="s">
        <v>7847</v>
      </c>
      <c r="C107" s="771">
        <v>520909</v>
      </c>
      <c r="D107" s="771">
        <v>2009</v>
      </c>
      <c r="E107" s="771" t="s">
        <v>698</v>
      </c>
      <c r="F107" s="546">
        <v>2017</v>
      </c>
      <c r="G107" s="659">
        <v>43067</v>
      </c>
      <c r="H107" s="655" t="s">
        <v>7762</v>
      </c>
      <c r="I107" s="655" t="s">
        <v>7621</v>
      </c>
      <c r="J107" s="712"/>
      <c r="K107" s="655" t="s">
        <v>8123</v>
      </c>
      <c r="L107" s="655" t="s">
        <v>7429</v>
      </c>
      <c r="M107" s="660">
        <v>206896.55</v>
      </c>
      <c r="N107" s="660">
        <v>0</v>
      </c>
      <c r="O107" s="660">
        <v>33103.449999999997</v>
      </c>
      <c r="P107" s="660">
        <v>240000</v>
      </c>
      <c r="Q107" s="548"/>
      <c r="R107" s="660">
        <v>193640.98</v>
      </c>
      <c r="S107" s="549">
        <f t="shared" si="46"/>
        <v>46359.01999999999</v>
      </c>
      <c r="T107" s="113" t="s">
        <v>1932</v>
      </c>
      <c r="U107" s="722" t="str">
        <f t="shared" si="70"/>
        <v>AA12419</v>
      </c>
      <c r="V107" s="723" t="str">
        <f t="shared" si="71"/>
        <v>1177-TCN17</v>
      </c>
      <c r="W107" s="722">
        <f t="shared" si="72"/>
        <v>520909</v>
      </c>
      <c r="X107" s="722" t="str">
        <f t="shared" si="73"/>
        <v>YARIS HB S CVT</v>
      </c>
      <c r="Y107" s="723">
        <f t="shared" si="74"/>
        <v>2017</v>
      </c>
      <c r="Z107" s="778">
        <f t="shared" si="75"/>
        <v>206896.55</v>
      </c>
      <c r="AA107" s="629"/>
      <c r="AB107" s="795"/>
      <c r="AC107" s="779">
        <f t="shared" si="76"/>
        <v>0.01</v>
      </c>
      <c r="AD107" s="726">
        <f t="shared" si="77"/>
        <v>0.02</v>
      </c>
      <c r="AE107" s="629">
        <f t="shared" si="78"/>
        <v>0</v>
      </c>
      <c r="AF107" s="629">
        <f t="shared" si="79"/>
        <v>0</v>
      </c>
      <c r="AG107" s="727">
        <f t="shared" si="80"/>
        <v>0</v>
      </c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3">
        <f t="shared" si="45"/>
        <v>103</v>
      </c>
      <c r="B108" s="721" t="s">
        <v>7840</v>
      </c>
      <c r="C108" s="771">
        <v>520909</v>
      </c>
      <c r="D108" s="771">
        <v>2009</v>
      </c>
      <c r="E108" s="771" t="s">
        <v>698</v>
      </c>
      <c r="F108" s="546">
        <v>2017</v>
      </c>
      <c r="G108" s="659">
        <v>43048</v>
      </c>
      <c r="H108" s="655" t="s">
        <v>6277</v>
      </c>
      <c r="I108" s="655" t="s">
        <v>7616</v>
      </c>
      <c r="J108" s="712"/>
      <c r="K108" s="655" t="s">
        <v>8118</v>
      </c>
      <c r="L108" s="655" t="s">
        <v>7424</v>
      </c>
      <c r="M108" s="660">
        <v>213275.86</v>
      </c>
      <c r="N108" s="660">
        <v>0</v>
      </c>
      <c r="O108" s="660">
        <v>34124.14</v>
      </c>
      <c r="P108" s="660">
        <v>247400</v>
      </c>
      <c r="Q108" s="548"/>
      <c r="R108" s="660">
        <v>201322.01</v>
      </c>
      <c r="S108" s="549">
        <f t="shared" si="46"/>
        <v>46077.989999999991</v>
      </c>
      <c r="T108" s="113" t="s">
        <v>1932</v>
      </c>
      <c r="U108" s="722" t="str">
        <f t="shared" si="70"/>
        <v>AA12273</v>
      </c>
      <c r="V108" s="723" t="str">
        <f t="shared" si="71"/>
        <v>1607-TCN17</v>
      </c>
      <c r="W108" s="722">
        <f t="shared" si="72"/>
        <v>520909</v>
      </c>
      <c r="X108" s="722" t="str">
        <f t="shared" si="73"/>
        <v>YARIS HB S CVT</v>
      </c>
      <c r="Y108" s="723">
        <f t="shared" si="74"/>
        <v>2017</v>
      </c>
      <c r="Z108" s="778">
        <f t="shared" si="75"/>
        <v>213275.86</v>
      </c>
      <c r="AA108" s="629"/>
      <c r="AB108" s="795"/>
      <c r="AC108" s="779">
        <f t="shared" si="76"/>
        <v>0.01</v>
      </c>
      <c r="AD108" s="726">
        <f t="shared" si="77"/>
        <v>0.02</v>
      </c>
      <c r="AE108" s="629">
        <f t="shared" si="78"/>
        <v>0</v>
      </c>
      <c r="AF108" s="629">
        <f t="shared" si="79"/>
        <v>0</v>
      </c>
      <c r="AG108" s="727">
        <f t="shared" si="80"/>
        <v>0</v>
      </c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45"/>
        <v>104</v>
      </c>
      <c r="B109" s="721" t="s">
        <v>7850</v>
      </c>
      <c r="C109" s="771">
        <v>520909</v>
      </c>
      <c r="D109" s="771">
        <v>2009</v>
      </c>
      <c r="E109" s="771" t="s">
        <v>698</v>
      </c>
      <c r="F109" s="546">
        <v>2017</v>
      </c>
      <c r="G109" s="659">
        <v>43069</v>
      </c>
      <c r="H109" s="655" t="s">
        <v>5129</v>
      </c>
      <c r="I109" s="655" t="s">
        <v>6803</v>
      </c>
      <c r="J109" s="712"/>
      <c r="K109" s="655" t="s">
        <v>8126</v>
      </c>
      <c r="L109" s="655" t="s">
        <v>6804</v>
      </c>
      <c r="M109" s="660">
        <v>213275.86</v>
      </c>
      <c r="N109" s="660">
        <v>0</v>
      </c>
      <c r="O109" s="660">
        <v>34124.14</v>
      </c>
      <c r="P109" s="660">
        <v>247400</v>
      </c>
      <c r="Q109" s="548"/>
      <c r="R109" s="660">
        <v>201322.01</v>
      </c>
      <c r="S109" s="549">
        <f t="shared" si="46"/>
        <v>46077.989999999991</v>
      </c>
      <c r="T109" s="113" t="s">
        <v>1932</v>
      </c>
      <c r="U109" s="722" t="str">
        <f t="shared" si="70"/>
        <v>AA12462</v>
      </c>
      <c r="V109" s="723" t="str">
        <f t="shared" si="71"/>
        <v>1615-TCN17</v>
      </c>
      <c r="W109" s="722">
        <f t="shared" si="72"/>
        <v>520909</v>
      </c>
      <c r="X109" s="722" t="str">
        <f t="shared" si="73"/>
        <v>YARIS HB S CVT</v>
      </c>
      <c r="Y109" s="723">
        <f t="shared" si="74"/>
        <v>2017</v>
      </c>
      <c r="Z109" s="778">
        <f t="shared" si="75"/>
        <v>213275.86</v>
      </c>
      <c r="AA109" s="629"/>
      <c r="AB109" s="795"/>
      <c r="AC109" s="779">
        <f t="shared" si="76"/>
        <v>0.01</v>
      </c>
      <c r="AD109" s="726">
        <f t="shared" si="77"/>
        <v>0.02</v>
      </c>
      <c r="AE109" s="629">
        <f t="shared" si="78"/>
        <v>0</v>
      </c>
      <c r="AF109" s="629">
        <f t="shared" si="79"/>
        <v>0</v>
      </c>
      <c r="AG109" s="727">
        <f t="shared" si="80"/>
        <v>0</v>
      </c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45"/>
        <v>105</v>
      </c>
      <c r="B110" s="721" t="s">
        <v>7848</v>
      </c>
      <c r="C110" s="771">
        <v>520909</v>
      </c>
      <c r="D110" s="771">
        <v>2009</v>
      </c>
      <c r="E110" s="771" t="s">
        <v>698</v>
      </c>
      <c r="F110" s="546">
        <v>2017</v>
      </c>
      <c r="G110" s="659">
        <v>43067</v>
      </c>
      <c r="H110" s="655" t="s">
        <v>4285</v>
      </c>
      <c r="I110" s="655" t="s">
        <v>7622</v>
      </c>
      <c r="J110" s="712"/>
      <c r="K110" s="655" t="s">
        <v>8124</v>
      </c>
      <c r="L110" s="655" t="s">
        <v>7430</v>
      </c>
      <c r="M110" s="660">
        <v>213275.86</v>
      </c>
      <c r="N110" s="660">
        <v>0</v>
      </c>
      <c r="O110" s="660">
        <v>34124.14</v>
      </c>
      <c r="P110" s="660">
        <v>247400</v>
      </c>
      <c r="Q110" s="548"/>
      <c r="R110" s="660">
        <v>201322.01</v>
      </c>
      <c r="S110" s="549">
        <f t="shared" si="46"/>
        <v>46077.989999999991</v>
      </c>
      <c r="T110" s="113" t="s">
        <v>1932</v>
      </c>
      <c r="U110" s="722" t="str">
        <f t="shared" si="70"/>
        <v>AA12415</v>
      </c>
      <c r="V110" s="723" t="str">
        <f t="shared" si="71"/>
        <v>1616-TCN17</v>
      </c>
      <c r="W110" s="722">
        <f t="shared" si="72"/>
        <v>520909</v>
      </c>
      <c r="X110" s="722" t="str">
        <f t="shared" si="73"/>
        <v>YARIS HB S CVT</v>
      </c>
      <c r="Y110" s="723">
        <f t="shared" si="74"/>
        <v>2017</v>
      </c>
      <c r="Z110" s="778">
        <f t="shared" si="75"/>
        <v>213275.86</v>
      </c>
      <c r="AA110" s="629"/>
      <c r="AB110" s="795"/>
      <c r="AC110" s="779">
        <f t="shared" si="76"/>
        <v>0.01</v>
      </c>
      <c r="AD110" s="726">
        <f t="shared" si="77"/>
        <v>0.02</v>
      </c>
      <c r="AE110" s="629">
        <f t="shared" si="78"/>
        <v>0</v>
      </c>
      <c r="AF110" s="629">
        <f t="shared" si="79"/>
        <v>0</v>
      </c>
      <c r="AG110" s="727">
        <f t="shared" si="80"/>
        <v>0</v>
      </c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3">
        <f t="shared" si="45"/>
        <v>106</v>
      </c>
      <c r="B111" s="721" t="s">
        <v>7956</v>
      </c>
      <c r="C111" s="771">
        <v>521502</v>
      </c>
      <c r="D111" s="771">
        <v>5611</v>
      </c>
      <c r="E111" s="771" t="s">
        <v>225</v>
      </c>
      <c r="F111" s="546"/>
      <c r="G111" s="659">
        <v>43063</v>
      </c>
      <c r="H111" s="655" t="s">
        <v>774</v>
      </c>
      <c r="I111" s="655" t="s">
        <v>7685</v>
      </c>
      <c r="J111" s="712"/>
      <c r="K111" s="655" t="s">
        <v>1128</v>
      </c>
      <c r="L111" s="655" t="s">
        <v>7493</v>
      </c>
      <c r="M111" s="660">
        <v>394255.04</v>
      </c>
      <c r="N111" s="660">
        <v>19710.48</v>
      </c>
      <c r="O111" s="660">
        <v>66234.48</v>
      </c>
      <c r="P111" s="660">
        <v>480200</v>
      </c>
      <c r="Q111" s="548"/>
      <c r="R111" s="660">
        <v>349548.9</v>
      </c>
      <c r="S111" s="549">
        <f t="shared" si="46"/>
        <v>130651.09999999998</v>
      </c>
      <c r="T111" s="113" t="s">
        <v>1931</v>
      </c>
      <c r="AB111" s="422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3">
        <f t="shared" si="45"/>
        <v>107</v>
      </c>
      <c r="B112" s="721" t="s">
        <v>7870</v>
      </c>
      <c r="C112" s="771">
        <v>521802</v>
      </c>
      <c r="D112" s="771">
        <v>2202</v>
      </c>
      <c r="E112" s="771" t="s">
        <v>703</v>
      </c>
      <c r="F112" s="546"/>
      <c r="G112" s="659">
        <v>43045</v>
      </c>
      <c r="H112" s="655"/>
      <c r="I112" s="655" t="s">
        <v>7630</v>
      </c>
      <c r="J112" s="712"/>
      <c r="K112" s="655" t="s">
        <v>1189</v>
      </c>
      <c r="L112" s="655" t="s">
        <v>7438</v>
      </c>
      <c r="M112" s="660">
        <v>190092.47</v>
      </c>
      <c r="N112" s="660">
        <v>0</v>
      </c>
      <c r="O112" s="660">
        <v>30414.79</v>
      </c>
      <c r="P112" s="660">
        <v>220507.26</v>
      </c>
      <c r="Q112" s="548"/>
      <c r="R112" s="660">
        <v>189737.38</v>
      </c>
      <c r="S112" s="549">
        <f t="shared" si="46"/>
        <v>30769.880000000005</v>
      </c>
      <c r="T112" s="113" t="s">
        <v>283</v>
      </c>
      <c r="AB112" s="422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3">
        <f t="shared" si="45"/>
        <v>108</v>
      </c>
      <c r="B113" s="721" t="s">
        <v>7871</v>
      </c>
      <c r="C113" s="771">
        <v>521802</v>
      </c>
      <c r="D113" s="771">
        <v>2202</v>
      </c>
      <c r="E113" s="771" t="s">
        <v>703</v>
      </c>
      <c r="F113" s="546"/>
      <c r="G113" s="659">
        <v>43052</v>
      </c>
      <c r="H113" s="655"/>
      <c r="I113" s="655" t="s">
        <v>7631</v>
      </c>
      <c r="J113" s="712"/>
      <c r="K113" s="655" t="s">
        <v>1173</v>
      </c>
      <c r="L113" s="655" t="s">
        <v>7439</v>
      </c>
      <c r="M113" s="660">
        <v>190092.72</v>
      </c>
      <c r="N113" s="660">
        <v>0</v>
      </c>
      <c r="O113" s="660">
        <v>30414.84</v>
      </c>
      <c r="P113" s="660">
        <v>220507.56</v>
      </c>
      <c r="Q113" s="548"/>
      <c r="R113" s="660">
        <v>189737.38</v>
      </c>
      <c r="S113" s="549">
        <f t="shared" si="46"/>
        <v>30770.179999999993</v>
      </c>
      <c r="T113" s="113" t="s">
        <v>283</v>
      </c>
      <c r="AB113" s="422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3">
        <f t="shared" si="45"/>
        <v>109</v>
      </c>
      <c r="B114" s="721" t="s">
        <v>7957</v>
      </c>
      <c r="C114" s="771">
        <v>521502</v>
      </c>
      <c r="D114" s="771">
        <v>5611</v>
      </c>
      <c r="E114" s="771" t="s">
        <v>225</v>
      </c>
      <c r="F114" s="546"/>
      <c r="G114" s="659">
        <v>43067</v>
      </c>
      <c r="H114" s="655" t="s">
        <v>774</v>
      </c>
      <c r="I114" s="655" t="s">
        <v>7685</v>
      </c>
      <c r="J114" s="712"/>
      <c r="K114" s="655" t="s">
        <v>1128</v>
      </c>
      <c r="L114" s="655" t="s">
        <v>7493</v>
      </c>
      <c r="M114" s="660">
        <v>-394255.04</v>
      </c>
      <c r="N114" s="660">
        <v>-19710.48</v>
      </c>
      <c r="O114" s="660">
        <v>-66234.48</v>
      </c>
      <c r="P114" s="660">
        <v>-480200</v>
      </c>
      <c r="Q114" s="548"/>
      <c r="R114" s="660">
        <v>-349548.9</v>
      </c>
      <c r="S114" s="549">
        <f t="shared" si="46"/>
        <v>-130651.09999999998</v>
      </c>
      <c r="T114" s="444" t="s">
        <v>1931</v>
      </c>
      <c r="U114" s="348"/>
      <c r="AB114" s="422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45"/>
        <v>110</v>
      </c>
      <c r="B115" s="721" t="s">
        <v>7839</v>
      </c>
      <c r="C115" s="771">
        <v>520909</v>
      </c>
      <c r="D115" s="771">
        <v>2009</v>
      </c>
      <c r="E115" s="771" t="s">
        <v>698</v>
      </c>
      <c r="F115" s="546">
        <v>2017</v>
      </c>
      <c r="G115" s="659">
        <v>43047</v>
      </c>
      <c r="H115" s="655" t="s">
        <v>2213</v>
      </c>
      <c r="I115" s="655" t="s">
        <v>7615</v>
      </c>
      <c r="J115" s="712"/>
      <c r="K115" s="655" t="s">
        <v>8117</v>
      </c>
      <c r="L115" s="655" t="s">
        <v>7423</v>
      </c>
      <c r="M115" s="660">
        <v>213275.86</v>
      </c>
      <c r="N115" s="660">
        <v>0</v>
      </c>
      <c r="O115" s="660">
        <v>34124.14</v>
      </c>
      <c r="P115" s="660">
        <v>247400</v>
      </c>
      <c r="Q115" s="548"/>
      <c r="R115" s="660">
        <v>201676.49</v>
      </c>
      <c r="S115" s="549">
        <f t="shared" si="46"/>
        <v>45723.510000000009</v>
      </c>
      <c r="T115" s="113" t="s">
        <v>1932</v>
      </c>
      <c r="U115" s="722" t="str">
        <f t="shared" ref="U115:U116" si="81">+B115</f>
        <v>AA12260</v>
      </c>
      <c r="V115" s="723" t="str">
        <f t="shared" ref="V115:V116" si="82">+I115</f>
        <v>1627-TCN17</v>
      </c>
      <c r="W115" s="722">
        <f t="shared" ref="W115:W116" si="83">+C115</f>
        <v>520909</v>
      </c>
      <c r="X115" s="722" t="str">
        <f t="shared" ref="X115:X116" si="84">+E115</f>
        <v>YARIS HB S CVT</v>
      </c>
      <c r="Y115" s="723">
        <f t="shared" ref="Y115:Y116" si="85">+F115</f>
        <v>2017</v>
      </c>
      <c r="Z115" s="778">
        <f t="shared" ref="Z115:Z116" si="86">+M115</f>
        <v>213275.86</v>
      </c>
      <c r="AA115" s="629"/>
      <c r="AB115" s="793"/>
      <c r="AC115" s="779">
        <f t="shared" ref="AC115:AC116" si="87">VLOOKUP(Z115,TARIFA,1)</f>
        <v>0.01</v>
      </c>
      <c r="AD115" s="726">
        <f t="shared" ref="AD115:AD116" si="88">VLOOKUP(Z115,TARIFA,4)</f>
        <v>0.02</v>
      </c>
      <c r="AE115" s="629">
        <f t="shared" ref="AE115:AE116" si="89">VLOOKUP(Z115,TARIFA,3)</f>
        <v>0</v>
      </c>
      <c r="AF115" s="629">
        <f t="shared" ref="AF115:AF116" si="90">+N115</f>
        <v>0</v>
      </c>
      <c r="AG115" s="727">
        <f t="shared" ref="AG115:AG116" si="91">+N115-AF115</f>
        <v>0</v>
      </c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45"/>
        <v>111</v>
      </c>
      <c r="B116" s="721" t="s">
        <v>7841</v>
      </c>
      <c r="C116" s="771">
        <v>520909</v>
      </c>
      <c r="D116" s="771">
        <v>2009</v>
      </c>
      <c r="E116" s="771" t="s">
        <v>698</v>
      </c>
      <c r="F116" s="546">
        <v>2017</v>
      </c>
      <c r="G116" s="659">
        <v>43054</v>
      </c>
      <c r="H116" s="655" t="s">
        <v>817</v>
      </c>
      <c r="I116" s="655" t="s">
        <v>7617</v>
      </c>
      <c r="J116" s="712"/>
      <c r="K116" s="655" t="s">
        <v>8119</v>
      </c>
      <c r="L116" s="655" t="s">
        <v>7425</v>
      </c>
      <c r="M116" s="660">
        <v>213275.86</v>
      </c>
      <c r="N116" s="660">
        <v>0</v>
      </c>
      <c r="O116" s="660">
        <v>34124.14</v>
      </c>
      <c r="P116" s="660">
        <v>247400</v>
      </c>
      <c r="Q116" s="548"/>
      <c r="R116" s="660">
        <v>201322.01</v>
      </c>
      <c r="S116" s="549">
        <f t="shared" si="46"/>
        <v>46077.989999999991</v>
      </c>
      <c r="T116" s="113" t="s">
        <v>1932</v>
      </c>
      <c r="U116" s="722" t="str">
        <f t="shared" si="81"/>
        <v>AA12306</v>
      </c>
      <c r="V116" s="723" t="str">
        <f t="shared" si="82"/>
        <v>1666-TCN17</v>
      </c>
      <c r="W116" s="722">
        <f t="shared" si="83"/>
        <v>520909</v>
      </c>
      <c r="X116" s="722" t="str">
        <f t="shared" si="84"/>
        <v>YARIS HB S CVT</v>
      </c>
      <c r="Y116" s="723">
        <f t="shared" si="85"/>
        <v>2017</v>
      </c>
      <c r="Z116" s="778">
        <f t="shared" si="86"/>
        <v>213275.86</v>
      </c>
      <c r="AA116" s="629"/>
      <c r="AB116" s="793"/>
      <c r="AC116" s="779">
        <f t="shared" si="87"/>
        <v>0.01</v>
      </c>
      <c r="AD116" s="726">
        <f t="shared" si="88"/>
        <v>0.02</v>
      </c>
      <c r="AE116" s="629">
        <f t="shared" si="89"/>
        <v>0</v>
      </c>
      <c r="AF116" s="629">
        <f t="shared" si="90"/>
        <v>0</v>
      </c>
      <c r="AG116" s="727">
        <f t="shared" si="91"/>
        <v>0</v>
      </c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45"/>
        <v>112</v>
      </c>
      <c r="B117" s="721" t="s">
        <v>7875</v>
      </c>
      <c r="C117" s="771">
        <v>521802</v>
      </c>
      <c r="D117" s="771">
        <v>2204</v>
      </c>
      <c r="E117" s="771" t="s">
        <v>705</v>
      </c>
      <c r="F117" s="546"/>
      <c r="G117" s="659">
        <v>43068</v>
      </c>
      <c r="H117" s="655"/>
      <c r="I117" s="655" t="s">
        <v>7633</v>
      </c>
      <c r="J117" s="712"/>
      <c r="K117" s="655" t="s">
        <v>1175</v>
      </c>
      <c r="L117" s="655" t="s">
        <v>7441</v>
      </c>
      <c r="M117" s="660">
        <v>210657.16</v>
      </c>
      <c r="N117" s="660">
        <v>0</v>
      </c>
      <c r="O117" s="660">
        <v>33705.15</v>
      </c>
      <c r="P117" s="660">
        <v>244362.31</v>
      </c>
      <c r="Q117" s="548"/>
      <c r="R117" s="660">
        <v>210656.3</v>
      </c>
      <c r="S117" s="549">
        <f t="shared" si="46"/>
        <v>33706.010000000009</v>
      </c>
      <c r="T117" s="113" t="s">
        <v>283</v>
      </c>
      <c r="U117" s="267"/>
      <c r="V117" s="93"/>
      <c r="W117" s="267"/>
      <c r="X117" s="267"/>
      <c r="Y117" s="93"/>
      <c r="Z117" s="618"/>
      <c r="AA117" s="424"/>
      <c r="AB117" s="715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45"/>
        <v>113</v>
      </c>
      <c r="B118" s="721" t="s">
        <v>7876</v>
      </c>
      <c r="C118" s="771">
        <v>520115</v>
      </c>
      <c r="D118" s="771">
        <v>2593</v>
      </c>
      <c r="E118" s="771" t="s">
        <v>685</v>
      </c>
      <c r="F118" s="546"/>
      <c r="G118" s="659">
        <v>43053</v>
      </c>
      <c r="H118" s="655"/>
      <c r="I118" s="655" t="s">
        <v>7634</v>
      </c>
      <c r="J118" s="712"/>
      <c r="K118" s="655" t="s">
        <v>1710</v>
      </c>
      <c r="L118" s="655" t="s">
        <v>7442</v>
      </c>
      <c r="M118" s="660">
        <v>342835.57</v>
      </c>
      <c r="N118" s="660">
        <v>0</v>
      </c>
      <c r="O118" s="660">
        <v>54853.69</v>
      </c>
      <c r="P118" s="660">
        <v>397689.26</v>
      </c>
      <c r="Q118" s="548"/>
      <c r="R118" s="660">
        <v>342480.22</v>
      </c>
      <c r="S118" s="549">
        <f t="shared" si="46"/>
        <v>55209.040000000037</v>
      </c>
      <c r="T118" s="113" t="s">
        <v>283</v>
      </c>
      <c r="U118" s="267"/>
      <c r="V118" s="93"/>
      <c r="W118" s="267"/>
      <c r="X118" s="267"/>
      <c r="Y118" s="93"/>
      <c r="Z118" s="618"/>
      <c r="AA118" s="424"/>
      <c r="AB118" s="715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3">
        <f t="shared" si="45"/>
        <v>114</v>
      </c>
      <c r="B119" s="721" t="s">
        <v>7900</v>
      </c>
      <c r="C119" s="771">
        <v>520815</v>
      </c>
      <c r="D119" s="771">
        <v>4492</v>
      </c>
      <c r="E119" s="771" t="s">
        <v>694</v>
      </c>
      <c r="F119" s="546"/>
      <c r="G119" s="659">
        <v>43067</v>
      </c>
      <c r="H119" s="655" t="s">
        <v>774</v>
      </c>
      <c r="I119" s="655" t="s">
        <v>7649</v>
      </c>
      <c r="J119" s="712"/>
      <c r="K119" s="655" t="s">
        <v>8142</v>
      </c>
      <c r="L119" s="655" t="s">
        <v>7457</v>
      </c>
      <c r="M119" s="660">
        <v>-360072.13</v>
      </c>
      <c r="N119" s="660">
        <v>-14583.04</v>
      </c>
      <c r="O119" s="660">
        <v>-59944.83</v>
      </c>
      <c r="P119" s="660">
        <v>-434600</v>
      </c>
      <c r="Q119" s="548"/>
      <c r="R119" s="660">
        <v>-315879.67</v>
      </c>
      <c r="S119" s="549">
        <f t="shared" si="46"/>
        <v>-118720.33000000002</v>
      </c>
      <c r="T119" s="113" t="s">
        <v>1931</v>
      </c>
      <c r="U119" s="267"/>
      <c r="V119" s="93"/>
      <c r="W119" s="267"/>
      <c r="X119" s="267"/>
      <c r="Y119" s="93"/>
      <c r="Z119" s="618"/>
      <c r="AA119" s="424"/>
      <c r="AB119" s="715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3">
        <f t="shared" si="45"/>
        <v>115</v>
      </c>
      <c r="B120" s="721" t="s">
        <v>7901</v>
      </c>
      <c r="C120" s="771">
        <v>520815</v>
      </c>
      <c r="D120" s="771">
        <v>4492</v>
      </c>
      <c r="E120" s="771" t="s">
        <v>694</v>
      </c>
      <c r="F120" s="546"/>
      <c r="G120" s="659">
        <v>43067</v>
      </c>
      <c r="H120" s="655" t="s">
        <v>774</v>
      </c>
      <c r="I120" s="655" t="s">
        <v>7649</v>
      </c>
      <c r="J120" s="712"/>
      <c r="K120" s="655" t="s">
        <v>8142</v>
      </c>
      <c r="L120" s="655" t="s">
        <v>7457</v>
      </c>
      <c r="M120" s="660">
        <v>360072.13</v>
      </c>
      <c r="N120" s="660">
        <v>14583.04</v>
      </c>
      <c r="O120" s="660">
        <v>59944.83</v>
      </c>
      <c r="P120" s="660">
        <v>434600</v>
      </c>
      <c r="Q120" s="548"/>
      <c r="R120" s="660">
        <v>315879.67</v>
      </c>
      <c r="S120" s="549">
        <f t="shared" si="46"/>
        <v>118720.33000000002</v>
      </c>
      <c r="T120" s="113" t="s">
        <v>1931</v>
      </c>
      <c r="U120" s="267"/>
      <c r="V120" s="93"/>
      <c r="W120" s="267"/>
      <c r="X120" s="267"/>
      <c r="Y120" s="93"/>
      <c r="Z120" s="618"/>
      <c r="AA120" s="424"/>
      <c r="AB120" s="715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3">
        <f t="shared" si="45"/>
        <v>116</v>
      </c>
      <c r="B121" s="721" t="s">
        <v>7845</v>
      </c>
      <c r="C121" s="771">
        <v>520909</v>
      </c>
      <c r="D121" s="771">
        <v>2009</v>
      </c>
      <c r="E121" s="771" t="s">
        <v>698</v>
      </c>
      <c r="F121" s="546">
        <v>2017</v>
      </c>
      <c r="G121" s="659">
        <v>43063</v>
      </c>
      <c r="H121" s="655" t="s">
        <v>2215</v>
      </c>
      <c r="I121" s="655" t="s">
        <v>7619</v>
      </c>
      <c r="J121" s="712"/>
      <c r="K121" s="655" t="s">
        <v>8121</v>
      </c>
      <c r="L121" s="655" t="s">
        <v>7427</v>
      </c>
      <c r="M121" s="660">
        <v>213275.86</v>
      </c>
      <c r="N121" s="660">
        <v>0</v>
      </c>
      <c r="O121" s="660">
        <v>34124.14</v>
      </c>
      <c r="P121" s="660">
        <v>247400</v>
      </c>
      <c r="Q121" s="548"/>
      <c r="R121" s="660">
        <v>201677.49</v>
      </c>
      <c r="S121" s="549">
        <f t="shared" si="46"/>
        <v>45722.510000000009</v>
      </c>
      <c r="T121" s="267" t="s">
        <v>1932</v>
      </c>
      <c r="U121" s="722" t="str">
        <f t="shared" ref="U121" si="92">+B121</f>
        <v>AA12393</v>
      </c>
      <c r="V121" s="723" t="str">
        <f t="shared" ref="V121" si="93">+I121</f>
        <v>1909-TCN17</v>
      </c>
      <c r="W121" s="722">
        <f t="shared" ref="W121" si="94">+C121</f>
        <v>520909</v>
      </c>
      <c r="X121" s="722" t="str">
        <f t="shared" ref="X121" si="95">+E121</f>
        <v>YARIS HB S CVT</v>
      </c>
      <c r="Y121" s="723">
        <f t="shared" ref="Y121" si="96">+F121</f>
        <v>2017</v>
      </c>
      <c r="Z121" s="778">
        <f t="shared" ref="Z121" si="97">+M121</f>
        <v>213275.86</v>
      </c>
      <c r="AA121" s="629"/>
      <c r="AB121" s="793"/>
      <c r="AC121" s="779">
        <f t="shared" ref="AC121" si="98">VLOOKUP(Z121,TARIFA,1)</f>
        <v>0.01</v>
      </c>
      <c r="AD121" s="726">
        <f t="shared" ref="AD121" si="99">VLOOKUP(Z121,TARIFA,4)</f>
        <v>0.02</v>
      </c>
      <c r="AE121" s="629">
        <f t="shared" ref="AE121" si="100">VLOOKUP(Z121,TARIFA,3)</f>
        <v>0</v>
      </c>
      <c r="AF121" s="629">
        <f t="shared" ref="AF121" si="101">+N121</f>
        <v>0</v>
      </c>
      <c r="AG121" s="727">
        <f t="shared" ref="AG121" si="102">+N121-AF121</f>
        <v>0</v>
      </c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45"/>
        <v>117</v>
      </c>
      <c r="B122" s="721" t="s">
        <v>8027</v>
      </c>
      <c r="C122" s="771">
        <v>1520105</v>
      </c>
      <c r="D122" s="771">
        <v>7494</v>
      </c>
      <c r="E122" s="771" t="s">
        <v>712</v>
      </c>
      <c r="F122" s="546"/>
      <c r="G122" s="659">
        <v>43067</v>
      </c>
      <c r="H122" s="655" t="s">
        <v>788</v>
      </c>
      <c r="I122" s="655" t="s">
        <v>7715</v>
      </c>
      <c r="J122" s="712"/>
      <c r="K122" s="655" t="s">
        <v>3886</v>
      </c>
      <c r="L122" s="655" t="s">
        <v>7523</v>
      </c>
      <c r="M122" s="660">
        <v>-238587.85</v>
      </c>
      <c r="N122" s="660">
        <v>-11929.39</v>
      </c>
      <c r="O122" s="660">
        <v>-40082.76</v>
      </c>
      <c r="P122" s="660">
        <v>-290600</v>
      </c>
      <c r="Q122" s="548"/>
      <c r="R122" s="660">
        <v>-218704.67</v>
      </c>
      <c r="S122" s="549">
        <f t="shared" si="46"/>
        <v>-71895.329999999987</v>
      </c>
      <c r="T122" s="267" t="s">
        <v>1931</v>
      </c>
      <c r="U122" s="267"/>
      <c r="V122" s="93"/>
      <c r="W122" s="267"/>
      <c r="X122" s="267"/>
      <c r="Y122" s="93"/>
      <c r="Z122" s="618"/>
      <c r="AA122" s="424"/>
      <c r="AB122" s="715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45"/>
        <v>118</v>
      </c>
      <c r="B123" s="721" t="s">
        <v>8028</v>
      </c>
      <c r="C123" s="771">
        <v>1520105</v>
      </c>
      <c r="D123" s="771">
        <v>7494</v>
      </c>
      <c r="E123" s="771" t="s">
        <v>712</v>
      </c>
      <c r="F123" s="546"/>
      <c r="G123" s="659">
        <v>43067</v>
      </c>
      <c r="H123" s="655" t="s">
        <v>788</v>
      </c>
      <c r="I123" s="655" t="s">
        <v>7715</v>
      </c>
      <c r="J123" s="712"/>
      <c r="K123" s="655" t="s">
        <v>3886</v>
      </c>
      <c r="L123" s="655" t="s">
        <v>7523</v>
      </c>
      <c r="M123" s="660">
        <v>238587.85</v>
      </c>
      <c r="N123" s="660">
        <v>11929.39</v>
      </c>
      <c r="O123" s="660">
        <v>40082.76</v>
      </c>
      <c r="P123" s="660">
        <v>290600</v>
      </c>
      <c r="Q123" s="548"/>
      <c r="R123" s="660">
        <v>218704.67</v>
      </c>
      <c r="S123" s="549">
        <f t="shared" si="46"/>
        <v>71895.329999999987</v>
      </c>
      <c r="T123" s="113" t="s">
        <v>1931</v>
      </c>
      <c r="U123" s="267"/>
      <c r="V123" s="93"/>
      <c r="W123" s="267"/>
      <c r="X123" s="267"/>
      <c r="Y123" s="93"/>
      <c r="Z123" s="618"/>
      <c r="AA123" s="424"/>
      <c r="AB123" s="715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45"/>
        <v>119</v>
      </c>
      <c r="B124" s="721" t="s">
        <v>7846</v>
      </c>
      <c r="C124" s="771">
        <v>520909</v>
      </c>
      <c r="D124" s="771">
        <v>2009</v>
      </c>
      <c r="E124" s="771" t="s">
        <v>698</v>
      </c>
      <c r="F124" s="546">
        <v>2017</v>
      </c>
      <c r="G124" s="659">
        <v>43063</v>
      </c>
      <c r="H124" s="655" t="s">
        <v>4285</v>
      </c>
      <c r="I124" s="655" t="s">
        <v>7620</v>
      </c>
      <c r="J124" s="712"/>
      <c r="K124" s="655" t="s">
        <v>8122</v>
      </c>
      <c r="L124" s="655" t="s">
        <v>7428</v>
      </c>
      <c r="M124" s="660">
        <v>213275.86</v>
      </c>
      <c r="N124" s="660">
        <v>0</v>
      </c>
      <c r="O124" s="660">
        <v>34124.14</v>
      </c>
      <c r="P124" s="660">
        <v>247400</v>
      </c>
      <c r="Q124" s="548"/>
      <c r="R124" s="660">
        <v>201677.49</v>
      </c>
      <c r="S124" s="549">
        <f t="shared" si="46"/>
        <v>45722.510000000009</v>
      </c>
      <c r="T124" s="113" t="s">
        <v>1932</v>
      </c>
      <c r="U124" s="722" t="str">
        <f t="shared" ref="U124" si="103">+B124</f>
        <v>AA12397</v>
      </c>
      <c r="V124" s="723" t="str">
        <f t="shared" ref="V124" si="104">+I124</f>
        <v>1967-TCN17</v>
      </c>
      <c r="W124" s="722">
        <f t="shared" ref="W124" si="105">+C124</f>
        <v>520909</v>
      </c>
      <c r="X124" s="722" t="str">
        <f t="shared" ref="X124" si="106">+E124</f>
        <v>YARIS HB S CVT</v>
      </c>
      <c r="Y124" s="723">
        <f t="shared" ref="Y124" si="107">+F124</f>
        <v>2017</v>
      </c>
      <c r="Z124" s="778">
        <f t="shared" ref="Z124" si="108">+M124</f>
        <v>213275.86</v>
      </c>
      <c r="AA124" s="629">
        <f>+SUM(Z107:Z124)</f>
        <v>1699827.5699999998</v>
      </c>
      <c r="AB124" s="800">
        <v>8</v>
      </c>
      <c r="AC124" s="779">
        <f t="shared" ref="AC124" si="109">VLOOKUP(Z124,TARIFA,1)</f>
        <v>0.01</v>
      </c>
      <c r="AD124" s="726">
        <f t="shared" ref="AD124" si="110">VLOOKUP(Z124,TARIFA,4)</f>
        <v>0.02</v>
      </c>
      <c r="AE124" s="629">
        <f t="shared" ref="AE124" si="111">VLOOKUP(Z124,TARIFA,3)</f>
        <v>0</v>
      </c>
      <c r="AF124" s="629">
        <f t="shared" ref="AF124" si="112">+N124</f>
        <v>0</v>
      </c>
      <c r="AG124" s="727">
        <f t="shared" ref="AG124" si="113">+N124-AF124</f>
        <v>0</v>
      </c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45"/>
        <v>120</v>
      </c>
      <c r="B125" s="721" t="s">
        <v>7904</v>
      </c>
      <c r="C125" s="771">
        <v>520815</v>
      </c>
      <c r="D125" s="771">
        <v>4492</v>
      </c>
      <c r="E125" s="771" t="s">
        <v>694</v>
      </c>
      <c r="F125" s="546"/>
      <c r="G125" s="659">
        <v>43067</v>
      </c>
      <c r="H125" s="655" t="s">
        <v>792</v>
      </c>
      <c r="I125" s="655" t="s">
        <v>7651</v>
      </c>
      <c r="J125" s="712"/>
      <c r="K125" s="655" t="s">
        <v>8143</v>
      </c>
      <c r="L125" s="655" t="s">
        <v>7459</v>
      </c>
      <c r="M125" s="660">
        <v>-360072.13</v>
      </c>
      <c r="N125" s="660">
        <v>-14583.04</v>
      </c>
      <c r="O125" s="660">
        <v>-59944.83</v>
      </c>
      <c r="P125" s="660">
        <v>-434600</v>
      </c>
      <c r="Q125" s="548"/>
      <c r="R125" s="660">
        <v>-315879.67</v>
      </c>
      <c r="S125" s="549">
        <f t="shared" si="46"/>
        <v>-118720.33000000002</v>
      </c>
      <c r="T125" s="113" t="s">
        <v>1931</v>
      </c>
      <c r="U125" s="267"/>
      <c r="V125" s="93"/>
      <c r="W125" s="267"/>
      <c r="X125" s="267"/>
      <c r="Y125" s="93"/>
      <c r="Z125" s="618"/>
      <c r="AA125" s="424"/>
      <c r="AB125" s="715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45"/>
        <v>121</v>
      </c>
      <c r="B126" s="721" t="s">
        <v>7905</v>
      </c>
      <c r="C126" s="771">
        <v>520815</v>
      </c>
      <c r="D126" s="771">
        <v>4492</v>
      </c>
      <c r="E126" s="771" t="s">
        <v>694</v>
      </c>
      <c r="F126" s="546"/>
      <c r="G126" s="659">
        <v>43067</v>
      </c>
      <c r="H126" s="655" t="s">
        <v>792</v>
      </c>
      <c r="I126" s="655" t="s">
        <v>7651</v>
      </c>
      <c r="J126" s="712"/>
      <c r="K126" s="655" t="s">
        <v>8143</v>
      </c>
      <c r="L126" s="655" t="s">
        <v>7459</v>
      </c>
      <c r="M126" s="660">
        <v>360072.13</v>
      </c>
      <c r="N126" s="660">
        <v>14583.04</v>
      </c>
      <c r="O126" s="660">
        <v>59944.83</v>
      </c>
      <c r="P126" s="660">
        <v>434600</v>
      </c>
      <c r="Q126" s="548"/>
      <c r="R126" s="660">
        <v>315879.67</v>
      </c>
      <c r="S126" s="549">
        <f t="shared" si="46"/>
        <v>118720.33000000002</v>
      </c>
      <c r="T126" s="113" t="s">
        <v>1931</v>
      </c>
      <c r="U126" s="267"/>
      <c r="V126" s="93"/>
      <c r="W126" s="267"/>
      <c r="X126" s="267"/>
      <c r="Y126" s="93"/>
      <c r="Z126" s="618"/>
      <c r="AA126" s="424"/>
      <c r="AB126" s="715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3">
        <f t="shared" si="45"/>
        <v>122</v>
      </c>
      <c r="B127" s="721" t="s">
        <v>8060</v>
      </c>
      <c r="C127" s="771">
        <v>521006</v>
      </c>
      <c r="D127" s="771">
        <v>7983</v>
      </c>
      <c r="E127" s="771" t="s">
        <v>699</v>
      </c>
      <c r="F127" s="546">
        <v>2018</v>
      </c>
      <c r="G127" s="659">
        <v>43062</v>
      </c>
      <c r="H127" s="655" t="s">
        <v>764</v>
      </c>
      <c r="I127" s="655" t="s">
        <v>7735</v>
      </c>
      <c r="J127" s="712"/>
      <c r="K127" s="655" t="s">
        <v>8180</v>
      </c>
      <c r="L127" s="655" t="s">
        <v>7543</v>
      </c>
      <c r="M127" s="660">
        <v>809775.55</v>
      </c>
      <c r="N127" s="660">
        <v>80310.66</v>
      </c>
      <c r="O127" s="660">
        <v>142413.79</v>
      </c>
      <c r="P127" s="660">
        <v>1032500</v>
      </c>
      <c r="Q127" s="548"/>
      <c r="R127" s="660">
        <v>715302.42</v>
      </c>
      <c r="S127" s="549">
        <f t="shared" si="46"/>
        <v>317197.57999999996</v>
      </c>
      <c r="T127" s="113" t="s">
        <v>1932</v>
      </c>
      <c r="U127" s="722" t="str">
        <f t="shared" ref="U127" si="114">+B127</f>
        <v>AA12390</v>
      </c>
      <c r="V127" s="723" t="str">
        <f t="shared" ref="V127" si="115">+I127</f>
        <v>0093-TCN18</v>
      </c>
      <c r="W127" s="722">
        <f t="shared" ref="W127" si="116">+C127</f>
        <v>521006</v>
      </c>
      <c r="X127" s="722" t="str">
        <f t="shared" ref="X127" si="117">+E127</f>
        <v>SEQUOIA 4 DOOR PLATINUM SUV</v>
      </c>
      <c r="Y127" s="723">
        <f t="shared" ref="Y127" si="118">+F127</f>
        <v>2018</v>
      </c>
      <c r="Z127" s="778">
        <f t="shared" ref="Z127" si="119">+M127</f>
        <v>809775.55</v>
      </c>
      <c r="AA127" s="629">
        <f>+Z127</f>
        <v>809775.55</v>
      </c>
      <c r="AB127" s="793">
        <v>1</v>
      </c>
      <c r="AC127" s="779">
        <f t="shared" ref="AC127" si="120">VLOOKUP(Z127,TARIFA,1)</f>
        <v>443562.4</v>
      </c>
      <c r="AD127" s="726">
        <f t="shared" ref="AD127" si="121">VLOOKUP(Z127,TARIFA,4)</f>
        <v>0.17</v>
      </c>
      <c r="AE127" s="629">
        <f t="shared" ref="AE127" si="122">VLOOKUP(Z127,TARIFA,3)</f>
        <v>27106.55</v>
      </c>
      <c r="AF127" s="629">
        <f t="shared" ref="AF127" si="123">+N127</f>
        <v>80310.66</v>
      </c>
      <c r="AG127" s="727">
        <f t="shared" ref="AG127" si="124">+N127-AF127</f>
        <v>0</v>
      </c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3">
        <f t="shared" si="45"/>
        <v>123</v>
      </c>
      <c r="B128" s="721" t="s">
        <v>7886</v>
      </c>
      <c r="C128" s="771">
        <v>520115</v>
      </c>
      <c r="D128" s="771">
        <v>2620</v>
      </c>
      <c r="E128" s="771" t="s">
        <v>5618</v>
      </c>
      <c r="F128" s="546"/>
      <c r="G128" s="659">
        <v>43055</v>
      </c>
      <c r="H128" s="655"/>
      <c r="I128" s="655" t="s">
        <v>7638</v>
      </c>
      <c r="J128" s="712"/>
      <c r="K128" s="655" t="s">
        <v>2411</v>
      </c>
      <c r="L128" s="655" t="s">
        <v>7446</v>
      </c>
      <c r="M128" s="660">
        <v>322205.89</v>
      </c>
      <c r="N128" s="660">
        <v>0</v>
      </c>
      <c r="O128" s="660">
        <v>51552.94</v>
      </c>
      <c r="P128" s="660">
        <v>373758.83</v>
      </c>
      <c r="Q128" s="548"/>
      <c r="R128" s="660">
        <v>321850.53999999998</v>
      </c>
      <c r="S128" s="549">
        <f t="shared" si="46"/>
        <v>51908.290000000037</v>
      </c>
      <c r="T128" s="113" t="s">
        <v>283</v>
      </c>
      <c r="U128" s="267"/>
      <c r="V128" s="93"/>
      <c r="W128" s="267"/>
      <c r="X128" s="267"/>
      <c r="Y128" s="93"/>
      <c r="Z128" s="618"/>
      <c r="AA128" s="424"/>
      <c r="AB128" s="715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45"/>
        <v>124</v>
      </c>
      <c r="B129" s="721" t="s">
        <v>7883</v>
      </c>
      <c r="C129" s="771">
        <v>520112</v>
      </c>
      <c r="D129" s="771">
        <v>2594</v>
      </c>
      <c r="E129" s="771" t="s">
        <v>720</v>
      </c>
      <c r="F129" s="546"/>
      <c r="G129" s="659">
        <v>43067</v>
      </c>
      <c r="H129" s="655" t="s">
        <v>764</v>
      </c>
      <c r="I129" s="655" t="s">
        <v>7637</v>
      </c>
      <c r="J129" s="712"/>
      <c r="K129" s="655" t="s">
        <v>8138</v>
      </c>
      <c r="L129" s="655" t="s">
        <v>7445</v>
      </c>
      <c r="M129" s="660">
        <v>-416518.91</v>
      </c>
      <c r="N129" s="660">
        <v>-23050.06</v>
      </c>
      <c r="O129" s="660">
        <v>-70331.03</v>
      </c>
      <c r="P129" s="660">
        <v>-509900</v>
      </c>
      <c r="Q129" s="548"/>
      <c r="R129" s="660">
        <v>-360667.47</v>
      </c>
      <c r="S129" s="549">
        <f t="shared" si="46"/>
        <v>-149232.53000000003</v>
      </c>
      <c r="T129" s="113" t="s">
        <v>1931</v>
      </c>
      <c r="U129" s="267"/>
      <c r="V129" s="93"/>
      <c r="W129" s="267"/>
      <c r="X129" s="267"/>
      <c r="Y129" s="93"/>
      <c r="Z129" s="618"/>
      <c r="AA129" s="424"/>
      <c r="AB129" s="715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45"/>
        <v>125</v>
      </c>
      <c r="B130" s="721" t="s">
        <v>7888</v>
      </c>
      <c r="C130" s="771">
        <v>520111</v>
      </c>
      <c r="D130" s="771">
        <v>2620</v>
      </c>
      <c r="E130" s="771" t="s">
        <v>5618</v>
      </c>
      <c r="F130" s="546"/>
      <c r="G130" s="659">
        <v>43060</v>
      </c>
      <c r="H130" s="655"/>
      <c r="I130" s="655" t="s">
        <v>7640</v>
      </c>
      <c r="J130" s="712"/>
      <c r="K130" s="655" t="s">
        <v>134</v>
      </c>
      <c r="L130" s="655" t="s">
        <v>7448</v>
      </c>
      <c r="M130" s="660">
        <v>321988.65999999997</v>
      </c>
      <c r="N130" s="660">
        <v>0</v>
      </c>
      <c r="O130" s="660">
        <v>51518.19</v>
      </c>
      <c r="P130" s="660">
        <v>373506.85</v>
      </c>
      <c r="Q130" s="548"/>
      <c r="R130" s="660">
        <v>321987.8</v>
      </c>
      <c r="S130" s="549">
        <f t="shared" si="46"/>
        <v>51519.049999999988</v>
      </c>
      <c r="T130" s="113" t="s">
        <v>283</v>
      </c>
      <c r="U130" s="267"/>
      <c r="V130" s="93"/>
      <c r="W130" s="267"/>
      <c r="X130" s="267"/>
      <c r="Y130" s="93"/>
      <c r="Z130" s="618"/>
      <c r="AA130" s="424"/>
      <c r="AB130" s="715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45"/>
        <v>126</v>
      </c>
      <c r="B131" s="721" t="s">
        <v>7889</v>
      </c>
      <c r="C131" s="771">
        <v>520115</v>
      </c>
      <c r="D131" s="771">
        <v>2620</v>
      </c>
      <c r="E131" s="771" t="s">
        <v>5618</v>
      </c>
      <c r="F131" s="546"/>
      <c r="G131" s="659">
        <v>43062</v>
      </c>
      <c r="H131" s="655"/>
      <c r="I131" s="655" t="s">
        <v>7641</v>
      </c>
      <c r="J131" s="712"/>
      <c r="K131" s="655" t="s">
        <v>1189</v>
      </c>
      <c r="L131" s="655" t="s">
        <v>7449</v>
      </c>
      <c r="M131" s="660">
        <v>322205.89</v>
      </c>
      <c r="N131" s="660">
        <v>0</v>
      </c>
      <c r="O131" s="660">
        <v>51552.94</v>
      </c>
      <c r="P131" s="660">
        <v>373758.83</v>
      </c>
      <c r="Q131" s="548"/>
      <c r="R131" s="660">
        <v>321850.53999999998</v>
      </c>
      <c r="S131" s="549">
        <f t="shared" si="46"/>
        <v>51908.290000000037</v>
      </c>
      <c r="T131" s="113" t="s">
        <v>283</v>
      </c>
      <c r="U131" s="267"/>
      <c r="V131" s="93"/>
      <c r="W131" s="267"/>
      <c r="X131" s="267"/>
      <c r="Y131" s="93"/>
      <c r="Z131" s="618"/>
      <c r="AA131" s="424"/>
      <c r="AB131" s="715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45"/>
        <v>127</v>
      </c>
      <c r="B132" s="721" t="s">
        <v>7890</v>
      </c>
      <c r="C132" s="771">
        <v>520115</v>
      </c>
      <c r="D132" s="771">
        <v>2620</v>
      </c>
      <c r="E132" s="771" t="s">
        <v>5618</v>
      </c>
      <c r="F132" s="546"/>
      <c r="G132" s="659">
        <v>43062</v>
      </c>
      <c r="H132" s="655"/>
      <c r="I132" s="655" t="s">
        <v>7642</v>
      </c>
      <c r="J132" s="712"/>
      <c r="K132" s="655" t="s">
        <v>1754</v>
      </c>
      <c r="L132" s="655" t="s">
        <v>7450</v>
      </c>
      <c r="M132" s="660">
        <v>322205.89</v>
      </c>
      <c r="N132" s="660">
        <v>0</v>
      </c>
      <c r="O132" s="660">
        <v>51552.94</v>
      </c>
      <c r="P132" s="660">
        <v>373758.83</v>
      </c>
      <c r="Q132" s="548"/>
      <c r="R132" s="660">
        <v>321850.53999999998</v>
      </c>
      <c r="S132" s="549">
        <f t="shared" si="46"/>
        <v>51908.290000000037</v>
      </c>
      <c r="T132" s="113" t="s">
        <v>283</v>
      </c>
      <c r="U132" s="267"/>
      <c r="V132" s="93"/>
      <c r="W132" s="267"/>
      <c r="X132" s="267"/>
      <c r="Y132" s="93"/>
      <c r="Z132" s="618"/>
      <c r="AA132" s="424"/>
      <c r="AB132" s="715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45"/>
        <v>128</v>
      </c>
      <c r="B133" s="721" t="s">
        <v>7891</v>
      </c>
      <c r="C133" s="771">
        <v>520115</v>
      </c>
      <c r="D133" s="771">
        <v>2620</v>
      </c>
      <c r="E133" s="771" t="s">
        <v>5618</v>
      </c>
      <c r="F133" s="546"/>
      <c r="G133" s="659">
        <v>43067</v>
      </c>
      <c r="H133" s="655"/>
      <c r="I133" s="655" t="s">
        <v>7643</v>
      </c>
      <c r="J133" s="712"/>
      <c r="K133" s="655" t="s">
        <v>3905</v>
      </c>
      <c r="L133" s="655" t="s">
        <v>7451</v>
      </c>
      <c r="M133" s="660">
        <v>321987.67</v>
      </c>
      <c r="N133" s="660">
        <v>0</v>
      </c>
      <c r="O133" s="660">
        <v>51518.03</v>
      </c>
      <c r="P133" s="660">
        <v>373505.7</v>
      </c>
      <c r="Q133" s="548"/>
      <c r="R133" s="660">
        <v>321632.33</v>
      </c>
      <c r="S133" s="549">
        <f t="shared" si="46"/>
        <v>51873.369999999995</v>
      </c>
      <c r="T133" s="113" t="s">
        <v>283</v>
      </c>
      <c r="U133" s="267"/>
      <c r="V133" s="93"/>
      <c r="W133" s="267"/>
      <c r="X133" s="267"/>
      <c r="Y133" s="93"/>
      <c r="Z133" s="618"/>
      <c r="AA133" s="424"/>
      <c r="AB133" s="715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45"/>
        <v>129</v>
      </c>
      <c r="B134" s="721" t="s">
        <v>7884</v>
      </c>
      <c r="C134" s="771">
        <v>520112</v>
      </c>
      <c r="D134" s="771">
        <v>2594</v>
      </c>
      <c r="E134" s="771" t="s">
        <v>720</v>
      </c>
      <c r="F134" s="546"/>
      <c r="G134" s="659">
        <v>43067</v>
      </c>
      <c r="H134" s="655" t="s">
        <v>764</v>
      </c>
      <c r="I134" s="655" t="s">
        <v>7637</v>
      </c>
      <c r="J134" s="712"/>
      <c r="K134" s="655" t="s">
        <v>8138</v>
      </c>
      <c r="L134" s="655" t="s">
        <v>7445</v>
      </c>
      <c r="M134" s="660">
        <v>416518.91</v>
      </c>
      <c r="N134" s="660">
        <v>23050.06</v>
      </c>
      <c r="O134" s="660">
        <v>70331.03</v>
      </c>
      <c r="P134" s="660">
        <v>509900</v>
      </c>
      <c r="Q134" s="548"/>
      <c r="R134" s="660">
        <v>360667.47</v>
      </c>
      <c r="S134" s="549">
        <f t="shared" si="46"/>
        <v>149232.53000000003</v>
      </c>
      <c r="T134" s="113" t="s">
        <v>1931</v>
      </c>
      <c r="U134" s="267"/>
      <c r="V134" s="93"/>
      <c r="W134" s="267"/>
      <c r="X134" s="267"/>
      <c r="Y134" s="93"/>
      <c r="Z134" s="618"/>
      <c r="AA134" s="424"/>
      <c r="AB134" s="715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45"/>
        <v>130</v>
      </c>
      <c r="B135" s="721" t="s">
        <v>7893</v>
      </c>
      <c r="C135" s="771">
        <v>520815</v>
      </c>
      <c r="D135" s="771">
        <v>4492</v>
      </c>
      <c r="E135" s="771" t="s">
        <v>694</v>
      </c>
      <c r="F135" s="546"/>
      <c r="G135" s="659">
        <v>43052</v>
      </c>
      <c r="H135" s="655"/>
      <c r="I135" s="655" t="s">
        <v>7644</v>
      </c>
      <c r="J135" s="712"/>
      <c r="K135" s="655" t="s">
        <v>1670</v>
      </c>
      <c r="L135" s="655" t="s">
        <v>7452</v>
      </c>
      <c r="M135" s="660">
        <v>311960.53000000003</v>
      </c>
      <c r="N135" s="660">
        <v>0</v>
      </c>
      <c r="O135" s="660">
        <v>49913.68</v>
      </c>
      <c r="P135" s="660">
        <v>361874.21</v>
      </c>
      <c r="Q135" s="548"/>
      <c r="R135" s="660">
        <v>311605.18</v>
      </c>
      <c r="S135" s="549">
        <f t="shared" si="46"/>
        <v>50269.030000000028</v>
      </c>
      <c r="T135" s="113" t="s">
        <v>283</v>
      </c>
      <c r="U135" s="267"/>
      <c r="V135" s="93"/>
      <c r="W135" s="267"/>
      <c r="X135" s="267"/>
      <c r="Y135" s="93"/>
      <c r="Z135" s="618"/>
      <c r="AA135" s="424"/>
      <c r="AB135" s="715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283" si="125">+A135+1</f>
        <v>131</v>
      </c>
      <c r="B136" s="721" t="s">
        <v>7894</v>
      </c>
      <c r="C136" s="771">
        <v>520815</v>
      </c>
      <c r="D136" s="771">
        <v>4492</v>
      </c>
      <c r="E136" s="771" t="s">
        <v>694</v>
      </c>
      <c r="F136" s="546"/>
      <c r="G136" s="659">
        <v>43055</v>
      </c>
      <c r="H136" s="655"/>
      <c r="I136" s="655" t="s">
        <v>6842</v>
      </c>
      <c r="J136" s="712"/>
      <c r="K136" s="655" t="s">
        <v>1189</v>
      </c>
      <c r="L136" s="655" t="s">
        <v>6843</v>
      </c>
      <c r="M136" s="660">
        <v>311960.53000000003</v>
      </c>
      <c r="N136" s="660">
        <v>0</v>
      </c>
      <c r="O136" s="660">
        <v>49913.68</v>
      </c>
      <c r="P136" s="660">
        <v>361874.21</v>
      </c>
      <c r="Q136" s="548"/>
      <c r="R136" s="660">
        <v>311605.18</v>
      </c>
      <c r="S136" s="549">
        <f t="shared" ref="S136:S199" si="126">+P136-R136</f>
        <v>50269.030000000028</v>
      </c>
      <c r="T136" s="113" t="s">
        <v>283</v>
      </c>
      <c r="U136" s="267"/>
      <c r="V136" s="93"/>
      <c r="W136" s="267"/>
      <c r="X136" s="267"/>
      <c r="Y136" s="93"/>
      <c r="Z136" s="618"/>
      <c r="AA136" s="424"/>
      <c r="AB136" s="715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125"/>
        <v>132</v>
      </c>
      <c r="B137" s="721" t="s">
        <v>7772</v>
      </c>
      <c r="C137" s="771">
        <v>521101</v>
      </c>
      <c r="D137" s="771">
        <v>1253</v>
      </c>
      <c r="E137" s="771" t="s">
        <v>30</v>
      </c>
      <c r="F137" s="546">
        <v>2017</v>
      </c>
      <c r="G137" s="659">
        <v>43049</v>
      </c>
      <c r="H137" s="655" t="s">
        <v>1211</v>
      </c>
      <c r="I137" s="655" t="s">
        <v>1541</v>
      </c>
      <c r="J137" s="712"/>
      <c r="K137" s="655" t="s">
        <v>6724</v>
      </c>
      <c r="L137" s="655" t="s">
        <v>1803</v>
      </c>
      <c r="M137" s="660">
        <v>-349137.93</v>
      </c>
      <c r="N137" s="660">
        <v>0</v>
      </c>
      <c r="O137" s="660">
        <v>-55862.07</v>
      </c>
      <c r="P137" s="660">
        <v>-405000</v>
      </c>
      <c r="Q137" s="548"/>
      <c r="R137" s="660">
        <v>-326020.56</v>
      </c>
      <c r="S137" s="549">
        <f t="shared" si="126"/>
        <v>-78979.44</v>
      </c>
      <c r="T137" s="113" t="s">
        <v>1266</v>
      </c>
      <c r="U137" s="722" t="str">
        <f t="shared" ref="U137:U139" si="127">+B137</f>
        <v>ZA04432</v>
      </c>
      <c r="V137" s="723" t="str">
        <f t="shared" ref="V137:V139" si="128">+I137</f>
        <v>0887-TCN17</v>
      </c>
      <c r="W137" s="722">
        <f t="shared" ref="W137:W139" si="129">+C137</f>
        <v>521101</v>
      </c>
      <c r="X137" s="722" t="str">
        <f t="shared" ref="X137:X139" si="130">+E137</f>
        <v>PRIUS</v>
      </c>
      <c r="Y137" s="723">
        <f t="shared" ref="Y137:Y139" si="131">+F137</f>
        <v>2017</v>
      </c>
      <c r="Z137" s="778">
        <f t="shared" ref="Z137:Z139" si="132">+M137</f>
        <v>-349137.93</v>
      </c>
      <c r="AA137" s="629"/>
      <c r="AB137" s="793"/>
      <c r="AC137" s="779" t="e">
        <f t="shared" ref="AC137:AC139" si="133">VLOOKUP(Z137,TARIFA,1)</f>
        <v>#N/A</v>
      </c>
      <c r="AD137" s="726" t="e">
        <f t="shared" ref="AD137:AD139" si="134">VLOOKUP(Z137,TARIFA,4)</f>
        <v>#N/A</v>
      </c>
      <c r="AE137" s="629" t="e">
        <f t="shared" ref="AE137:AE139" si="135">VLOOKUP(Z137,TARIFA,3)</f>
        <v>#N/A</v>
      </c>
      <c r="AF137" s="629">
        <f t="shared" ref="AF137:AF139" si="136">+N137</f>
        <v>0</v>
      </c>
      <c r="AG137" s="727">
        <f t="shared" ref="AG137:AG139" si="137">+N137-AF137</f>
        <v>0</v>
      </c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125"/>
        <v>133</v>
      </c>
      <c r="B138" s="721" t="s">
        <v>7775</v>
      </c>
      <c r="C138" s="771">
        <v>521101</v>
      </c>
      <c r="D138" s="771">
        <v>1253</v>
      </c>
      <c r="E138" s="771" t="s">
        <v>30</v>
      </c>
      <c r="F138" s="546">
        <v>2017</v>
      </c>
      <c r="G138" s="659">
        <v>43054</v>
      </c>
      <c r="H138" s="655" t="s">
        <v>727</v>
      </c>
      <c r="I138" s="655" t="s">
        <v>7573</v>
      </c>
      <c r="J138" s="712"/>
      <c r="K138" s="655" t="s">
        <v>8098</v>
      </c>
      <c r="L138" s="655" t="s">
        <v>7381</v>
      </c>
      <c r="M138" s="660">
        <v>354310.34</v>
      </c>
      <c r="N138" s="660">
        <v>0</v>
      </c>
      <c r="O138" s="660">
        <v>56689.66</v>
      </c>
      <c r="P138" s="660">
        <v>411000</v>
      </c>
      <c r="Q138" s="548"/>
      <c r="R138" s="660">
        <v>344834.35</v>
      </c>
      <c r="S138" s="549">
        <f t="shared" si="126"/>
        <v>66165.650000000023</v>
      </c>
      <c r="T138" s="113" t="s">
        <v>1932</v>
      </c>
      <c r="U138" s="722" t="str">
        <f t="shared" si="127"/>
        <v>AA12311</v>
      </c>
      <c r="V138" s="723" t="str">
        <f t="shared" si="128"/>
        <v>1545-TCN17</v>
      </c>
      <c r="W138" s="722">
        <f t="shared" si="129"/>
        <v>521101</v>
      </c>
      <c r="X138" s="722" t="str">
        <f t="shared" si="130"/>
        <v>PRIUS</v>
      </c>
      <c r="Y138" s="723">
        <f t="shared" si="131"/>
        <v>2017</v>
      </c>
      <c r="Z138" s="778">
        <f t="shared" si="132"/>
        <v>354310.34</v>
      </c>
      <c r="AA138" s="629"/>
      <c r="AB138" s="793"/>
      <c r="AC138" s="779">
        <f t="shared" si="133"/>
        <v>344993.21</v>
      </c>
      <c r="AD138" s="726">
        <f t="shared" si="134"/>
        <v>0.15</v>
      </c>
      <c r="AE138" s="629">
        <f t="shared" si="135"/>
        <v>12321.2</v>
      </c>
      <c r="AF138" s="629">
        <f t="shared" si="136"/>
        <v>0</v>
      </c>
      <c r="AG138" s="727">
        <f t="shared" si="137"/>
        <v>0</v>
      </c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125"/>
        <v>134</v>
      </c>
      <c r="B139" s="721" t="s">
        <v>7771</v>
      </c>
      <c r="C139" s="771">
        <v>521101</v>
      </c>
      <c r="D139" s="771">
        <v>1251</v>
      </c>
      <c r="E139" s="771" t="s">
        <v>700</v>
      </c>
      <c r="F139" s="546">
        <v>2017</v>
      </c>
      <c r="G139" s="659">
        <v>43069</v>
      </c>
      <c r="H139" s="655" t="s">
        <v>788</v>
      </c>
      <c r="I139" s="655" t="s">
        <v>7572</v>
      </c>
      <c r="J139" s="712"/>
      <c r="K139" s="655" t="s">
        <v>8097</v>
      </c>
      <c r="L139" s="655" t="s">
        <v>7380</v>
      </c>
      <c r="M139" s="660">
        <v>317586.21000000002</v>
      </c>
      <c r="N139" s="660">
        <v>0</v>
      </c>
      <c r="O139" s="660">
        <v>50813.79</v>
      </c>
      <c r="P139" s="660">
        <v>368400</v>
      </c>
      <c r="Q139" s="548"/>
      <c r="R139" s="660">
        <v>300095.32</v>
      </c>
      <c r="S139" s="549">
        <f t="shared" si="126"/>
        <v>68304.679999999993</v>
      </c>
      <c r="T139" s="113" t="s">
        <v>1932</v>
      </c>
      <c r="U139" s="722" t="str">
        <f t="shared" si="127"/>
        <v>AA12453</v>
      </c>
      <c r="V139" s="723" t="str">
        <f t="shared" si="128"/>
        <v>1949-TCN17</v>
      </c>
      <c r="W139" s="722">
        <f t="shared" si="129"/>
        <v>521101</v>
      </c>
      <c r="X139" s="722" t="str">
        <f t="shared" si="130"/>
        <v>PRIUS HYBRID BASE</v>
      </c>
      <c r="Y139" s="723">
        <f t="shared" si="131"/>
        <v>2017</v>
      </c>
      <c r="Z139" s="778">
        <f t="shared" si="132"/>
        <v>317586.21000000002</v>
      </c>
      <c r="AA139" s="629">
        <f>+SUM(Z137:Z139)</f>
        <v>322758.62000000005</v>
      </c>
      <c r="AB139" s="796">
        <v>1</v>
      </c>
      <c r="AC139" s="779">
        <f t="shared" si="133"/>
        <v>295708.34000000003</v>
      </c>
      <c r="AD139" s="726">
        <f t="shared" si="134"/>
        <v>0.1</v>
      </c>
      <c r="AE139" s="629">
        <f t="shared" si="135"/>
        <v>7392.74</v>
      </c>
      <c r="AF139" s="629">
        <f t="shared" si="136"/>
        <v>0</v>
      </c>
      <c r="AG139" s="727">
        <f t="shared" si="137"/>
        <v>0</v>
      </c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125"/>
        <v>135</v>
      </c>
      <c r="B140" s="721" t="s">
        <v>7898</v>
      </c>
      <c r="C140" s="771">
        <v>520815</v>
      </c>
      <c r="D140" s="771">
        <v>4492</v>
      </c>
      <c r="E140" s="771" t="s">
        <v>694</v>
      </c>
      <c r="F140" s="546"/>
      <c r="G140" s="659">
        <v>43060</v>
      </c>
      <c r="H140" s="655"/>
      <c r="I140" s="655" t="s">
        <v>7648</v>
      </c>
      <c r="J140" s="712"/>
      <c r="K140" s="655" t="s">
        <v>3871</v>
      </c>
      <c r="L140" s="655" t="s">
        <v>7456</v>
      </c>
      <c r="M140" s="660">
        <v>311960.53000000003</v>
      </c>
      <c r="N140" s="660">
        <v>0</v>
      </c>
      <c r="O140" s="660">
        <v>49913.68</v>
      </c>
      <c r="P140" s="660">
        <v>361874.21</v>
      </c>
      <c r="Q140" s="548"/>
      <c r="R140" s="660">
        <v>311605.18</v>
      </c>
      <c r="S140" s="549">
        <f t="shared" si="126"/>
        <v>50269.030000000028</v>
      </c>
      <c r="T140" s="113" t="s">
        <v>283</v>
      </c>
      <c r="U140" s="267"/>
      <c r="V140" s="93"/>
      <c r="W140" s="267"/>
      <c r="X140" s="267"/>
      <c r="Y140" s="93"/>
      <c r="Z140" s="618"/>
      <c r="AA140" s="424"/>
      <c r="AB140" s="715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125"/>
        <v>136</v>
      </c>
      <c r="B141" s="721" t="s">
        <v>7899</v>
      </c>
      <c r="C141" s="771">
        <v>520815</v>
      </c>
      <c r="D141" s="771">
        <v>4492</v>
      </c>
      <c r="E141" s="771" t="s">
        <v>694</v>
      </c>
      <c r="F141" s="546"/>
      <c r="G141" s="659">
        <v>43061</v>
      </c>
      <c r="H141" s="655"/>
      <c r="I141" s="655" t="s">
        <v>6343</v>
      </c>
      <c r="J141" s="712"/>
      <c r="K141" s="655" t="s">
        <v>1144</v>
      </c>
      <c r="L141" s="655" t="s">
        <v>6605</v>
      </c>
      <c r="M141" s="660">
        <v>311960.53000000003</v>
      </c>
      <c r="N141" s="660">
        <v>0</v>
      </c>
      <c r="O141" s="660">
        <v>49913.68</v>
      </c>
      <c r="P141" s="660">
        <v>361874.21</v>
      </c>
      <c r="Q141" s="548"/>
      <c r="R141" s="660">
        <v>311605.18</v>
      </c>
      <c r="S141" s="549">
        <f t="shared" si="126"/>
        <v>50269.030000000028</v>
      </c>
      <c r="T141" s="113" t="s">
        <v>283</v>
      </c>
      <c r="U141" s="267"/>
      <c r="V141" s="93"/>
      <c r="W141" s="267"/>
      <c r="X141" s="267"/>
      <c r="Y141" s="93"/>
      <c r="Z141" s="618"/>
      <c r="AA141" s="424"/>
      <c r="AB141" s="715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3">
        <f t="shared" si="125"/>
        <v>137</v>
      </c>
      <c r="B142" s="721" t="s">
        <v>7958</v>
      </c>
      <c r="C142" s="771">
        <v>521502</v>
      </c>
      <c r="D142" s="771">
        <v>5611</v>
      </c>
      <c r="E142" s="771" t="s">
        <v>225</v>
      </c>
      <c r="F142" s="546">
        <v>2018</v>
      </c>
      <c r="G142" s="659">
        <v>43067</v>
      </c>
      <c r="H142" s="655" t="s">
        <v>2216</v>
      </c>
      <c r="I142" s="655" t="s">
        <v>7685</v>
      </c>
      <c r="J142" s="712"/>
      <c r="K142" s="655" t="s">
        <v>6903</v>
      </c>
      <c r="L142" s="655" t="s">
        <v>7493</v>
      </c>
      <c r="M142" s="660">
        <v>394255.04</v>
      </c>
      <c r="N142" s="660">
        <v>19710.48</v>
      </c>
      <c r="O142" s="660">
        <v>66234.48</v>
      </c>
      <c r="P142" s="660">
        <v>480200</v>
      </c>
      <c r="Q142" s="548"/>
      <c r="R142" s="660">
        <v>349548.9</v>
      </c>
      <c r="S142" s="549">
        <f t="shared" si="126"/>
        <v>130651.09999999998</v>
      </c>
      <c r="T142" s="113" t="s">
        <v>1932</v>
      </c>
      <c r="U142" s="722" t="str">
        <f t="shared" ref="U142:U143" si="138">+B142</f>
        <v>AA12413</v>
      </c>
      <c r="V142" s="723" t="str">
        <f t="shared" ref="V142:V143" si="139">+I142</f>
        <v>0230-TCN18</v>
      </c>
      <c r="W142" s="722">
        <f t="shared" ref="W142:W143" si="140">+C142</f>
        <v>521502</v>
      </c>
      <c r="X142" s="722" t="str">
        <f t="shared" ref="X142:X143" si="141">+E142</f>
        <v>HIACE PANEL 15 PASAJ AC</v>
      </c>
      <c r="Y142" s="723">
        <f t="shared" ref="Y142:Y143" si="142">+F142</f>
        <v>2018</v>
      </c>
      <c r="Z142" s="778">
        <f t="shared" ref="Z142:Z143" si="143">+M142</f>
        <v>394255.04</v>
      </c>
      <c r="AA142" s="629"/>
      <c r="AB142" s="793"/>
      <c r="AC142" s="779">
        <f t="shared" ref="AC142:AC143" si="144">VLOOKUP(Z142,TARIFA,1)</f>
        <v>344993.21</v>
      </c>
      <c r="AD142" s="726">
        <f t="shared" ref="AD142:AD143" si="145">VLOOKUP(Z142,TARIFA,4)</f>
        <v>0.15</v>
      </c>
      <c r="AE142" s="629">
        <f t="shared" ref="AE142:AE143" si="146">VLOOKUP(Z142,TARIFA,3)</f>
        <v>12321.2</v>
      </c>
      <c r="AF142" s="629">
        <f t="shared" ref="AF142:AF143" si="147">+N142</f>
        <v>19710.48</v>
      </c>
      <c r="AG142" s="727">
        <f t="shared" ref="AG142:AG143" si="148">+N142-AF142</f>
        <v>0</v>
      </c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x14ac:dyDescent="0.2">
      <c r="A143" s="423">
        <f t="shared" si="125"/>
        <v>138</v>
      </c>
      <c r="B143" s="721" t="s">
        <v>7959</v>
      </c>
      <c r="C143" s="771">
        <v>521502</v>
      </c>
      <c r="D143" s="771">
        <v>5611</v>
      </c>
      <c r="E143" s="771" t="s">
        <v>225</v>
      </c>
      <c r="F143" s="546">
        <v>2018</v>
      </c>
      <c r="G143" s="659">
        <v>43067</v>
      </c>
      <c r="H143" s="655" t="s">
        <v>788</v>
      </c>
      <c r="I143" s="655" t="s">
        <v>7686</v>
      </c>
      <c r="J143" s="712"/>
      <c r="K143" s="655" t="s">
        <v>923</v>
      </c>
      <c r="L143" s="655" t="s">
        <v>7494</v>
      </c>
      <c r="M143" s="660">
        <v>394255.04</v>
      </c>
      <c r="N143" s="660">
        <v>19710.48</v>
      </c>
      <c r="O143" s="660">
        <v>66234.48</v>
      </c>
      <c r="P143" s="660">
        <v>480200</v>
      </c>
      <c r="Q143" s="548"/>
      <c r="R143" s="660">
        <v>349193.41</v>
      </c>
      <c r="S143" s="549">
        <f t="shared" si="126"/>
        <v>131006.59000000003</v>
      </c>
      <c r="T143" s="267" t="s">
        <v>1932</v>
      </c>
      <c r="U143" s="722" t="str">
        <f t="shared" si="138"/>
        <v>AA12447</v>
      </c>
      <c r="V143" s="723" t="str">
        <f t="shared" si="139"/>
        <v>0245-TCN18</v>
      </c>
      <c r="W143" s="722">
        <f t="shared" si="140"/>
        <v>521502</v>
      </c>
      <c r="X143" s="722" t="str">
        <f t="shared" si="141"/>
        <v>HIACE PANEL 15 PASAJ AC</v>
      </c>
      <c r="Y143" s="723">
        <f t="shared" si="142"/>
        <v>2018</v>
      </c>
      <c r="Z143" s="778">
        <f t="shared" si="143"/>
        <v>394255.04</v>
      </c>
      <c r="AA143" s="629"/>
      <c r="AB143" s="793"/>
      <c r="AC143" s="779">
        <f t="shared" si="144"/>
        <v>344993.21</v>
      </c>
      <c r="AD143" s="726">
        <f t="shared" si="145"/>
        <v>0.15</v>
      </c>
      <c r="AE143" s="629">
        <f t="shared" si="146"/>
        <v>12321.2</v>
      </c>
      <c r="AF143" s="629">
        <f t="shared" si="147"/>
        <v>19710.48</v>
      </c>
      <c r="AG143" s="727">
        <f t="shared" si="148"/>
        <v>0</v>
      </c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x14ac:dyDescent="0.2">
      <c r="A144" s="423">
        <f t="shared" si="125"/>
        <v>139</v>
      </c>
      <c r="B144" s="721" t="s">
        <v>7878</v>
      </c>
      <c r="C144" s="771">
        <v>520112</v>
      </c>
      <c r="D144" s="771">
        <v>2594</v>
      </c>
      <c r="E144" s="771" t="s">
        <v>720</v>
      </c>
      <c r="F144" s="546"/>
      <c r="G144" s="659">
        <v>43060</v>
      </c>
      <c r="H144" s="655" t="s">
        <v>7761</v>
      </c>
      <c r="I144" s="655" t="s">
        <v>7636</v>
      </c>
      <c r="J144" s="712"/>
      <c r="K144" s="655" t="s">
        <v>8137</v>
      </c>
      <c r="L144" s="655" t="s">
        <v>7444</v>
      </c>
      <c r="M144" s="660">
        <v>-321886.03999999998</v>
      </c>
      <c r="N144" s="660">
        <v>-10010.51</v>
      </c>
      <c r="O144" s="660">
        <v>-53103.45</v>
      </c>
      <c r="P144" s="660">
        <v>-385000</v>
      </c>
      <c r="Q144" s="548"/>
      <c r="R144" s="660">
        <v>-309664.12</v>
      </c>
      <c r="S144" s="549">
        <f t="shared" si="126"/>
        <v>-75335.88</v>
      </c>
      <c r="T144" s="113" t="s">
        <v>1931</v>
      </c>
      <c r="U144" s="267"/>
      <c r="V144" s="93"/>
      <c r="W144" s="267"/>
      <c r="X144" s="267"/>
      <c r="Y144" s="93"/>
      <c r="Z144" s="618"/>
      <c r="AA144" s="424"/>
      <c r="AB144" s="715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x14ac:dyDescent="0.2">
      <c r="A145" s="423">
        <f t="shared" si="125"/>
        <v>140</v>
      </c>
      <c r="B145" s="721" t="s">
        <v>7903</v>
      </c>
      <c r="C145" s="771">
        <v>520815</v>
      </c>
      <c r="D145" s="771">
        <v>4492</v>
      </c>
      <c r="E145" s="771" t="s">
        <v>694</v>
      </c>
      <c r="F145" s="546"/>
      <c r="G145" s="659">
        <v>43067</v>
      </c>
      <c r="H145" s="655"/>
      <c r="I145" s="655" t="s">
        <v>7650</v>
      </c>
      <c r="J145" s="712"/>
      <c r="K145" s="655" t="s">
        <v>1710</v>
      </c>
      <c r="L145" s="655" t="s">
        <v>7458</v>
      </c>
      <c r="M145" s="660">
        <v>315880.53000000003</v>
      </c>
      <c r="N145" s="660">
        <v>0</v>
      </c>
      <c r="O145" s="660">
        <v>50540.89</v>
      </c>
      <c r="P145" s="660">
        <v>366421.42</v>
      </c>
      <c r="Q145" s="548"/>
      <c r="R145" s="660">
        <v>315525.19</v>
      </c>
      <c r="S145" s="549">
        <f t="shared" si="126"/>
        <v>50896.229999999981</v>
      </c>
      <c r="T145" s="113" t="s">
        <v>283</v>
      </c>
      <c r="U145" s="267"/>
      <c r="V145" s="93"/>
      <c r="W145" s="267"/>
      <c r="X145" s="267"/>
      <c r="Y145" s="93"/>
      <c r="Z145" s="618"/>
      <c r="AA145" s="424"/>
      <c r="AB145" s="715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x14ac:dyDescent="0.2">
      <c r="A146" s="423">
        <f t="shared" si="125"/>
        <v>141</v>
      </c>
      <c r="B146" s="721" t="s">
        <v>7879</v>
      </c>
      <c r="C146" s="771">
        <v>520112</v>
      </c>
      <c r="D146" s="771">
        <v>2594</v>
      </c>
      <c r="E146" s="771" t="s">
        <v>720</v>
      </c>
      <c r="F146" s="546"/>
      <c r="G146" s="659">
        <v>43060</v>
      </c>
      <c r="H146" s="655" t="s">
        <v>7761</v>
      </c>
      <c r="I146" s="655" t="s">
        <v>7636</v>
      </c>
      <c r="J146" s="712"/>
      <c r="K146" s="655" t="s">
        <v>8137</v>
      </c>
      <c r="L146" s="655" t="s">
        <v>7444</v>
      </c>
      <c r="M146" s="660">
        <v>-321886.03999999998</v>
      </c>
      <c r="N146" s="660">
        <v>-10010.51</v>
      </c>
      <c r="O146" s="660">
        <v>-53103.45</v>
      </c>
      <c r="P146" s="660">
        <v>-385000</v>
      </c>
      <c r="Q146" s="548"/>
      <c r="R146" s="660">
        <v>-309664.12</v>
      </c>
      <c r="S146" s="549">
        <f t="shared" si="126"/>
        <v>-75335.88</v>
      </c>
      <c r="T146" s="113" t="s">
        <v>1931</v>
      </c>
      <c r="U146" s="267"/>
      <c r="V146" s="93"/>
      <c r="W146" s="267"/>
      <c r="X146" s="267"/>
      <c r="Y146" s="93"/>
      <c r="Z146" s="618"/>
      <c r="AA146" s="424"/>
      <c r="AB146" s="715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x14ac:dyDescent="0.2">
      <c r="A147" s="423">
        <f t="shared" si="125"/>
        <v>142</v>
      </c>
      <c r="B147" s="721" t="s">
        <v>7880</v>
      </c>
      <c r="C147" s="771">
        <v>520112</v>
      </c>
      <c r="D147" s="771">
        <v>2594</v>
      </c>
      <c r="E147" s="771" t="s">
        <v>720</v>
      </c>
      <c r="F147" s="546"/>
      <c r="G147" s="659">
        <v>43060</v>
      </c>
      <c r="H147" s="655" t="s">
        <v>7761</v>
      </c>
      <c r="I147" s="655" t="s">
        <v>7636</v>
      </c>
      <c r="J147" s="712"/>
      <c r="K147" s="655" t="s">
        <v>8137</v>
      </c>
      <c r="L147" s="655" t="s">
        <v>7444</v>
      </c>
      <c r="M147" s="660">
        <v>321886.03999999998</v>
      </c>
      <c r="N147" s="660">
        <v>10010.51</v>
      </c>
      <c r="O147" s="660">
        <v>53103.45</v>
      </c>
      <c r="P147" s="660">
        <v>385000</v>
      </c>
      <c r="Q147" s="548"/>
      <c r="R147" s="660">
        <v>309664.12</v>
      </c>
      <c r="S147" s="549">
        <f t="shared" si="126"/>
        <v>75335.88</v>
      </c>
      <c r="T147" s="113" t="s">
        <v>1931</v>
      </c>
      <c r="U147" s="267"/>
      <c r="V147" s="93"/>
      <c r="W147" s="267"/>
      <c r="X147" s="267"/>
      <c r="Y147" s="93"/>
      <c r="Z147" s="618"/>
      <c r="AA147" s="424"/>
      <c r="AB147" s="715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125"/>
        <v>143</v>
      </c>
      <c r="B148" s="721" t="s">
        <v>7881</v>
      </c>
      <c r="C148" s="771">
        <v>520112</v>
      </c>
      <c r="D148" s="771">
        <v>2594</v>
      </c>
      <c r="E148" s="771" t="s">
        <v>720</v>
      </c>
      <c r="F148" s="546"/>
      <c r="G148" s="659">
        <v>43060</v>
      </c>
      <c r="H148" s="655" t="s">
        <v>7761</v>
      </c>
      <c r="I148" s="655" t="s">
        <v>7636</v>
      </c>
      <c r="J148" s="712"/>
      <c r="K148" s="655" t="s">
        <v>8137</v>
      </c>
      <c r="L148" s="655" t="s">
        <v>7444</v>
      </c>
      <c r="M148" s="660">
        <v>321886.03999999998</v>
      </c>
      <c r="N148" s="660">
        <v>10010.51</v>
      </c>
      <c r="O148" s="660">
        <v>53103.45</v>
      </c>
      <c r="P148" s="660">
        <v>385000</v>
      </c>
      <c r="Q148" s="548"/>
      <c r="R148" s="660">
        <v>309664.12</v>
      </c>
      <c r="S148" s="549">
        <f t="shared" si="126"/>
        <v>75335.88</v>
      </c>
      <c r="T148" s="113" t="s">
        <v>1931</v>
      </c>
      <c r="U148" s="267"/>
      <c r="V148" s="93"/>
      <c r="W148" s="267"/>
      <c r="X148" s="267"/>
      <c r="Y148" s="93"/>
      <c r="Z148" s="618"/>
      <c r="AA148" s="424"/>
      <c r="AB148" s="715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291" customFormat="1" x14ac:dyDescent="0.2">
      <c r="A149" s="423">
        <f t="shared" si="125"/>
        <v>144</v>
      </c>
      <c r="B149" s="721" t="s">
        <v>7960</v>
      </c>
      <c r="C149" s="771">
        <v>521502</v>
      </c>
      <c r="D149" s="771">
        <v>5611</v>
      </c>
      <c r="E149" s="771" t="s">
        <v>225</v>
      </c>
      <c r="F149" s="546">
        <v>2018</v>
      </c>
      <c r="G149" s="659">
        <v>43067</v>
      </c>
      <c r="H149" s="655" t="s">
        <v>788</v>
      </c>
      <c r="I149" s="655" t="s">
        <v>7687</v>
      </c>
      <c r="J149" s="712"/>
      <c r="K149" s="655" t="s">
        <v>923</v>
      </c>
      <c r="L149" s="655" t="s">
        <v>7495</v>
      </c>
      <c r="M149" s="660">
        <v>394255.04</v>
      </c>
      <c r="N149" s="660">
        <v>19710.48</v>
      </c>
      <c r="O149" s="660">
        <v>66234.48</v>
      </c>
      <c r="P149" s="660">
        <v>480200</v>
      </c>
      <c r="Q149" s="548"/>
      <c r="R149" s="660">
        <v>349193.41</v>
      </c>
      <c r="S149" s="549">
        <f t="shared" si="126"/>
        <v>131006.59000000003</v>
      </c>
      <c r="T149" s="113" t="s">
        <v>1932</v>
      </c>
      <c r="U149" s="722" t="str">
        <f t="shared" ref="U149" si="149">+B149</f>
        <v>AA12444</v>
      </c>
      <c r="V149" s="723" t="str">
        <f t="shared" ref="V149" si="150">+I149</f>
        <v>0246-TCN18</v>
      </c>
      <c r="W149" s="722">
        <f t="shared" ref="W149" si="151">+C149</f>
        <v>521502</v>
      </c>
      <c r="X149" s="722" t="str">
        <f t="shared" ref="X149" si="152">+E149</f>
        <v>HIACE PANEL 15 PASAJ AC</v>
      </c>
      <c r="Y149" s="723">
        <f t="shared" ref="Y149" si="153">+F149</f>
        <v>2018</v>
      </c>
      <c r="Z149" s="778">
        <f t="shared" ref="Z149" si="154">+M149</f>
        <v>394255.04</v>
      </c>
      <c r="AA149" s="629">
        <f>+SUM(Z142:Z149)</f>
        <v>1182765.1199999999</v>
      </c>
      <c r="AB149" s="793">
        <v>3</v>
      </c>
      <c r="AC149" s="779">
        <f t="shared" ref="AC149" si="155">VLOOKUP(Z149,TARIFA,1)</f>
        <v>344993.21</v>
      </c>
      <c r="AD149" s="726">
        <f t="shared" ref="AD149" si="156">VLOOKUP(Z149,TARIFA,4)</f>
        <v>0.15</v>
      </c>
      <c r="AE149" s="629">
        <f t="shared" ref="AE149" si="157">VLOOKUP(Z149,TARIFA,3)</f>
        <v>12321.2</v>
      </c>
      <c r="AF149" s="629">
        <f t="shared" ref="AF149" si="158">+N149</f>
        <v>19710.48</v>
      </c>
      <c r="AG149" s="727">
        <f t="shared" ref="AG149" si="159">+N149-AF149</f>
        <v>0</v>
      </c>
      <c r="AH149" s="361"/>
      <c r="AI149" s="313"/>
      <c r="AJ149" s="374"/>
      <c r="AK149" s="374"/>
      <c r="AL149" s="374"/>
      <c r="AM149" s="374"/>
      <c r="AN149" s="296"/>
      <c r="AO149" s="296"/>
      <c r="AP149" s="296"/>
      <c r="AQ149" s="296"/>
      <c r="AR149" s="296"/>
      <c r="AS149" s="296"/>
      <c r="AT149" s="296"/>
      <c r="AU149" s="296"/>
    </row>
    <row r="150" spans="1:47" s="291" customFormat="1" x14ac:dyDescent="0.2">
      <c r="A150" s="423">
        <f t="shared" si="125"/>
        <v>145</v>
      </c>
      <c r="B150" s="721" t="s">
        <v>7908</v>
      </c>
      <c r="C150" s="771">
        <v>520809</v>
      </c>
      <c r="D150" s="771">
        <v>4493</v>
      </c>
      <c r="E150" s="771" t="s">
        <v>693</v>
      </c>
      <c r="F150" s="546"/>
      <c r="G150" s="659">
        <v>43046</v>
      </c>
      <c r="H150" s="655"/>
      <c r="I150" s="655" t="s">
        <v>7653</v>
      </c>
      <c r="J150" s="712"/>
      <c r="K150" s="655" t="s">
        <v>1175</v>
      </c>
      <c r="L150" s="655" t="s">
        <v>7461</v>
      </c>
      <c r="M150" s="660">
        <v>277002.33</v>
      </c>
      <c r="N150" s="660">
        <v>0</v>
      </c>
      <c r="O150" s="660">
        <v>44320.37</v>
      </c>
      <c r="P150" s="660">
        <v>321322.7</v>
      </c>
      <c r="Q150" s="548"/>
      <c r="R150" s="660">
        <v>277001.46999999997</v>
      </c>
      <c r="S150" s="549">
        <f t="shared" si="126"/>
        <v>44321.23000000004</v>
      </c>
      <c r="T150" s="113" t="s">
        <v>283</v>
      </c>
      <c r="U150" s="267"/>
      <c r="V150" s="93"/>
      <c r="W150" s="267"/>
      <c r="X150" s="267"/>
      <c r="Y150" s="93"/>
      <c r="Z150" s="618"/>
      <c r="AA150" s="424"/>
      <c r="AB150" s="715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291" customFormat="1" x14ac:dyDescent="0.2">
      <c r="A151" s="423">
        <f t="shared" si="125"/>
        <v>146</v>
      </c>
      <c r="B151" s="721" t="s">
        <v>7909</v>
      </c>
      <c r="C151" s="771">
        <v>520504</v>
      </c>
      <c r="D151" s="771">
        <v>4493</v>
      </c>
      <c r="E151" s="771" t="s">
        <v>693</v>
      </c>
      <c r="F151" s="546"/>
      <c r="G151" s="659">
        <v>43052</v>
      </c>
      <c r="H151" s="655"/>
      <c r="I151" s="655" t="s">
        <v>7654</v>
      </c>
      <c r="J151" s="712"/>
      <c r="K151" s="655" t="s">
        <v>1745</v>
      </c>
      <c r="L151" s="655" t="s">
        <v>7462</v>
      </c>
      <c r="M151" s="660">
        <v>280613.18</v>
      </c>
      <c r="N151" s="660">
        <v>0</v>
      </c>
      <c r="O151" s="660">
        <v>44898.11</v>
      </c>
      <c r="P151" s="660">
        <v>325511.28999999998</v>
      </c>
      <c r="Q151" s="548"/>
      <c r="R151" s="660">
        <v>280257.84000000003</v>
      </c>
      <c r="S151" s="549">
        <f t="shared" si="126"/>
        <v>45253.449999999953</v>
      </c>
      <c r="T151" s="113" t="s">
        <v>283</v>
      </c>
      <c r="U151" s="267"/>
      <c r="V151" s="93"/>
      <c r="W151" s="267"/>
      <c r="X151" s="267"/>
      <c r="Y151" s="93"/>
      <c r="Z151" s="618"/>
      <c r="AA151" s="424"/>
      <c r="AB151" s="715"/>
      <c r="AC151" s="424"/>
      <c r="AD151" s="425"/>
      <c r="AE151" s="424"/>
      <c r="AF151" s="424"/>
      <c r="AG151" s="396"/>
      <c r="AH151" s="361"/>
      <c r="AI151" s="313"/>
      <c r="AJ151" s="374"/>
      <c r="AK151" s="374"/>
      <c r="AL151" s="374"/>
      <c r="AM151" s="374"/>
      <c r="AN151" s="296"/>
      <c r="AO151" s="296"/>
      <c r="AP151" s="296"/>
      <c r="AQ151" s="296"/>
      <c r="AR151" s="296"/>
      <c r="AS151" s="296"/>
      <c r="AT151" s="296"/>
      <c r="AU151" s="296"/>
    </row>
    <row r="152" spans="1:47" s="291" customFormat="1" x14ac:dyDescent="0.2">
      <c r="A152" s="423">
        <f t="shared" si="125"/>
        <v>147</v>
      </c>
      <c r="B152" s="721" t="s">
        <v>7910</v>
      </c>
      <c r="C152" s="771">
        <v>520814</v>
      </c>
      <c r="D152" s="771">
        <v>4493</v>
      </c>
      <c r="E152" s="771" t="s">
        <v>693</v>
      </c>
      <c r="F152" s="546"/>
      <c r="G152" s="659">
        <v>43060</v>
      </c>
      <c r="H152" s="655"/>
      <c r="I152" s="655" t="s">
        <v>7655</v>
      </c>
      <c r="J152" s="712"/>
      <c r="K152" s="655" t="s">
        <v>1147</v>
      </c>
      <c r="L152" s="655" t="s">
        <v>7463</v>
      </c>
      <c r="M152" s="660">
        <v>277001.46999999997</v>
      </c>
      <c r="N152" s="660">
        <v>0</v>
      </c>
      <c r="O152" s="660">
        <v>44320.23</v>
      </c>
      <c r="P152" s="660">
        <v>321321.7</v>
      </c>
      <c r="Q152" s="548"/>
      <c r="R152" s="660">
        <v>277000.59999999998</v>
      </c>
      <c r="S152" s="549">
        <f t="shared" si="126"/>
        <v>44321.100000000035</v>
      </c>
      <c r="T152" s="113" t="s">
        <v>283</v>
      </c>
      <c r="U152" s="267"/>
      <c r="V152" s="93"/>
      <c r="W152" s="267"/>
      <c r="X152" s="267"/>
      <c r="Y152" s="93"/>
      <c r="Z152" s="618"/>
      <c r="AA152" s="424"/>
      <c r="AB152" s="715"/>
      <c r="AC152" s="424"/>
      <c r="AD152" s="425"/>
      <c r="AE152" s="424"/>
      <c r="AF152" s="424"/>
      <c r="AG152" s="396"/>
      <c r="AH152" s="361"/>
      <c r="AI152" s="313"/>
      <c r="AJ152" s="374"/>
      <c r="AK152" s="374"/>
      <c r="AL152" s="374"/>
      <c r="AM152" s="374"/>
      <c r="AN152" s="296"/>
      <c r="AO152" s="296"/>
      <c r="AP152" s="296"/>
      <c r="AQ152" s="296"/>
      <c r="AR152" s="296"/>
      <c r="AS152" s="296"/>
      <c r="AT152" s="296"/>
      <c r="AU152" s="296"/>
    </row>
    <row r="153" spans="1:47" s="291" customFormat="1" x14ac:dyDescent="0.2">
      <c r="A153" s="423">
        <f t="shared" si="125"/>
        <v>148</v>
      </c>
      <c r="B153" s="721" t="s">
        <v>7911</v>
      </c>
      <c r="C153" s="771">
        <v>520814</v>
      </c>
      <c r="D153" s="771">
        <v>4493</v>
      </c>
      <c r="E153" s="771" t="s">
        <v>693</v>
      </c>
      <c r="F153" s="546"/>
      <c r="G153" s="659">
        <v>43061</v>
      </c>
      <c r="H153" s="655"/>
      <c r="I153" s="655" t="s">
        <v>7656</v>
      </c>
      <c r="J153" s="712"/>
      <c r="K153" s="655" t="s">
        <v>1147</v>
      </c>
      <c r="L153" s="655" t="s">
        <v>7464</v>
      </c>
      <c r="M153" s="660">
        <v>-280669.90999999997</v>
      </c>
      <c r="N153" s="660">
        <v>0</v>
      </c>
      <c r="O153" s="660">
        <v>-44907.18</v>
      </c>
      <c r="P153" s="660">
        <v>-325577.09000000003</v>
      </c>
      <c r="Q153" s="548"/>
      <c r="R153" s="660">
        <v>-280257.84000000003</v>
      </c>
      <c r="S153" s="549">
        <f t="shared" si="126"/>
        <v>-45319.25</v>
      </c>
      <c r="T153" s="113" t="s">
        <v>283</v>
      </c>
      <c r="U153" s="267"/>
      <c r="V153" s="93"/>
      <c r="W153" s="267"/>
      <c r="X153" s="267"/>
      <c r="Y153" s="93"/>
      <c r="Z153" s="618"/>
      <c r="AA153" s="424"/>
      <c r="AB153" s="715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291" customFormat="1" x14ac:dyDescent="0.2">
      <c r="A154" s="423">
        <f t="shared" si="125"/>
        <v>149</v>
      </c>
      <c r="B154" s="721" t="s">
        <v>7912</v>
      </c>
      <c r="C154" s="771">
        <v>520814</v>
      </c>
      <c r="D154" s="771">
        <v>4493</v>
      </c>
      <c r="E154" s="771" t="s">
        <v>693</v>
      </c>
      <c r="F154" s="546"/>
      <c r="G154" s="659">
        <v>43061</v>
      </c>
      <c r="H154" s="655"/>
      <c r="I154" s="655" t="s">
        <v>7656</v>
      </c>
      <c r="J154" s="712"/>
      <c r="K154" s="655" t="s">
        <v>1147</v>
      </c>
      <c r="L154" s="655" t="s">
        <v>7464</v>
      </c>
      <c r="M154" s="660">
        <v>280669.90999999997</v>
      </c>
      <c r="N154" s="660">
        <v>0</v>
      </c>
      <c r="O154" s="660">
        <v>44907.18</v>
      </c>
      <c r="P154" s="660">
        <v>325577.09000000003</v>
      </c>
      <c r="Q154" s="548"/>
      <c r="R154" s="660">
        <v>280257.84000000003</v>
      </c>
      <c r="S154" s="549">
        <f t="shared" si="126"/>
        <v>45319.25</v>
      </c>
      <c r="T154" s="113" t="s">
        <v>283</v>
      </c>
      <c r="U154" s="267"/>
      <c r="V154" s="93"/>
      <c r="W154" s="267"/>
      <c r="X154" s="267"/>
      <c r="Y154" s="93"/>
      <c r="Z154" s="618"/>
      <c r="AA154" s="424"/>
      <c r="AB154" s="715"/>
      <c r="AC154" s="424"/>
      <c r="AD154" s="425"/>
      <c r="AE154" s="424"/>
      <c r="AF154" s="424"/>
      <c r="AG154" s="396"/>
      <c r="AH154" s="361"/>
      <c r="AI154" s="313"/>
      <c r="AJ154" s="374"/>
      <c r="AK154" s="374"/>
      <c r="AL154" s="374"/>
      <c r="AM154" s="374"/>
      <c r="AN154" s="296"/>
      <c r="AO154" s="296"/>
      <c r="AP154" s="296"/>
      <c r="AQ154" s="296"/>
      <c r="AR154" s="296"/>
      <c r="AS154" s="296"/>
      <c r="AT154" s="296"/>
      <c r="AU154" s="296"/>
    </row>
    <row r="155" spans="1:47" s="291" customFormat="1" x14ac:dyDescent="0.2">
      <c r="A155" s="423">
        <f t="shared" si="125"/>
        <v>150</v>
      </c>
      <c r="B155" s="721" t="s">
        <v>7913</v>
      </c>
      <c r="C155" s="771">
        <v>520814</v>
      </c>
      <c r="D155" s="771">
        <v>4493</v>
      </c>
      <c r="E155" s="771" t="s">
        <v>693</v>
      </c>
      <c r="F155" s="546"/>
      <c r="G155" s="659">
        <v>43061</v>
      </c>
      <c r="H155" s="655"/>
      <c r="I155" s="655" t="s">
        <v>7656</v>
      </c>
      <c r="J155" s="712"/>
      <c r="K155" s="655" t="s">
        <v>1147</v>
      </c>
      <c r="L155" s="655" t="s">
        <v>7464</v>
      </c>
      <c r="M155" s="660">
        <v>280613.18</v>
      </c>
      <c r="N155" s="660">
        <v>0</v>
      </c>
      <c r="O155" s="660">
        <v>44898.11</v>
      </c>
      <c r="P155" s="660">
        <v>325511.28999999998</v>
      </c>
      <c r="Q155" s="548"/>
      <c r="R155" s="660">
        <v>280257.84000000003</v>
      </c>
      <c r="S155" s="549">
        <f t="shared" si="126"/>
        <v>45253.449999999953</v>
      </c>
      <c r="T155" s="113" t="s">
        <v>283</v>
      </c>
      <c r="U155" s="267"/>
      <c r="V155" s="93"/>
      <c r="W155" s="267"/>
      <c r="X155" s="267"/>
      <c r="Y155" s="93"/>
      <c r="Z155" s="618"/>
      <c r="AA155" s="424"/>
      <c r="AB155" s="715"/>
      <c r="AC155" s="424"/>
      <c r="AD155" s="425"/>
      <c r="AE155" s="424"/>
      <c r="AF155" s="424"/>
      <c r="AG155" s="396"/>
      <c r="AH155" s="361"/>
      <c r="AI155" s="313"/>
      <c r="AJ155" s="374"/>
      <c r="AK155" s="374"/>
      <c r="AL155" s="374"/>
      <c r="AM155" s="374"/>
      <c r="AN155" s="296"/>
      <c r="AO155" s="296"/>
      <c r="AP155" s="296"/>
      <c r="AQ155" s="296"/>
      <c r="AR155" s="296"/>
      <c r="AS155" s="296"/>
      <c r="AT155" s="296"/>
      <c r="AU155" s="296"/>
    </row>
    <row r="156" spans="1:47" s="291" customFormat="1" x14ac:dyDescent="0.2">
      <c r="A156" s="423">
        <f t="shared" si="125"/>
        <v>151</v>
      </c>
      <c r="B156" s="721" t="s">
        <v>7914</v>
      </c>
      <c r="C156" s="771">
        <v>520814</v>
      </c>
      <c r="D156" s="771">
        <v>4493</v>
      </c>
      <c r="E156" s="771" t="s">
        <v>693</v>
      </c>
      <c r="F156" s="546"/>
      <c r="G156" s="659">
        <v>43069</v>
      </c>
      <c r="H156" s="655"/>
      <c r="I156" s="655" t="s">
        <v>7657</v>
      </c>
      <c r="J156" s="712"/>
      <c r="K156" s="655" t="s">
        <v>1710</v>
      </c>
      <c r="L156" s="655" t="s">
        <v>7465</v>
      </c>
      <c r="M156" s="660">
        <v>280613.18</v>
      </c>
      <c r="N156" s="660">
        <v>0</v>
      </c>
      <c r="O156" s="660">
        <v>44898.11</v>
      </c>
      <c r="P156" s="660">
        <v>325511.28999999998</v>
      </c>
      <c r="Q156" s="548"/>
      <c r="R156" s="660">
        <v>280257.84000000003</v>
      </c>
      <c r="S156" s="549">
        <f t="shared" si="126"/>
        <v>45253.449999999953</v>
      </c>
      <c r="T156" s="113" t="s">
        <v>283</v>
      </c>
      <c r="U156" s="267"/>
      <c r="V156" s="93"/>
      <c r="W156" s="267"/>
      <c r="X156" s="267"/>
      <c r="Y156" s="93"/>
      <c r="Z156" s="618"/>
      <c r="AA156" s="424"/>
      <c r="AB156" s="715"/>
      <c r="AC156" s="424"/>
      <c r="AD156" s="425"/>
      <c r="AE156" s="424"/>
      <c r="AF156" s="424"/>
      <c r="AG156" s="396"/>
      <c r="AH156" s="361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125"/>
        <v>152</v>
      </c>
      <c r="B157" s="721" t="s">
        <v>7915</v>
      </c>
      <c r="C157" s="771">
        <v>520814</v>
      </c>
      <c r="D157" s="771">
        <v>4493</v>
      </c>
      <c r="E157" s="771" t="s">
        <v>693</v>
      </c>
      <c r="F157" s="546"/>
      <c r="G157" s="659">
        <v>43069</v>
      </c>
      <c r="H157" s="655"/>
      <c r="I157" s="655" t="s">
        <v>7658</v>
      </c>
      <c r="J157" s="712"/>
      <c r="K157" s="655" t="s">
        <v>1147</v>
      </c>
      <c r="L157" s="655" t="s">
        <v>7466</v>
      </c>
      <c r="M157" s="660">
        <v>280614.03999999998</v>
      </c>
      <c r="N157" s="660">
        <v>0</v>
      </c>
      <c r="O157" s="660">
        <v>44898.25</v>
      </c>
      <c r="P157" s="660">
        <v>325512.28999999998</v>
      </c>
      <c r="Q157" s="548"/>
      <c r="R157" s="660">
        <v>280613.18</v>
      </c>
      <c r="S157" s="549">
        <f t="shared" si="126"/>
        <v>44899.109999999986</v>
      </c>
      <c r="T157" s="113" t="s">
        <v>283</v>
      </c>
      <c r="U157" s="267"/>
      <c r="V157" s="93"/>
      <c r="W157" s="267"/>
      <c r="X157" s="267"/>
      <c r="Y157" s="93"/>
      <c r="Z157" s="618"/>
      <c r="AA157" s="424"/>
      <c r="AB157" s="715"/>
      <c r="AC157" s="424"/>
      <c r="AD157" s="425"/>
      <c r="AE157" s="424"/>
      <c r="AF157" s="424"/>
      <c r="AG157" s="396"/>
      <c r="AH157" s="361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291" customFormat="1" x14ac:dyDescent="0.2">
      <c r="A158" s="423">
        <f t="shared" si="125"/>
        <v>153</v>
      </c>
      <c r="B158" s="721" t="s">
        <v>7916</v>
      </c>
      <c r="C158" s="771">
        <v>520818</v>
      </c>
      <c r="D158" s="771">
        <v>4495</v>
      </c>
      <c r="E158" s="771" t="s">
        <v>1519</v>
      </c>
      <c r="F158" s="546"/>
      <c r="G158" s="659">
        <v>43062</v>
      </c>
      <c r="H158" s="655"/>
      <c r="I158" s="655" t="s">
        <v>7659</v>
      </c>
      <c r="J158" s="712"/>
      <c r="K158" s="655" t="s">
        <v>1144</v>
      </c>
      <c r="L158" s="655" t="s">
        <v>7467</v>
      </c>
      <c r="M158" s="660">
        <v>366743.14</v>
      </c>
      <c r="N158" s="660">
        <v>0</v>
      </c>
      <c r="O158" s="660">
        <v>58678.9</v>
      </c>
      <c r="P158" s="660">
        <v>425422.04</v>
      </c>
      <c r="Q158" s="548"/>
      <c r="R158" s="660">
        <v>366387.79</v>
      </c>
      <c r="S158" s="549">
        <f t="shared" si="126"/>
        <v>59034.25</v>
      </c>
      <c r="T158" s="113" t="s">
        <v>283</v>
      </c>
      <c r="U158" s="267"/>
      <c r="V158" s="93"/>
      <c r="W158" s="267"/>
      <c r="X158" s="267"/>
      <c r="Y158" s="93"/>
      <c r="Z158" s="618"/>
      <c r="AA158" s="424"/>
      <c r="AB158" s="715"/>
      <c r="AC158" s="424"/>
      <c r="AD158" s="425"/>
      <c r="AE158" s="424"/>
      <c r="AF158" s="424"/>
      <c r="AG158" s="396"/>
      <c r="AH158" s="361"/>
      <c r="AI158" s="313"/>
      <c r="AJ158" s="374"/>
      <c r="AK158" s="374"/>
      <c r="AL158" s="374"/>
      <c r="AM158" s="374"/>
      <c r="AN158" s="296"/>
      <c r="AO158" s="296"/>
      <c r="AP158" s="296"/>
      <c r="AQ158" s="296"/>
      <c r="AR158" s="296"/>
      <c r="AS158" s="296"/>
      <c r="AT158" s="296"/>
      <c r="AU158" s="296"/>
    </row>
    <row r="159" spans="1:47" s="291" customFormat="1" x14ac:dyDescent="0.2">
      <c r="A159" s="423">
        <f t="shared" si="125"/>
        <v>154</v>
      </c>
      <c r="B159" s="721" t="s">
        <v>7917</v>
      </c>
      <c r="C159" s="771">
        <v>520818</v>
      </c>
      <c r="D159" s="771">
        <v>4495</v>
      </c>
      <c r="E159" s="771" t="s">
        <v>1519</v>
      </c>
      <c r="F159" s="546"/>
      <c r="G159" s="659">
        <v>43062</v>
      </c>
      <c r="H159" s="655"/>
      <c r="I159" s="655" t="s">
        <v>7660</v>
      </c>
      <c r="J159" s="712"/>
      <c r="K159" s="655" t="s">
        <v>1164</v>
      </c>
      <c r="L159" s="655" t="s">
        <v>7468</v>
      </c>
      <c r="M159" s="660">
        <v>366743.14</v>
      </c>
      <c r="N159" s="660">
        <v>0</v>
      </c>
      <c r="O159" s="660">
        <v>58678.9</v>
      </c>
      <c r="P159" s="660">
        <v>425422.04</v>
      </c>
      <c r="Q159" s="548"/>
      <c r="R159" s="660">
        <v>366742.28</v>
      </c>
      <c r="S159" s="549">
        <f t="shared" si="126"/>
        <v>58679.759999999951</v>
      </c>
      <c r="T159" s="113" t="s">
        <v>283</v>
      </c>
      <c r="U159" s="267"/>
      <c r="V159" s="93"/>
      <c r="W159" s="267"/>
      <c r="X159" s="267"/>
      <c r="Y159" s="93"/>
      <c r="Z159" s="618"/>
      <c r="AA159" s="424"/>
      <c r="AB159" s="715"/>
      <c r="AC159" s="424"/>
      <c r="AD159" s="425"/>
      <c r="AE159" s="424"/>
      <c r="AF159" s="424"/>
      <c r="AG159" s="396"/>
      <c r="AH159" s="361"/>
      <c r="AI159" s="313"/>
      <c r="AJ159" s="374"/>
      <c r="AK159" s="374"/>
      <c r="AL159" s="374"/>
      <c r="AM159" s="374"/>
      <c r="AN159" s="296"/>
      <c r="AO159" s="296"/>
      <c r="AP159" s="296"/>
      <c r="AQ159" s="296"/>
      <c r="AR159" s="296"/>
      <c r="AS159" s="296"/>
      <c r="AT159" s="296"/>
      <c r="AU159" s="296"/>
    </row>
    <row r="160" spans="1:47" s="291" customFormat="1" x14ac:dyDescent="0.2">
      <c r="A160" s="423">
        <f t="shared" si="125"/>
        <v>155</v>
      </c>
      <c r="B160" s="721" t="s">
        <v>7918</v>
      </c>
      <c r="C160" s="771">
        <v>520819</v>
      </c>
      <c r="D160" s="771">
        <v>4498</v>
      </c>
      <c r="E160" s="771" t="s">
        <v>696</v>
      </c>
      <c r="F160" s="546"/>
      <c r="G160" s="659">
        <v>43046</v>
      </c>
      <c r="H160" s="655"/>
      <c r="I160" s="655" t="s">
        <v>6860</v>
      </c>
      <c r="J160" s="712"/>
      <c r="K160" s="655" t="s">
        <v>1175</v>
      </c>
      <c r="L160" s="655" t="s">
        <v>6861</v>
      </c>
      <c r="M160" s="660">
        <v>336482.28</v>
      </c>
      <c r="N160" s="660">
        <v>0</v>
      </c>
      <c r="O160" s="660">
        <v>53837.16</v>
      </c>
      <c r="P160" s="660">
        <v>390319.44</v>
      </c>
      <c r="Q160" s="548"/>
      <c r="R160" s="660">
        <v>336481.41</v>
      </c>
      <c r="S160" s="549">
        <f t="shared" si="126"/>
        <v>53838.030000000028</v>
      </c>
      <c r="T160" s="113" t="s">
        <v>283</v>
      </c>
      <c r="U160" s="267"/>
      <c r="V160" s="93"/>
      <c r="W160" s="267"/>
      <c r="X160" s="267"/>
      <c r="Y160" s="93"/>
      <c r="Z160" s="618"/>
      <c r="AA160" s="424"/>
      <c r="AB160" s="715"/>
      <c r="AC160" s="424"/>
      <c r="AD160" s="425"/>
      <c r="AE160" s="424"/>
      <c r="AF160" s="424"/>
      <c r="AG160" s="396"/>
      <c r="AH160" s="361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291" customFormat="1" x14ac:dyDescent="0.2">
      <c r="A161" s="423">
        <f t="shared" si="125"/>
        <v>156</v>
      </c>
      <c r="B161" s="721" t="s">
        <v>7919</v>
      </c>
      <c r="C161" s="771">
        <v>520819</v>
      </c>
      <c r="D161" s="771">
        <v>4498</v>
      </c>
      <c r="E161" s="771" t="s">
        <v>696</v>
      </c>
      <c r="F161" s="546"/>
      <c r="G161" s="659">
        <v>43048</v>
      </c>
      <c r="H161" s="655"/>
      <c r="I161" s="655" t="s">
        <v>7661</v>
      </c>
      <c r="J161" s="712"/>
      <c r="K161" s="655" t="s">
        <v>99</v>
      </c>
      <c r="L161" s="655" t="s">
        <v>7469</v>
      </c>
      <c r="M161" s="660">
        <v>340728.36</v>
      </c>
      <c r="N161" s="660">
        <v>0</v>
      </c>
      <c r="O161" s="660">
        <v>54516.54</v>
      </c>
      <c r="P161" s="660">
        <v>395244.9</v>
      </c>
      <c r="Q161" s="548"/>
      <c r="R161" s="660">
        <v>340373.02</v>
      </c>
      <c r="S161" s="549">
        <f t="shared" si="126"/>
        <v>54871.880000000005</v>
      </c>
      <c r="T161" s="113" t="s">
        <v>283</v>
      </c>
      <c r="U161" s="267"/>
      <c r="V161" s="93"/>
      <c r="W161" s="267"/>
      <c r="X161" s="267"/>
      <c r="Y161" s="93"/>
      <c r="Z161" s="618"/>
      <c r="AA161" s="424"/>
      <c r="AB161" s="715"/>
      <c r="AC161" s="424"/>
      <c r="AD161" s="425"/>
      <c r="AE161" s="424"/>
      <c r="AF161" s="424"/>
      <c r="AG161" s="396"/>
      <c r="AH161" s="361"/>
      <c r="AI161" s="313"/>
      <c r="AJ161" s="374"/>
      <c r="AK161" s="374"/>
      <c r="AL161" s="374"/>
      <c r="AM161" s="374"/>
      <c r="AN161" s="296"/>
      <c r="AO161" s="296"/>
      <c r="AP161" s="296"/>
      <c r="AQ161" s="296"/>
      <c r="AR161" s="296"/>
      <c r="AS161" s="296"/>
      <c r="AT161" s="296"/>
      <c r="AU161" s="296"/>
    </row>
    <row r="162" spans="1:47" s="291" customFormat="1" x14ac:dyDescent="0.2">
      <c r="A162" s="423">
        <f t="shared" si="125"/>
        <v>157</v>
      </c>
      <c r="B162" s="721" t="s">
        <v>7920</v>
      </c>
      <c r="C162" s="771">
        <v>520819</v>
      </c>
      <c r="D162" s="771">
        <v>4498</v>
      </c>
      <c r="E162" s="771" t="s">
        <v>696</v>
      </c>
      <c r="F162" s="546"/>
      <c r="G162" s="659">
        <v>43052</v>
      </c>
      <c r="H162" s="655"/>
      <c r="I162" s="655" t="s">
        <v>7662</v>
      </c>
      <c r="J162" s="712"/>
      <c r="K162" s="655" t="s">
        <v>1745</v>
      </c>
      <c r="L162" s="655" t="s">
        <v>7470</v>
      </c>
      <c r="M162" s="660">
        <v>340728.36</v>
      </c>
      <c r="N162" s="660">
        <v>0</v>
      </c>
      <c r="O162" s="660">
        <v>54516.54</v>
      </c>
      <c r="P162" s="660">
        <v>395244.9</v>
      </c>
      <c r="Q162" s="548"/>
      <c r="R162" s="660">
        <v>340373.02</v>
      </c>
      <c r="S162" s="549">
        <f t="shared" si="126"/>
        <v>54871.880000000005</v>
      </c>
      <c r="T162" s="113" t="s">
        <v>283</v>
      </c>
      <c r="U162" s="267"/>
      <c r="V162" s="93"/>
      <c r="W162" s="267"/>
      <c r="X162" s="267"/>
      <c r="Y162" s="93"/>
      <c r="Z162" s="618"/>
      <c r="AA162" s="424"/>
      <c r="AB162" s="715"/>
      <c r="AC162" s="424"/>
      <c r="AD162" s="425"/>
      <c r="AE162" s="424"/>
      <c r="AF162" s="424"/>
      <c r="AG162" s="396"/>
      <c r="AH162" s="361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291" customFormat="1" x14ac:dyDescent="0.2">
      <c r="A163" s="423">
        <f t="shared" si="125"/>
        <v>158</v>
      </c>
      <c r="B163" s="721" t="s">
        <v>7921</v>
      </c>
      <c r="C163" s="771">
        <v>520819</v>
      </c>
      <c r="D163" s="771">
        <v>4498</v>
      </c>
      <c r="E163" s="771" t="s">
        <v>696</v>
      </c>
      <c r="F163" s="546"/>
      <c r="G163" s="659">
        <v>43052</v>
      </c>
      <c r="H163" s="655"/>
      <c r="I163" s="655" t="s">
        <v>7663</v>
      </c>
      <c r="J163" s="712"/>
      <c r="K163" s="655" t="s">
        <v>8144</v>
      </c>
      <c r="L163" s="655" t="s">
        <v>7471</v>
      </c>
      <c r="M163" s="660">
        <v>336482.31</v>
      </c>
      <c r="N163" s="660">
        <v>0</v>
      </c>
      <c r="O163" s="660">
        <v>53837.17</v>
      </c>
      <c r="P163" s="660">
        <v>390319.48</v>
      </c>
      <c r="Q163" s="548"/>
      <c r="R163" s="660">
        <v>336126.97</v>
      </c>
      <c r="S163" s="549">
        <f t="shared" si="126"/>
        <v>54192.510000000009</v>
      </c>
      <c r="T163" s="113" t="s">
        <v>283</v>
      </c>
      <c r="U163" s="267"/>
      <c r="V163" s="93"/>
      <c r="W163" s="267"/>
      <c r="X163" s="267"/>
      <c r="Y163" s="93"/>
      <c r="Z163" s="618"/>
      <c r="AA163" s="424"/>
      <c r="AB163" s="715"/>
      <c r="AC163" s="424"/>
      <c r="AD163" s="425"/>
      <c r="AE163" s="424"/>
      <c r="AF163" s="424"/>
      <c r="AG163" s="396"/>
      <c r="AH163" s="361"/>
      <c r="AI163" s="313"/>
      <c r="AJ163" s="374"/>
      <c r="AK163" s="374"/>
      <c r="AL163" s="374"/>
      <c r="AM163" s="374"/>
      <c r="AN163" s="296"/>
      <c r="AO163" s="296"/>
      <c r="AP163" s="296"/>
      <c r="AQ163" s="296"/>
      <c r="AR163" s="296"/>
      <c r="AS163" s="296"/>
      <c r="AT163" s="296"/>
      <c r="AU163" s="296"/>
    </row>
    <row r="164" spans="1:47" s="291" customFormat="1" x14ac:dyDescent="0.2">
      <c r="A164" s="423">
        <f t="shared" si="125"/>
        <v>159</v>
      </c>
      <c r="B164" s="721" t="s">
        <v>7807</v>
      </c>
      <c r="C164" s="771">
        <v>521702</v>
      </c>
      <c r="D164" s="771">
        <v>2005</v>
      </c>
      <c r="E164" s="771" t="s">
        <v>701</v>
      </c>
      <c r="F164" s="546"/>
      <c r="G164" s="659">
        <v>43042</v>
      </c>
      <c r="H164" s="655" t="s">
        <v>2215</v>
      </c>
      <c r="I164" s="655" t="s">
        <v>7593</v>
      </c>
      <c r="J164" s="712"/>
      <c r="K164" s="655" t="s">
        <v>8103</v>
      </c>
      <c r="L164" s="655" t="s">
        <v>7401</v>
      </c>
      <c r="M164" s="660">
        <v>185344.83</v>
      </c>
      <c r="N164" s="660">
        <v>0</v>
      </c>
      <c r="O164" s="660">
        <v>29655.17</v>
      </c>
      <c r="P164" s="660">
        <v>215000</v>
      </c>
      <c r="Q164" s="548"/>
      <c r="R164" s="660">
        <v>168469.72</v>
      </c>
      <c r="S164" s="549">
        <f t="shared" si="126"/>
        <v>46530.28</v>
      </c>
      <c r="T164" s="113" t="s">
        <v>1932</v>
      </c>
      <c r="U164" s="722" t="str">
        <f t="shared" ref="U164" si="160">+B164</f>
        <v>AA12226</v>
      </c>
      <c r="V164" s="723" t="str">
        <f t="shared" ref="V164" si="161">+I164</f>
        <v>1944-TCN17</v>
      </c>
      <c r="W164" s="722">
        <f t="shared" ref="W164" si="162">+C164</f>
        <v>521702</v>
      </c>
      <c r="X164" s="722" t="str">
        <f t="shared" ref="X164" si="163">+E164</f>
        <v>YARIS CORE MT, SEDAN</v>
      </c>
      <c r="Y164" s="723">
        <f t="shared" ref="Y164" si="164">+F164</f>
        <v>0</v>
      </c>
      <c r="Z164" s="778">
        <f t="shared" ref="Z164" si="165">+M164</f>
        <v>185344.83</v>
      </c>
      <c r="AA164" s="629"/>
      <c r="AB164" s="793"/>
      <c r="AC164" s="779">
        <f t="shared" ref="AC164" si="166">VLOOKUP(Z164,TARIFA,1)</f>
        <v>0.01</v>
      </c>
      <c r="AD164" s="726">
        <f t="shared" ref="AD164" si="167">VLOOKUP(Z164,TARIFA,4)</f>
        <v>0.02</v>
      </c>
      <c r="AE164" s="629">
        <f t="shared" ref="AE164" si="168">VLOOKUP(Z164,TARIFA,3)</f>
        <v>0</v>
      </c>
      <c r="AF164" s="629">
        <f t="shared" ref="AF164" si="169">+N164</f>
        <v>0</v>
      </c>
      <c r="AG164" s="727">
        <f t="shared" ref="AG164" si="170">+N164-AF164</f>
        <v>0</v>
      </c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125"/>
        <v>160</v>
      </c>
      <c r="B165" s="721" t="s">
        <v>7923</v>
      </c>
      <c r="C165" s="771">
        <v>520819</v>
      </c>
      <c r="D165" s="771">
        <v>4498</v>
      </c>
      <c r="E165" s="771" t="s">
        <v>696</v>
      </c>
      <c r="F165" s="546"/>
      <c r="G165" s="659">
        <v>43069</v>
      </c>
      <c r="H165" s="655"/>
      <c r="I165" s="655" t="s">
        <v>7665</v>
      </c>
      <c r="J165" s="712"/>
      <c r="K165" s="655" t="s">
        <v>1164</v>
      </c>
      <c r="L165" s="655" t="s">
        <v>7473</v>
      </c>
      <c r="M165" s="787">
        <v>250275.37</v>
      </c>
      <c r="N165" s="660">
        <v>0</v>
      </c>
      <c r="O165" s="660">
        <v>40044.06</v>
      </c>
      <c r="P165" s="660">
        <v>290319.43</v>
      </c>
      <c r="Q165" s="548"/>
      <c r="R165" s="660">
        <v>336126.92</v>
      </c>
      <c r="S165" s="549">
        <f t="shared" si="126"/>
        <v>-45807.489999999991</v>
      </c>
      <c r="T165" s="113" t="s">
        <v>283</v>
      </c>
      <c r="U165" s="267"/>
      <c r="V165" s="93"/>
      <c r="W165" s="267"/>
      <c r="X165" s="267"/>
      <c r="Y165" s="93"/>
      <c r="Z165" s="618"/>
      <c r="AA165" s="424"/>
      <c r="AB165" s="715"/>
      <c r="AC165" s="424"/>
      <c r="AD165" s="425"/>
      <c r="AE165" s="424"/>
      <c r="AF165" s="424"/>
      <c r="AG165" s="396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291" customFormat="1" x14ac:dyDescent="0.2">
      <c r="A166" s="423"/>
      <c r="B166" s="721" t="s">
        <v>8204</v>
      </c>
      <c r="C166" s="771"/>
      <c r="D166" s="771">
        <v>4498</v>
      </c>
      <c r="E166" s="771" t="s">
        <v>696</v>
      </c>
      <c r="F166" s="546"/>
      <c r="G166" s="659">
        <v>43069</v>
      </c>
      <c r="H166" s="655"/>
      <c r="I166" s="655" t="s">
        <v>7665</v>
      </c>
      <c r="J166" s="655" t="s">
        <v>1164</v>
      </c>
      <c r="K166" s="655" t="s">
        <v>1164</v>
      </c>
      <c r="L166" s="655" t="s">
        <v>7473</v>
      </c>
      <c r="M166" s="787">
        <v>-250275.37</v>
      </c>
      <c r="N166" s="660"/>
      <c r="O166" s="660">
        <v>-40044.06</v>
      </c>
      <c r="P166" s="660">
        <v>-290319.43</v>
      </c>
      <c r="Q166" s="548"/>
      <c r="R166" s="660">
        <v>-336126.92</v>
      </c>
      <c r="S166" s="549">
        <f t="shared" si="126"/>
        <v>45807.489999999991</v>
      </c>
      <c r="T166" s="113" t="s">
        <v>283</v>
      </c>
      <c r="U166" s="267"/>
      <c r="V166" s="93"/>
      <c r="W166" s="267"/>
      <c r="X166" s="267"/>
      <c r="Y166" s="93"/>
      <c r="Z166" s="618"/>
      <c r="AA166" s="424"/>
      <c r="AB166" s="715"/>
      <c r="AC166" s="424"/>
      <c r="AD166" s="425"/>
      <c r="AE166" s="424"/>
      <c r="AF166" s="424"/>
      <c r="AG166" s="396"/>
      <c r="AH166" s="361"/>
      <c r="AI166" s="313"/>
      <c r="AJ166" s="374"/>
      <c r="AK166" s="374"/>
      <c r="AL166" s="374"/>
      <c r="AM166" s="374"/>
      <c r="AN166" s="296"/>
      <c r="AO166" s="296"/>
      <c r="AP166" s="296"/>
      <c r="AQ166" s="296"/>
      <c r="AR166" s="296"/>
      <c r="AS166" s="296"/>
      <c r="AT166" s="296"/>
      <c r="AU166" s="296"/>
    </row>
    <row r="167" spans="1:47" s="291" customFormat="1" x14ac:dyDescent="0.2">
      <c r="A167" s="423"/>
      <c r="B167" s="721" t="s">
        <v>8204</v>
      </c>
      <c r="C167" s="771"/>
      <c r="D167" s="771">
        <v>4498</v>
      </c>
      <c r="E167" s="771" t="s">
        <v>696</v>
      </c>
      <c r="F167" s="546"/>
      <c r="G167" s="659">
        <v>43069</v>
      </c>
      <c r="H167" s="655"/>
      <c r="I167" s="655" t="s">
        <v>7665</v>
      </c>
      <c r="J167" s="655" t="s">
        <v>1164</v>
      </c>
      <c r="K167" s="655" t="s">
        <v>1164</v>
      </c>
      <c r="L167" s="655" t="s">
        <v>7473</v>
      </c>
      <c r="M167" s="787">
        <v>336482.27</v>
      </c>
      <c r="N167" s="660"/>
      <c r="O167" s="660">
        <v>53837.16</v>
      </c>
      <c r="P167" s="660">
        <v>390319.43</v>
      </c>
      <c r="Q167" s="548"/>
      <c r="R167" s="660">
        <v>336126.92</v>
      </c>
      <c r="S167" s="549">
        <f t="shared" si="126"/>
        <v>54192.510000000009</v>
      </c>
      <c r="T167" s="113" t="s">
        <v>283</v>
      </c>
      <c r="U167" s="267"/>
      <c r="V167" s="93"/>
      <c r="W167" s="267"/>
      <c r="X167" s="267"/>
      <c r="Y167" s="93"/>
      <c r="Z167" s="618"/>
      <c r="AA167" s="424"/>
      <c r="AB167" s="715"/>
      <c r="AC167" s="424"/>
      <c r="AD167" s="425"/>
      <c r="AE167" s="424"/>
      <c r="AF167" s="424"/>
      <c r="AG167" s="396"/>
      <c r="AH167" s="361"/>
      <c r="AI167" s="313"/>
      <c r="AJ167" s="374"/>
      <c r="AK167" s="374"/>
      <c r="AL167" s="374"/>
      <c r="AM167" s="374"/>
      <c r="AN167" s="296"/>
      <c r="AO167" s="296"/>
      <c r="AP167" s="296"/>
      <c r="AQ167" s="296"/>
      <c r="AR167" s="296"/>
      <c r="AS167" s="296"/>
      <c r="AT167" s="296"/>
      <c r="AU167" s="296"/>
    </row>
    <row r="168" spans="1:47" s="291" customFormat="1" x14ac:dyDescent="0.2">
      <c r="A168" s="423">
        <f>+A165+1</f>
        <v>161</v>
      </c>
      <c r="B168" s="721" t="s">
        <v>7924</v>
      </c>
      <c r="C168" s="771">
        <v>520512</v>
      </c>
      <c r="D168" s="771">
        <v>5394</v>
      </c>
      <c r="E168" s="771" t="s">
        <v>223</v>
      </c>
      <c r="F168" s="546"/>
      <c r="G168" s="659">
        <v>43050</v>
      </c>
      <c r="H168" s="655"/>
      <c r="I168" s="655" t="s">
        <v>7666</v>
      </c>
      <c r="J168" s="712"/>
      <c r="K168" s="655" t="s">
        <v>2411</v>
      </c>
      <c r="L168" s="655" t="s">
        <v>7474</v>
      </c>
      <c r="M168" s="660">
        <v>391964.75</v>
      </c>
      <c r="N168" s="660">
        <v>0</v>
      </c>
      <c r="O168" s="660">
        <v>62714.36</v>
      </c>
      <c r="P168" s="660">
        <v>454679.11</v>
      </c>
      <c r="Q168" s="548"/>
      <c r="R168" s="660">
        <v>391610.27</v>
      </c>
      <c r="S168" s="549">
        <f t="shared" si="126"/>
        <v>63068.839999999967</v>
      </c>
      <c r="T168" s="113" t="s">
        <v>283</v>
      </c>
      <c r="U168" s="267"/>
      <c r="V168" s="93"/>
      <c r="W168" s="267"/>
      <c r="X168" s="267"/>
      <c r="Y168" s="93"/>
      <c r="Z168" s="618"/>
      <c r="AA168" s="424"/>
      <c r="AB168" s="715"/>
      <c r="AC168" s="424"/>
      <c r="AD168" s="425"/>
      <c r="AE168" s="424"/>
      <c r="AF168" s="424"/>
      <c r="AG168" s="396"/>
      <c r="AH168" s="361"/>
      <c r="AI168" s="313"/>
      <c r="AJ168" s="374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291" customFormat="1" x14ac:dyDescent="0.2">
      <c r="A169" s="423">
        <f t="shared" si="125"/>
        <v>162</v>
      </c>
      <c r="B169" s="721" t="s">
        <v>7802</v>
      </c>
      <c r="C169" s="771">
        <v>521702</v>
      </c>
      <c r="D169" s="771">
        <v>2005</v>
      </c>
      <c r="E169" s="771" t="s">
        <v>701</v>
      </c>
      <c r="F169" s="546"/>
      <c r="G169" s="659">
        <v>43040</v>
      </c>
      <c r="H169" s="655" t="s">
        <v>788</v>
      </c>
      <c r="I169" s="655" t="s">
        <v>7590</v>
      </c>
      <c r="J169" s="712"/>
      <c r="K169" s="655" t="s">
        <v>1022</v>
      </c>
      <c r="L169" s="655" t="s">
        <v>7398</v>
      </c>
      <c r="M169" s="660">
        <v>185344.83</v>
      </c>
      <c r="N169" s="660">
        <v>0</v>
      </c>
      <c r="O169" s="660">
        <v>29655.17</v>
      </c>
      <c r="P169" s="660">
        <v>215000</v>
      </c>
      <c r="Q169" s="548"/>
      <c r="R169" s="660">
        <v>168468.73</v>
      </c>
      <c r="S169" s="549">
        <f t="shared" si="126"/>
        <v>46531.26999999999</v>
      </c>
      <c r="T169" s="113" t="s">
        <v>1932</v>
      </c>
      <c r="U169" s="722" t="str">
        <f t="shared" ref="U169" si="171">+B169</f>
        <v>AA12211</v>
      </c>
      <c r="V169" s="723" t="str">
        <f t="shared" ref="V169" si="172">+I169</f>
        <v>1945-TCN17</v>
      </c>
      <c r="W169" s="722">
        <f t="shared" ref="W169" si="173">+C169</f>
        <v>521702</v>
      </c>
      <c r="X169" s="722" t="str">
        <f t="shared" ref="X169" si="174">+E169</f>
        <v>YARIS CORE MT, SEDAN</v>
      </c>
      <c r="Y169" s="723">
        <f t="shared" ref="Y169" si="175">+F169</f>
        <v>0</v>
      </c>
      <c r="Z169" s="778">
        <f t="shared" ref="Z169" si="176">+M169</f>
        <v>185344.83</v>
      </c>
      <c r="AA169" s="629"/>
      <c r="AB169" s="793"/>
      <c r="AC169" s="779">
        <f t="shared" ref="AC169" si="177">VLOOKUP(Z169,TARIFA,1)</f>
        <v>0.01</v>
      </c>
      <c r="AD169" s="726">
        <f t="shared" ref="AD169" si="178">VLOOKUP(Z169,TARIFA,4)</f>
        <v>0.02</v>
      </c>
      <c r="AE169" s="629">
        <f t="shared" ref="AE169" si="179">VLOOKUP(Z169,TARIFA,3)</f>
        <v>0</v>
      </c>
      <c r="AF169" s="629">
        <f t="shared" ref="AF169" si="180">+N169</f>
        <v>0</v>
      </c>
      <c r="AG169" s="727">
        <f t="shared" ref="AG169" si="181">+N169-AF169</f>
        <v>0</v>
      </c>
      <c r="AH169" s="361"/>
      <c r="AI169" s="313"/>
      <c r="AJ169" s="374"/>
      <c r="AK169" s="374"/>
      <c r="AL169" s="374"/>
      <c r="AM169" s="374"/>
      <c r="AN169" s="296"/>
      <c r="AO169" s="296"/>
      <c r="AP169" s="296"/>
      <c r="AQ169" s="296"/>
      <c r="AR169" s="296"/>
      <c r="AS169" s="296"/>
      <c r="AT169" s="296"/>
      <c r="AU169" s="296"/>
    </row>
    <row r="170" spans="1:47" s="291" customFormat="1" x14ac:dyDescent="0.2">
      <c r="A170" s="423">
        <f t="shared" si="125"/>
        <v>163</v>
      </c>
      <c r="B170" s="721" t="s">
        <v>7937</v>
      </c>
      <c r="C170" s="771">
        <v>520514</v>
      </c>
      <c r="D170" s="771">
        <v>5398</v>
      </c>
      <c r="E170" s="771" t="s">
        <v>117</v>
      </c>
      <c r="F170" s="546"/>
      <c r="G170" s="659">
        <v>43049</v>
      </c>
      <c r="H170" s="655" t="s">
        <v>764</v>
      </c>
      <c r="I170" s="655" t="s">
        <v>6891</v>
      </c>
      <c r="J170" s="712"/>
      <c r="K170" s="655" t="s">
        <v>6893</v>
      </c>
      <c r="L170" s="655" t="s">
        <v>6892</v>
      </c>
      <c r="M170" s="660">
        <v>-483367.9</v>
      </c>
      <c r="N170" s="660">
        <v>-33873.480000000003</v>
      </c>
      <c r="O170" s="660">
        <v>-82758.62</v>
      </c>
      <c r="P170" s="660">
        <v>-600000</v>
      </c>
      <c r="Q170" s="548"/>
      <c r="R170" s="660">
        <v>-456016.94</v>
      </c>
      <c r="S170" s="549">
        <f t="shared" si="126"/>
        <v>-143983.06</v>
      </c>
      <c r="T170" s="113" t="s">
        <v>1931</v>
      </c>
      <c r="U170" s="267"/>
      <c r="V170" s="93"/>
      <c r="W170" s="267"/>
      <c r="X170" s="267"/>
      <c r="Y170" s="93"/>
      <c r="Z170" s="618"/>
      <c r="AA170" s="424"/>
      <c r="AB170" s="715"/>
      <c r="AC170" s="424"/>
      <c r="AD170" s="425"/>
      <c r="AE170" s="424"/>
      <c r="AF170" s="424"/>
      <c r="AG170" s="396"/>
      <c r="AH170" s="361"/>
      <c r="AI170" s="313"/>
      <c r="AJ170" s="374"/>
      <c r="AK170" s="374"/>
      <c r="AL170" s="374"/>
      <c r="AM170" s="374"/>
      <c r="AN170" s="296"/>
      <c r="AO170" s="296"/>
      <c r="AP170" s="296"/>
      <c r="AQ170" s="296"/>
      <c r="AR170" s="296"/>
      <c r="AS170" s="296"/>
      <c r="AT170" s="296"/>
      <c r="AU170" s="296"/>
    </row>
    <row r="171" spans="1:47" s="291" customFormat="1" x14ac:dyDescent="0.2">
      <c r="A171" s="423">
        <f t="shared" si="125"/>
        <v>164</v>
      </c>
      <c r="B171" s="721" t="s">
        <v>7941</v>
      </c>
      <c r="C171" s="771">
        <v>520514</v>
      </c>
      <c r="D171" s="771">
        <v>5398</v>
      </c>
      <c r="E171" s="771" t="s">
        <v>117</v>
      </c>
      <c r="F171" s="546"/>
      <c r="G171" s="659">
        <v>43053</v>
      </c>
      <c r="H171" s="655" t="s">
        <v>2213</v>
      </c>
      <c r="I171" s="655" t="s">
        <v>6891</v>
      </c>
      <c r="J171" s="712"/>
      <c r="K171" s="655" t="s">
        <v>8150</v>
      </c>
      <c r="L171" s="655" t="s">
        <v>6892</v>
      </c>
      <c r="M171" s="660">
        <v>483367.9</v>
      </c>
      <c r="N171" s="660">
        <v>33873.480000000003</v>
      </c>
      <c r="O171" s="660">
        <v>82758.62</v>
      </c>
      <c r="P171" s="660">
        <v>600000</v>
      </c>
      <c r="Q171" s="548"/>
      <c r="R171" s="660">
        <v>456016.94</v>
      </c>
      <c r="S171" s="549">
        <f t="shared" si="126"/>
        <v>143983.06</v>
      </c>
      <c r="T171" s="113" t="s">
        <v>1931</v>
      </c>
      <c r="U171" s="267"/>
      <c r="V171" s="93"/>
      <c r="W171" s="267"/>
      <c r="X171" s="267"/>
      <c r="Y171" s="93"/>
      <c r="Z171" s="618"/>
      <c r="AA171" s="424"/>
      <c r="AB171" s="715"/>
      <c r="AC171" s="424"/>
      <c r="AD171" s="425"/>
      <c r="AE171" s="424"/>
      <c r="AF171" s="424"/>
      <c r="AG171" s="396"/>
      <c r="AH171" s="361"/>
      <c r="AI171" s="313"/>
      <c r="AJ171" s="374"/>
      <c r="AK171" s="374"/>
      <c r="AL171" s="374"/>
      <c r="AM171" s="374"/>
      <c r="AN171" s="296"/>
      <c r="AO171" s="296"/>
      <c r="AP171" s="296"/>
      <c r="AQ171" s="296"/>
      <c r="AR171" s="296"/>
      <c r="AS171" s="296"/>
      <c r="AT171" s="296"/>
      <c r="AU171" s="296"/>
    </row>
    <row r="172" spans="1:47" s="291" customFormat="1" x14ac:dyDescent="0.2">
      <c r="A172" s="423">
        <f t="shared" si="125"/>
        <v>165</v>
      </c>
      <c r="B172" s="721" t="s">
        <v>7803</v>
      </c>
      <c r="C172" s="771">
        <v>521702</v>
      </c>
      <c r="D172" s="771">
        <v>2005</v>
      </c>
      <c r="E172" s="771" t="s">
        <v>701</v>
      </c>
      <c r="F172" s="546"/>
      <c r="G172" s="659">
        <v>43040</v>
      </c>
      <c r="H172" s="655" t="s">
        <v>788</v>
      </c>
      <c r="I172" s="655" t="s">
        <v>7591</v>
      </c>
      <c r="J172" s="712"/>
      <c r="K172" s="655" t="s">
        <v>1022</v>
      </c>
      <c r="L172" s="655" t="s">
        <v>7399</v>
      </c>
      <c r="M172" s="660">
        <v>185344.83</v>
      </c>
      <c r="N172" s="660">
        <v>0</v>
      </c>
      <c r="O172" s="660">
        <v>29655.17</v>
      </c>
      <c r="P172" s="660">
        <v>215000</v>
      </c>
      <c r="Q172" s="548"/>
      <c r="R172" s="660">
        <v>168469.72</v>
      </c>
      <c r="S172" s="549">
        <f t="shared" si="126"/>
        <v>46530.28</v>
      </c>
      <c r="T172" s="113" t="s">
        <v>1932</v>
      </c>
      <c r="U172" s="722" t="str">
        <f t="shared" ref="U172" si="182">+B172</f>
        <v>AA12212</v>
      </c>
      <c r="V172" s="723" t="str">
        <f t="shared" ref="V172" si="183">+I172</f>
        <v>1946-TCN17</v>
      </c>
      <c r="W172" s="722">
        <f t="shared" ref="W172" si="184">+C172</f>
        <v>521702</v>
      </c>
      <c r="X172" s="722" t="str">
        <f t="shared" ref="X172" si="185">+E172</f>
        <v>YARIS CORE MT, SEDAN</v>
      </c>
      <c r="Y172" s="723">
        <f t="shared" ref="Y172" si="186">+F172</f>
        <v>0</v>
      </c>
      <c r="Z172" s="778">
        <f t="shared" ref="Z172" si="187">+M172</f>
        <v>185344.83</v>
      </c>
      <c r="AA172" s="629"/>
      <c r="AB172" s="793"/>
      <c r="AC172" s="779">
        <f t="shared" ref="AC172" si="188">VLOOKUP(Z172,TARIFA,1)</f>
        <v>0.01</v>
      </c>
      <c r="AD172" s="726">
        <f t="shared" ref="AD172" si="189">VLOOKUP(Z172,TARIFA,4)</f>
        <v>0.02</v>
      </c>
      <c r="AE172" s="629">
        <f t="shared" ref="AE172" si="190">VLOOKUP(Z172,TARIFA,3)</f>
        <v>0</v>
      </c>
      <c r="AF172" s="629">
        <f t="shared" ref="AF172" si="191">+N172</f>
        <v>0</v>
      </c>
      <c r="AG172" s="727">
        <f t="shared" ref="AG172" si="192">+N172-AF172</f>
        <v>0</v>
      </c>
      <c r="AH172" s="361"/>
      <c r="AI172" s="313"/>
      <c r="AJ172" s="374"/>
      <c r="AK172" s="374"/>
      <c r="AL172" s="374"/>
      <c r="AM172" s="374"/>
      <c r="AN172" s="296"/>
      <c r="AO172" s="296"/>
      <c r="AP172" s="296"/>
      <c r="AQ172" s="296"/>
      <c r="AR172" s="296"/>
      <c r="AS172" s="296"/>
      <c r="AT172" s="296"/>
      <c r="AU172" s="296"/>
    </row>
    <row r="173" spans="1:47" s="291" customFormat="1" x14ac:dyDescent="0.2">
      <c r="A173" s="423">
        <f t="shared" si="125"/>
        <v>166</v>
      </c>
      <c r="B173" s="721" t="s">
        <v>7929</v>
      </c>
      <c r="C173" s="771">
        <v>520504</v>
      </c>
      <c r="D173" s="771">
        <v>5396</v>
      </c>
      <c r="E173" s="771" t="s">
        <v>132</v>
      </c>
      <c r="F173" s="546"/>
      <c r="G173" s="659">
        <v>43067</v>
      </c>
      <c r="H173" s="655"/>
      <c r="I173" s="655" t="s">
        <v>7669</v>
      </c>
      <c r="J173" s="712"/>
      <c r="K173" s="655" t="s">
        <v>1147</v>
      </c>
      <c r="L173" s="655" t="s">
        <v>7477</v>
      </c>
      <c r="M173" s="660">
        <v>426603.53</v>
      </c>
      <c r="N173" s="660">
        <v>0</v>
      </c>
      <c r="O173" s="660">
        <v>68256.570000000007</v>
      </c>
      <c r="P173" s="660">
        <v>494860.1</v>
      </c>
      <c r="Q173" s="548"/>
      <c r="R173" s="660">
        <v>426248.19</v>
      </c>
      <c r="S173" s="549">
        <f t="shared" si="126"/>
        <v>68611.909999999974</v>
      </c>
      <c r="T173" s="113" t="s">
        <v>283</v>
      </c>
      <c r="U173" s="267"/>
      <c r="V173" s="93"/>
      <c r="W173" s="267"/>
      <c r="X173" s="267"/>
      <c r="Y173" s="93"/>
      <c r="Z173" s="618"/>
      <c r="AA173" s="424"/>
      <c r="AB173" s="715"/>
      <c r="AC173" s="424"/>
      <c r="AD173" s="425"/>
      <c r="AE173" s="424"/>
      <c r="AF173" s="424"/>
      <c r="AG173" s="396"/>
      <c r="AH173" s="361"/>
      <c r="AI173" s="313"/>
      <c r="AJ173" s="374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291" customFormat="1" x14ac:dyDescent="0.2">
      <c r="A174" s="423">
        <f t="shared" si="125"/>
        <v>167</v>
      </c>
      <c r="B174" s="721" t="s">
        <v>7930</v>
      </c>
      <c r="C174" s="771">
        <v>520504</v>
      </c>
      <c r="D174" s="771">
        <v>5396</v>
      </c>
      <c r="E174" s="771" t="s">
        <v>132</v>
      </c>
      <c r="F174" s="546"/>
      <c r="G174" s="659">
        <v>43067</v>
      </c>
      <c r="H174" s="655"/>
      <c r="I174" s="655" t="s">
        <v>7670</v>
      </c>
      <c r="J174" s="712"/>
      <c r="K174" s="655" t="s">
        <v>1173</v>
      </c>
      <c r="L174" s="655" t="s">
        <v>7478</v>
      </c>
      <c r="M174" s="660">
        <v>426603.53</v>
      </c>
      <c r="N174" s="660">
        <v>0</v>
      </c>
      <c r="O174" s="660">
        <v>68256.570000000007</v>
      </c>
      <c r="P174" s="660">
        <v>494860.1</v>
      </c>
      <c r="Q174" s="548"/>
      <c r="R174" s="660">
        <v>426248.19</v>
      </c>
      <c r="S174" s="549">
        <f t="shared" si="126"/>
        <v>68611.909999999974</v>
      </c>
      <c r="T174" s="113" t="s">
        <v>283</v>
      </c>
      <c r="U174" s="267"/>
      <c r="V174" s="93"/>
      <c r="W174" s="267"/>
      <c r="X174" s="267"/>
      <c r="Y174" s="93"/>
      <c r="Z174" s="618"/>
      <c r="AA174" s="424"/>
      <c r="AB174" s="715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296"/>
      <c r="AU174" s="296"/>
    </row>
    <row r="175" spans="1:47" s="291" customFormat="1" x14ac:dyDescent="0.2">
      <c r="A175" s="423">
        <f t="shared" si="125"/>
        <v>168</v>
      </c>
      <c r="B175" s="721" t="s">
        <v>7931</v>
      </c>
      <c r="C175" s="771">
        <v>520513</v>
      </c>
      <c r="D175" s="771">
        <v>5396</v>
      </c>
      <c r="E175" s="771" t="s">
        <v>132</v>
      </c>
      <c r="F175" s="546"/>
      <c r="G175" s="659">
        <v>43069</v>
      </c>
      <c r="H175" s="655"/>
      <c r="I175" s="655" t="s">
        <v>7671</v>
      </c>
      <c r="J175" s="712"/>
      <c r="K175" s="655" t="s">
        <v>135</v>
      </c>
      <c r="L175" s="655" t="s">
        <v>7479</v>
      </c>
      <c r="M175" s="660">
        <v>426586.29</v>
      </c>
      <c r="N175" s="660">
        <v>0</v>
      </c>
      <c r="O175" s="660">
        <v>68253.81</v>
      </c>
      <c r="P175" s="660">
        <v>494840.1</v>
      </c>
      <c r="Q175" s="548"/>
      <c r="R175" s="660">
        <v>426248.19</v>
      </c>
      <c r="S175" s="549">
        <f t="shared" si="126"/>
        <v>68591.909999999974</v>
      </c>
      <c r="T175" s="113" t="s">
        <v>283</v>
      </c>
      <c r="U175" s="267"/>
      <c r="V175" s="93"/>
      <c r="W175" s="267"/>
      <c r="X175" s="267"/>
      <c r="Y175" s="93"/>
      <c r="Z175" s="618"/>
      <c r="AA175" s="424"/>
      <c r="AB175" s="715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296"/>
      <c r="AU175" s="296"/>
    </row>
    <row r="176" spans="1:47" s="291" customFormat="1" x14ac:dyDescent="0.2">
      <c r="A176" s="423">
        <f t="shared" si="125"/>
        <v>169</v>
      </c>
      <c r="B176" s="721" t="s">
        <v>7804</v>
      </c>
      <c r="C176" s="771">
        <v>521702</v>
      </c>
      <c r="D176" s="771">
        <v>2005</v>
      </c>
      <c r="E176" s="771" t="s">
        <v>701</v>
      </c>
      <c r="F176" s="546"/>
      <c r="G176" s="659">
        <v>43040</v>
      </c>
      <c r="H176" s="655" t="s">
        <v>788</v>
      </c>
      <c r="I176" s="655" t="s">
        <v>7592</v>
      </c>
      <c r="J176" s="712"/>
      <c r="K176" s="655" t="s">
        <v>1022</v>
      </c>
      <c r="L176" s="655" t="s">
        <v>7400</v>
      </c>
      <c r="M176" s="660">
        <v>185344.83</v>
      </c>
      <c r="N176" s="660">
        <v>0</v>
      </c>
      <c r="O176" s="660">
        <v>29655.17</v>
      </c>
      <c r="P176" s="660">
        <v>215000</v>
      </c>
      <c r="Q176" s="548"/>
      <c r="R176" s="660">
        <v>168468.72</v>
      </c>
      <c r="S176" s="549">
        <f t="shared" si="126"/>
        <v>46531.28</v>
      </c>
      <c r="T176" s="113" t="s">
        <v>1932</v>
      </c>
      <c r="U176" s="722" t="str">
        <f t="shared" ref="U176" si="193">+B176</f>
        <v>AA12213</v>
      </c>
      <c r="V176" s="723" t="str">
        <f t="shared" ref="V176" si="194">+I176</f>
        <v>1947-TCN17</v>
      </c>
      <c r="W176" s="722">
        <f t="shared" ref="W176" si="195">+C176</f>
        <v>521702</v>
      </c>
      <c r="X176" s="722" t="str">
        <f t="shared" ref="X176" si="196">+E176</f>
        <v>YARIS CORE MT, SEDAN</v>
      </c>
      <c r="Y176" s="723">
        <f t="shared" ref="Y176" si="197">+F176</f>
        <v>0</v>
      </c>
      <c r="Z176" s="778">
        <f t="shared" ref="Z176" si="198">+M176</f>
        <v>185344.83</v>
      </c>
      <c r="AA176" s="629"/>
      <c r="AB176" s="793"/>
      <c r="AC176" s="779">
        <f t="shared" ref="AC176" si="199">VLOOKUP(Z176,TARIFA,1)</f>
        <v>0.01</v>
      </c>
      <c r="AD176" s="726">
        <f t="shared" ref="AD176" si="200">VLOOKUP(Z176,TARIFA,4)</f>
        <v>0.02</v>
      </c>
      <c r="AE176" s="629">
        <f t="shared" ref="AE176" si="201">VLOOKUP(Z176,TARIFA,3)</f>
        <v>0</v>
      </c>
      <c r="AF176" s="629">
        <f t="shared" ref="AF176" si="202">+N176</f>
        <v>0</v>
      </c>
      <c r="AG176" s="727">
        <f t="shared" ref="AG176" si="203">+N176-AF176</f>
        <v>0</v>
      </c>
      <c r="AH176" s="361"/>
      <c r="AI176" s="313"/>
      <c r="AJ176" s="374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296"/>
      <c r="AU176" s="296"/>
    </row>
    <row r="177" spans="1:47" s="291" customFormat="1" x14ac:dyDescent="0.2">
      <c r="A177" s="423">
        <f t="shared" si="125"/>
        <v>170</v>
      </c>
      <c r="B177" s="721" t="s">
        <v>7767</v>
      </c>
      <c r="C177" s="771">
        <v>522401</v>
      </c>
      <c r="D177" s="771">
        <v>1062</v>
      </c>
      <c r="E177" s="771" t="s">
        <v>709</v>
      </c>
      <c r="F177" s="546"/>
      <c r="G177" s="659">
        <v>43066</v>
      </c>
      <c r="H177" s="655" t="s">
        <v>7761</v>
      </c>
      <c r="I177" s="655" t="s">
        <v>7570</v>
      </c>
      <c r="J177" s="712"/>
      <c r="K177" s="655" t="s">
        <v>8096</v>
      </c>
      <c r="L177" s="655" t="s">
        <v>7378</v>
      </c>
      <c r="M177" s="660">
        <v>219827.59</v>
      </c>
      <c r="N177" s="660">
        <v>0</v>
      </c>
      <c r="O177" s="660">
        <v>35172.410000000003</v>
      </c>
      <c r="P177" s="660">
        <v>255000</v>
      </c>
      <c r="Q177" s="548"/>
      <c r="R177" s="660">
        <v>208035.7</v>
      </c>
      <c r="S177" s="549">
        <f t="shared" si="126"/>
        <v>46964.299999999988</v>
      </c>
      <c r="T177" s="113" t="s">
        <v>1931</v>
      </c>
      <c r="U177" s="267"/>
      <c r="V177" s="93"/>
      <c r="W177" s="267"/>
      <c r="X177" s="267"/>
      <c r="Y177" s="93"/>
      <c r="Z177" s="618"/>
      <c r="AA177" s="424"/>
      <c r="AB177" s="715"/>
      <c r="AC177" s="424"/>
      <c r="AD177" s="425"/>
      <c r="AE177" s="424"/>
      <c r="AF177" s="424"/>
      <c r="AG177" s="396"/>
      <c r="AH177" s="361"/>
      <c r="AI177" s="313"/>
      <c r="AJ177" s="374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296"/>
      <c r="AU177" s="296"/>
    </row>
    <row r="178" spans="1:47" s="291" customFormat="1" x14ac:dyDescent="0.2">
      <c r="A178" s="423">
        <f t="shared" si="125"/>
        <v>171</v>
      </c>
      <c r="B178" s="721" t="s">
        <v>7768</v>
      </c>
      <c r="C178" s="771">
        <v>522401</v>
      </c>
      <c r="D178" s="771">
        <v>1062</v>
      </c>
      <c r="E178" s="771" t="s">
        <v>709</v>
      </c>
      <c r="F178" s="546"/>
      <c r="G178" s="659">
        <v>43067</v>
      </c>
      <c r="H178" s="655" t="s">
        <v>7761</v>
      </c>
      <c r="I178" s="655" t="s">
        <v>7570</v>
      </c>
      <c r="J178" s="712"/>
      <c r="K178" s="655" t="s">
        <v>8096</v>
      </c>
      <c r="L178" s="655" t="s">
        <v>7378</v>
      </c>
      <c r="M178" s="660">
        <v>-219827.59</v>
      </c>
      <c r="N178" s="660">
        <v>0</v>
      </c>
      <c r="O178" s="660">
        <v>-35172.410000000003</v>
      </c>
      <c r="P178" s="660">
        <v>-255000</v>
      </c>
      <c r="Q178" s="548"/>
      <c r="R178" s="660">
        <v>-208035.7</v>
      </c>
      <c r="S178" s="549">
        <f t="shared" si="126"/>
        <v>-46964.299999999988</v>
      </c>
      <c r="T178" s="113" t="s">
        <v>1931</v>
      </c>
      <c r="U178" s="267"/>
      <c r="V178" s="93"/>
      <c r="W178" s="267"/>
      <c r="X178" s="267"/>
      <c r="Y178" s="93"/>
      <c r="Z178" s="618"/>
      <c r="AA178" s="424"/>
      <c r="AB178" s="715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291" customFormat="1" x14ac:dyDescent="0.2">
      <c r="A179" s="423">
        <f t="shared" si="125"/>
        <v>172</v>
      </c>
      <c r="B179" s="721" t="s">
        <v>7808</v>
      </c>
      <c r="C179" s="771">
        <v>521702</v>
      </c>
      <c r="D179" s="771">
        <v>2005</v>
      </c>
      <c r="E179" s="771" t="s">
        <v>701</v>
      </c>
      <c r="F179" s="546"/>
      <c r="G179" s="659">
        <v>43055</v>
      </c>
      <c r="H179" s="655" t="s">
        <v>764</v>
      </c>
      <c r="I179" s="655" t="s">
        <v>7594</v>
      </c>
      <c r="J179" s="712"/>
      <c r="K179" s="655" t="s">
        <v>8104</v>
      </c>
      <c r="L179" s="655" t="s">
        <v>7402</v>
      </c>
      <c r="M179" s="660">
        <v>185344.83</v>
      </c>
      <c r="N179" s="660">
        <v>0</v>
      </c>
      <c r="O179" s="660">
        <v>29655.17</v>
      </c>
      <c r="P179" s="660">
        <v>215000</v>
      </c>
      <c r="Q179" s="548"/>
      <c r="R179" s="660">
        <v>168468.72</v>
      </c>
      <c r="S179" s="549">
        <f t="shared" si="126"/>
        <v>46531.28</v>
      </c>
      <c r="T179" s="113" t="s">
        <v>1932</v>
      </c>
      <c r="U179" s="722" t="str">
        <f t="shared" ref="U179" si="204">+B179</f>
        <v>AA12319</v>
      </c>
      <c r="V179" s="723" t="str">
        <f t="shared" ref="V179" si="205">+I179</f>
        <v>1952-TCN17</v>
      </c>
      <c r="W179" s="722">
        <f t="shared" ref="W179" si="206">+C179</f>
        <v>521702</v>
      </c>
      <c r="X179" s="722" t="str">
        <f t="shared" ref="X179" si="207">+E179</f>
        <v>YARIS CORE MT, SEDAN</v>
      </c>
      <c r="Y179" s="723">
        <f t="shared" ref="Y179" si="208">+F179</f>
        <v>0</v>
      </c>
      <c r="Z179" s="778">
        <f t="shared" ref="Z179" si="209">+M179</f>
        <v>185344.83</v>
      </c>
      <c r="AA179" s="629"/>
      <c r="AB179" s="793"/>
      <c r="AC179" s="779">
        <f t="shared" ref="AC179" si="210">VLOOKUP(Z179,TARIFA,1)</f>
        <v>0.01</v>
      </c>
      <c r="AD179" s="726">
        <f t="shared" ref="AD179" si="211">VLOOKUP(Z179,TARIFA,4)</f>
        <v>0.02</v>
      </c>
      <c r="AE179" s="629">
        <f t="shared" ref="AE179" si="212">VLOOKUP(Z179,TARIFA,3)</f>
        <v>0</v>
      </c>
      <c r="AF179" s="629">
        <f t="shared" ref="AF179" si="213">+N179</f>
        <v>0</v>
      </c>
      <c r="AG179" s="727">
        <f t="shared" ref="AG179" si="214">+N179-AF179</f>
        <v>0</v>
      </c>
      <c r="AH179" s="361"/>
      <c r="AI179" s="313"/>
      <c r="AJ179" s="374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296"/>
      <c r="AU179" s="296"/>
    </row>
    <row r="180" spans="1:47" s="291" customFormat="1" x14ac:dyDescent="0.2">
      <c r="A180" s="423">
        <f t="shared" si="125"/>
        <v>173</v>
      </c>
      <c r="B180" s="721" t="s">
        <v>7829</v>
      </c>
      <c r="C180" s="771">
        <v>521707</v>
      </c>
      <c r="D180" s="771">
        <v>2006</v>
      </c>
      <c r="E180" s="771" t="s">
        <v>702</v>
      </c>
      <c r="F180" s="546"/>
      <c r="G180" s="659">
        <v>43067</v>
      </c>
      <c r="H180" s="655" t="s">
        <v>727</v>
      </c>
      <c r="I180" s="655" t="s">
        <v>6777</v>
      </c>
      <c r="J180" s="712"/>
      <c r="K180" s="655" t="s">
        <v>8114</v>
      </c>
      <c r="L180" s="655" t="s">
        <v>6778</v>
      </c>
      <c r="M180" s="660">
        <v>-193965.52</v>
      </c>
      <c r="N180" s="660">
        <v>0</v>
      </c>
      <c r="O180" s="660">
        <v>-31034.48</v>
      </c>
      <c r="P180" s="660">
        <v>-225000</v>
      </c>
      <c r="Q180" s="548"/>
      <c r="R180" s="660">
        <v>-183052.26</v>
      </c>
      <c r="S180" s="549">
        <f t="shared" si="126"/>
        <v>-41947.739999999991</v>
      </c>
      <c r="T180" s="113" t="s">
        <v>1931</v>
      </c>
      <c r="U180" s="267"/>
      <c r="V180" s="93"/>
      <c r="W180" s="267"/>
      <c r="X180" s="267"/>
      <c r="Y180" s="93"/>
      <c r="Z180" s="618"/>
      <c r="AA180" s="424"/>
      <c r="AB180" s="715"/>
      <c r="AC180" s="424"/>
      <c r="AD180" s="425"/>
      <c r="AE180" s="424"/>
      <c r="AF180" s="424"/>
      <c r="AG180" s="396"/>
      <c r="AH180" s="361"/>
      <c r="AI180" s="313"/>
      <c r="AJ180" s="374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291" customFormat="1" x14ac:dyDescent="0.2">
      <c r="A181" s="423">
        <f t="shared" si="125"/>
        <v>174</v>
      </c>
      <c r="B181" s="721" t="s">
        <v>7830</v>
      </c>
      <c r="C181" s="771">
        <v>521707</v>
      </c>
      <c r="D181" s="771">
        <v>2006</v>
      </c>
      <c r="E181" s="771" t="s">
        <v>702</v>
      </c>
      <c r="F181" s="546"/>
      <c r="G181" s="659">
        <v>43067</v>
      </c>
      <c r="H181" s="655" t="s">
        <v>727</v>
      </c>
      <c r="I181" s="655" t="s">
        <v>6777</v>
      </c>
      <c r="J181" s="712"/>
      <c r="K181" s="655" t="s">
        <v>8114</v>
      </c>
      <c r="L181" s="655" t="s">
        <v>6778</v>
      </c>
      <c r="M181" s="660">
        <v>193965.52</v>
      </c>
      <c r="N181" s="660">
        <v>0</v>
      </c>
      <c r="O181" s="660">
        <v>31034.48</v>
      </c>
      <c r="P181" s="660">
        <v>225000</v>
      </c>
      <c r="Q181" s="548"/>
      <c r="R181" s="660">
        <v>183052.26</v>
      </c>
      <c r="S181" s="549">
        <f t="shared" si="126"/>
        <v>41947.739999999991</v>
      </c>
      <c r="T181" s="113" t="s">
        <v>1931</v>
      </c>
      <c r="U181" s="267"/>
      <c r="V181" s="93"/>
      <c r="W181" s="267"/>
      <c r="X181" s="267"/>
      <c r="Y181" s="93"/>
      <c r="Z181" s="618"/>
      <c r="AA181" s="424"/>
      <c r="AB181" s="715"/>
      <c r="AC181" s="424"/>
      <c r="AD181" s="425"/>
      <c r="AE181" s="424"/>
      <c r="AF181" s="424"/>
      <c r="AG181" s="396"/>
      <c r="AH181" s="361"/>
      <c r="AI181" s="313"/>
      <c r="AJ181" s="374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296"/>
      <c r="AU181" s="296"/>
    </row>
    <row r="182" spans="1:47" s="291" customFormat="1" x14ac:dyDescent="0.2">
      <c r="A182" s="423">
        <f t="shared" si="125"/>
        <v>175</v>
      </c>
      <c r="B182" s="721" t="s">
        <v>7938</v>
      </c>
      <c r="C182" s="771">
        <v>520514</v>
      </c>
      <c r="D182" s="771">
        <v>5398</v>
      </c>
      <c r="E182" s="771" t="s">
        <v>117</v>
      </c>
      <c r="F182" s="546"/>
      <c r="G182" s="659">
        <v>43049</v>
      </c>
      <c r="H182" s="655"/>
      <c r="I182" s="655" t="s">
        <v>7675</v>
      </c>
      <c r="J182" s="712"/>
      <c r="K182" s="655" t="s">
        <v>1147</v>
      </c>
      <c r="L182" s="655" t="s">
        <v>7483</v>
      </c>
      <c r="M182" s="660">
        <v>467192.98</v>
      </c>
      <c r="N182" s="660">
        <v>0</v>
      </c>
      <c r="O182" s="660">
        <v>74750.880000000005</v>
      </c>
      <c r="P182" s="660">
        <v>541943.86</v>
      </c>
      <c r="Q182" s="548"/>
      <c r="R182" s="660">
        <v>466837.64</v>
      </c>
      <c r="S182" s="549">
        <f t="shared" si="126"/>
        <v>75106.219999999972</v>
      </c>
      <c r="T182" s="113" t="s">
        <v>283</v>
      </c>
      <c r="U182" s="267"/>
      <c r="V182" s="93"/>
      <c r="W182" s="267"/>
      <c r="X182" s="267"/>
      <c r="Y182" s="93"/>
      <c r="Z182" s="618"/>
      <c r="AA182" s="424"/>
      <c r="AB182" s="715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296"/>
      <c r="AU182" s="296"/>
    </row>
    <row r="183" spans="1:47" s="291" customFormat="1" x14ac:dyDescent="0.2">
      <c r="A183" s="423">
        <f t="shared" si="125"/>
        <v>176</v>
      </c>
      <c r="B183" s="721" t="s">
        <v>7939</v>
      </c>
      <c r="C183" s="771">
        <v>520514</v>
      </c>
      <c r="D183" s="771">
        <v>5398</v>
      </c>
      <c r="E183" s="771" t="s">
        <v>117</v>
      </c>
      <c r="F183" s="546"/>
      <c r="G183" s="659">
        <v>43050</v>
      </c>
      <c r="H183" s="655"/>
      <c r="I183" s="655" t="s">
        <v>7675</v>
      </c>
      <c r="J183" s="712"/>
      <c r="K183" s="655" t="s">
        <v>1147</v>
      </c>
      <c r="L183" s="655" t="s">
        <v>7483</v>
      </c>
      <c r="M183" s="660">
        <v>-467192.98</v>
      </c>
      <c r="N183" s="660">
        <v>0</v>
      </c>
      <c r="O183" s="660">
        <v>-74750.880000000005</v>
      </c>
      <c r="P183" s="660">
        <v>-541943.86</v>
      </c>
      <c r="Q183" s="548"/>
      <c r="R183" s="660">
        <v>-466837.64</v>
      </c>
      <c r="S183" s="549">
        <f t="shared" si="126"/>
        <v>-75106.219999999972</v>
      </c>
      <c r="T183" s="113" t="s">
        <v>283</v>
      </c>
      <c r="U183" s="267"/>
      <c r="V183" s="93"/>
      <c r="W183" s="267"/>
      <c r="X183" s="267"/>
      <c r="Y183" s="93"/>
      <c r="Z183" s="618"/>
      <c r="AA183" s="424"/>
      <c r="AB183" s="715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291" customFormat="1" x14ac:dyDescent="0.2">
      <c r="A184" s="423">
        <f t="shared" si="125"/>
        <v>177</v>
      </c>
      <c r="B184" s="721" t="s">
        <v>7940</v>
      </c>
      <c r="C184" s="771">
        <v>520514</v>
      </c>
      <c r="D184" s="771">
        <v>5398</v>
      </c>
      <c r="E184" s="771" t="s">
        <v>117</v>
      </c>
      <c r="F184" s="546"/>
      <c r="G184" s="659">
        <v>43050</v>
      </c>
      <c r="H184" s="655"/>
      <c r="I184" s="655" t="s">
        <v>7675</v>
      </c>
      <c r="J184" s="712"/>
      <c r="K184" s="655" t="s">
        <v>1147</v>
      </c>
      <c r="L184" s="655" t="s">
        <v>7483</v>
      </c>
      <c r="M184" s="660">
        <v>467192.98</v>
      </c>
      <c r="N184" s="660">
        <v>0</v>
      </c>
      <c r="O184" s="660">
        <v>74750.880000000005</v>
      </c>
      <c r="P184" s="660">
        <v>541943.86</v>
      </c>
      <c r="Q184" s="548"/>
      <c r="R184" s="660">
        <v>466837.64</v>
      </c>
      <c r="S184" s="549">
        <f t="shared" si="126"/>
        <v>75106.219999999972</v>
      </c>
      <c r="T184" s="113" t="s">
        <v>283</v>
      </c>
      <c r="U184" s="267"/>
      <c r="V184" s="93"/>
      <c r="W184" s="267"/>
      <c r="X184" s="267"/>
      <c r="Y184" s="93"/>
      <c r="Z184" s="618"/>
      <c r="AA184" s="424"/>
      <c r="AB184" s="715"/>
      <c r="AC184" s="424"/>
      <c r="AD184" s="425"/>
      <c r="AE184" s="424"/>
      <c r="AF184" s="424"/>
      <c r="AG184" s="396"/>
      <c r="AH184" s="361"/>
      <c r="AI184" s="313"/>
      <c r="AJ184" s="374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296"/>
      <c r="AU184" s="296"/>
    </row>
    <row r="185" spans="1:47" s="291" customFormat="1" x14ac:dyDescent="0.2">
      <c r="A185" s="423">
        <f t="shared" si="125"/>
        <v>178</v>
      </c>
      <c r="B185" s="721" t="s">
        <v>7810</v>
      </c>
      <c r="C185" s="771">
        <v>521702</v>
      </c>
      <c r="D185" s="771">
        <v>2005</v>
      </c>
      <c r="E185" s="771" t="s">
        <v>701</v>
      </c>
      <c r="F185" s="546"/>
      <c r="G185" s="659">
        <v>43066</v>
      </c>
      <c r="H185" s="655" t="s">
        <v>5623</v>
      </c>
      <c r="I185" s="655" t="s">
        <v>7596</v>
      </c>
      <c r="J185" s="712"/>
      <c r="K185" s="655" t="s">
        <v>830</v>
      </c>
      <c r="L185" s="655" t="s">
        <v>7404</v>
      </c>
      <c r="M185" s="660">
        <v>185344.83</v>
      </c>
      <c r="N185" s="660">
        <v>0</v>
      </c>
      <c r="O185" s="660">
        <v>29655.17</v>
      </c>
      <c r="P185" s="660">
        <v>215000</v>
      </c>
      <c r="Q185" s="548"/>
      <c r="R185" s="660">
        <v>168469.59</v>
      </c>
      <c r="S185" s="549">
        <f t="shared" si="126"/>
        <v>46530.41</v>
      </c>
      <c r="T185" s="113" t="s">
        <v>1932</v>
      </c>
      <c r="U185" s="722" t="str">
        <f t="shared" ref="U185:U186" si="215">+B185</f>
        <v>AA12409</v>
      </c>
      <c r="V185" s="723" t="str">
        <f t="shared" ref="V185:V186" si="216">+I185</f>
        <v>1955-TCN17</v>
      </c>
      <c r="W185" s="722">
        <f t="shared" ref="W185:W186" si="217">+C185</f>
        <v>521702</v>
      </c>
      <c r="X185" s="722" t="str">
        <f t="shared" ref="X185:X186" si="218">+E185</f>
        <v>YARIS CORE MT, SEDAN</v>
      </c>
      <c r="Y185" s="723">
        <f t="shared" ref="Y185:Y186" si="219">+F185</f>
        <v>0</v>
      </c>
      <c r="Z185" s="778">
        <f t="shared" ref="Z185:Z186" si="220">+M185</f>
        <v>185344.83</v>
      </c>
      <c r="AA185" s="629"/>
      <c r="AB185" s="793"/>
      <c r="AC185" s="779">
        <f t="shared" ref="AC185:AC186" si="221">VLOOKUP(Z185,TARIFA,1)</f>
        <v>0.01</v>
      </c>
      <c r="AD185" s="726">
        <f t="shared" ref="AD185:AD186" si="222">VLOOKUP(Z185,TARIFA,4)</f>
        <v>0.02</v>
      </c>
      <c r="AE185" s="629">
        <f t="shared" ref="AE185:AE186" si="223">VLOOKUP(Z185,TARIFA,3)</f>
        <v>0</v>
      </c>
      <c r="AF185" s="629">
        <f t="shared" ref="AF185:AF186" si="224">+N185</f>
        <v>0</v>
      </c>
      <c r="AG185" s="727">
        <f t="shared" ref="AG185:AG186" si="225">+N185-AF185</f>
        <v>0</v>
      </c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296"/>
      <c r="AU185" s="296"/>
    </row>
    <row r="186" spans="1:47" s="291" customFormat="1" x14ac:dyDescent="0.2">
      <c r="A186" s="423">
        <f t="shared" si="125"/>
        <v>179</v>
      </c>
      <c r="B186" s="721" t="s">
        <v>7813</v>
      </c>
      <c r="C186" s="771">
        <v>521702</v>
      </c>
      <c r="D186" s="771">
        <v>2005</v>
      </c>
      <c r="E186" s="771" t="s">
        <v>701</v>
      </c>
      <c r="F186" s="546"/>
      <c r="G186" s="659">
        <v>43067</v>
      </c>
      <c r="H186" s="655" t="s">
        <v>810</v>
      </c>
      <c r="I186" s="655" t="s">
        <v>7597</v>
      </c>
      <c r="J186" s="712"/>
      <c r="K186" s="655" t="s">
        <v>8105</v>
      </c>
      <c r="L186" s="655" t="s">
        <v>7405</v>
      </c>
      <c r="M186" s="660">
        <v>185344.83</v>
      </c>
      <c r="N186" s="660">
        <v>0</v>
      </c>
      <c r="O186" s="660">
        <v>29655.17</v>
      </c>
      <c r="P186" s="660">
        <v>215000</v>
      </c>
      <c r="Q186" s="548"/>
      <c r="R186" s="660">
        <v>168469.59</v>
      </c>
      <c r="S186" s="549">
        <f t="shared" si="126"/>
        <v>46530.41</v>
      </c>
      <c r="T186" s="113" t="s">
        <v>1932</v>
      </c>
      <c r="U186" s="722" t="str">
        <f t="shared" si="215"/>
        <v>AA12410</v>
      </c>
      <c r="V186" s="723" t="str">
        <f t="shared" si="216"/>
        <v>1964-TCN17</v>
      </c>
      <c r="W186" s="722">
        <f t="shared" si="217"/>
        <v>521702</v>
      </c>
      <c r="X186" s="722" t="str">
        <f t="shared" si="218"/>
        <v>YARIS CORE MT, SEDAN</v>
      </c>
      <c r="Y186" s="723">
        <f t="shared" si="219"/>
        <v>0</v>
      </c>
      <c r="Z186" s="778">
        <f t="shared" si="220"/>
        <v>185344.83</v>
      </c>
      <c r="AA186" s="629">
        <f>+SUM(Z164:Z186)</f>
        <v>1297413.81</v>
      </c>
      <c r="AB186" s="800">
        <v>7</v>
      </c>
      <c r="AC186" s="779">
        <f t="shared" si="221"/>
        <v>0.01</v>
      </c>
      <c r="AD186" s="726">
        <f t="shared" si="222"/>
        <v>0.02</v>
      </c>
      <c r="AE186" s="629">
        <f t="shared" si="223"/>
        <v>0</v>
      </c>
      <c r="AF186" s="629">
        <f t="shared" si="224"/>
        <v>0</v>
      </c>
      <c r="AG186" s="727">
        <f t="shared" si="225"/>
        <v>0</v>
      </c>
      <c r="AH186" s="361"/>
      <c r="AI186" s="313"/>
      <c r="AJ186" s="374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296"/>
      <c r="AU186" s="296"/>
    </row>
    <row r="187" spans="1:47" s="291" customFormat="1" x14ac:dyDescent="0.2">
      <c r="A187" s="423">
        <f t="shared" si="125"/>
        <v>180</v>
      </c>
      <c r="B187" s="721" t="s">
        <v>7773</v>
      </c>
      <c r="C187" s="771">
        <v>521101</v>
      </c>
      <c r="D187" s="771">
        <v>1253</v>
      </c>
      <c r="E187" s="771" t="s">
        <v>30</v>
      </c>
      <c r="F187" s="546"/>
      <c r="G187" s="659">
        <v>43054</v>
      </c>
      <c r="H187" s="655" t="s">
        <v>727</v>
      </c>
      <c r="I187" s="655" t="s">
        <v>7573</v>
      </c>
      <c r="J187" s="712"/>
      <c r="K187" s="655" t="s">
        <v>8098</v>
      </c>
      <c r="L187" s="655" t="s">
        <v>7381</v>
      </c>
      <c r="M187" s="660">
        <v>-354310.34</v>
      </c>
      <c r="N187" s="660">
        <v>0</v>
      </c>
      <c r="O187" s="660">
        <v>-56689.66</v>
      </c>
      <c r="P187" s="660">
        <v>-411000</v>
      </c>
      <c r="Q187" s="548"/>
      <c r="R187" s="660">
        <v>-344834.35</v>
      </c>
      <c r="S187" s="549">
        <f t="shared" si="126"/>
        <v>-66165.650000000023</v>
      </c>
      <c r="T187" s="113" t="s">
        <v>1931</v>
      </c>
      <c r="U187" s="267"/>
      <c r="V187" s="93"/>
      <c r="W187" s="267"/>
      <c r="X187" s="267"/>
      <c r="Y187" s="93"/>
      <c r="Z187" s="618"/>
      <c r="AA187" s="424"/>
      <c r="AB187" s="715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296"/>
      <c r="AU187" s="296"/>
    </row>
    <row r="188" spans="1:47" s="291" customFormat="1" x14ac:dyDescent="0.2">
      <c r="A188" s="423">
        <f t="shared" si="125"/>
        <v>181</v>
      </c>
      <c r="B188" s="721" t="s">
        <v>7774</v>
      </c>
      <c r="C188" s="771">
        <v>521101</v>
      </c>
      <c r="D188" s="771">
        <v>1253</v>
      </c>
      <c r="E188" s="771" t="s">
        <v>30</v>
      </c>
      <c r="F188" s="546"/>
      <c r="G188" s="659">
        <v>43054</v>
      </c>
      <c r="H188" s="655" t="s">
        <v>727</v>
      </c>
      <c r="I188" s="655" t="s">
        <v>7573</v>
      </c>
      <c r="J188" s="712"/>
      <c r="K188" s="655" t="s">
        <v>8098</v>
      </c>
      <c r="L188" s="655" t="s">
        <v>7381</v>
      </c>
      <c r="M188" s="660">
        <v>354310.34</v>
      </c>
      <c r="N188" s="660">
        <v>0</v>
      </c>
      <c r="O188" s="660">
        <v>56689.66</v>
      </c>
      <c r="P188" s="660">
        <v>411000</v>
      </c>
      <c r="Q188" s="548"/>
      <c r="R188" s="660">
        <v>344834.35</v>
      </c>
      <c r="S188" s="549">
        <f t="shared" si="126"/>
        <v>66165.650000000023</v>
      </c>
      <c r="T188" s="113" t="s">
        <v>1931</v>
      </c>
      <c r="U188" s="267"/>
      <c r="V188" s="93"/>
      <c r="W188" s="267"/>
      <c r="X188" s="267"/>
      <c r="Y188" s="93"/>
      <c r="Z188" s="618"/>
      <c r="AA188" s="424"/>
      <c r="AB188" s="715"/>
      <c r="AC188" s="424"/>
      <c r="AD188" s="425"/>
      <c r="AE188" s="424"/>
      <c r="AF188" s="424"/>
      <c r="AG188" s="396"/>
      <c r="AH188" s="361"/>
      <c r="AI188" s="313"/>
      <c r="AJ188" s="374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296"/>
      <c r="AU188" s="296"/>
    </row>
    <row r="189" spans="1:47" s="291" customFormat="1" x14ac:dyDescent="0.2">
      <c r="A189" s="423">
        <f t="shared" si="125"/>
        <v>182</v>
      </c>
      <c r="B189" s="721" t="s">
        <v>7831</v>
      </c>
      <c r="C189" s="771">
        <v>521707</v>
      </c>
      <c r="D189" s="771">
        <v>2006</v>
      </c>
      <c r="E189" s="771" t="s">
        <v>702</v>
      </c>
      <c r="F189" s="546"/>
      <c r="G189" s="659">
        <v>43067</v>
      </c>
      <c r="H189" s="655" t="s">
        <v>727</v>
      </c>
      <c r="I189" s="655" t="s">
        <v>6777</v>
      </c>
      <c r="J189" s="712"/>
      <c r="K189" s="655" t="s">
        <v>8114</v>
      </c>
      <c r="L189" s="655" t="s">
        <v>6778</v>
      </c>
      <c r="M189" s="660">
        <v>193965.52</v>
      </c>
      <c r="N189" s="660">
        <v>0</v>
      </c>
      <c r="O189" s="660">
        <v>31034.48</v>
      </c>
      <c r="P189" s="660">
        <v>225000</v>
      </c>
      <c r="Q189" s="548"/>
      <c r="R189" s="660">
        <v>183052.26</v>
      </c>
      <c r="S189" s="549">
        <f t="shared" si="126"/>
        <v>41947.739999999991</v>
      </c>
      <c r="T189" s="113" t="s">
        <v>1932</v>
      </c>
      <c r="U189" s="722" t="str">
        <f t="shared" ref="U189" si="226">+B189</f>
        <v>AA12469</v>
      </c>
      <c r="V189" s="723" t="str">
        <f t="shared" ref="V189" si="227">+I189</f>
        <v>1473-TCN17</v>
      </c>
      <c r="W189" s="722">
        <f t="shared" ref="W189" si="228">+C189</f>
        <v>521707</v>
      </c>
      <c r="X189" s="722" t="str">
        <f t="shared" ref="X189" si="229">+E189</f>
        <v>YARIS CORE,SEDAN CVT.</v>
      </c>
      <c r="Y189" s="723">
        <f t="shared" ref="Y189" si="230">+F189</f>
        <v>0</v>
      </c>
      <c r="Z189" s="778">
        <f t="shared" ref="Z189" si="231">+M189</f>
        <v>193965.52</v>
      </c>
      <c r="AA189" s="629"/>
      <c r="AB189" s="793"/>
      <c r="AC189" s="779">
        <f t="shared" ref="AC189" si="232">VLOOKUP(Z189,TARIFA,1)</f>
        <v>0.01</v>
      </c>
      <c r="AD189" s="726">
        <f t="shared" ref="AD189" si="233">VLOOKUP(Z189,TARIFA,4)</f>
        <v>0.02</v>
      </c>
      <c r="AE189" s="629">
        <f t="shared" ref="AE189" si="234">VLOOKUP(Z189,TARIFA,3)</f>
        <v>0</v>
      </c>
      <c r="AF189" s="629">
        <f t="shared" ref="AF189" si="235">+N189</f>
        <v>0</v>
      </c>
      <c r="AG189" s="727">
        <f t="shared" ref="AG189" si="236">+N189-AF189</f>
        <v>0</v>
      </c>
      <c r="AH189" s="361"/>
      <c r="AI189" s="313"/>
      <c r="AJ189" s="374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296"/>
      <c r="AU189" s="296"/>
    </row>
    <row r="190" spans="1:47" s="291" customFormat="1" x14ac:dyDescent="0.2">
      <c r="A190" s="423">
        <f t="shared" si="125"/>
        <v>183</v>
      </c>
      <c r="B190" s="721" t="s">
        <v>7946</v>
      </c>
      <c r="C190" s="771">
        <v>521502</v>
      </c>
      <c r="D190" s="771">
        <v>5601</v>
      </c>
      <c r="E190" s="771" t="s">
        <v>221</v>
      </c>
      <c r="F190" s="546"/>
      <c r="G190" s="659">
        <v>43046</v>
      </c>
      <c r="H190" s="655"/>
      <c r="I190" s="655" t="s">
        <v>7680</v>
      </c>
      <c r="J190" s="712"/>
      <c r="K190" s="655" t="s">
        <v>1164</v>
      </c>
      <c r="L190" s="655" t="s">
        <v>7488</v>
      </c>
      <c r="M190" s="660">
        <v>292180.65999999997</v>
      </c>
      <c r="N190" s="660">
        <v>0</v>
      </c>
      <c r="O190" s="660">
        <v>46748.91</v>
      </c>
      <c r="P190" s="660">
        <v>338929.57</v>
      </c>
      <c r="Q190" s="548"/>
      <c r="R190" s="660">
        <v>291825.32</v>
      </c>
      <c r="S190" s="549">
        <f t="shared" si="126"/>
        <v>47104.25</v>
      </c>
      <c r="T190" s="113" t="s">
        <v>283</v>
      </c>
      <c r="U190" s="267"/>
      <c r="V190" s="93"/>
      <c r="W190" s="267"/>
      <c r="X190" s="267"/>
      <c r="Y190" s="93"/>
      <c r="Z190" s="618"/>
      <c r="AA190" s="424"/>
      <c r="AB190" s="715"/>
      <c r="AC190" s="424"/>
      <c r="AD190" s="425"/>
      <c r="AE190" s="424"/>
      <c r="AF190" s="424"/>
      <c r="AG190" s="396"/>
      <c r="AH190" s="361"/>
      <c r="AI190" s="313"/>
      <c r="AJ190" s="374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296"/>
      <c r="AU190" s="296"/>
    </row>
    <row r="191" spans="1:47" s="291" customFormat="1" x14ac:dyDescent="0.2">
      <c r="A191" s="423">
        <f t="shared" si="125"/>
        <v>184</v>
      </c>
      <c r="B191" s="721" t="s">
        <v>7866</v>
      </c>
      <c r="C191" s="771">
        <v>521802</v>
      </c>
      <c r="D191" s="771">
        <v>2202</v>
      </c>
      <c r="E191" s="771" t="s">
        <v>703</v>
      </c>
      <c r="F191" s="546"/>
      <c r="G191" s="659">
        <v>43041</v>
      </c>
      <c r="H191" s="655" t="s">
        <v>2213</v>
      </c>
      <c r="I191" s="655" t="s">
        <v>6326</v>
      </c>
      <c r="J191" s="712"/>
      <c r="K191" s="655" t="s">
        <v>8117</v>
      </c>
      <c r="L191" s="655" t="s">
        <v>6588</v>
      </c>
      <c r="M191" s="660">
        <v>200431.03</v>
      </c>
      <c r="N191" s="660">
        <v>0</v>
      </c>
      <c r="O191" s="660">
        <v>32068.97</v>
      </c>
      <c r="P191" s="660">
        <v>232500</v>
      </c>
      <c r="Q191" s="548"/>
      <c r="R191" s="660">
        <v>187667.7</v>
      </c>
      <c r="S191" s="549">
        <f t="shared" si="126"/>
        <v>44832.299999999988</v>
      </c>
      <c r="T191" s="113" t="s">
        <v>1931</v>
      </c>
      <c r="U191" s="267"/>
      <c r="V191" s="93"/>
      <c r="W191" s="267"/>
      <c r="X191" s="267"/>
      <c r="Y191" s="93"/>
      <c r="Z191" s="618"/>
      <c r="AA191" s="424"/>
      <c r="AB191" s="715"/>
      <c r="AC191" s="424"/>
      <c r="AD191" s="425"/>
      <c r="AE191" s="424"/>
      <c r="AF191" s="424"/>
      <c r="AG191" s="396"/>
      <c r="AH191" s="361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125"/>
        <v>185</v>
      </c>
      <c r="B192" s="721" t="s">
        <v>7867</v>
      </c>
      <c r="C192" s="771">
        <v>521802</v>
      </c>
      <c r="D192" s="771">
        <v>2202</v>
      </c>
      <c r="E192" s="771" t="s">
        <v>703</v>
      </c>
      <c r="F192" s="546"/>
      <c r="G192" s="659">
        <v>43042</v>
      </c>
      <c r="H192" s="655" t="s">
        <v>2213</v>
      </c>
      <c r="I192" s="655" t="s">
        <v>6326</v>
      </c>
      <c r="J192" s="712"/>
      <c r="K192" s="655" t="s">
        <v>8117</v>
      </c>
      <c r="L192" s="655" t="s">
        <v>6588</v>
      </c>
      <c r="M192" s="660">
        <v>-200431.03</v>
      </c>
      <c r="N192" s="660">
        <v>0</v>
      </c>
      <c r="O192" s="660">
        <v>-32068.97</v>
      </c>
      <c r="P192" s="660">
        <v>-232500</v>
      </c>
      <c r="Q192" s="548"/>
      <c r="R192" s="660">
        <v>-187667.7</v>
      </c>
      <c r="S192" s="549">
        <f t="shared" si="126"/>
        <v>-44832.299999999988</v>
      </c>
      <c r="T192" s="113" t="s">
        <v>1931</v>
      </c>
      <c r="U192" s="267"/>
      <c r="V192" s="93"/>
      <c r="W192" s="267"/>
      <c r="X192" s="267"/>
      <c r="Y192" s="93"/>
      <c r="Z192" s="618"/>
      <c r="AA192" s="424"/>
      <c r="AB192" s="715"/>
      <c r="AC192" s="424"/>
      <c r="AD192" s="425"/>
      <c r="AE192" s="424"/>
      <c r="AF192" s="424"/>
      <c r="AG192" s="396"/>
      <c r="AH192" s="361"/>
      <c r="AI192" s="313"/>
      <c r="AJ192" s="374"/>
      <c r="AK192" s="374"/>
      <c r="AL192" s="374"/>
      <c r="AM192" s="374"/>
      <c r="AN192" s="296"/>
      <c r="AO192" s="296"/>
      <c r="AP192" s="296"/>
      <c r="AQ192" s="296"/>
      <c r="AR192" s="296"/>
      <c r="AS192" s="296"/>
      <c r="AT192" s="296"/>
      <c r="AU192" s="296"/>
    </row>
    <row r="193" spans="1:47" s="291" customFormat="1" x14ac:dyDescent="0.2">
      <c r="A193" s="423">
        <f t="shared" si="125"/>
        <v>186</v>
      </c>
      <c r="B193" s="721" t="s">
        <v>7818</v>
      </c>
      <c r="C193" s="771">
        <v>521707</v>
      </c>
      <c r="D193" s="771">
        <v>2006</v>
      </c>
      <c r="E193" s="771" t="s">
        <v>702</v>
      </c>
      <c r="F193" s="546"/>
      <c r="G193" s="659">
        <v>43054</v>
      </c>
      <c r="H193" s="655" t="s">
        <v>739</v>
      </c>
      <c r="I193" s="655" t="s">
        <v>6780</v>
      </c>
      <c r="J193" s="712"/>
      <c r="K193" s="655" t="s">
        <v>6782</v>
      </c>
      <c r="L193" s="655" t="s">
        <v>6781</v>
      </c>
      <c r="M193" s="660">
        <v>-202586.21</v>
      </c>
      <c r="N193" s="660">
        <v>0</v>
      </c>
      <c r="O193" s="660">
        <v>-32413.79</v>
      </c>
      <c r="P193" s="660">
        <v>-235000</v>
      </c>
      <c r="Q193" s="548"/>
      <c r="R193" s="660">
        <v>-183052.26</v>
      </c>
      <c r="S193" s="549">
        <f t="shared" si="126"/>
        <v>-51947.739999999991</v>
      </c>
      <c r="T193" s="113" t="s">
        <v>1266</v>
      </c>
      <c r="U193" s="722" t="str">
        <f t="shared" ref="U193" si="237">+B193</f>
        <v>ZA04440</v>
      </c>
      <c r="V193" s="723" t="str">
        <f t="shared" ref="V193" si="238">+I193</f>
        <v>1516-TCN17</v>
      </c>
      <c r="W193" s="722">
        <f t="shared" ref="W193" si="239">+C193</f>
        <v>521707</v>
      </c>
      <c r="X193" s="722" t="str">
        <f t="shared" ref="X193" si="240">+E193</f>
        <v>YARIS CORE,SEDAN CVT.</v>
      </c>
      <c r="Y193" s="723">
        <f t="shared" ref="Y193" si="241">+F193</f>
        <v>0</v>
      </c>
      <c r="Z193" s="778">
        <f t="shared" ref="Z193" si="242">+M193</f>
        <v>-202586.21</v>
      </c>
      <c r="AA193" s="629"/>
      <c r="AB193" s="793"/>
      <c r="AC193" s="779" t="e">
        <f t="shared" ref="AC193" si="243">VLOOKUP(Z193,TARIFA,1)</f>
        <v>#N/A</v>
      </c>
      <c r="AD193" s="726" t="e">
        <f t="shared" ref="AD193" si="244">VLOOKUP(Z193,TARIFA,4)</f>
        <v>#N/A</v>
      </c>
      <c r="AE193" s="629" t="e">
        <f t="shared" ref="AE193" si="245">VLOOKUP(Z193,TARIFA,3)</f>
        <v>#N/A</v>
      </c>
      <c r="AF193" s="629">
        <f t="shared" ref="AF193" si="246">+N193</f>
        <v>0</v>
      </c>
      <c r="AG193" s="727">
        <f t="shared" ref="AG193" si="247">+N193-AF193</f>
        <v>0</v>
      </c>
      <c r="AH193" s="361"/>
      <c r="AI193" s="313"/>
      <c r="AJ193" s="374"/>
      <c r="AK193" s="374"/>
      <c r="AL193" s="374"/>
      <c r="AM193" s="374"/>
      <c r="AN193" s="296"/>
      <c r="AO193" s="296"/>
      <c r="AP193" s="296"/>
      <c r="AQ193" s="296"/>
      <c r="AR193" s="296"/>
      <c r="AS193" s="296"/>
      <c r="AT193" s="296"/>
      <c r="AU193" s="296"/>
    </row>
    <row r="194" spans="1:47" s="291" customFormat="1" x14ac:dyDescent="0.2">
      <c r="A194" s="423">
        <f t="shared" si="125"/>
        <v>187</v>
      </c>
      <c r="B194" s="721" t="s">
        <v>7851</v>
      </c>
      <c r="C194" s="771">
        <v>521801</v>
      </c>
      <c r="D194" s="771">
        <v>2201</v>
      </c>
      <c r="E194" s="771" t="s">
        <v>704</v>
      </c>
      <c r="F194" s="546"/>
      <c r="G194" s="659">
        <v>43040</v>
      </c>
      <c r="H194" s="655" t="s">
        <v>5621</v>
      </c>
      <c r="I194" s="655" t="s">
        <v>5674</v>
      </c>
      <c r="J194" s="712"/>
      <c r="K194" s="655" t="s">
        <v>6808</v>
      </c>
      <c r="L194" s="655" t="s">
        <v>5923</v>
      </c>
      <c r="M194" s="660">
        <v>-195948.28</v>
      </c>
      <c r="N194" s="660">
        <v>0</v>
      </c>
      <c r="O194" s="660">
        <v>-31351.72</v>
      </c>
      <c r="P194" s="660">
        <v>-227300</v>
      </c>
      <c r="Q194" s="548"/>
      <c r="R194" s="660">
        <v>-183633.22</v>
      </c>
      <c r="S194" s="549">
        <f t="shared" si="126"/>
        <v>-43666.78</v>
      </c>
      <c r="T194" s="113" t="s">
        <v>1931</v>
      </c>
      <c r="U194" s="267"/>
      <c r="V194" s="93"/>
      <c r="W194" s="267"/>
      <c r="X194" s="267"/>
      <c r="Y194" s="93"/>
      <c r="Z194" s="618"/>
      <c r="AA194" s="424"/>
      <c r="AB194" s="715"/>
      <c r="AC194" s="424"/>
      <c r="AD194" s="425"/>
      <c r="AE194" s="424"/>
      <c r="AF194" s="424"/>
      <c r="AG194" s="396"/>
      <c r="AH194" s="361"/>
      <c r="AI194" s="313"/>
      <c r="AJ194" s="374"/>
      <c r="AK194" s="374"/>
      <c r="AL194" s="374"/>
      <c r="AM194" s="374"/>
      <c r="AN194" s="296"/>
      <c r="AO194" s="296"/>
      <c r="AP194" s="296"/>
      <c r="AQ194" s="296"/>
      <c r="AR194" s="296"/>
      <c r="AS194" s="296"/>
      <c r="AT194" s="296"/>
      <c r="AU194" s="296"/>
    </row>
    <row r="195" spans="1:47" s="291" customFormat="1" x14ac:dyDescent="0.2">
      <c r="A195" s="423">
        <f t="shared" si="125"/>
        <v>188</v>
      </c>
      <c r="B195" s="721" t="s">
        <v>7853</v>
      </c>
      <c r="C195" s="771">
        <v>521801</v>
      </c>
      <c r="D195" s="771">
        <v>2201</v>
      </c>
      <c r="E195" s="771" t="s">
        <v>704</v>
      </c>
      <c r="F195" s="546"/>
      <c r="G195" s="659">
        <v>43049</v>
      </c>
      <c r="H195" s="655" t="s">
        <v>739</v>
      </c>
      <c r="I195" s="655" t="s">
        <v>5674</v>
      </c>
      <c r="J195" s="712"/>
      <c r="K195" s="655" t="s">
        <v>8128</v>
      </c>
      <c r="L195" s="655" t="s">
        <v>5923</v>
      </c>
      <c r="M195" s="660">
        <v>195948.28</v>
      </c>
      <c r="N195" s="660">
        <v>0</v>
      </c>
      <c r="O195" s="660">
        <v>31351.72</v>
      </c>
      <c r="P195" s="660">
        <v>227300</v>
      </c>
      <c r="Q195" s="548"/>
      <c r="R195" s="660">
        <v>183633.22</v>
      </c>
      <c r="S195" s="549">
        <f t="shared" si="126"/>
        <v>43666.78</v>
      </c>
      <c r="T195" s="113" t="s">
        <v>1931</v>
      </c>
      <c r="U195" s="267"/>
      <c r="V195" s="93"/>
      <c r="W195" s="267"/>
      <c r="X195" s="267"/>
      <c r="Y195" s="93"/>
      <c r="Z195" s="618"/>
      <c r="AA195" s="424"/>
      <c r="AB195" s="715"/>
      <c r="AC195" s="424"/>
      <c r="AD195" s="425"/>
      <c r="AE195" s="424"/>
      <c r="AF195" s="424"/>
      <c r="AG195" s="396"/>
      <c r="AH195" s="361"/>
      <c r="AI195" s="313"/>
      <c r="AJ195" s="374"/>
      <c r="AK195" s="374"/>
      <c r="AL195" s="374"/>
      <c r="AM195" s="374"/>
      <c r="AN195" s="296"/>
      <c r="AO195" s="296"/>
      <c r="AP195" s="296"/>
      <c r="AQ195" s="296"/>
      <c r="AR195" s="296"/>
      <c r="AS195" s="296"/>
      <c r="AT195" s="296"/>
      <c r="AU195" s="296"/>
    </row>
    <row r="196" spans="1:47" s="291" customFormat="1" x14ac:dyDescent="0.2">
      <c r="A196" s="423">
        <f t="shared" si="125"/>
        <v>189</v>
      </c>
      <c r="B196" s="721" t="s">
        <v>7864</v>
      </c>
      <c r="C196" s="771">
        <v>521801</v>
      </c>
      <c r="D196" s="771">
        <v>2201</v>
      </c>
      <c r="E196" s="771" t="s">
        <v>704</v>
      </c>
      <c r="F196" s="546"/>
      <c r="G196" s="659">
        <v>43067</v>
      </c>
      <c r="H196" s="655" t="s">
        <v>739</v>
      </c>
      <c r="I196" s="655" t="s">
        <v>5674</v>
      </c>
      <c r="J196" s="712"/>
      <c r="K196" s="655" t="s">
        <v>8128</v>
      </c>
      <c r="L196" s="655" t="s">
        <v>5923</v>
      </c>
      <c r="M196" s="660">
        <v>-195948.28</v>
      </c>
      <c r="N196" s="660">
        <v>0</v>
      </c>
      <c r="O196" s="660">
        <v>-31351.72</v>
      </c>
      <c r="P196" s="660">
        <v>-227300</v>
      </c>
      <c r="Q196" s="548"/>
      <c r="R196" s="660">
        <v>-183633.22</v>
      </c>
      <c r="S196" s="549">
        <f t="shared" si="126"/>
        <v>-43666.78</v>
      </c>
      <c r="T196" s="113" t="s">
        <v>1931</v>
      </c>
      <c r="U196" s="267"/>
      <c r="V196" s="93"/>
      <c r="W196" s="267"/>
      <c r="X196" s="267"/>
      <c r="Y196" s="93"/>
      <c r="Z196" s="618"/>
      <c r="AA196" s="424"/>
      <c r="AB196" s="715"/>
      <c r="AC196" s="424"/>
      <c r="AD196" s="425"/>
      <c r="AE196" s="424"/>
      <c r="AF196" s="424"/>
      <c r="AG196" s="396"/>
      <c r="AH196" s="361"/>
      <c r="AI196" s="313"/>
      <c r="AJ196" s="374"/>
      <c r="AK196" s="374"/>
      <c r="AL196" s="374"/>
      <c r="AM196" s="374"/>
      <c r="AN196" s="296"/>
      <c r="AO196" s="296"/>
      <c r="AP196" s="296"/>
      <c r="AQ196" s="296"/>
      <c r="AR196" s="296"/>
      <c r="AS196" s="296"/>
      <c r="AT196" s="296"/>
      <c r="AU196" s="296"/>
    </row>
    <row r="197" spans="1:47" s="291" customFormat="1" x14ac:dyDescent="0.2">
      <c r="A197" s="423">
        <f t="shared" si="125"/>
        <v>190</v>
      </c>
      <c r="B197" s="721" t="s">
        <v>7865</v>
      </c>
      <c r="C197" s="771">
        <v>521801</v>
      </c>
      <c r="D197" s="771">
        <v>2201</v>
      </c>
      <c r="E197" s="771" t="s">
        <v>704</v>
      </c>
      <c r="F197" s="546"/>
      <c r="G197" s="659">
        <v>43067</v>
      </c>
      <c r="H197" s="655" t="s">
        <v>2216</v>
      </c>
      <c r="I197" s="655" t="s">
        <v>5674</v>
      </c>
      <c r="J197" s="712"/>
      <c r="K197" s="655" t="s">
        <v>8132</v>
      </c>
      <c r="L197" s="655" t="s">
        <v>5923</v>
      </c>
      <c r="M197" s="660">
        <v>195948.28</v>
      </c>
      <c r="N197" s="660">
        <v>0</v>
      </c>
      <c r="O197" s="660">
        <v>31351.72</v>
      </c>
      <c r="P197" s="660">
        <v>227300</v>
      </c>
      <c r="Q197" s="548"/>
      <c r="R197" s="660">
        <v>183633.22</v>
      </c>
      <c r="S197" s="549">
        <f t="shared" si="126"/>
        <v>43666.78</v>
      </c>
      <c r="T197" s="113" t="s">
        <v>1931</v>
      </c>
      <c r="U197" s="267"/>
      <c r="V197" s="93"/>
      <c r="W197" s="267"/>
      <c r="X197" s="267"/>
      <c r="Y197" s="93"/>
      <c r="Z197" s="618"/>
      <c r="AA197" s="424"/>
      <c r="AB197" s="715"/>
      <c r="AC197" s="424"/>
      <c r="AD197" s="425"/>
      <c r="AE197" s="424"/>
      <c r="AF197" s="424"/>
      <c r="AG197" s="396"/>
      <c r="AH197" s="361"/>
      <c r="AI197" s="313"/>
      <c r="AJ197" s="374"/>
      <c r="AK197" s="374"/>
      <c r="AL197" s="374"/>
      <c r="AM197" s="374"/>
      <c r="AN197" s="296"/>
      <c r="AO197" s="296"/>
      <c r="AP197" s="296"/>
      <c r="AQ197" s="296"/>
      <c r="AR197" s="296"/>
      <c r="AS197" s="296"/>
      <c r="AT197" s="296"/>
      <c r="AU197" s="296"/>
    </row>
    <row r="198" spans="1:47" s="291" customFormat="1" x14ac:dyDescent="0.2">
      <c r="A198" s="423">
        <f t="shared" si="125"/>
        <v>191</v>
      </c>
      <c r="B198" s="721" t="s">
        <v>7815</v>
      </c>
      <c r="C198" s="771">
        <v>521707</v>
      </c>
      <c r="D198" s="771">
        <v>2006</v>
      </c>
      <c r="E198" s="771" t="s">
        <v>702</v>
      </c>
      <c r="F198" s="546"/>
      <c r="G198" s="659">
        <v>43052</v>
      </c>
      <c r="H198" s="655" t="s">
        <v>5129</v>
      </c>
      <c r="I198" s="655" t="s">
        <v>7599</v>
      </c>
      <c r="J198" s="712"/>
      <c r="K198" s="655" t="s">
        <v>8106</v>
      </c>
      <c r="L198" s="655" t="s">
        <v>7407</v>
      </c>
      <c r="M198" s="660">
        <v>193965.52</v>
      </c>
      <c r="N198" s="660">
        <v>0</v>
      </c>
      <c r="O198" s="660">
        <v>31034.48</v>
      </c>
      <c r="P198" s="660">
        <v>225000</v>
      </c>
      <c r="Q198" s="548"/>
      <c r="R198" s="660">
        <v>183052.26</v>
      </c>
      <c r="S198" s="549">
        <f t="shared" si="126"/>
        <v>41947.739999999991</v>
      </c>
      <c r="T198" s="113" t="s">
        <v>1932</v>
      </c>
      <c r="U198" s="722" t="str">
        <f t="shared" ref="U198:U203" si="248">+B198</f>
        <v>AA12291</v>
      </c>
      <c r="V198" s="723" t="str">
        <f t="shared" ref="V198:V203" si="249">+I198</f>
        <v>1590-TCN17</v>
      </c>
      <c r="W198" s="722">
        <f t="shared" ref="W198:W203" si="250">+C198</f>
        <v>521707</v>
      </c>
      <c r="X198" s="722" t="str">
        <f t="shared" ref="X198:X203" si="251">+E198</f>
        <v>YARIS CORE,SEDAN CVT.</v>
      </c>
      <c r="Y198" s="723">
        <f t="shared" ref="Y198:Y203" si="252">+F198</f>
        <v>0</v>
      </c>
      <c r="Z198" s="778">
        <f t="shared" ref="Z198:Z203" si="253">+M198</f>
        <v>193965.52</v>
      </c>
      <c r="AA198" s="629"/>
      <c r="AB198" s="793"/>
      <c r="AC198" s="780">
        <f t="shared" ref="AC198:AC203" si="254">VLOOKUP(Z198,TARIFA,1)</f>
        <v>0.01</v>
      </c>
      <c r="AD198" s="726">
        <f t="shared" ref="AD198:AD203" si="255">VLOOKUP(Z198,TARIFA,4)</f>
        <v>0.02</v>
      </c>
      <c r="AE198" s="629">
        <f t="shared" ref="AE198:AE203" si="256">VLOOKUP(Z198,TARIFA,3)</f>
        <v>0</v>
      </c>
      <c r="AF198" s="629">
        <f t="shared" ref="AF198:AF203" si="257">+N198</f>
        <v>0</v>
      </c>
      <c r="AG198" s="727">
        <f t="shared" ref="AG198:AG203" si="258">+N198-AF198</f>
        <v>0</v>
      </c>
      <c r="AH198" s="361"/>
      <c r="AI198" s="313"/>
      <c r="AJ198" s="374"/>
      <c r="AK198" s="374"/>
      <c r="AL198" s="374"/>
      <c r="AM198" s="374"/>
      <c r="AN198" s="296"/>
      <c r="AO198" s="296"/>
      <c r="AP198" s="296"/>
      <c r="AQ198" s="296"/>
      <c r="AR198" s="296"/>
      <c r="AS198" s="296"/>
      <c r="AT198" s="296"/>
      <c r="AU198" s="296"/>
    </row>
    <row r="199" spans="1:47" s="291" customFormat="1" x14ac:dyDescent="0.2">
      <c r="A199" s="423">
        <f t="shared" si="125"/>
        <v>192</v>
      </c>
      <c r="B199" s="721" t="s">
        <v>7816</v>
      </c>
      <c r="C199" s="771">
        <v>521707</v>
      </c>
      <c r="D199" s="771">
        <v>2006</v>
      </c>
      <c r="E199" s="771" t="s">
        <v>702</v>
      </c>
      <c r="F199" s="546"/>
      <c r="G199" s="659">
        <v>43053</v>
      </c>
      <c r="H199" s="655" t="s">
        <v>2213</v>
      </c>
      <c r="I199" s="655" t="s">
        <v>7600</v>
      </c>
      <c r="J199" s="712"/>
      <c r="K199" s="655" t="s">
        <v>8107</v>
      </c>
      <c r="L199" s="655" t="s">
        <v>7408</v>
      </c>
      <c r="M199" s="660">
        <v>193965.52</v>
      </c>
      <c r="N199" s="660">
        <v>0</v>
      </c>
      <c r="O199" s="660">
        <v>31034.48</v>
      </c>
      <c r="P199" s="660">
        <v>225000</v>
      </c>
      <c r="Q199" s="548"/>
      <c r="R199" s="660">
        <v>183052.26</v>
      </c>
      <c r="S199" s="549">
        <f t="shared" si="126"/>
        <v>41947.739999999991</v>
      </c>
      <c r="T199" s="113" t="s">
        <v>1932</v>
      </c>
      <c r="U199" s="722" t="str">
        <f t="shared" si="248"/>
        <v>AA12301</v>
      </c>
      <c r="V199" s="723" t="str">
        <f t="shared" si="249"/>
        <v>1612-TCN17</v>
      </c>
      <c r="W199" s="722">
        <f t="shared" si="250"/>
        <v>521707</v>
      </c>
      <c r="X199" s="722" t="str">
        <f t="shared" si="251"/>
        <v>YARIS CORE,SEDAN CVT.</v>
      </c>
      <c r="Y199" s="723">
        <f t="shared" si="252"/>
        <v>0</v>
      </c>
      <c r="Z199" s="778">
        <f t="shared" si="253"/>
        <v>193965.52</v>
      </c>
      <c r="AA199" s="629"/>
      <c r="AB199" s="793"/>
      <c r="AC199" s="780">
        <f t="shared" si="254"/>
        <v>0.01</v>
      </c>
      <c r="AD199" s="726">
        <f t="shared" si="255"/>
        <v>0.02</v>
      </c>
      <c r="AE199" s="629">
        <f t="shared" si="256"/>
        <v>0</v>
      </c>
      <c r="AF199" s="629">
        <f t="shared" si="257"/>
        <v>0</v>
      </c>
      <c r="AG199" s="727">
        <f t="shared" si="258"/>
        <v>0</v>
      </c>
      <c r="AH199" s="361"/>
      <c r="AI199" s="313"/>
      <c r="AJ199" s="374"/>
      <c r="AK199" s="374"/>
      <c r="AL199" s="374"/>
      <c r="AM199" s="374"/>
      <c r="AN199" s="296"/>
      <c r="AO199" s="296"/>
      <c r="AP199" s="296"/>
      <c r="AQ199" s="296"/>
      <c r="AR199" s="296"/>
      <c r="AS199" s="296"/>
      <c r="AT199" s="296"/>
      <c r="AU199" s="296"/>
    </row>
    <row r="200" spans="1:47" s="291" customFormat="1" x14ac:dyDescent="0.2">
      <c r="A200" s="423">
        <f t="shared" si="125"/>
        <v>193</v>
      </c>
      <c r="B200" s="721" t="s">
        <v>7822</v>
      </c>
      <c r="C200" s="771">
        <v>521707</v>
      </c>
      <c r="D200" s="771">
        <v>2006</v>
      </c>
      <c r="E200" s="771" t="s">
        <v>702</v>
      </c>
      <c r="F200" s="546"/>
      <c r="G200" s="659">
        <v>43060</v>
      </c>
      <c r="H200" s="655" t="s">
        <v>1207</v>
      </c>
      <c r="I200" s="655" t="s">
        <v>7604</v>
      </c>
      <c r="J200" s="712"/>
      <c r="K200" s="655" t="s">
        <v>8109</v>
      </c>
      <c r="L200" s="655" t="s">
        <v>7412</v>
      </c>
      <c r="M200" s="660">
        <v>193965.52</v>
      </c>
      <c r="N200" s="660">
        <v>0</v>
      </c>
      <c r="O200" s="660">
        <v>31034.48</v>
      </c>
      <c r="P200" s="660">
        <v>225000</v>
      </c>
      <c r="Q200" s="548"/>
      <c r="R200" s="660">
        <v>183052.26</v>
      </c>
      <c r="S200" s="549">
        <f t="shared" ref="S200:S263" si="259">+P200-R200</f>
        <v>41947.739999999991</v>
      </c>
      <c r="T200" s="113" t="s">
        <v>1932</v>
      </c>
      <c r="U200" s="722" t="str">
        <f t="shared" si="248"/>
        <v>AA12357</v>
      </c>
      <c r="V200" s="723" t="str">
        <f t="shared" si="249"/>
        <v>1728-TCN17</v>
      </c>
      <c r="W200" s="722">
        <f t="shared" si="250"/>
        <v>521707</v>
      </c>
      <c r="X200" s="722" t="str">
        <f t="shared" si="251"/>
        <v>YARIS CORE,SEDAN CVT.</v>
      </c>
      <c r="Y200" s="723">
        <f t="shared" si="252"/>
        <v>0</v>
      </c>
      <c r="Z200" s="778">
        <f t="shared" si="253"/>
        <v>193965.52</v>
      </c>
      <c r="AA200" s="629"/>
      <c r="AB200" s="793"/>
      <c r="AC200" s="780">
        <f t="shared" si="254"/>
        <v>0.01</v>
      </c>
      <c r="AD200" s="726">
        <f t="shared" si="255"/>
        <v>0.02</v>
      </c>
      <c r="AE200" s="629">
        <f t="shared" si="256"/>
        <v>0</v>
      </c>
      <c r="AF200" s="629">
        <f t="shared" si="257"/>
        <v>0</v>
      </c>
      <c r="AG200" s="727">
        <f t="shared" si="258"/>
        <v>0</v>
      </c>
      <c r="AH200" s="361"/>
      <c r="AI200" s="313"/>
      <c r="AJ200" s="374"/>
      <c r="AK200" s="374"/>
      <c r="AL200" s="374"/>
      <c r="AM200" s="374"/>
      <c r="AN200" s="296"/>
      <c r="AO200" s="296"/>
      <c r="AP200" s="296"/>
      <c r="AQ200" s="296"/>
      <c r="AR200" s="296"/>
      <c r="AS200" s="296"/>
      <c r="AT200" s="296"/>
      <c r="AU200" s="296"/>
    </row>
    <row r="201" spans="1:47" s="291" customFormat="1" x14ac:dyDescent="0.2">
      <c r="A201" s="423">
        <f t="shared" si="125"/>
        <v>194</v>
      </c>
      <c r="B201" s="721" t="s">
        <v>7819</v>
      </c>
      <c r="C201" s="771">
        <v>521707</v>
      </c>
      <c r="D201" s="771">
        <v>2006</v>
      </c>
      <c r="E201" s="771" t="s">
        <v>702</v>
      </c>
      <c r="F201" s="546"/>
      <c r="G201" s="659">
        <v>43054</v>
      </c>
      <c r="H201" s="655" t="s">
        <v>2214</v>
      </c>
      <c r="I201" s="655" t="s">
        <v>7602</v>
      </c>
      <c r="J201" s="712"/>
      <c r="K201" s="655" t="s">
        <v>8108</v>
      </c>
      <c r="L201" s="655" t="s">
        <v>7410</v>
      </c>
      <c r="M201" s="660">
        <v>193965.52</v>
      </c>
      <c r="N201" s="660">
        <v>0</v>
      </c>
      <c r="O201" s="660">
        <v>31034.48</v>
      </c>
      <c r="P201" s="660">
        <v>225000</v>
      </c>
      <c r="Q201" s="548"/>
      <c r="R201" s="660">
        <v>183052.26</v>
      </c>
      <c r="S201" s="549">
        <f t="shared" si="259"/>
        <v>41947.739999999991</v>
      </c>
      <c r="T201" s="113" t="s">
        <v>1932</v>
      </c>
      <c r="U201" s="722" t="str">
        <f t="shared" si="248"/>
        <v>AA12309</v>
      </c>
      <c r="V201" s="723" t="str">
        <f t="shared" si="249"/>
        <v>1730-TCN17</v>
      </c>
      <c r="W201" s="722">
        <f t="shared" si="250"/>
        <v>521707</v>
      </c>
      <c r="X201" s="722" t="str">
        <f t="shared" si="251"/>
        <v>YARIS CORE,SEDAN CVT.</v>
      </c>
      <c r="Y201" s="723">
        <f t="shared" si="252"/>
        <v>0</v>
      </c>
      <c r="Z201" s="778">
        <f t="shared" si="253"/>
        <v>193965.52</v>
      </c>
      <c r="AA201" s="629"/>
      <c r="AB201" s="793"/>
      <c r="AC201" s="780">
        <f t="shared" si="254"/>
        <v>0.01</v>
      </c>
      <c r="AD201" s="726">
        <f t="shared" si="255"/>
        <v>0.02</v>
      </c>
      <c r="AE201" s="629">
        <f t="shared" si="256"/>
        <v>0</v>
      </c>
      <c r="AF201" s="629">
        <f t="shared" si="257"/>
        <v>0</v>
      </c>
      <c r="AG201" s="727">
        <f t="shared" si="258"/>
        <v>0</v>
      </c>
      <c r="AH201" s="361"/>
      <c r="AI201" s="313"/>
      <c r="AJ201" s="374"/>
      <c r="AK201" s="374"/>
      <c r="AL201" s="374"/>
      <c r="AM201" s="374"/>
      <c r="AN201" s="296"/>
      <c r="AO201" s="296"/>
      <c r="AP201" s="296"/>
      <c r="AQ201" s="296"/>
      <c r="AR201" s="296"/>
      <c r="AS201" s="296"/>
      <c r="AT201" s="296"/>
      <c r="AU201" s="296"/>
    </row>
    <row r="202" spans="1:47" s="291" customFormat="1" x14ac:dyDescent="0.2">
      <c r="A202" s="423">
        <f t="shared" si="125"/>
        <v>195</v>
      </c>
      <c r="B202" s="721" t="s">
        <v>7823</v>
      </c>
      <c r="C202" s="771">
        <v>521707</v>
      </c>
      <c r="D202" s="771">
        <v>2006</v>
      </c>
      <c r="E202" s="771" t="s">
        <v>702</v>
      </c>
      <c r="F202" s="546"/>
      <c r="G202" s="659">
        <v>43060</v>
      </c>
      <c r="H202" s="655" t="s">
        <v>2213</v>
      </c>
      <c r="I202" s="655" t="s">
        <v>7605</v>
      </c>
      <c r="J202" s="712"/>
      <c r="K202" s="655" t="s">
        <v>8110</v>
      </c>
      <c r="L202" s="655" t="s">
        <v>7413</v>
      </c>
      <c r="M202" s="660">
        <v>193965.52</v>
      </c>
      <c r="N202" s="660">
        <v>0</v>
      </c>
      <c r="O202" s="660">
        <v>31034.48</v>
      </c>
      <c r="P202" s="660">
        <v>225000</v>
      </c>
      <c r="Q202" s="548"/>
      <c r="R202" s="660">
        <v>183052.26</v>
      </c>
      <c r="S202" s="549">
        <f t="shared" si="259"/>
        <v>41947.739999999991</v>
      </c>
      <c r="T202" s="113" t="s">
        <v>1932</v>
      </c>
      <c r="U202" s="722" t="str">
        <f t="shared" si="248"/>
        <v>AA12368</v>
      </c>
      <c r="V202" s="723" t="str">
        <f t="shared" si="249"/>
        <v>1744-TCN17</v>
      </c>
      <c r="W202" s="722">
        <f t="shared" si="250"/>
        <v>521707</v>
      </c>
      <c r="X202" s="722" t="str">
        <f t="shared" si="251"/>
        <v>YARIS CORE,SEDAN CVT.</v>
      </c>
      <c r="Y202" s="723">
        <f t="shared" si="252"/>
        <v>0</v>
      </c>
      <c r="Z202" s="778">
        <f t="shared" si="253"/>
        <v>193965.52</v>
      </c>
      <c r="AA202" s="629"/>
      <c r="AB202" s="793"/>
      <c r="AC202" s="780">
        <f t="shared" si="254"/>
        <v>0.01</v>
      </c>
      <c r="AD202" s="726">
        <f t="shared" si="255"/>
        <v>0.02</v>
      </c>
      <c r="AE202" s="629">
        <f t="shared" si="256"/>
        <v>0</v>
      </c>
      <c r="AF202" s="629">
        <f t="shared" si="257"/>
        <v>0</v>
      </c>
      <c r="AG202" s="727">
        <f t="shared" si="258"/>
        <v>0</v>
      </c>
      <c r="AH202" s="361"/>
      <c r="AI202" s="313"/>
      <c r="AJ202" s="374"/>
      <c r="AK202" s="374"/>
      <c r="AL202" s="374"/>
      <c r="AM202" s="374"/>
      <c r="AN202" s="296"/>
      <c r="AO202" s="296"/>
      <c r="AP202" s="296"/>
      <c r="AQ202" s="296"/>
      <c r="AR202" s="296"/>
      <c r="AS202" s="296"/>
      <c r="AT202" s="296"/>
      <c r="AU202" s="296"/>
    </row>
    <row r="203" spans="1:47" s="291" customFormat="1" x14ac:dyDescent="0.2">
      <c r="A203" s="423">
        <f t="shared" si="125"/>
        <v>196</v>
      </c>
      <c r="B203" s="721" t="s">
        <v>7827</v>
      </c>
      <c r="C203" s="771">
        <v>521707</v>
      </c>
      <c r="D203" s="771">
        <v>2006</v>
      </c>
      <c r="E203" s="771" t="s">
        <v>702</v>
      </c>
      <c r="F203" s="546"/>
      <c r="G203" s="659">
        <v>43064</v>
      </c>
      <c r="H203" s="655" t="s">
        <v>817</v>
      </c>
      <c r="I203" s="655" t="s">
        <v>7609</v>
      </c>
      <c r="J203" s="712"/>
      <c r="K203" s="655" t="s">
        <v>8112</v>
      </c>
      <c r="L203" s="655" t="s">
        <v>7417</v>
      </c>
      <c r="M203" s="660">
        <v>193965.52</v>
      </c>
      <c r="N203" s="660">
        <v>0</v>
      </c>
      <c r="O203" s="660">
        <v>31034.48</v>
      </c>
      <c r="P203" s="660">
        <v>225000</v>
      </c>
      <c r="Q203" s="548"/>
      <c r="R203" s="660">
        <v>183052.26</v>
      </c>
      <c r="S203" s="549">
        <f t="shared" si="259"/>
        <v>41947.739999999991</v>
      </c>
      <c r="T203" s="113" t="s">
        <v>1932</v>
      </c>
      <c r="U203" s="722" t="str">
        <f t="shared" si="248"/>
        <v>AA12400</v>
      </c>
      <c r="V203" s="723" t="str">
        <f t="shared" si="249"/>
        <v>1745-TCN17</v>
      </c>
      <c r="W203" s="722">
        <f t="shared" si="250"/>
        <v>521707</v>
      </c>
      <c r="X203" s="722" t="str">
        <f t="shared" si="251"/>
        <v>YARIS CORE,SEDAN CVT.</v>
      </c>
      <c r="Y203" s="723">
        <f t="shared" si="252"/>
        <v>0</v>
      </c>
      <c r="Z203" s="778">
        <f t="shared" si="253"/>
        <v>193965.52</v>
      </c>
      <c r="AA203" s="629"/>
      <c r="AB203" s="793"/>
      <c r="AC203" s="780">
        <f t="shared" si="254"/>
        <v>0.01</v>
      </c>
      <c r="AD203" s="726">
        <f t="shared" si="255"/>
        <v>0.02</v>
      </c>
      <c r="AE203" s="629">
        <f t="shared" si="256"/>
        <v>0</v>
      </c>
      <c r="AF203" s="629">
        <f t="shared" si="257"/>
        <v>0</v>
      </c>
      <c r="AG203" s="727">
        <f t="shared" si="258"/>
        <v>0</v>
      </c>
      <c r="AH203" s="361"/>
      <c r="AI203" s="313"/>
      <c r="AJ203" s="374"/>
      <c r="AK203" s="374"/>
      <c r="AL203" s="374"/>
      <c r="AM203" s="374"/>
      <c r="AN203" s="296"/>
      <c r="AO203" s="296"/>
      <c r="AP203" s="296"/>
      <c r="AQ203" s="296"/>
      <c r="AR203" s="296"/>
      <c r="AS203" s="296"/>
      <c r="AT203" s="296"/>
      <c r="AU203" s="296"/>
    </row>
    <row r="204" spans="1:47" s="291" customFormat="1" x14ac:dyDescent="0.2">
      <c r="A204" s="423">
        <f t="shared" si="125"/>
        <v>197</v>
      </c>
      <c r="B204" s="721" t="s">
        <v>7777</v>
      </c>
      <c r="C204" s="771">
        <v>520224</v>
      </c>
      <c r="D204" s="771">
        <v>1781</v>
      </c>
      <c r="E204" s="771" t="s">
        <v>690</v>
      </c>
      <c r="F204" s="546"/>
      <c r="G204" s="659">
        <v>43046</v>
      </c>
      <c r="H204" s="655" t="s">
        <v>788</v>
      </c>
      <c r="I204" s="655" t="s">
        <v>6286</v>
      </c>
      <c r="J204" s="712"/>
      <c r="K204" s="655" t="s">
        <v>8099</v>
      </c>
      <c r="L204" s="655" t="s">
        <v>6548</v>
      </c>
      <c r="M204" s="660">
        <v>266852.65999999997</v>
      </c>
      <c r="N204" s="660">
        <v>2974.93</v>
      </c>
      <c r="O204" s="660">
        <v>43172.41</v>
      </c>
      <c r="P204" s="660">
        <v>313000</v>
      </c>
      <c r="Q204" s="548"/>
      <c r="R204" s="660">
        <v>247778.87</v>
      </c>
      <c r="S204" s="549">
        <f t="shared" si="259"/>
        <v>65221.130000000005</v>
      </c>
      <c r="T204" s="113" t="s">
        <v>1931</v>
      </c>
      <c r="U204" s="267"/>
      <c r="V204" s="93"/>
      <c r="W204" s="267"/>
      <c r="X204" s="267"/>
      <c r="Y204" s="93"/>
      <c r="Z204" s="618"/>
      <c r="AA204" s="424"/>
      <c r="AB204" s="715"/>
      <c r="AC204" s="424"/>
      <c r="AD204" s="425"/>
      <c r="AE204" s="424"/>
      <c r="AF204" s="424"/>
      <c r="AG204" s="396"/>
      <c r="AH204" s="361"/>
      <c r="AI204" s="313"/>
      <c r="AJ204" s="374"/>
      <c r="AK204" s="374"/>
      <c r="AL204" s="374"/>
      <c r="AM204" s="374"/>
      <c r="AN204" s="296"/>
      <c r="AO204" s="296"/>
      <c r="AP204" s="296"/>
      <c r="AQ204" s="296"/>
      <c r="AR204" s="296"/>
      <c r="AS204" s="296"/>
      <c r="AT204" s="296"/>
      <c r="AU204" s="296"/>
    </row>
    <row r="205" spans="1:47" s="291" customFormat="1" x14ac:dyDescent="0.2">
      <c r="A205" s="423">
        <f t="shared" si="125"/>
        <v>198</v>
      </c>
      <c r="B205" s="721" t="s">
        <v>7778</v>
      </c>
      <c r="C205" s="771">
        <v>520224</v>
      </c>
      <c r="D205" s="771">
        <v>1781</v>
      </c>
      <c r="E205" s="771" t="s">
        <v>690</v>
      </c>
      <c r="F205" s="546"/>
      <c r="G205" s="659">
        <v>43053</v>
      </c>
      <c r="H205" s="655" t="s">
        <v>788</v>
      </c>
      <c r="I205" s="655" t="s">
        <v>6286</v>
      </c>
      <c r="J205" s="712"/>
      <c r="K205" s="655" t="s">
        <v>8099</v>
      </c>
      <c r="L205" s="655" t="s">
        <v>6548</v>
      </c>
      <c r="M205" s="660">
        <v>-266852.65999999997</v>
      </c>
      <c r="N205" s="660">
        <v>-2974.93</v>
      </c>
      <c r="O205" s="660">
        <v>-43172.41</v>
      </c>
      <c r="P205" s="660">
        <v>-313000</v>
      </c>
      <c r="Q205" s="548"/>
      <c r="R205" s="660">
        <v>-247778.87</v>
      </c>
      <c r="S205" s="549">
        <f t="shared" si="259"/>
        <v>-65221.130000000005</v>
      </c>
      <c r="T205" s="113" t="s">
        <v>1931</v>
      </c>
      <c r="U205" s="267"/>
      <c r="V205" s="93"/>
      <c r="W205" s="267"/>
      <c r="X205" s="267"/>
      <c r="Y205" s="93"/>
      <c r="Z205" s="618"/>
      <c r="AA205" s="424"/>
      <c r="AB205" s="715"/>
      <c r="AC205" s="424"/>
      <c r="AD205" s="425"/>
      <c r="AE205" s="424"/>
      <c r="AF205" s="424"/>
      <c r="AG205" s="396"/>
      <c r="AH205" s="361"/>
      <c r="AI205" s="313"/>
      <c r="AJ205" s="374"/>
      <c r="AK205" s="374"/>
      <c r="AL205" s="374"/>
      <c r="AM205" s="374"/>
      <c r="AN205" s="296"/>
      <c r="AO205" s="296"/>
      <c r="AP205" s="296"/>
      <c r="AQ205" s="296"/>
      <c r="AR205" s="296"/>
      <c r="AS205" s="296"/>
      <c r="AT205" s="296"/>
      <c r="AU205" s="296"/>
    </row>
    <row r="206" spans="1:47" s="291" customFormat="1" x14ac:dyDescent="0.2">
      <c r="A206" s="423">
        <f t="shared" si="125"/>
        <v>199</v>
      </c>
      <c r="B206" s="721" t="s">
        <v>7824</v>
      </c>
      <c r="C206" s="771">
        <v>521707</v>
      </c>
      <c r="D206" s="771">
        <v>2006</v>
      </c>
      <c r="E206" s="771" t="s">
        <v>702</v>
      </c>
      <c r="F206" s="546"/>
      <c r="G206" s="659">
        <v>43060</v>
      </c>
      <c r="H206" s="655" t="s">
        <v>6277</v>
      </c>
      <c r="I206" s="655" t="s">
        <v>7606</v>
      </c>
      <c r="J206" s="712"/>
      <c r="K206" s="655" t="s">
        <v>8111</v>
      </c>
      <c r="L206" s="655" t="s">
        <v>7414</v>
      </c>
      <c r="M206" s="660">
        <v>193965.52</v>
      </c>
      <c r="N206" s="660">
        <v>0</v>
      </c>
      <c r="O206" s="660">
        <v>31034.48</v>
      </c>
      <c r="P206" s="660">
        <v>225000</v>
      </c>
      <c r="Q206" s="548"/>
      <c r="R206" s="660">
        <v>183052.26</v>
      </c>
      <c r="S206" s="549">
        <f t="shared" si="259"/>
        <v>41947.739999999991</v>
      </c>
      <c r="T206" s="113" t="s">
        <v>1932</v>
      </c>
      <c r="U206" s="722" t="str">
        <f t="shared" ref="U206:U207" si="260">+B206</f>
        <v>AA12369</v>
      </c>
      <c r="V206" s="723" t="str">
        <f t="shared" ref="V206:V207" si="261">+I206</f>
        <v>1746-TCN17</v>
      </c>
      <c r="W206" s="722">
        <f t="shared" ref="W206:W207" si="262">+C206</f>
        <v>521707</v>
      </c>
      <c r="X206" s="722" t="str">
        <f t="shared" ref="X206:X207" si="263">+E206</f>
        <v>YARIS CORE,SEDAN CVT.</v>
      </c>
      <c r="Y206" s="723">
        <f t="shared" ref="Y206:Y207" si="264">+F206</f>
        <v>0</v>
      </c>
      <c r="Z206" s="778">
        <f t="shared" ref="Z206:Z207" si="265">+M206</f>
        <v>193965.52</v>
      </c>
      <c r="AA206" s="629"/>
      <c r="AB206" s="793"/>
      <c r="AC206" s="780">
        <f t="shared" ref="AC206:AC207" si="266">VLOOKUP(Z206,TARIFA,1)</f>
        <v>0.01</v>
      </c>
      <c r="AD206" s="726">
        <f t="shared" ref="AD206:AD207" si="267">VLOOKUP(Z206,TARIFA,4)</f>
        <v>0.02</v>
      </c>
      <c r="AE206" s="629">
        <f t="shared" ref="AE206:AE207" si="268">VLOOKUP(Z206,TARIFA,3)</f>
        <v>0</v>
      </c>
      <c r="AF206" s="629">
        <f t="shared" ref="AF206:AF207" si="269">+N206</f>
        <v>0</v>
      </c>
      <c r="AG206" s="727">
        <f t="shared" ref="AG206:AG207" si="270">+N206-AF206</f>
        <v>0</v>
      </c>
      <c r="AH206" s="361"/>
      <c r="AI206" s="313"/>
      <c r="AJ206" s="374"/>
      <c r="AK206" s="374"/>
      <c r="AL206" s="374"/>
      <c r="AM206" s="374"/>
      <c r="AN206" s="296"/>
      <c r="AO206" s="296"/>
      <c r="AP206" s="296"/>
      <c r="AQ206" s="296"/>
      <c r="AR206" s="296"/>
      <c r="AS206" s="296"/>
      <c r="AT206" s="296"/>
      <c r="AU206" s="296"/>
    </row>
    <row r="207" spans="1:47" s="291" customFormat="1" x14ac:dyDescent="0.2">
      <c r="A207" s="423">
        <f t="shared" si="125"/>
        <v>200</v>
      </c>
      <c r="B207" s="721" t="s">
        <v>7828</v>
      </c>
      <c r="C207" s="771">
        <v>521707</v>
      </c>
      <c r="D207" s="771">
        <v>2006</v>
      </c>
      <c r="E207" s="771" t="s">
        <v>702</v>
      </c>
      <c r="F207" s="546"/>
      <c r="G207" s="659">
        <v>43066</v>
      </c>
      <c r="H207" s="655" t="s">
        <v>5129</v>
      </c>
      <c r="I207" s="655" t="s">
        <v>7610</v>
      </c>
      <c r="J207" s="712"/>
      <c r="K207" s="655" t="s">
        <v>8113</v>
      </c>
      <c r="L207" s="655" t="s">
        <v>7418</v>
      </c>
      <c r="M207" s="660">
        <v>193965.52</v>
      </c>
      <c r="N207" s="660">
        <v>0</v>
      </c>
      <c r="O207" s="660">
        <v>31034.48</v>
      </c>
      <c r="P207" s="660">
        <v>225000</v>
      </c>
      <c r="Q207" s="548"/>
      <c r="R207" s="660">
        <v>183052.26</v>
      </c>
      <c r="S207" s="549">
        <f t="shared" si="259"/>
        <v>41947.739999999991</v>
      </c>
      <c r="T207" s="113" t="s">
        <v>1932</v>
      </c>
      <c r="U207" s="722" t="str">
        <f t="shared" si="260"/>
        <v>AA12407</v>
      </c>
      <c r="V207" s="723" t="str">
        <f t="shared" si="261"/>
        <v>1750-TCN17</v>
      </c>
      <c r="W207" s="722">
        <f t="shared" si="262"/>
        <v>521707</v>
      </c>
      <c r="X207" s="722" t="str">
        <f t="shared" si="263"/>
        <v>YARIS CORE,SEDAN CVT.</v>
      </c>
      <c r="Y207" s="723">
        <f t="shared" si="264"/>
        <v>0</v>
      </c>
      <c r="Z207" s="778">
        <f t="shared" si="265"/>
        <v>193965.52</v>
      </c>
      <c r="AA207" s="629"/>
      <c r="AB207" s="793"/>
      <c r="AC207" s="780">
        <f t="shared" si="266"/>
        <v>0.01</v>
      </c>
      <c r="AD207" s="726">
        <f t="shared" si="267"/>
        <v>0.02</v>
      </c>
      <c r="AE207" s="629">
        <f t="shared" si="268"/>
        <v>0</v>
      </c>
      <c r="AF207" s="629">
        <f t="shared" si="269"/>
        <v>0</v>
      </c>
      <c r="AG207" s="727">
        <f t="shared" si="270"/>
        <v>0</v>
      </c>
      <c r="AH207" s="361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  <c r="AT207" s="296"/>
      <c r="AU207" s="296"/>
    </row>
    <row r="208" spans="1:47" s="291" customFormat="1" x14ac:dyDescent="0.2">
      <c r="A208" s="423">
        <f t="shared" si="125"/>
        <v>201</v>
      </c>
      <c r="B208" s="721" t="s">
        <v>7964</v>
      </c>
      <c r="C208" s="771">
        <v>521908</v>
      </c>
      <c r="D208" s="771">
        <v>6980</v>
      </c>
      <c r="E208" s="771" t="s">
        <v>706</v>
      </c>
      <c r="F208" s="546"/>
      <c r="G208" s="659">
        <v>43047</v>
      </c>
      <c r="H208" s="655"/>
      <c r="I208" s="655" t="s">
        <v>6909</v>
      </c>
      <c r="J208" s="712"/>
      <c r="K208" s="655" t="s">
        <v>357</v>
      </c>
      <c r="L208" s="655" t="s">
        <v>6910</v>
      </c>
      <c r="M208" s="660">
        <v>460716.53</v>
      </c>
      <c r="N208" s="660">
        <v>0</v>
      </c>
      <c r="O208" s="660">
        <v>73714.64</v>
      </c>
      <c r="P208" s="660">
        <v>534431.17000000004</v>
      </c>
      <c r="Q208" s="548"/>
      <c r="R208" s="660">
        <v>460361.18</v>
      </c>
      <c r="S208" s="549">
        <f t="shared" si="259"/>
        <v>74069.990000000049</v>
      </c>
      <c r="T208" s="113" t="s">
        <v>283</v>
      </c>
      <c r="U208" s="267"/>
      <c r="V208" s="93"/>
      <c r="W208" s="267"/>
      <c r="X208" s="267"/>
      <c r="Y208" s="93"/>
      <c r="Z208" s="618"/>
      <c r="AA208" s="424"/>
      <c r="AB208" s="715"/>
      <c r="AC208" s="424"/>
      <c r="AD208" s="425"/>
      <c r="AE208" s="424"/>
      <c r="AF208" s="424"/>
      <c r="AG208" s="396"/>
      <c r="AH208" s="361"/>
      <c r="AI208" s="313"/>
      <c r="AJ208" s="374"/>
      <c r="AK208" s="374"/>
      <c r="AL208" s="374"/>
      <c r="AM208" s="374"/>
      <c r="AN208" s="296"/>
      <c r="AO208" s="296"/>
      <c r="AP208" s="296"/>
      <c r="AQ208" s="296"/>
      <c r="AR208" s="296"/>
      <c r="AS208" s="296"/>
      <c r="AT208" s="296"/>
      <c r="AU208" s="296"/>
    </row>
    <row r="209" spans="1:47" s="291" customFormat="1" x14ac:dyDescent="0.2">
      <c r="A209" s="423">
        <f t="shared" si="125"/>
        <v>202</v>
      </c>
      <c r="B209" s="721" t="s">
        <v>7965</v>
      </c>
      <c r="C209" s="771">
        <v>521908</v>
      </c>
      <c r="D209" s="771">
        <v>6980</v>
      </c>
      <c r="E209" s="771" t="s">
        <v>706</v>
      </c>
      <c r="F209" s="546"/>
      <c r="G209" s="659">
        <v>43055</v>
      </c>
      <c r="H209" s="655"/>
      <c r="I209" s="655" t="s">
        <v>7689</v>
      </c>
      <c r="J209" s="712"/>
      <c r="K209" s="655" t="s">
        <v>1698</v>
      </c>
      <c r="L209" s="655" t="s">
        <v>7497</v>
      </c>
      <c r="M209" s="660">
        <v>460903.57</v>
      </c>
      <c r="N209" s="660">
        <v>0</v>
      </c>
      <c r="O209" s="660">
        <v>73744.570000000007</v>
      </c>
      <c r="P209" s="660">
        <v>534648.14</v>
      </c>
      <c r="Q209" s="548"/>
      <c r="R209" s="660">
        <v>460548.22</v>
      </c>
      <c r="S209" s="549">
        <f t="shared" si="259"/>
        <v>74099.920000000042</v>
      </c>
      <c r="T209" s="113" t="s">
        <v>283</v>
      </c>
      <c r="U209" s="267"/>
      <c r="V209" s="93"/>
      <c r="W209" s="267"/>
      <c r="X209" s="267"/>
      <c r="Y209" s="93"/>
      <c r="Z209" s="618"/>
      <c r="AA209" s="424"/>
      <c r="AB209" s="715"/>
      <c r="AC209" s="424"/>
      <c r="AD209" s="425"/>
      <c r="AE209" s="424"/>
      <c r="AF209" s="424"/>
      <c r="AG209" s="396"/>
      <c r="AH209" s="361"/>
      <c r="AI209" s="313"/>
      <c r="AJ209" s="374"/>
      <c r="AK209" s="374"/>
      <c r="AL209" s="374"/>
      <c r="AM209" s="374"/>
      <c r="AN209" s="296"/>
      <c r="AO209" s="296"/>
      <c r="AP209" s="296"/>
      <c r="AQ209" s="296"/>
      <c r="AR209" s="296"/>
      <c r="AS209" s="296"/>
      <c r="AT209" s="296"/>
      <c r="AU209" s="296"/>
    </row>
    <row r="210" spans="1:47" s="291" customFormat="1" x14ac:dyDescent="0.2">
      <c r="A210" s="423">
        <f t="shared" si="125"/>
        <v>203</v>
      </c>
      <c r="B210" s="721" t="s">
        <v>7814</v>
      </c>
      <c r="C210" s="771">
        <v>521707</v>
      </c>
      <c r="D210" s="771">
        <v>2005</v>
      </c>
      <c r="E210" s="771" t="s">
        <v>701</v>
      </c>
      <c r="F210" s="546"/>
      <c r="G210" s="659">
        <v>43069</v>
      </c>
      <c r="H210" s="655" t="s">
        <v>751</v>
      </c>
      <c r="I210" s="655" t="s">
        <v>7598</v>
      </c>
      <c r="J210" s="712"/>
      <c r="K210" s="655" t="s">
        <v>1669</v>
      </c>
      <c r="L210" s="655" t="s">
        <v>7406</v>
      </c>
      <c r="M210" s="660">
        <v>156798.64000000001</v>
      </c>
      <c r="N210" s="660">
        <v>0</v>
      </c>
      <c r="O210" s="660">
        <v>25087.78</v>
      </c>
      <c r="P210" s="660">
        <v>181886.42</v>
      </c>
      <c r="Q210" s="548"/>
      <c r="R210" s="660">
        <v>156798.64000000001</v>
      </c>
      <c r="S210" s="549">
        <f t="shared" si="259"/>
        <v>25087.78</v>
      </c>
      <c r="T210" s="113" t="s">
        <v>1932</v>
      </c>
      <c r="U210" s="722" t="str">
        <f t="shared" ref="U210" si="271">+B210</f>
        <v>AA12470</v>
      </c>
      <c r="V210" s="723" t="str">
        <f t="shared" ref="V210" si="272">+I210</f>
        <v>1978-TCN17</v>
      </c>
      <c r="W210" s="722">
        <f t="shared" ref="W210" si="273">+C210</f>
        <v>521707</v>
      </c>
      <c r="X210" s="722" t="str">
        <f t="shared" ref="X210" si="274">+E210</f>
        <v>YARIS CORE MT, SEDAN</v>
      </c>
      <c r="Y210" s="723">
        <f t="shared" ref="Y210" si="275">+F210</f>
        <v>0</v>
      </c>
      <c r="Z210" s="778">
        <f t="shared" ref="Z210" si="276">+M210</f>
        <v>156798.64000000001</v>
      </c>
      <c r="AA210" s="629">
        <f>+SUM(Z189:Z210)</f>
        <v>1699902.1099999999</v>
      </c>
      <c r="AB210" s="800">
        <v>9</v>
      </c>
      <c r="AC210" s="780">
        <f t="shared" ref="AC210" si="277">VLOOKUP(Z210,TARIFA,1)</f>
        <v>0.01</v>
      </c>
      <c r="AD210" s="726">
        <f t="shared" ref="AD210" si="278">VLOOKUP(Z210,TARIFA,4)</f>
        <v>0.02</v>
      </c>
      <c r="AE210" s="629">
        <f t="shared" ref="AE210" si="279">VLOOKUP(Z210,TARIFA,3)</f>
        <v>0</v>
      </c>
      <c r="AF210" s="629">
        <f t="shared" ref="AF210" si="280">+N210</f>
        <v>0</v>
      </c>
      <c r="AG210" s="727">
        <f t="shared" ref="AG210" si="281">+N210-AF210</f>
        <v>0</v>
      </c>
      <c r="AH210" s="361"/>
      <c r="AI210" s="313"/>
      <c r="AJ210" s="374"/>
      <c r="AK210" s="374"/>
      <c r="AL210" s="374"/>
      <c r="AM210" s="374"/>
      <c r="AN210" s="296"/>
      <c r="AO210" s="296"/>
      <c r="AP210" s="296"/>
      <c r="AQ210" s="296"/>
      <c r="AR210" s="296"/>
      <c r="AS210" s="296"/>
      <c r="AT210" s="296"/>
      <c r="AU210" s="296"/>
    </row>
    <row r="211" spans="1:47" s="291" customFormat="1" x14ac:dyDescent="0.2">
      <c r="A211" s="423">
        <f t="shared" si="125"/>
        <v>204</v>
      </c>
      <c r="B211" s="721" t="s">
        <v>7967</v>
      </c>
      <c r="C211" s="771">
        <v>521908</v>
      </c>
      <c r="D211" s="771">
        <v>6980</v>
      </c>
      <c r="E211" s="771" t="s">
        <v>706</v>
      </c>
      <c r="F211" s="546"/>
      <c r="G211" s="659">
        <v>43062</v>
      </c>
      <c r="H211" s="655"/>
      <c r="I211" s="655" t="s">
        <v>7691</v>
      </c>
      <c r="J211" s="712"/>
      <c r="K211" s="655" t="s">
        <v>392</v>
      </c>
      <c r="L211" s="655" t="s">
        <v>7499</v>
      </c>
      <c r="M211" s="660">
        <v>460903.57</v>
      </c>
      <c r="N211" s="660">
        <v>0</v>
      </c>
      <c r="O211" s="660">
        <v>73744.570000000007</v>
      </c>
      <c r="P211" s="660">
        <v>534648.14</v>
      </c>
      <c r="Q211" s="548"/>
      <c r="R211" s="660">
        <v>460548.22</v>
      </c>
      <c r="S211" s="549">
        <f t="shared" si="259"/>
        <v>74099.920000000042</v>
      </c>
      <c r="T211" s="113" t="s">
        <v>283</v>
      </c>
      <c r="U211" s="267"/>
      <c r="V211" s="93"/>
      <c r="W211" s="267"/>
      <c r="X211" s="267"/>
      <c r="Y211" s="93"/>
      <c r="Z211" s="618"/>
      <c r="AA211" s="424"/>
      <c r="AB211" s="715"/>
      <c r="AC211" s="424"/>
      <c r="AD211" s="425"/>
      <c r="AE211" s="424"/>
      <c r="AF211" s="424"/>
      <c r="AG211" s="396"/>
      <c r="AH211" s="361"/>
      <c r="AI211" s="313"/>
      <c r="AJ211" s="374"/>
      <c r="AK211" s="374"/>
      <c r="AL211" s="374"/>
      <c r="AM211" s="374"/>
      <c r="AN211" s="296"/>
      <c r="AO211" s="296"/>
      <c r="AP211" s="296"/>
      <c r="AQ211" s="296"/>
      <c r="AR211" s="296"/>
      <c r="AS211" s="296"/>
      <c r="AT211" s="296"/>
      <c r="AU211" s="296"/>
    </row>
    <row r="212" spans="1:47" s="291" customFormat="1" x14ac:dyDescent="0.2">
      <c r="A212" s="423">
        <f t="shared" si="125"/>
        <v>205</v>
      </c>
      <c r="B212" s="721" t="s">
        <v>7856</v>
      </c>
      <c r="C212" s="771">
        <v>521801</v>
      </c>
      <c r="D212" s="771">
        <v>2201</v>
      </c>
      <c r="E212" s="771" t="s">
        <v>704</v>
      </c>
      <c r="F212" s="546"/>
      <c r="G212" s="659">
        <v>43054</v>
      </c>
      <c r="H212" s="655" t="s">
        <v>2213</v>
      </c>
      <c r="I212" s="655" t="s">
        <v>7624</v>
      </c>
      <c r="J212" s="712"/>
      <c r="K212" s="655" t="s">
        <v>8127</v>
      </c>
      <c r="L212" s="655" t="s">
        <v>7432</v>
      </c>
      <c r="M212" s="660">
        <v>205000</v>
      </c>
      <c r="N212" s="660">
        <v>0</v>
      </c>
      <c r="O212" s="660">
        <v>32800</v>
      </c>
      <c r="P212" s="660">
        <v>237800</v>
      </c>
      <c r="Q212" s="548"/>
      <c r="R212" s="660">
        <v>185980.78</v>
      </c>
      <c r="S212" s="549">
        <f t="shared" si="259"/>
        <v>51819.22</v>
      </c>
      <c r="T212" s="113" t="s">
        <v>1932</v>
      </c>
      <c r="U212" s="722" t="str">
        <f t="shared" ref="U212:U213" si="282">+B212</f>
        <v>AA12312</v>
      </c>
      <c r="V212" s="723" t="str">
        <f t="shared" ref="V212:V213" si="283">+I212</f>
        <v>0152-TCN18</v>
      </c>
      <c r="W212" s="722">
        <f t="shared" ref="W212:W213" si="284">+C212</f>
        <v>521801</v>
      </c>
      <c r="X212" s="722" t="str">
        <f t="shared" ref="X212:X213" si="285">+E212</f>
        <v>AVANZA HI 5MT</v>
      </c>
      <c r="Y212" s="723">
        <f t="shared" ref="Y212:Y213" si="286">+F212</f>
        <v>0</v>
      </c>
      <c r="Z212" s="778">
        <f t="shared" ref="Z212:Z213" si="287">+M212</f>
        <v>205000</v>
      </c>
      <c r="AA212" s="629"/>
      <c r="AB212" s="793"/>
      <c r="AC212" s="780">
        <f t="shared" ref="AC212:AC213" si="288">VLOOKUP(Z212,TARIFA,1)</f>
        <v>0.01</v>
      </c>
      <c r="AD212" s="726">
        <f t="shared" ref="AD212:AD213" si="289">VLOOKUP(Z212,TARIFA,4)</f>
        <v>0.02</v>
      </c>
      <c r="AE212" s="629">
        <f t="shared" ref="AE212:AE213" si="290">VLOOKUP(Z212,TARIFA,3)</f>
        <v>0</v>
      </c>
      <c r="AF212" s="629">
        <f t="shared" ref="AF212:AF213" si="291">+N212</f>
        <v>0</v>
      </c>
      <c r="AG212" s="727">
        <f t="shared" ref="AG212:AG213" si="292">+N212-AF212</f>
        <v>0</v>
      </c>
      <c r="AH212" s="361"/>
      <c r="AI212" s="313"/>
      <c r="AJ212" s="374"/>
      <c r="AK212" s="374"/>
      <c r="AL212" s="374"/>
      <c r="AM212" s="374"/>
      <c r="AN212" s="296"/>
      <c r="AO212" s="296"/>
      <c r="AP212" s="296"/>
      <c r="AQ212" s="296"/>
      <c r="AR212" s="296"/>
      <c r="AS212" s="296"/>
      <c r="AT212" s="296"/>
      <c r="AU212" s="296"/>
    </row>
    <row r="213" spans="1:47" s="291" customFormat="1" x14ac:dyDescent="0.2">
      <c r="A213" s="423">
        <f t="shared" si="125"/>
        <v>206</v>
      </c>
      <c r="B213" s="721" t="s">
        <v>7854</v>
      </c>
      <c r="C213" s="771">
        <v>521801</v>
      </c>
      <c r="D213" s="771">
        <v>2201</v>
      </c>
      <c r="E213" s="771" t="s">
        <v>704</v>
      </c>
      <c r="F213" s="546"/>
      <c r="G213" s="659">
        <v>43052</v>
      </c>
      <c r="H213" s="655" t="s">
        <v>3694</v>
      </c>
      <c r="I213" s="655" t="s">
        <v>7625</v>
      </c>
      <c r="J213" s="712"/>
      <c r="K213" s="655" t="s">
        <v>8129</v>
      </c>
      <c r="L213" s="655" t="s">
        <v>7433</v>
      </c>
      <c r="M213" s="660">
        <v>205000</v>
      </c>
      <c r="N213" s="660">
        <v>0</v>
      </c>
      <c r="O213" s="660">
        <v>32800</v>
      </c>
      <c r="P213" s="660">
        <v>237800</v>
      </c>
      <c r="Q213" s="548"/>
      <c r="R213" s="660">
        <v>185980.53</v>
      </c>
      <c r="S213" s="549">
        <f t="shared" si="259"/>
        <v>51819.47</v>
      </c>
      <c r="T213" s="113" t="s">
        <v>1932</v>
      </c>
      <c r="U213" s="722" t="str">
        <f t="shared" si="282"/>
        <v>AA12285</v>
      </c>
      <c r="V213" s="723" t="str">
        <f t="shared" si="283"/>
        <v>0182-TCN18</v>
      </c>
      <c r="W213" s="722">
        <f t="shared" si="284"/>
        <v>521801</v>
      </c>
      <c r="X213" s="722" t="str">
        <f t="shared" si="285"/>
        <v>AVANZA HI 5MT</v>
      </c>
      <c r="Y213" s="723">
        <f t="shared" si="286"/>
        <v>0</v>
      </c>
      <c r="Z213" s="778">
        <f t="shared" si="287"/>
        <v>205000</v>
      </c>
      <c r="AA213" s="629"/>
      <c r="AB213" s="793"/>
      <c r="AC213" s="780">
        <f t="shared" si="288"/>
        <v>0.01</v>
      </c>
      <c r="AD213" s="726">
        <f t="shared" si="289"/>
        <v>0.02</v>
      </c>
      <c r="AE213" s="629">
        <f t="shared" si="290"/>
        <v>0</v>
      </c>
      <c r="AF213" s="629">
        <f t="shared" si="291"/>
        <v>0</v>
      </c>
      <c r="AG213" s="727">
        <f t="shared" si="292"/>
        <v>0</v>
      </c>
      <c r="AH213" s="361"/>
      <c r="AI213" s="313"/>
      <c r="AJ213" s="374"/>
      <c r="AK213" s="374"/>
      <c r="AL213" s="374"/>
      <c r="AM213" s="374"/>
      <c r="AN213" s="296"/>
      <c r="AO213" s="296"/>
      <c r="AP213" s="296"/>
      <c r="AQ213" s="296"/>
      <c r="AR213" s="296"/>
      <c r="AS213" s="296"/>
      <c r="AT213" s="296"/>
      <c r="AU213" s="296"/>
    </row>
    <row r="214" spans="1:47" s="291" customFormat="1" x14ac:dyDescent="0.2">
      <c r="A214" s="423">
        <f t="shared" si="125"/>
        <v>207</v>
      </c>
      <c r="B214" s="721" t="s">
        <v>7970</v>
      </c>
      <c r="C214" s="771">
        <v>521909</v>
      </c>
      <c r="D214" s="771">
        <v>6986</v>
      </c>
      <c r="E214" s="771" t="s">
        <v>707</v>
      </c>
      <c r="F214" s="546"/>
      <c r="G214" s="659">
        <v>43048</v>
      </c>
      <c r="H214" s="655"/>
      <c r="I214" s="655" t="s">
        <v>7694</v>
      </c>
      <c r="J214" s="712"/>
      <c r="K214" s="655" t="s">
        <v>1164</v>
      </c>
      <c r="L214" s="655" t="s">
        <v>7502</v>
      </c>
      <c r="M214" s="660">
        <v>516795.1</v>
      </c>
      <c r="N214" s="660">
        <v>0</v>
      </c>
      <c r="O214" s="660">
        <v>82687.22</v>
      </c>
      <c r="P214" s="660">
        <v>599482.31999999995</v>
      </c>
      <c r="Q214" s="548"/>
      <c r="R214" s="660">
        <v>516439.76</v>
      </c>
      <c r="S214" s="549">
        <f t="shared" si="259"/>
        <v>83042.559999999939</v>
      </c>
      <c r="T214" s="113" t="s">
        <v>283</v>
      </c>
      <c r="U214" s="267"/>
      <c r="V214" s="93"/>
      <c r="W214" s="267"/>
      <c r="X214" s="267"/>
      <c r="Y214" s="93"/>
      <c r="Z214" s="618"/>
      <c r="AA214" s="424"/>
      <c r="AB214" s="715"/>
      <c r="AC214" s="424"/>
      <c r="AD214" s="425"/>
      <c r="AE214" s="424"/>
      <c r="AF214" s="424"/>
      <c r="AG214" s="396"/>
      <c r="AH214" s="361"/>
      <c r="AI214" s="313"/>
      <c r="AJ214" s="374"/>
      <c r="AK214" s="374"/>
      <c r="AL214" s="374"/>
      <c r="AM214" s="374"/>
      <c r="AN214" s="296"/>
      <c r="AO214" s="296"/>
      <c r="AP214" s="296"/>
      <c r="AQ214" s="296"/>
      <c r="AR214" s="296"/>
      <c r="AS214" s="296"/>
      <c r="AT214" s="296"/>
      <c r="AU214" s="296"/>
    </row>
    <row r="215" spans="1:47" s="291" customFormat="1" x14ac:dyDescent="0.2">
      <c r="A215" s="423">
        <f t="shared" si="125"/>
        <v>208</v>
      </c>
      <c r="B215" s="721" t="s">
        <v>7860</v>
      </c>
      <c r="C215" s="771">
        <v>521801</v>
      </c>
      <c r="D215" s="771">
        <v>2201</v>
      </c>
      <c r="E215" s="771" t="s">
        <v>704</v>
      </c>
      <c r="F215" s="546"/>
      <c r="G215" s="659">
        <v>43067</v>
      </c>
      <c r="H215" s="655" t="s">
        <v>5621</v>
      </c>
      <c r="I215" s="655" t="s">
        <v>7627</v>
      </c>
      <c r="J215" s="712"/>
      <c r="K215" s="655" t="s">
        <v>8130</v>
      </c>
      <c r="L215" s="655" t="s">
        <v>7435</v>
      </c>
      <c r="M215" s="660">
        <v>200258.62</v>
      </c>
      <c r="N215" s="660">
        <v>0</v>
      </c>
      <c r="O215" s="660">
        <v>32041.38</v>
      </c>
      <c r="P215" s="660">
        <v>232300</v>
      </c>
      <c r="Q215" s="548"/>
      <c r="R215" s="660">
        <v>185625.31</v>
      </c>
      <c r="S215" s="549">
        <f t="shared" si="259"/>
        <v>46674.69</v>
      </c>
      <c r="T215" s="113" t="s">
        <v>1932</v>
      </c>
      <c r="U215" s="722" t="str">
        <f t="shared" ref="U215:U217" si="293">+B215</f>
        <v>AA12432</v>
      </c>
      <c r="V215" s="723" t="str">
        <f t="shared" ref="V215:V217" si="294">+I215</f>
        <v>0189-TCN18</v>
      </c>
      <c r="W215" s="722">
        <f t="shared" ref="W215:W217" si="295">+C215</f>
        <v>521801</v>
      </c>
      <c r="X215" s="722" t="str">
        <f t="shared" ref="X215:X217" si="296">+E215</f>
        <v>AVANZA HI 5MT</v>
      </c>
      <c r="Y215" s="723">
        <f t="shared" ref="Y215:Y217" si="297">+F215</f>
        <v>0</v>
      </c>
      <c r="Z215" s="778">
        <f t="shared" ref="Z215:Z217" si="298">+M215</f>
        <v>200258.62</v>
      </c>
      <c r="AA215" s="629"/>
      <c r="AB215" s="793"/>
      <c r="AC215" s="780">
        <f t="shared" ref="AC215:AC217" si="299">VLOOKUP(Z215,TARIFA,1)</f>
        <v>0.01</v>
      </c>
      <c r="AD215" s="726">
        <f t="shared" ref="AD215:AD217" si="300">VLOOKUP(Z215,TARIFA,4)</f>
        <v>0.02</v>
      </c>
      <c r="AE215" s="629">
        <f t="shared" ref="AE215:AE217" si="301">VLOOKUP(Z215,TARIFA,3)</f>
        <v>0</v>
      </c>
      <c r="AF215" s="629">
        <f t="shared" ref="AF215:AF217" si="302">+N215</f>
        <v>0</v>
      </c>
      <c r="AG215" s="727">
        <f t="shared" ref="AG215:AG217" si="303">+N215-AF215</f>
        <v>0</v>
      </c>
      <c r="AH215" s="361"/>
      <c r="AI215" s="313"/>
      <c r="AJ215" s="374"/>
      <c r="AK215" s="374"/>
      <c r="AL215" s="374"/>
      <c r="AM215" s="374"/>
      <c r="AN215" s="296"/>
      <c r="AO215" s="296"/>
      <c r="AP215" s="296"/>
      <c r="AQ215" s="296"/>
      <c r="AR215" s="296"/>
      <c r="AS215" s="296"/>
      <c r="AT215" s="296"/>
      <c r="AU215" s="296"/>
    </row>
    <row r="216" spans="1:47" s="291" customFormat="1" x14ac:dyDescent="0.2">
      <c r="A216" s="423">
        <f t="shared" si="125"/>
        <v>209</v>
      </c>
      <c r="B216" s="721" t="s">
        <v>7863</v>
      </c>
      <c r="C216" s="771">
        <v>521801</v>
      </c>
      <c r="D216" s="771">
        <v>2201</v>
      </c>
      <c r="E216" s="771" t="s">
        <v>704</v>
      </c>
      <c r="F216" s="546"/>
      <c r="G216" s="659">
        <v>43067</v>
      </c>
      <c r="H216" s="655" t="s">
        <v>792</v>
      </c>
      <c r="I216" s="655" t="s">
        <v>7628</v>
      </c>
      <c r="J216" s="712"/>
      <c r="K216" s="655" t="s">
        <v>8131</v>
      </c>
      <c r="L216" s="655" t="s">
        <v>7436</v>
      </c>
      <c r="M216" s="660">
        <v>205000</v>
      </c>
      <c r="N216" s="660">
        <v>0</v>
      </c>
      <c r="O216" s="660">
        <v>32800</v>
      </c>
      <c r="P216" s="660">
        <v>237800</v>
      </c>
      <c r="Q216" s="548"/>
      <c r="R216" s="660">
        <v>185625.31</v>
      </c>
      <c r="S216" s="549">
        <f t="shared" si="259"/>
        <v>52174.69</v>
      </c>
      <c r="T216" s="113" t="s">
        <v>1932</v>
      </c>
      <c r="U216" s="722" t="str">
        <f t="shared" si="293"/>
        <v>AA12440</v>
      </c>
      <c r="V216" s="723" t="str">
        <f t="shared" si="294"/>
        <v>0190-TCN18</v>
      </c>
      <c r="W216" s="722">
        <f t="shared" si="295"/>
        <v>521801</v>
      </c>
      <c r="X216" s="722" t="str">
        <f t="shared" si="296"/>
        <v>AVANZA HI 5MT</v>
      </c>
      <c r="Y216" s="723">
        <f t="shared" si="297"/>
        <v>0</v>
      </c>
      <c r="Z216" s="778">
        <f t="shared" si="298"/>
        <v>205000</v>
      </c>
      <c r="AA216" s="629">
        <f>+SUM(Z212:Z216)</f>
        <v>815258.62</v>
      </c>
      <c r="AB216" s="800">
        <v>4</v>
      </c>
      <c r="AC216" s="780">
        <f t="shared" si="299"/>
        <v>0.01</v>
      </c>
      <c r="AD216" s="726">
        <f t="shared" si="300"/>
        <v>0.02</v>
      </c>
      <c r="AE216" s="629">
        <f t="shared" si="301"/>
        <v>0</v>
      </c>
      <c r="AF216" s="629">
        <f t="shared" si="302"/>
        <v>0</v>
      </c>
      <c r="AG216" s="727">
        <f t="shared" si="303"/>
        <v>0</v>
      </c>
      <c r="AH216" s="361"/>
      <c r="AI216" s="313"/>
      <c r="AJ216" s="374"/>
      <c r="AK216" s="374"/>
      <c r="AL216" s="374"/>
      <c r="AM216" s="374"/>
      <c r="AN216" s="296"/>
      <c r="AO216" s="296"/>
      <c r="AP216" s="296"/>
      <c r="AQ216" s="296"/>
      <c r="AR216" s="296"/>
      <c r="AS216" s="296"/>
      <c r="AT216" s="296"/>
      <c r="AU216" s="296"/>
    </row>
    <row r="217" spans="1:47" s="291" customFormat="1" x14ac:dyDescent="0.2">
      <c r="A217" s="423">
        <f t="shared" si="125"/>
        <v>210</v>
      </c>
      <c r="B217" s="721" t="s">
        <v>7869</v>
      </c>
      <c r="C217" s="771">
        <v>521802</v>
      </c>
      <c r="D217" s="771">
        <v>2202</v>
      </c>
      <c r="E217" s="771" t="s">
        <v>703</v>
      </c>
      <c r="F217" s="546"/>
      <c r="G217" s="659">
        <v>43045</v>
      </c>
      <c r="H217" s="655" t="s">
        <v>788</v>
      </c>
      <c r="I217" s="655" t="s">
        <v>7629</v>
      </c>
      <c r="J217" s="712"/>
      <c r="K217" s="655" t="s">
        <v>8134</v>
      </c>
      <c r="L217" s="655" t="s">
        <v>7437</v>
      </c>
      <c r="M217" s="660">
        <v>209568.97</v>
      </c>
      <c r="N217" s="660">
        <v>0</v>
      </c>
      <c r="O217" s="660">
        <v>33531.03</v>
      </c>
      <c r="P217" s="660">
        <v>243100</v>
      </c>
      <c r="Q217" s="548"/>
      <c r="R217" s="660">
        <v>189737.38</v>
      </c>
      <c r="S217" s="549">
        <f t="shared" si="259"/>
        <v>53362.619999999995</v>
      </c>
      <c r="T217" s="113" t="s">
        <v>1932</v>
      </c>
      <c r="U217" s="722" t="str">
        <f t="shared" si="293"/>
        <v>AA12240</v>
      </c>
      <c r="V217" s="723" t="str">
        <f t="shared" si="294"/>
        <v>0192-TCN18</v>
      </c>
      <c r="W217" s="722">
        <f t="shared" si="295"/>
        <v>521802</v>
      </c>
      <c r="X217" s="722" t="str">
        <f t="shared" si="296"/>
        <v>AVANZA HI 4AT</v>
      </c>
      <c r="Y217" s="723">
        <f t="shared" si="297"/>
        <v>0</v>
      </c>
      <c r="Z217" s="778">
        <f t="shared" si="298"/>
        <v>209568.97</v>
      </c>
      <c r="AA217" s="629"/>
      <c r="AB217" s="793"/>
      <c r="AC217" s="780">
        <f t="shared" si="299"/>
        <v>0.01</v>
      </c>
      <c r="AD217" s="726">
        <f t="shared" si="300"/>
        <v>0.02</v>
      </c>
      <c r="AE217" s="629">
        <f t="shared" si="301"/>
        <v>0</v>
      </c>
      <c r="AF217" s="629">
        <f t="shared" si="302"/>
        <v>0</v>
      </c>
      <c r="AG217" s="727">
        <f t="shared" si="303"/>
        <v>0</v>
      </c>
      <c r="AH217" s="361"/>
      <c r="AI217" s="313"/>
      <c r="AJ217" s="374"/>
      <c r="AK217" s="374"/>
      <c r="AL217" s="374"/>
      <c r="AM217" s="374"/>
      <c r="AN217" s="296"/>
      <c r="AO217" s="296"/>
      <c r="AP217" s="296"/>
      <c r="AQ217" s="296"/>
      <c r="AR217" s="296"/>
      <c r="AS217" s="296"/>
      <c r="AT217" s="296"/>
      <c r="AU217" s="296"/>
    </row>
    <row r="218" spans="1:47" s="291" customFormat="1" x14ac:dyDescent="0.2">
      <c r="A218" s="423">
        <f t="shared" si="125"/>
        <v>211</v>
      </c>
      <c r="B218" s="721" t="s">
        <v>7974</v>
      </c>
      <c r="C218" s="771">
        <v>522403</v>
      </c>
      <c r="D218" s="771">
        <v>6986</v>
      </c>
      <c r="E218" s="771" t="s">
        <v>707</v>
      </c>
      <c r="F218" s="546"/>
      <c r="G218" s="659">
        <v>43069</v>
      </c>
      <c r="H218" s="655"/>
      <c r="I218" s="655" t="s">
        <v>7696</v>
      </c>
      <c r="J218" s="712"/>
      <c r="K218" s="655" t="s">
        <v>1710</v>
      </c>
      <c r="L218" s="655" t="s">
        <v>7504</v>
      </c>
      <c r="M218" s="660">
        <v>516859.95</v>
      </c>
      <c r="N218" s="660">
        <v>0</v>
      </c>
      <c r="O218" s="660">
        <v>82697.59</v>
      </c>
      <c r="P218" s="660">
        <v>599557.54</v>
      </c>
      <c r="Q218" s="548"/>
      <c r="R218" s="660">
        <v>516504.6</v>
      </c>
      <c r="S218" s="549">
        <f t="shared" si="259"/>
        <v>83052.940000000061</v>
      </c>
      <c r="T218" s="113" t="s">
        <v>283</v>
      </c>
      <c r="U218" s="267"/>
      <c r="V218" s="93"/>
      <c r="W218" s="267"/>
      <c r="X218" s="267"/>
      <c r="Y218" s="93"/>
      <c r="Z218" s="618"/>
      <c r="AA218" s="424"/>
      <c r="AB218" s="715"/>
      <c r="AC218" s="424"/>
      <c r="AD218" s="425"/>
      <c r="AE218" s="424"/>
      <c r="AF218" s="424"/>
      <c r="AG218" s="396"/>
      <c r="AH218" s="361"/>
      <c r="AI218" s="313"/>
      <c r="AJ218" s="374"/>
      <c r="AK218" s="374"/>
      <c r="AL218" s="374"/>
      <c r="AM218" s="374"/>
      <c r="AN218" s="296"/>
      <c r="AO218" s="296"/>
      <c r="AP218" s="296"/>
      <c r="AQ218" s="296"/>
      <c r="AR218" s="296"/>
      <c r="AS218" s="296"/>
      <c r="AT218" s="296"/>
      <c r="AU218" s="296"/>
    </row>
    <row r="219" spans="1:47" s="291" customFormat="1" x14ac:dyDescent="0.2">
      <c r="A219" s="423">
        <f t="shared" si="125"/>
        <v>212</v>
      </c>
      <c r="B219" s="721" t="s">
        <v>7872</v>
      </c>
      <c r="C219" s="771">
        <v>521802</v>
      </c>
      <c r="D219" s="771">
        <v>2202</v>
      </c>
      <c r="E219" s="771" t="s">
        <v>703</v>
      </c>
      <c r="F219" s="546"/>
      <c r="G219" s="659">
        <v>43066</v>
      </c>
      <c r="H219" s="655" t="s">
        <v>2215</v>
      </c>
      <c r="I219" s="655" t="s">
        <v>7632</v>
      </c>
      <c r="J219" s="712"/>
      <c r="K219" s="655" t="s">
        <v>8135</v>
      </c>
      <c r="L219" s="655" t="s">
        <v>7440</v>
      </c>
      <c r="M219" s="660">
        <v>209568.97</v>
      </c>
      <c r="N219" s="660">
        <v>0</v>
      </c>
      <c r="O219" s="660">
        <v>33531.03</v>
      </c>
      <c r="P219" s="660">
        <v>243100</v>
      </c>
      <c r="Q219" s="548"/>
      <c r="R219" s="660">
        <v>190093.02</v>
      </c>
      <c r="S219" s="549">
        <f t="shared" si="259"/>
        <v>53006.98000000001</v>
      </c>
      <c r="T219" s="113" t="s">
        <v>1932</v>
      </c>
      <c r="U219" s="722" t="str">
        <f t="shared" ref="U219:U222" si="304">+B219</f>
        <v>AA12401</v>
      </c>
      <c r="V219" s="723" t="str">
        <f t="shared" ref="V219:V222" si="305">+I219</f>
        <v>0205-TCN18</v>
      </c>
      <c r="W219" s="722">
        <f t="shared" ref="W219:W222" si="306">+C219</f>
        <v>521802</v>
      </c>
      <c r="X219" s="722" t="str">
        <f t="shared" ref="X219:X222" si="307">+E219</f>
        <v>AVANZA HI 4AT</v>
      </c>
      <c r="Y219" s="723">
        <f t="shared" ref="Y219:Y222" si="308">+F219</f>
        <v>0</v>
      </c>
      <c r="Z219" s="778">
        <f t="shared" ref="Z219:Z222" si="309">+M219</f>
        <v>209568.97</v>
      </c>
      <c r="AA219" s="629"/>
      <c r="AB219" s="793"/>
      <c r="AC219" s="780">
        <f t="shared" ref="AC219:AC222" si="310">VLOOKUP(Z219,TARIFA,1)</f>
        <v>0.01</v>
      </c>
      <c r="AD219" s="726">
        <f t="shared" ref="AD219:AD222" si="311">VLOOKUP(Z219,TARIFA,4)</f>
        <v>0.02</v>
      </c>
      <c r="AE219" s="629">
        <f t="shared" ref="AE219:AE222" si="312">VLOOKUP(Z219,TARIFA,3)</f>
        <v>0</v>
      </c>
      <c r="AF219" s="629">
        <f t="shared" ref="AF219:AF222" si="313">+N219</f>
        <v>0</v>
      </c>
      <c r="AG219" s="727">
        <f t="shared" ref="AG219:AG222" si="314">+N219-AF219</f>
        <v>0</v>
      </c>
      <c r="AH219" s="361"/>
      <c r="AI219" s="313"/>
      <c r="AJ219" s="374"/>
      <c r="AK219" s="374"/>
      <c r="AL219" s="374"/>
      <c r="AM219" s="374"/>
      <c r="AN219" s="296"/>
      <c r="AO219" s="296"/>
      <c r="AP219" s="296"/>
      <c r="AQ219" s="296"/>
      <c r="AR219" s="296"/>
      <c r="AS219" s="296"/>
      <c r="AT219" s="296"/>
      <c r="AU219" s="296"/>
    </row>
    <row r="220" spans="1:47" s="291" customFormat="1" x14ac:dyDescent="0.2">
      <c r="A220" s="423">
        <f t="shared" si="125"/>
        <v>213</v>
      </c>
      <c r="B220" s="721" t="s">
        <v>7868</v>
      </c>
      <c r="C220" s="771">
        <v>521802</v>
      </c>
      <c r="D220" s="771">
        <v>2202</v>
      </c>
      <c r="E220" s="771" t="s">
        <v>703</v>
      </c>
      <c r="F220" s="546"/>
      <c r="G220" s="659">
        <v>43042</v>
      </c>
      <c r="H220" s="655" t="s">
        <v>2216</v>
      </c>
      <c r="I220" s="655" t="s">
        <v>6326</v>
      </c>
      <c r="J220" s="712"/>
      <c r="K220" s="655" t="s">
        <v>8133</v>
      </c>
      <c r="L220" s="655" t="s">
        <v>6588</v>
      </c>
      <c r="M220" s="660">
        <v>200431.03</v>
      </c>
      <c r="N220" s="660">
        <v>0</v>
      </c>
      <c r="O220" s="660">
        <v>32068.97</v>
      </c>
      <c r="P220" s="660">
        <v>232500</v>
      </c>
      <c r="Q220" s="548"/>
      <c r="R220" s="660">
        <v>187667.7</v>
      </c>
      <c r="S220" s="549">
        <f t="shared" si="259"/>
        <v>44832.299999999988</v>
      </c>
      <c r="T220" s="113" t="s">
        <v>1932</v>
      </c>
      <c r="U220" s="722" t="str">
        <f t="shared" si="304"/>
        <v>AA12227</v>
      </c>
      <c r="V220" s="723" t="str">
        <f t="shared" si="305"/>
        <v>1562-TCN17</v>
      </c>
      <c r="W220" s="722">
        <f t="shared" si="306"/>
        <v>521802</v>
      </c>
      <c r="X220" s="722" t="str">
        <f t="shared" si="307"/>
        <v>AVANZA HI 4AT</v>
      </c>
      <c r="Y220" s="723">
        <f t="shared" si="308"/>
        <v>0</v>
      </c>
      <c r="Z220" s="778">
        <f t="shared" si="309"/>
        <v>200431.03</v>
      </c>
      <c r="AA220" s="629">
        <f>+SUM(Z217:Z220)</f>
        <v>619568.97</v>
      </c>
      <c r="AB220" s="800">
        <v>3</v>
      </c>
      <c r="AC220" s="780">
        <f t="shared" si="310"/>
        <v>0.01</v>
      </c>
      <c r="AD220" s="726">
        <f t="shared" si="311"/>
        <v>0.02</v>
      </c>
      <c r="AE220" s="629">
        <f t="shared" si="312"/>
        <v>0</v>
      </c>
      <c r="AF220" s="629">
        <f t="shared" si="313"/>
        <v>0</v>
      </c>
      <c r="AG220" s="727">
        <f t="shared" si="314"/>
        <v>0</v>
      </c>
      <c r="AH220" s="361"/>
      <c r="AI220" s="313"/>
      <c r="AJ220" s="374"/>
      <c r="AK220" s="374"/>
      <c r="AL220" s="374"/>
      <c r="AM220" s="374"/>
      <c r="AN220" s="296"/>
      <c r="AO220" s="296"/>
      <c r="AP220" s="296"/>
      <c r="AQ220" s="296"/>
      <c r="AR220" s="296"/>
      <c r="AS220" s="296"/>
      <c r="AT220" s="296"/>
      <c r="AU220" s="296"/>
    </row>
    <row r="221" spans="1:47" s="291" customFormat="1" x14ac:dyDescent="0.2">
      <c r="A221" s="423">
        <f t="shared" si="125"/>
        <v>214</v>
      </c>
      <c r="B221" s="721" t="s">
        <v>7968</v>
      </c>
      <c r="C221" s="771">
        <v>521908</v>
      </c>
      <c r="D221" s="771">
        <v>6980</v>
      </c>
      <c r="E221" s="771" t="s">
        <v>706</v>
      </c>
      <c r="F221" s="546"/>
      <c r="G221" s="659">
        <v>43067</v>
      </c>
      <c r="H221" s="655" t="s">
        <v>2213</v>
      </c>
      <c r="I221" s="655" t="s">
        <v>7692</v>
      </c>
      <c r="J221" s="712"/>
      <c r="K221" s="655" t="s">
        <v>3402</v>
      </c>
      <c r="L221" s="655" t="s">
        <v>7500</v>
      </c>
      <c r="M221" s="660">
        <v>478947.03</v>
      </c>
      <c r="N221" s="660">
        <v>33121.94</v>
      </c>
      <c r="O221" s="660">
        <v>81931.03</v>
      </c>
      <c r="P221" s="660">
        <v>594000</v>
      </c>
      <c r="Q221" s="548"/>
      <c r="R221" s="660">
        <v>439547.74</v>
      </c>
      <c r="S221" s="549">
        <f t="shared" si="259"/>
        <v>154452.26</v>
      </c>
      <c r="T221" s="113" t="s">
        <v>1932</v>
      </c>
      <c r="U221" s="722" t="str">
        <f t="shared" si="304"/>
        <v>AA12452</v>
      </c>
      <c r="V221" s="723" t="str">
        <f t="shared" si="305"/>
        <v>1225-TCN17</v>
      </c>
      <c r="W221" s="722">
        <f t="shared" si="306"/>
        <v>521908</v>
      </c>
      <c r="X221" s="722" t="str">
        <f t="shared" si="307"/>
        <v>HIGHLANDER  XLE</v>
      </c>
      <c r="Y221" s="723">
        <f t="shared" si="308"/>
        <v>0</v>
      </c>
      <c r="Z221" s="778">
        <f t="shared" si="309"/>
        <v>478947.03</v>
      </c>
      <c r="AA221" s="629"/>
      <c r="AB221" s="793"/>
      <c r="AC221" s="780">
        <f t="shared" si="310"/>
        <v>443562.4</v>
      </c>
      <c r="AD221" s="726">
        <f t="shared" si="311"/>
        <v>0.17</v>
      </c>
      <c r="AE221" s="629">
        <f t="shared" si="312"/>
        <v>27106.55</v>
      </c>
      <c r="AF221" s="629">
        <f t="shared" si="313"/>
        <v>33121.94</v>
      </c>
      <c r="AG221" s="727">
        <f t="shared" si="314"/>
        <v>0</v>
      </c>
      <c r="AH221" s="361"/>
      <c r="AI221" s="313"/>
      <c r="AJ221" s="374"/>
      <c r="AK221" s="374"/>
      <c r="AL221" s="374"/>
      <c r="AM221" s="374"/>
      <c r="AN221" s="296"/>
      <c r="AO221" s="296"/>
      <c r="AP221" s="296"/>
      <c r="AQ221" s="296"/>
      <c r="AR221" s="296"/>
      <c r="AS221" s="296"/>
      <c r="AT221" s="296"/>
      <c r="AU221" s="296"/>
    </row>
    <row r="222" spans="1:47" s="291" customFormat="1" x14ac:dyDescent="0.2">
      <c r="A222" s="423">
        <f t="shared" si="125"/>
        <v>215</v>
      </c>
      <c r="B222" s="721" t="s">
        <v>7963</v>
      </c>
      <c r="C222" s="771">
        <v>521908</v>
      </c>
      <c r="D222" s="771">
        <v>6980</v>
      </c>
      <c r="E222" s="771" t="s">
        <v>706</v>
      </c>
      <c r="F222" s="546"/>
      <c r="G222" s="659">
        <v>43046</v>
      </c>
      <c r="H222" s="655" t="s">
        <v>5129</v>
      </c>
      <c r="I222" s="655" t="s">
        <v>7688</v>
      </c>
      <c r="J222" s="712"/>
      <c r="K222" s="655" t="s">
        <v>8157</v>
      </c>
      <c r="L222" s="655" t="s">
        <v>7496</v>
      </c>
      <c r="M222" s="660">
        <v>494493.74</v>
      </c>
      <c r="N222" s="660">
        <v>35764.879999999997</v>
      </c>
      <c r="O222" s="660">
        <v>84841.38</v>
      </c>
      <c r="P222" s="660">
        <v>615100</v>
      </c>
      <c r="Q222" s="548"/>
      <c r="R222" s="660">
        <v>460548.22</v>
      </c>
      <c r="S222" s="549">
        <f t="shared" si="259"/>
        <v>154551.78000000003</v>
      </c>
      <c r="T222" s="113" t="s">
        <v>1932</v>
      </c>
      <c r="U222" s="722" t="str">
        <f t="shared" si="304"/>
        <v>AA12251</v>
      </c>
      <c r="V222" s="723" t="str">
        <f t="shared" si="305"/>
        <v>1923-TCN17</v>
      </c>
      <c r="W222" s="722">
        <f t="shared" si="306"/>
        <v>521908</v>
      </c>
      <c r="X222" s="722" t="str">
        <f t="shared" si="307"/>
        <v>HIGHLANDER  XLE</v>
      </c>
      <c r="Y222" s="723">
        <f t="shared" si="308"/>
        <v>0</v>
      </c>
      <c r="Z222" s="778">
        <f t="shared" si="309"/>
        <v>494493.74</v>
      </c>
      <c r="AA222" s="629"/>
      <c r="AB222" s="793"/>
      <c r="AC222" s="780">
        <f t="shared" si="310"/>
        <v>443562.4</v>
      </c>
      <c r="AD222" s="726">
        <f t="shared" si="311"/>
        <v>0.17</v>
      </c>
      <c r="AE222" s="629">
        <f t="shared" si="312"/>
        <v>27106.55</v>
      </c>
      <c r="AF222" s="629">
        <f t="shared" si="313"/>
        <v>35764.879999999997</v>
      </c>
      <c r="AG222" s="727">
        <f t="shared" si="314"/>
        <v>0</v>
      </c>
      <c r="AH222" s="361"/>
      <c r="AI222" s="313"/>
      <c r="AJ222" s="374"/>
      <c r="AK222" s="374"/>
      <c r="AL222" s="374"/>
      <c r="AM222" s="374"/>
      <c r="AN222" s="296"/>
      <c r="AO222" s="296"/>
      <c r="AP222" s="296"/>
      <c r="AQ222" s="296"/>
      <c r="AR222" s="296"/>
      <c r="AS222" s="296"/>
      <c r="AT222" s="296"/>
      <c r="AU222" s="296"/>
    </row>
    <row r="223" spans="1:47" s="291" customFormat="1" x14ac:dyDescent="0.2">
      <c r="A223" s="423">
        <f t="shared" si="125"/>
        <v>216</v>
      </c>
      <c r="B223" s="721" t="s">
        <v>8037</v>
      </c>
      <c r="C223" s="771">
        <v>1520604</v>
      </c>
      <c r="D223" s="771">
        <v>7495</v>
      </c>
      <c r="E223" s="771" t="s">
        <v>718</v>
      </c>
      <c r="F223" s="546"/>
      <c r="G223" s="659">
        <v>43056</v>
      </c>
      <c r="H223" s="655" t="s">
        <v>2215</v>
      </c>
      <c r="I223" s="655" t="s">
        <v>7724</v>
      </c>
      <c r="J223" s="712"/>
      <c r="K223" s="655" t="s">
        <v>8171</v>
      </c>
      <c r="L223" s="655" t="s">
        <v>7532</v>
      </c>
      <c r="M223" s="660">
        <v>288669.95</v>
      </c>
      <c r="N223" s="660">
        <v>14433.5</v>
      </c>
      <c r="O223" s="660">
        <v>48496.55</v>
      </c>
      <c r="P223" s="660">
        <v>351600</v>
      </c>
      <c r="Q223" s="548"/>
      <c r="R223" s="660">
        <v>262450.93</v>
      </c>
      <c r="S223" s="549">
        <f t="shared" si="259"/>
        <v>89149.07</v>
      </c>
      <c r="T223" s="113" t="s">
        <v>1931</v>
      </c>
      <c r="U223" s="267"/>
      <c r="V223" s="93"/>
      <c r="W223" s="267"/>
      <c r="X223" s="267"/>
      <c r="Y223" s="93"/>
      <c r="Z223" s="618"/>
      <c r="AA223" s="424"/>
      <c r="AB223" s="715"/>
      <c r="AC223" s="424"/>
      <c r="AD223" s="425"/>
      <c r="AE223" s="424"/>
      <c r="AF223" s="424"/>
      <c r="AG223" s="396"/>
      <c r="AH223" s="361"/>
      <c r="AI223" s="313"/>
      <c r="AJ223" s="374"/>
      <c r="AK223" s="374"/>
      <c r="AL223" s="374"/>
      <c r="AM223" s="374"/>
      <c r="AN223" s="296"/>
      <c r="AO223" s="296"/>
      <c r="AP223" s="296"/>
      <c r="AQ223" s="296"/>
      <c r="AR223" s="296"/>
      <c r="AS223" s="296"/>
      <c r="AT223" s="296"/>
      <c r="AU223" s="296"/>
    </row>
    <row r="224" spans="1:47" s="291" customFormat="1" x14ac:dyDescent="0.2">
      <c r="A224" s="423">
        <f t="shared" si="125"/>
        <v>217</v>
      </c>
      <c r="B224" s="721" t="s">
        <v>8054</v>
      </c>
      <c r="C224" s="771">
        <v>1520604</v>
      </c>
      <c r="D224" s="771">
        <v>7495</v>
      </c>
      <c r="E224" s="771" t="s">
        <v>718</v>
      </c>
      <c r="F224" s="546"/>
      <c r="G224" s="659">
        <v>43067</v>
      </c>
      <c r="H224" s="655" t="s">
        <v>2215</v>
      </c>
      <c r="I224" s="655" t="s">
        <v>7724</v>
      </c>
      <c r="J224" s="712"/>
      <c r="K224" s="655" t="s">
        <v>8171</v>
      </c>
      <c r="L224" s="655" t="s">
        <v>7532</v>
      </c>
      <c r="M224" s="660">
        <v>-288669.95</v>
      </c>
      <c r="N224" s="660">
        <v>-14433.5</v>
      </c>
      <c r="O224" s="660">
        <v>-48496.55</v>
      </c>
      <c r="P224" s="660">
        <v>-351600</v>
      </c>
      <c r="Q224" s="548"/>
      <c r="R224" s="660">
        <v>-262450.93</v>
      </c>
      <c r="S224" s="549">
        <f t="shared" si="259"/>
        <v>-89149.07</v>
      </c>
      <c r="T224" s="113" t="s">
        <v>1931</v>
      </c>
      <c r="U224" s="267"/>
      <c r="V224" s="93"/>
      <c r="W224" s="267"/>
      <c r="X224" s="267"/>
      <c r="Y224" s="93"/>
      <c r="Z224" s="618"/>
      <c r="AA224" s="424"/>
      <c r="AB224" s="715"/>
      <c r="AC224" s="424"/>
      <c r="AD224" s="425"/>
      <c r="AE224" s="424"/>
      <c r="AF224" s="424"/>
      <c r="AG224" s="396"/>
      <c r="AH224" s="361"/>
      <c r="AI224" s="313"/>
      <c r="AJ224" s="374"/>
      <c r="AK224" s="374"/>
      <c r="AL224" s="374"/>
      <c r="AM224" s="374"/>
      <c r="AN224" s="296"/>
      <c r="AO224" s="296"/>
      <c r="AP224" s="296"/>
      <c r="AQ224" s="296"/>
      <c r="AR224" s="296"/>
      <c r="AS224" s="296"/>
      <c r="AT224" s="296"/>
      <c r="AU224" s="296"/>
    </row>
    <row r="225" spans="1:47" s="291" customFormat="1" x14ac:dyDescent="0.2">
      <c r="A225" s="423">
        <f t="shared" si="125"/>
        <v>218</v>
      </c>
      <c r="B225" s="721" t="s">
        <v>7966</v>
      </c>
      <c r="C225" s="771">
        <v>521908</v>
      </c>
      <c r="D225" s="771">
        <v>6980</v>
      </c>
      <c r="E225" s="771" t="s">
        <v>706</v>
      </c>
      <c r="F225" s="546"/>
      <c r="G225" s="659">
        <v>43060</v>
      </c>
      <c r="H225" s="655" t="s">
        <v>4285</v>
      </c>
      <c r="I225" s="655" t="s">
        <v>7690</v>
      </c>
      <c r="J225" s="712"/>
      <c r="K225" s="655" t="s">
        <v>8158</v>
      </c>
      <c r="L225" s="655" t="s">
        <v>7498</v>
      </c>
      <c r="M225" s="660">
        <v>494493.74</v>
      </c>
      <c r="N225" s="660">
        <v>35764.879999999997</v>
      </c>
      <c r="O225" s="660">
        <v>84841.38</v>
      </c>
      <c r="P225" s="660">
        <v>615100</v>
      </c>
      <c r="Q225" s="548"/>
      <c r="R225" s="660">
        <v>460903.7</v>
      </c>
      <c r="S225" s="549">
        <f t="shared" si="259"/>
        <v>154196.29999999999</v>
      </c>
      <c r="T225" s="113" t="s">
        <v>1932</v>
      </c>
      <c r="U225" s="722" t="str">
        <f t="shared" ref="U225" si="315">+B225</f>
        <v>AA12361</v>
      </c>
      <c r="V225" s="723" t="str">
        <f t="shared" ref="V225" si="316">+I225</f>
        <v>1961-TCN17</v>
      </c>
      <c r="W225" s="722">
        <f t="shared" ref="W225" si="317">+C225</f>
        <v>521908</v>
      </c>
      <c r="X225" s="722" t="str">
        <f t="shared" ref="X225" si="318">+E225</f>
        <v>HIGHLANDER  XLE</v>
      </c>
      <c r="Y225" s="723">
        <f t="shared" ref="Y225" si="319">+F225</f>
        <v>0</v>
      </c>
      <c r="Z225" s="778">
        <f t="shared" ref="Z225" si="320">+M225</f>
        <v>494493.74</v>
      </c>
      <c r="AA225" s="629">
        <f>+SUM(Z221:Z225)</f>
        <v>1467934.51</v>
      </c>
      <c r="AB225" s="793">
        <v>3</v>
      </c>
      <c r="AC225" s="780">
        <f t="shared" ref="AC225" si="321">VLOOKUP(Z225,TARIFA,1)</f>
        <v>443562.4</v>
      </c>
      <c r="AD225" s="726">
        <f t="shared" ref="AD225" si="322">VLOOKUP(Z225,TARIFA,4)</f>
        <v>0.17</v>
      </c>
      <c r="AE225" s="629">
        <f t="shared" ref="AE225" si="323">VLOOKUP(Z225,TARIFA,3)</f>
        <v>27106.55</v>
      </c>
      <c r="AF225" s="629">
        <f t="shared" ref="AF225" si="324">+N225</f>
        <v>35764.879999999997</v>
      </c>
      <c r="AG225" s="727">
        <f t="shared" ref="AG225" si="325">+N225-AF225</f>
        <v>0</v>
      </c>
      <c r="AH225" s="361"/>
      <c r="AI225" s="313"/>
      <c r="AJ225" s="374"/>
      <c r="AK225" s="374"/>
      <c r="AL225" s="374"/>
      <c r="AM225" s="374"/>
      <c r="AN225" s="296"/>
      <c r="AO225" s="296"/>
      <c r="AP225" s="296"/>
      <c r="AQ225" s="296"/>
      <c r="AR225" s="296"/>
      <c r="AS225" s="296"/>
      <c r="AT225" s="296"/>
      <c r="AU225" s="296"/>
    </row>
    <row r="226" spans="1:47" s="291" customFormat="1" x14ac:dyDescent="0.2">
      <c r="A226" s="423">
        <f t="shared" si="125"/>
        <v>219</v>
      </c>
      <c r="B226" s="721" t="s">
        <v>7982</v>
      </c>
      <c r="C226" s="771">
        <v>1520302</v>
      </c>
      <c r="D226" s="771">
        <v>7441</v>
      </c>
      <c r="E226" s="771" t="s">
        <v>715</v>
      </c>
      <c r="F226" s="546"/>
      <c r="G226" s="659">
        <v>43069</v>
      </c>
      <c r="H226" s="655"/>
      <c r="I226" s="655" t="s">
        <v>6388</v>
      </c>
      <c r="J226" s="712"/>
      <c r="K226" s="655" t="s">
        <v>1175</v>
      </c>
      <c r="L226" s="655" t="s">
        <v>6649</v>
      </c>
      <c r="M226" s="660">
        <v>471233.49</v>
      </c>
      <c r="N226" s="660">
        <v>0</v>
      </c>
      <c r="O226" s="660">
        <v>75397.36</v>
      </c>
      <c r="P226" s="660">
        <v>546630.85</v>
      </c>
      <c r="Q226" s="548"/>
      <c r="R226" s="660">
        <v>471232.63</v>
      </c>
      <c r="S226" s="549">
        <f t="shared" si="259"/>
        <v>75398.219999999972</v>
      </c>
      <c r="T226" s="113" t="s">
        <v>283</v>
      </c>
      <c r="U226" s="267"/>
      <c r="V226" s="93"/>
      <c r="W226" s="267"/>
      <c r="X226" s="267"/>
      <c r="Y226" s="93"/>
      <c r="Z226" s="618"/>
      <c r="AA226" s="424"/>
      <c r="AB226" s="715"/>
      <c r="AC226" s="424"/>
      <c r="AD226" s="425"/>
      <c r="AE226" s="424"/>
      <c r="AF226" s="424"/>
      <c r="AG226" s="396"/>
      <c r="AH226" s="361"/>
      <c r="AI226" s="313"/>
      <c r="AJ226" s="374"/>
      <c r="AK226" s="374"/>
      <c r="AL226" s="374"/>
      <c r="AM226" s="374"/>
      <c r="AN226" s="296"/>
      <c r="AO226" s="296"/>
      <c r="AP226" s="296"/>
      <c r="AQ226" s="296"/>
      <c r="AR226" s="296"/>
      <c r="AS226" s="296"/>
      <c r="AT226" s="296"/>
      <c r="AU226" s="296"/>
    </row>
    <row r="227" spans="1:47" s="291" customFormat="1" x14ac:dyDescent="0.2">
      <c r="A227" s="423">
        <f t="shared" si="125"/>
        <v>220</v>
      </c>
      <c r="B227" s="721" t="s">
        <v>7969</v>
      </c>
      <c r="C227" s="771">
        <v>521909</v>
      </c>
      <c r="D227" s="771">
        <v>6986</v>
      </c>
      <c r="E227" s="771" t="s">
        <v>707</v>
      </c>
      <c r="F227" s="546"/>
      <c r="G227" s="659">
        <v>43048</v>
      </c>
      <c r="H227" s="655" t="s">
        <v>774</v>
      </c>
      <c r="I227" s="655" t="s">
        <v>7693</v>
      </c>
      <c r="J227" s="712"/>
      <c r="K227" s="655" t="s">
        <v>8159</v>
      </c>
      <c r="L227" s="655" t="s">
        <v>7501</v>
      </c>
      <c r="M227" s="660">
        <v>558006.86</v>
      </c>
      <c r="N227" s="660">
        <v>46562.11</v>
      </c>
      <c r="O227" s="660">
        <v>96731.03</v>
      </c>
      <c r="P227" s="660">
        <v>701300</v>
      </c>
      <c r="Q227" s="548"/>
      <c r="R227" s="660">
        <v>516439.76</v>
      </c>
      <c r="S227" s="549">
        <f t="shared" si="259"/>
        <v>184860.24</v>
      </c>
      <c r="T227" s="113" t="s">
        <v>1932</v>
      </c>
      <c r="U227" s="722" t="str">
        <f t="shared" ref="U227" si="326">+B227</f>
        <v>AA12272</v>
      </c>
      <c r="V227" s="723" t="str">
        <f t="shared" ref="V227" si="327">+I227</f>
        <v>1847-TCN17</v>
      </c>
      <c r="W227" s="722">
        <f t="shared" ref="W227" si="328">+C227</f>
        <v>521909</v>
      </c>
      <c r="X227" s="722" t="str">
        <f t="shared" ref="X227" si="329">+E227</f>
        <v>HIGHLANDER LIMITED BLUE- RAY</v>
      </c>
      <c r="Y227" s="723">
        <f t="shared" ref="Y227" si="330">+F227</f>
        <v>0</v>
      </c>
      <c r="Z227" s="778">
        <f t="shared" ref="Z227" si="331">+M227</f>
        <v>558006.86</v>
      </c>
      <c r="AA227" s="629"/>
      <c r="AB227" s="793"/>
      <c r="AC227" s="780">
        <f t="shared" ref="AC227" si="332">VLOOKUP(Z227,TARIFA,1)</f>
        <v>443562.4</v>
      </c>
      <c r="AD227" s="726">
        <f t="shared" ref="AD227" si="333">VLOOKUP(Z227,TARIFA,4)</f>
        <v>0.17</v>
      </c>
      <c r="AE227" s="629">
        <f t="shared" ref="AE227" si="334">VLOOKUP(Z227,TARIFA,3)</f>
        <v>27106.55</v>
      </c>
      <c r="AF227" s="629">
        <f t="shared" ref="AF227" si="335">+N227</f>
        <v>46562.11</v>
      </c>
      <c r="AG227" s="727">
        <f t="shared" ref="AG227" si="336">+N227-AF227</f>
        <v>0</v>
      </c>
      <c r="AH227" s="361"/>
      <c r="AI227" s="313"/>
      <c r="AJ227" s="374"/>
      <c r="AK227" s="374"/>
      <c r="AL227" s="374"/>
      <c r="AM227" s="374"/>
      <c r="AN227" s="296"/>
      <c r="AO227" s="296"/>
      <c r="AP227" s="296"/>
      <c r="AQ227" s="296"/>
      <c r="AR227" s="296"/>
      <c r="AS227" s="296"/>
      <c r="AT227" s="296"/>
      <c r="AU227" s="296"/>
    </row>
    <row r="228" spans="1:47" s="291" customFormat="1" x14ac:dyDescent="0.2">
      <c r="A228" s="423">
        <f t="shared" si="125"/>
        <v>221</v>
      </c>
      <c r="B228" s="721" t="s">
        <v>7976</v>
      </c>
      <c r="C228" s="771">
        <v>1520302</v>
      </c>
      <c r="D228" s="771">
        <v>7441</v>
      </c>
      <c r="E228" s="771" t="s">
        <v>715</v>
      </c>
      <c r="F228" s="546"/>
      <c r="G228" s="659">
        <v>43047</v>
      </c>
      <c r="H228" s="655" t="s">
        <v>727</v>
      </c>
      <c r="I228" s="655" t="s">
        <v>6388</v>
      </c>
      <c r="J228" s="712"/>
      <c r="K228" s="655" t="s">
        <v>1731</v>
      </c>
      <c r="L228" s="655" t="s">
        <v>6649</v>
      </c>
      <c r="M228" s="660">
        <v>-532019.69999999995</v>
      </c>
      <c r="N228" s="660">
        <v>-26600.99</v>
      </c>
      <c r="O228" s="660">
        <v>-89379.31</v>
      </c>
      <c r="P228" s="660">
        <v>-648000</v>
      </c>
      <c r="Q228" s="548"/>
      <c r="R228" s="660">
        <v>-471232.63</v>
      </c>
      <c r="S228" s="549">
        <f t="shared" si="259"/>
        <v>-176767.37</v>
      </c>
      <c r="T228" s="113" t="s">
        <v>1931</v>
      </c>
      <c r="U228" s="267"/>
      <c r="V228" s="93"/>
      <c r="W228" s="267"/>
      <c r="X228" s="267"/>
      <c r="Y228" s="93"/>
      <c r="Z228" s="618"/>
      <c r="AA228" s="424"/>
      <c r="AB228" s="715"/>
      <c r="AC228" s="424"/>
      <c r="AD228" s="425"/>
      <c r="AE228" s="424"/>
      <c r="AF228" s="424"/>
      <c r="AG228" s="396"/>
      <c r="AH228" s="361"/>
      <c r="AI228" s="313"/>
      <c r="AJ228" s="374"/>
      <c r="AK228" s="374"/>
      <c r="AL228" s="374"/>
      <c r="AM228" s="374"/>
      <c r="AN228" s="296"/>
      <c r="AO228" s="296"/>
      <c r="AP228" s="296"/>
      <c r="AQ228" s="296"/>
      <c r="AR228" s="296"/>
      <c r="AS228" s="296"/>
      <c r="AT228" s="296"/>
      <c r="AU228" s="296"/>
    </row>
    <row r="229" spans="1:47" s="291" customFormat="1" x14ac:dyDescent="0.2">
      <c r="A229" s="423">
        <f t="shared" si="125"/>
        <v>222</v>
      </c>
      <c r="B229" s="721" t="s">
        <v>7977</v>
      </c>
      <c r="C229" s="771">
        <v>1520302</v>
      </c>
      <c r="D229" s="771">
        <v>7441</v>
      </c>
      <c r="E229" s="771" t="s">
        <v>715</v>
      </c>
      <c r="F229" s="546"/>
      <c r="G229" s="659">
        <v>43047</v>
      </c>
      <c r="H229" s="655" t="s">
        <v>751</v>
      </c>
      <c r="I229" s="655" t="s">
        <v>6388</v>
      </c>
      <c r="J229" s="712"/>
      <c r="K229" s="655" t="s">
        <v>7064</v>
      </c>
      <c r="L229" s="655" t="s">
        <v>6649</v>
      </c>
      <c r="M229" s="660">
        <v>532019.69999999995</v>
      </c>
      <c r="N229" s="660">
        <v>26600.99</v>
      </c>
      <c r="O229" s="660">
        <v>89379.31</v>
      </c>
      <c r="P229" s="660">
        <v>648000</v>
      </c>
      <c r="Q229" s="548"/>
      <c r="R229" s="660">
        <v>471232.63</v>
      </c>
      <c r="S229" s="549">
        <f t="shared" si="259"/>
        <v>176767.37</v>
      </c>
      <c r="T229" s="113" t="s">
        <v>1931</v>
      </c>
      <c r="U229" s="267"/>
      <c r="V229" s="93"/>
      <c r="W229" s="267"/>
      <c r="X229" s="267"/>
      <c r="Y229" s="93"/>
      <c r="Z229" s="618"/>
      <c r="AA229" s="424"/>
      <c r="AB229" s="715"/>
      <c r="AC229" s="424"/>
      <c r="AD229" s="425"/>
      <c r="AE229" s="424"/>
      <c r="AF229" s="424"/>
      <c r="AG229" s="396"/>
      <c r="AH229" s="361"/>
      <c r="AI229" s="313"/>
      <c r="AJ229" s="374"/>
      <c r="AK229" s="374"/>
      <c r="AL229" s="374"/>
      <c r="AM229" s="374"/>
      <c r="AN229" s="296"/>
      <c r="AO229" s="296"/>
      <c r="AP229" s="296"/>
      <c r="AQ229" s="296"/>
      <c r="AR229" s="296"/>
      <c r="AS229" s="296"/>
      <c r="AT229" s="296"/>
      <c r="AU229" s="296"/>
    </row>
    <row r="230" spans="1:47" s="291" customFormat="1" x14ac:dyDescent="0.2">
      <c r="A230" s="423">
        <f t="shared" si="125"/>
        <v>223</v>
      </c>
      <c r="B230" s="721" t="s">
        <v>7978</v>
      </c>
      <c r="C230" s="771">
        <v>1520302</v>
      </c>
      <c r="D230" s="771">
        <v>7441</v>
      </c>
      <c r="E230" s="771" t="s">
        <v>715</v>
      </c>
      <c r="F230" s="546"/>
      <c r="G230" s="659">
        <v>43048</v>
      </c>
      <c r="H230" s="655" t="s">
        <v>751</v>
      </c>
      <c r="I230" s="655" t="s">
        <v>6388</v>
      </c>
      <c r="J230" s="712"/>
      <c r="K230" s="655" t="s">
        <v>7064</v>
      </c>
      <c r="L230" s="655" t="s">
        <v>6649</v>
      </c>
      <c r="M230" s="660">
        <v>-532019.69999999995</v>
      </c>
      <c r="N230" s="660">
        <v>-26600.99</v>
      </c>
      <c r="O230" s="660">
        <v>-89379.31</v>
      </c>
      <c r="P230" s="660">
        <v>-648000</v>
      </c>
      <c r="Q230" s="548"/>
      <c r="R230" s="660">
        <v>-471232.63</v>
      </c>
      <c r="S230" s="549">
        <f t="shared" si="259"/>
        <v>-176767.37</v>
      </c>
      <c r="T230" s="113" t="s">
        <v>1931</v>
      </c>
      <c r="U230" s="267"/>
      <c r="V230" s="93"/>
      <c r="W230" s="267"/>
      <c r="X230" s="267"/>
      <c r="Y230" s="93"/>
      <c r="Z230" s="618"/>
      <c r="AA230" s="424"/>
      <c r="AB230" s="715"/>
      <c r="AC230" s="424"/>
      <c r="AD230" s="425"/>
      <c r="AE230" s="424"/>
      <c r="AF230" s="424"/>
      <c r="AG230" s="396"/>
      <c r="AH230" s="361"/>
      <c r="AI230" s="313"/>
      <c r="AJ230" s="374"/>
      <c r="AK230" s="374"/>
      <c r="AL230" s="374"/>
      <c r="AM230" s="374"/>
      <c r="AN230" s="296"/>
      <c r="AO230" s="296"/>
      <c r="AP230" s="296"/>
      <c r="AQ230" s="296"/>
      <c r="AR230" s="296"/>
      <c r="AS230" s="296"/>
      <c r="AT230" s="296"/>
      <c r="AU230" s="296"/>
    </row>
    <row r="231" spans="1:47" s="291" customFormat="1" x14ac:dyDescent="0.2">
      <c r="A231" s="423">
        <f t="shared" si="125"/>
        <v>224</v>
      </c>
      <c r="B231" s="721" t="s">
        <v>7979</v>
      </c>
      <c r="C231" s="771">
        <v>1520302</v>
      </c>
      <c r="D231" s="771">
        <v>7441</v>
      </c>
      <c r="E231" s="771" t="s">
        <v>715</v>
      </c>
      <c r="F231" s="546"/>
      <c r="G231" s="659">
        <v>43048</v>
      </c>
      <c r="H231" s="655" t="s">
        <v>774</v>
      </c>
      <c r="I231" s="655" t="s">
        <v>6388</v>
      </c>
      <c r="J231" s="712"/>
      <c r="K231" s="655" t="s">
        <v>8161</v>
      </c>
      <c r="L231" s="655" t="s">
        <v>6649</v>
      </c>
      <c r="M231" s="660">
        <v>532019.69999999995</v>
      </c>
      <c r="N231" s="660">
        <v>26600.99</v>
      </c>
      <c r="O231" s="660">
        <v>89379.31</v>
      </c>
      <c r="P231" s="660">
        <v>648000</v>
      </c>
      <c r="Q231" s="548"/>
      <c r="R231" s="660">
        <v>471232.63</v>
      </c>
      <c r="S231" s="549">
        <f t="shared" si="259"/>
        <v>176767.37</v>
      </c>
      <c r="T231" s="113" t="s">
        <v>1931</v>
      </c>
      <c r="U231" s="267"/>
      <c r="V231" s="93"/>
      <c r="W231" s="267"/>
      <c r="X231" s="267"/>
      <c r="Y231" s="93"/>
      <c r="Z231" s="618"/>
      <c r="AA231" s="424"/>
      <c r="AB231" s="715"/>
      <c r="AC231" s="424"/>
      <c r="AD231" s="425"/>
      <c r="AE231" s="424"/>
      <c r="AF231" s="424"/>
      <c r="AG231" s="396"/>
      <c r="AH231" s="361"/>
      <c r="AI231" s="313"/>
      <c r="AJ231" s="374"/>
      <c r="AK231" s="374"/>
      <c r="AL231" s="374"/>
      <c r="AM231" s="374"/>
      <c r="AN231" s="296"/>
      <c r="AO231" s="296"/>
      <c r="AP231" s="296"/>
      <c r="AQ231" s="296"/>
      <c r="AR231" s="296"/>
      <c r="AS231" s="296"/>
      <c r="AT231" s="296"/>
      <c r="AU231" s="296"/>
    </row>
    <row r="232" spans="1:47" s="291" customFormat="1" x14ac:dyDescent="0.2">
      <c r="A232" s="423">
        <f t="shared" si="125"/>
        <v>225</v>
      </c>
      <c r="B232" s="721" t="s">
        <v>7973</v>
      </c>
      <c r="C232" s="771">
        <v>521909</v>
      </c>
      <c r="D232" s="771">
        <v>6986</v>
      </c>
      <c r="E232" s="771" t="s">
        <v>707</v>
      </c>
      <c r="F232" s="546"/>
      <c r="G232" s="659">
        <v>43060</v>
      </c>
      <c r="H232" s="655" t="s">
        <v>4285</v>
      </c>
      <c r="I232" s="655" t="s">
        <v>7695</v>
      </c>
      <c r="J232" s="712"/>
      <c r="K232" s="655" t="s">
        <v>8160</v>
      </c>
      <c r="L232" s="655" t="s">
        <v>7503</v>
      </c>
      <c r="M232" s="660">
        <v>558006.86</v>
      </c>
      <c r="N232" s="660">
        <v>46562.11</v>
      </c>
      <c r="O232" s="660">
        <v>96731.03</v>
      </c>
      <c r="P232" s="660">
        <v>701300</v>
      </c>
      <c r="Q232" s="548"/>
      <c r="R232" s="660">
        <v>516439.76</v>
      </c>
      <c r="S232" s="549">
        <f t="shared" si="259"/>
        <v>184860.24</v>
      </c>
      <c r="T232" s="113" t="s">
        <v>1932</v>
      </c>
      <c r="U232" s="722" t="str">
        <f t="shared" ref="U232" si="337">+B232</f>
        <v>AA12343</v>
      </c>
      <c r="V232" s="723" t="str">
        <f t="shared" ref="V232" si="338">+I232</f>
        <v>1875-TCN17</v>
      </c>
      <c r="W232" s="722">
        <f t="shared" ref="W232" si="339">+C232</f>
        <v>521909</v>
      </c>
      <c r="X232" s="722" t="str">
        <f t="shared" ref="X232" si="340">+E232</f>
        <v>HIGHLANDER LIMITED BLUE- RAY</v>
      </c>
      <c r="Y232" s="723">
        <f t="shared" ref="Y232" si="341">+F232</f>
        <v>0</v>
      </c>
      <c r="Z232" s="778">
        <f t="shared" ref="Z232" si="342">+M232</f>
        <v>558006.86</v>
      </c>
      <c r="AA232" s="629">
        <f>+Z232+Z227</f>
        <v>1116013.72</v>
      </c>
      <c r="AB232" s="793">
        <v>2</v>
      </c>
      <c r="AC232" s="780">
        <f t="shared" ref="AC232" si="343">VLOOKUP(Z232,TARIFA,1)</f>
        <v>443562.4</v>
      </c>
      <c r="AD232" s="726">
        <f t="shared" ref="AD232" si="344">VLOOKUP(Z232,TARIFA,4)</f>
        <v>0.17</v>
      </c>
      <c r="AE232" s="629">
        <f t="shared" ref="AE232" si="345">VLOOKUP(Z232,TARIFA,3)</f>
        <v>27106.55</v>
      </c>
      <c r="AF232" s="629">
        <f t="shared" ref="AF232" si="346">+N232</f>
        <v>46562.11</v>
      </c>
      <c r="AG232" s="727">
        <f t="shared" ref="AG232" si="347">+N232-AF232</f>
        <v>0</v>
      </c>
      <c r="AH232" s="361"/>
      <c r="AI232" s="313"/>
      <c r="AJ232" s="374"/>
      <c r="AK232" s="374"/>
      <c r="AL232" s="374"/>
      <c r="AM232" s="374"/>
      <c r="AN232" s="296"/>
      <c r="AO232" s="296"/>
      <c r="AP232" s="296"/>
      <c r="AQ232" s="296"/>
      <c r="AR232" s="296"/>
      <c r="AS232" s="296"/>
      <c r="AT232" s="296"/>
      <c r="AU232" s="296"/>
    </row>
    <row r="233" spans="1:47" s="351" customFormat="1" x14ac:dyDescent="0.2">
      <c r="A233" s="423">
        <f t="shared" si="125"/>
        <v>226</v>
      </c>
      <c r="B233" s="721" t="s">
        <v>7971</v>
      </c>
      <c r="C233" s="771">
        <v>521909</v>
      </c>
      <c r="D233" s="771">
        <v>6986</v>
      </c>
      <c r="E233" s="771" t="s">
        <v>707</v>
      </c>
      <c r="F233" s="546"/>
      <c r="G233" s="659">
        <v>43054</v>
      </c>
      <c r="H233" s="655" t="s">
        <v>4285</v>
      </c>
      <c r="I233" s="655" t="s">
        <v>7695</v>
      </c>
      <c r="J233" s="712"/>
      <c r="K233" s="655" t="s">
        <v>8160</v>
      </c>
      <c r="L233" s="655" t="s">
        <v>7503</v>
      </c>
      <c r="M233" s="660">
        <v>558006.86</v>
      </c>
      <c r="N233" s="660">
        <v>46562.11</v>
      </c>
      <c r="O233" s="660">
        <v>96731.03</v>
      </c>
      <c r="P233" s="660">
        <v>701300</v>
      </c>
      <c r="Q233" s="548"/>
      <c r="R233" s="660">
        <v>516439.76</v>
      </c>
      <c r="S233" s="549">
        <f t="shared" si="259"/>
        <v>184860.24</v>
      </c>
      <c r="T233" s="267" t="s">
        <v>1931</v>
      </c>
      <c r="U233" s="267"/>
      <c r="V233" s="93"/>
      <c r="W233" s="267"/>
      <c r="X233" s="267"/>
      <c r="Y233" s="93"/>
      <c r="Z233" s="618"/>
      <c r="AA233" s="424"/>
      <c r="AB233" s="715"/>
      <c r="AC233" s="424"/>
      <c r="AD233" s="425"/>
      <c r="AE233" s="424"/>
      <c r="AF233" s="424"/>
      <c r="AG233" s="396"/>
      <c r="AH233" s="361"/>
      <c r="AI233" s="313"/>
      <c r="AJ233" s="374"/>
      <c r="AK233" s="331"/>
      <c r="AL233" s="331"/>
      <c r="AM233" s="331"/>
      <c r="AN233" s="352"/>
      <c r="AO233" s="352"/>
      <c r="AP233" s="352"/>
      <c r="AQ233" s="352"/>
      <c r="AR233" s="352"/>
      <c r="AS233" s="352"/>
      <c r="AT233" s="352"/>
      <c r="AU233" s="352"/>
    </row>
    <row r="234" spans="1:47" s="291" customFormat="1" x14ac:dyDescent="0.2">
      <c r="A234" s="423">
        <f t="shared" si="125"/>
        <v>227</v>
      </c>
      <c r="B234" s="721" t="s">
        <v>7972</v>
      </c>
      <c r="C234" s="771">
        <v>521909</v>
      </c>
      <c r="D234" s="771">
        <v>6986</v>
      </c>
      <c r="E234" s="771" t="s">
        <v>707</v>
      </c>
      <c r="F234" s="546"/>
      <c r="G234" s="659">
        <v>43060</v>
      </c>
      <c r="H234" s="655" t="s">
        <v>4285</v>
      </c>
      <c r="I234" s="655" t="s">
        <v>7695</v>
      </c>
      <c r="J234" s="712"/>
      <c r="K234" s="655" t="s">
        <v>8160</v>
      </c>
      <c r="L234" s="655" t="s">
        <v>7503</v>
      </c>
      <c r="M234" s="660">
        <v>-558006.86</v>
      </c>
      <c r="N234" s="660">
        <v>-46562.11</v>
      </c>
      <c r="O234" s="660">
        <v>-96731.03</v>
      </c>
      <c r="P234" s="660">
        <v>-701300</v>
      </c>
      <c r="Q234" s="548"/>
      <c r="R234" s="660">
        <v>-516439.76</v>
      </c>
      <c r="S234" s="549">
        <f t="shared" si="259"/>
        <v>-184860.24</v>
      </c>
      <c r="T234" s="267" t="s">
        <v>1931</v>
      </c>
      <c r="U234" s="267"/>
      <c r="V234" s="93"/>
      <c r="W234" s="267"/>
      <c r="X234" s="267"/>
      <c r="Y234" s="93"/>
      <c r="Z234" s="618"/>
      <c r="AA234" s="424"/>
      <c r="AB234" s="715"/>
      <c r="AC234" s="424"/>
      <c r="AD234" s="425"/>
      <c r="AE234" s="424"/>
      <c r="AF234" s="424"/>
      <c r="AG234" s="396"/>
      <c r="AH234" s="361"/>
      <c r="AI234" s="313"/>
      <c r="AJ234" s="374"/>
      <c r="AK234" s="374"/>
      <c r="AL234" s="374"/>
      <c r="AM234" s="374"/>
      <c r="AN234" s="296"/>
      <c r="AO234" s="296"/>
      <c r="AP234" s="296"/>
      <c r="AQ234" s="296"/>
      <c r="AR234" s="296"/>
      <c r="AS234" s="296"/>
      <c r="AT234" s="296"/>
      <c r="AU234" s="296"/>
    </row>
    <row r="235" spans="1:47" s="351" customFormat="1" x14ac:dyDescent="0.2">
      <c r="A235" s="423">
        <f t="shared" si="125"/>
        <v>228</v>
      </c>
      <c r="B235" s="721" t="s">
        <v>7766</v>
      </c>
      <c r="C235" s="771">
        <v>522401</v>
      </c>
      <c r="D235" s="771">
        <v>1062</v>
      </c>
      <c r="E235" s="771" t="s">
        <v>709</v>
      </c>
      <c r="F235" s="546"/>
      <c r="G235" s="659">
        <v>43053</v>
      </c>
      <c r="H235" s="655" t="s">
        <v>819</v>
      </c>
      <c r="I235" s="655" t="s">
        <v>7569</v>
      </c>
      <c r="J235" s="712"/>
      <c r="K235" s="655" t="s">
        <v>6438</v>
      </c>
      <c r="L235" s="655" t="s">
        <v>7377</v>
      </c>
      <c r="M235" s="660">
        <v>234892.46</v>
      </c>
      <c r="N235" s="660">
        <v>2348.92</v>
      </c>
      <c r="O235" s="660">
        <v>37958.620000000003</v>
      </c>
      <c r="P235" s="660">
        <v>275200</v>
      </c>
      <c r="Q235" s="548"/>
      <c r="R235" s="660">
        <v>212490.67</v>
      </c>
      <c r="S235" s="549">
        <f t="shared" si="259"/>
        <v>62709.329999999987</v>
      </c>
      <c r="T235" s="113" t="s">
        <v>1932</v>
      </c>
      <c r="U235" s="722" t="str">
        <f t="shared" ref="U235" si="348">+B235</f>
        <v>AA12304</v>
      </c>
      <c r="V235" s="723" t="str">
        <f t="shared" ref="V235" si="349">+I235</f>
        <v>0053-TCN18</v>
      </c>
      <c r="W235" s="722">
        <f t="shared" ref="W235" si="350">+C235</f>
        <v>522401</v>
      </c>
      <c r="X235" s="722" t="str">
        <f t="shared" ref="X235" si="351">+E235</f>
        <v>YARIS XLE R AT</v>
      </c>
      <c r="Y235" s="723">
        <f t="shared" ref="Y235" si="352">+F235</f>
        <v>0</v>
      </c>
      <c r="Z235" s="778">
        <f t="shared" ref="Z235" si="353">+M235</f>
        <v>234892.46</v>
      </c>
      <c r="AA235" s="629"/>
      <c r="AB235" s="793"/>
      <c r="AC235" s="780">
        <f t="shared" ref="AC235" si="354">VLOOKUP(Z235,TARIFA,1)</f>
        <v>0.01</v>
      </c>
      <c r="AD235" s="726">
        <f t="shared" ref="AD235" si="355">VLOOKUP(Z235,TARIFA,4)</f>
        <v>0.02</v>
      </c>
      <c r="AE235" s="629">
        <f t="shared" ref="AE235" si="356">VLOOKUP(Z235,TARIFA,3)</f>
        <v>0</v>
      </c>
      <c r="AF235" s="629">
        <f t="shared" ref="AF235" si="357">+N235</f>
        <v>2348.92</v>
      </c>
      <c r="AG235" s="727">
        <f t="shared" ref="AG235" si="358">+N235-AF235</f>
        <v>0</v>
      </c>
      <c r="AH235" s="361"/>
      <c r="AI235" s="313"/>
      <c r="AJ235" s="374"/>
      <c r="AK235" s="331"/>
      <c r="AL235" s="331"/>
      <c r="AM235" s="331"/>
      <c r="AN235" s="352"/>
      <c r="AO235" s="352"/>
      <c r="AP235" s="352"/>
      <c r="AQ235" s="352"/>
      <c r="AR235" s="352"/>
      <c r="AS235" s="352"/>
      <c r="AT235" s="352"/>
      <c r="AU235" s="352"/>
    </row>
    <row r="236" spans="1:47" s="352" customFormat="1" x14ac:dyDescent="0.2">
      <c r="A236" s="423">
        <f t="shared" si="125"/>
        <v>229</v>
      </c>
      <c r="B236" s="721" t="s">
        <v>7992</v>
      </c>
      <c r="C236" s="771">
        <v>1520606</v>
      </c>
      <c r="D236" s="771">
        <v>7490</v>
      </c>
      <c r="E236" s="771" t="s">
        <v>6935</v>
      </c>
      <c r="F236" s="546"/>
      <c r="G236" s="659">
        <v>43060</v>
      </c>
      <c r="H236" s="655"/>
      <c r="I236" s="655" t="s">
        <v>7698</v>
      </c>
      <c r="J236" s="712"/>
      <c r="K236" s="655" t="s">
        <v>1688</v>
      </c>
      <c r="L236" s="655" t="s">
        <v>7506</v>
      </c>
      <c r="M236" s="660">
        <v>305702.84000000003</v>
      </c>
      <c r="N236" s="660">
        <v>0</v>
      </c>
      <c r="O236" s="660">
        <v>48912.45</v>
      </c>
      <c r="P236" s="660">
        <v>354615.29</v>
      </c>
      <c r="Q236" s="548"/>
      <c r="R236" s="660">
        <v>305347.49</v>
      </c>
      <c r="S236" s="549">
        <f t="shared" si="259"/>
        <v>49267.799999999988</v>
      </c>
      <c r="T236" s="113" t="s">
        <v>283</v>
      </c>
      <c r="U236" s="267"/>
      <c r="V236" s="93"/>
      <c r="W236" s="267"/>
      <c r="X236" s="267"/>
      <c r="Y236" s="93"/>
      <c r="Z236" s="618"/>
      <c r="AA236" s="717"/>
      <c r="AB236" s="116"/>
      <c r="AC236" s="424"/>
      <c r="AD236" s="425"/>
      <c r="AE236" s="424"/>
      <c r="AF236" s="424"/>
      <c r="AG236" s="396"/>
      <c r="AH236" s="361"/>
      <c r="AI236" s="313"/>
      <c r="AJ236" s="374"/>
      <c r="AK236" s="331"/>
      <c r="AL236" s="331"/>
      <c r="AM236" s="331"/>
    </row>
    <row r="237" spans="1:47" s="412" customFormat="1" x14ac:dyDescent="0.2">
      <c r="A237" s="423">
        <f t="shared" si="125"/>
        <v>230</v>
      </c>
      <c r="B237" s="721" t="s">
        <v>7993</v>
      </c>
      <c r="C237" s="771">
        <v>1520605</v>
      </c>
      <c r="D237" s="771">
        <v>7491</v>
      </c>
      <c r="E237" s="771" t="s">
        <v>6939</v>
      </c>
      <c r="F237" s="546"/>
      <c r="G237" s="659">
        <v>43041</v>
      </c>
      <c r="H237" s="655"/>
      <c r="I237" s="655" t="s">
        <v>7699</v>
      </c>
      <c r="J237" s="712"/>
      <c r="K237" s="655" t="s">
        <v>357</v>
      </c>
      <c r="L237" s="655" t="s">
        <v>7507</v>
      </c>
      <c r="M237" s="660">
        <v>420579.68</v>
      </c>
      <c r="N237" s="660">
        <v>0</v>
      </c>
      <c r="O237" s="660">
        <v>67292.75</v>
      </c>
      <c r="P237" s="660">
        <v>487872.43</v>
      </c>
      <c r="Q237" s="548"/>
      <c r="R237" s="660">
        <v>420224.34</v>
      </c>
      <c r="S237" s="549">
        <f t="shared" si="259"/>
        <v>67648.089999999967</v>
      </c>
      <c r="T237" s="113" t="s">
        <v>283</v>
      </c>
      <c r="U237" s="267"/>
      <c r="V237" s="93"/>
      <c r="W237" s="267"/>
      <c r="X237" s="267"/>
      <c r="Y237" s="93"/>
      <c r="Z237" s="618"/>
      <c r="AA237" s="271"/>
      <c r="AB237" s="116"/>
      <c r="AC237" s="424"/>
      <c r="AD237" s="425"/>
      <c r="AE237" s="424"/>
      <c r="AF237" s="424"/>
      <c r="AG237" s="396"/>
      <c r="AH237" s="361"/>
      <c r="AI237" s="313"/>
      <c r="AJ237" s="374"/>
      <c r="AK237" s="374"/>
      <c r="AL237" s="374"/>
      <c r="AM237" s="374"/>
      <c r="AN237" s="296"/>
      <c r="AO237" s="296"/>
      <c r="AP237" s="296"/>
      <c r="AQ237" s="296"/>
      <c r="AR237" s="296"/>
      <c r="AS237" s="296"/>
      <c r="AT237" s="296"/>
      <c r="AU237" s="296"/>
    </row>
    <row r="238" spans="1:47" s="351" customFormat="1" x14ac:dyDescent="0.2">
      <c r="A238" s="423">
        <f t="shared" si="125"/>
        <v>231</v>
      </c>
      <c r="B238" s="721" t="s">
        <v>7994</v>
      </c>
      <c r="C238" s="771">
        <v>1520605</v>
      </c>
      <c r="D238" s="771">
        <v>7491</v>
      </c>
      <c r="E238" s="771" t="s">
        <v>6939</v>
      </c>
      <c r="F238" s="546"/>
      <c r="G238" s="659">
        <v>43041</v>
      </c>
      <c r="H238" s="655"/>
      <c r="I238" s="655" t="s">
        <v>7700</v>
      </c>
      <c r="J238" s="712"/>
      <c r="K238" s="655" t="s">
        <v>1144</v>
      </c>
      <c r="L238" s="655" t="s">
        <v>7508</v>
      </c>
      <c r="M238" s="660">
        <v>-420579.68</v>
      </c>
      <c r="N238" s="660">
        <v>0</v>
      </c>
      <c r="O238" s="660">
        <v>-67292.75</v>
      </c>
      <c r="P238" s="660">
        <v>-487872.43</v>
      </c>
      <c r="Q238" s="548"/>
      <c r="R238" s="660">
        <v>-420224.34</v>
      </c>
      <c r="S238" s="549">
        <f t="shared" si="259"/>
        <v>-67648.089999999967</v>
      </c>
      <c r="T238" s="113" t="s">
        <v>283</v>
      </c>
      <c r="U238" s="267"/>
      <c r="V238" s="93"/>
      <c r="W238" s="267"/>
      <c r="X238" s="267"/>
      <c r="Y238" s="93"/>
      <c r="Z238" s="618"/>
      <c r="AA238" s="717"/>
      <c r="AB238" s="116"/>
      <c r="AC238" s="424"/>
      <c r="AD238" s="425"/>
      <c r="AE238" s="424"/>
      <c r="AF238" s="424"/>
      <c r="AG238" s="396"/>
      <c r="AH238" s="272"/>
      <c r="AI238" s="313"/>
      <c r="AJ238" s="374"/>
      <c r="AK238" s="331"/>
      <c r="AL238" s="331"/>
      <c r="AM238" s="331"/>
      <c r="AN238" s="352"/>
      <c r="AO238" s="352"/>
      <c r="AP238" s="352"/>
      <c r="AQ238" s="352"/>
      <c r="AR238" s="352"/>
      <c r="AS238" s="352"/>
      <c r="AT238" s="352"/>
      <c r="AU238" s="352"/>
    </row>
    <row r="239" spans="1:47" s="351" customFormat="1" x14ac:dyDescent="0.2">
      <c r="A239" s="423">
        <f t="shared" si="125"/>
        <v>232</v>
      </c>
      <c r="B239" s="721" t="s">
        <v>7995</v>
      </c>
      <c r="C239" s="771">
        <v>1520605</v>
      </c>
      <c r="D239" s="771">
        <v>7491</v>
      </c>
      <c r="E239" s="771" t="s">
        <v>6939</v>
      </c>
      <c r="F239" s="546"/>
      <c r="G239" s="659">
        <v>43041</v>
      </c>
      <c r="H239" s="655"/>
      <c r="I239" s="655" t="s">
        <v>7700</v>
      </c>
      <c r="J239" s="712"/>
      <c r="K239" s="655" t="s">
        <v>1144</v>
      </c>
      <c r="L239" s="655" t="s">
        <v>7508</v>
      </c>
      <c r="M239" s="660">
        <v>420579.68</v>
      </c>
      <c r="N239" s="660">
        <v>0</v>
      </c>
      <c r="O239" s="660">
        <v>67292.75</v>
      </c>
      <c r="P239" s="660">
        <v>487872.43</v>
      </c>
      <c r="Q239" s="548"/>
      <c r="R239" s="660">
        <v>420224.34</v>
      </c>
      <c r="S239" s="549">
        <f t="shared" si="259"/>
        <v>67648.089999999967</v>
      </c>
      <c r="T239" s="113" t="s">
        <v>283</v>
      </c>
      <c r="U239" s="267"/>
      <c r="V239" s="93"/>
      <c r="W239" s="267"/>
      <c r="X239" s="267"/>
      <c r="Y239" s="93"/>
      <c r="Z239" s="618"/>
      <c r="AA239" s="717"/>
      <c r="AB239" s="116"/>
      <c r="AC239" s="424"/>
      <c r="AD239" s="425"/>
      <c r="AE239" s="424"/>
      <c r="AF239" s="424"/>
      <c r="AG239" s="396"/>
      <c r="AH239" s="272"/>
      <c r="AI239" s="313"/>
      <c r="AJ239" s="374"/>
      <c r="AK239" s="331"/>
      <c r="AL239" s="331"/>
      <c r="AM239" s="331"/>
      <c r="AN239" s="352"/>
      <c r="AO239" s="352"/>
      <c r="AP239" s="352"/>
      <c r="AQ239" s="352"/>
      <c r="AR239" s="352"/>
      <c r="AS239" s="352"/>
      <c r="AT239" s="352"/>
      <c r="AU239" s="352"/>
    </row>
    <row r="240" spans="1:47" s="291" customFormat="1" x14ac:dyDescent="0.2">
      <c r="A240" s="423">
        <f t="shared" si="125"/>
        <v>233</v>
      </c>
      <c r="B240" s="721" t="s">
        <v>7996</v>
      </c>
      <c r="C240" s="771">
        <v>1520605</v>
      </c>
      <c r="D240" s="771">
        <v>7491</v>
      </c>
      <c r="E240" s="771" t="s">
        <v>6939</v>
      </c>
      <c r="F240" s="546"/>
      <c r="G240" s="659">
        <v>43041</v>
      </c>
      <c r="H240" s="655"/>
      <c r="I240" s="655" t="s">
        <v>7700</v>
      </c>
      <c r="J240" s="712"/>
      <c r="K240" s="655" t="s">
        <v>1670</v>
      </c>
      <c r="L240" s="655" t="s">
        <v>7508</v>
      </c>
      <c r="M240" s="660">
        <v>420579.68</v>
      </c>
      <c r="N240" s="660">
        <v>0</v>
      </c>
      <c r="O240" s="660">
        <v>67292.75</v>
      </c>
      <c r="P240" s="660">
        <v>487872.43</v>
      </c>
      <c r="Q240" s="548"/>
      <c r="R240" s="660">
        <v>420224.34</v>
      </c>
      <c r="S240" s="549">
        <f t="shared" si="259"/>
        <v>67648.089999999967</v>
      </c>
      <c r="T240" s="113" t="s">
        <v>283</v>
      </c>
      <c r="U240" s="267"/>
      <c r="V240" s="93"/>
      <c r="W240" s="267"/>
      <c r="X240" s="267"/>
      <c r="Y240" s="93"/>
      <c r="Z240" s="618"/>
      <c r="AA240" s="271"/>
      <c r="AB240" s="116"/>
      <c r="AC240" s="424"/>
      <c r="AD240" s="425"/>
      <c r="AE240" s="424"/>
      <c r="AF240" s="424"/>
      <c r="AG240" s="396"/>
      <c r="AH240" s="272"/>
      <c r="AI240" s="313"/>
      <c r="AJ240" s="374"/>
      <c r="AK240" s="374"/>
      <c r="AL240" s="374"/>
      <c r="AM240" s="374"/>
      <c r="AN240" s="296"/>
      <c r="AO240" s="296"/>
      <c r="AP240" s="296"/>
      <c r="AQ240" s="296"/>
      <c r="AR240" s="296"/>
      <c r="AS240" s="296"/>
      <c r="AT240" s="296"/>
      <c r="AU240" s="296"/>
    </row>
    <row r="241" spans="1:47" s="291" customFormat="1" x14ac:dyDescent="0.2">
      <c r="A241" s="423">
        <f t="shared" si="125"/>
        <v>234</v>
      </c>
      <c r="B241" s="721" t="s">
        <v>7769</v>
      </c>
      <c r="C241" s="771">
        <v>522401</v>
      </c>
      <c r="D241" s="771">
        <v>1062</v>
      </c>
      <c r="E241" s="771" t="s">
        <v>709</v>
      </c>
      <c r="F241" s="546"/>
      <c r="G241" s="659">
        <v>43067</v>
      </c>
      <c r="H241" s="655" t="s">
        <v>7761</v>
      </c>
      <c r="I241" s="655" t="s">
        <v>7570</v>
      </c>
      <c r="J241" s="712"/>
      <c r="K241" s="655" t="s">
        <v>8096</v>
      </c>
      <c r="L241" s="655" t="s">
        <v>7378</v>
      </c>
      <c r="M241" s="660">
        <v>219827.59</v>
      </c>
      <c r="N241" s="660">
        <v>0</v>
      </c>
      <c r="O241" s="660">
        <v>35172.410000000003</v>
      </c>
      <c r="P241" s="660">
        <v>255000</v>
      </c>
      <c r="Q241" s="548"/>
      <c r="R241" s="660">
        <v>208035.7</v>
      </c>
      <c r="S241" s="549">
        <f t="shared" si="259"/>
        <v>46964.299999999988</v>
      </c>
      <c r="T241" s="113" t="s">
        <v>1932</v>
      </c>
      <c r="U241" s="722" t="str">
        <f t="shared" ref="U241:U242" si="359">+B241</f>
        <v>AA12412</v>
      </c>
      <c r="V241" s="723" t="str">
        <f t="shared" ref="V241:V242" si="360">+I241</f>
        <v>1332-TCN17</v>
      </c>
      <c r="W241" s="722">
        <f t="shared" ref="W241:W242" si="361">+C241</f>
        <v>522401</v>
      </c>
      <c r="X241" s="722" t="str">
        <f t="shared" ref="X241:X242" si="362">+E241</f>
        <v>YARIS XLE R AT</v>
      </c>
      <c r="Y241" s="723">
        <f t="shared" ref="Y241:Y242" si="363">+F241</f>
        <v>0</v>
      </c>
      <c r="Z241" s="778">
        <f t="shared" ref="Z241:Z242" si="364">+M241</f>
        <v>219827.59</v>
      </c>
      <c r="AA241" s="629">
        <f>+SUM(Z235:Z241)</f>
        <v>454720.05</v>
      </c>
      <c r="AB241" s="799">
        <v>2</v>
      </c>
      <c r="AC241" s="780">
        <f t="shared" ref="AC241:AC242" si="365">VLOOKUP(Z241,TARIFA,1)</f>
        <v>0.01</v>
      </c>
      <c r="AD241" s="726">
        <f t="shared" ref="AD241:AD242" si="366">VLOOKUP(Z241,TARIFA,4)</f>
        <v>0.02</v>
      </c>
      <c r="AE241" s="629">
        <f t="shared" ref="AE241:AE242" si="367">VLOOKUP(Z241,TARIFA,3)</f>
        <v>0</v>
      </c>
      <c r="AF241" s="629">
        <f t="shared" ref="AF241:AF242" si="368">+N241</f>
        <v>0</v>
      </c>
      <c r="AG241" s="727">
        <f t="shared" ref="AG241:AG242" si="369">+N241-AF241</f>
        <v>0</v>
      </c>
      <c r="AH241" s="272"/>
      <c r="AI241" s="313"/>
      <c r="AJ241" s="374"/>
      <c r="AK241" s="374"/>
      <c r="AL241" s="374"/>
      <c r="AM241" s="374"/>
      <c r="AN241" s="296"/>
      <c r="AO241" s="296"/>
      <c r="AP241" s="296"/>
      <c r="AQ241" s="296"/>
      <c r="AR241" s="296"/>
      <c r="AS241" s="296"/>
      <c r="AT241" s="296"/>
      <c r="AU241" s="296"/>
    </row>
    <row r="242" spans="1:47" s="351" customFormat="1" x14ac:dyDescent="0.2">
      <c r="A242" s="423">
        <f t="shared" si="125"/>
        <v>235</v>
      </c>
      <c r="B242" s="786" t="s">
        <v>8015</v>
      </c>
      <c r="C242" s="771">
        <v>1520104</v>
      </c>
      <c r="D242" s="771">
        <v>7493</v>
      </c>
      <c r="E242" s="771" t="s">
        <v>6945</v>
      </c>
      <c r="F242" s="546"/>
      <c r="G242" s="659">
        <v>43045</v>
      </c>
      <c r="H242" s="655" t="s">
        <v>727</v>
      </c>
      <c r="I242" s="655" t="s">
        <v>7709</v>
      </c>
      <c r="J242" s="712"/>
      <c r="K242" s="655" t="s">
        <v>8165</v>
      </c>
      <c r="L242" s="655" t="s">
        <v>7517</v>
      </c>
      <c r="M242" s="660">
        <v>253694.58</v>
      </c>
      <c r="N242" s="660">
        <v>12684.73</v>
      </c>
      <c r="O242" s="660">
        <v>42620.69</v>
      </c>
      <c r="P242" s="660">
        <v>309000</v>
      </c>
      <c r="Q242" s="548"/>
      <c r="R242" s="660">
        <v>232477.59</v>
      </c>
      <c r="S242" s="549">
        <f t="shared" si="259"/>
        <v>76522.41</v>
      </c>
      <c r="T242" s="113" t="s">
        <v>1932</v>
      </c>
      <c r="U242" s="722" t="str">
        <f t="shared" si="359"/>
        <v>AA12242</v>
      </c>
      <c r="V242" s="723" t="str">
        <f t="shared" si="360"/>
        <v>0180-TCN18</v>
      </c>
      <c r="W242" s="722">
        <f t="shared" si="361"/>
        <v>1520104</v>
      </c>
      <c r="X242" s="722" t="str">
        <f t="shared" si="362"/>
        <v>HILUX CABINA SENCILLA 5MT 4X2 AC</v>
      </c>
      <c r="Y242" s="723">
        <f t="shared" si="363"/>
        <v>0</v>
      </c>
      <c r="Z242" s="778">
        <f t="shared" si="364"/>
        <v>253694.58</v>
      </c>
      <c r="AA242" s="629"/>
      <c r="AB242" s="795"/>
      <c r="AC242" s="780">
        <f t="shared" si="365"/>
        <v>246423.66</v>
      </c>
      <c r="AD242" s="726">
        <f t="shared" si="366"/>
        <v>0.05</v>
      </c>
      <c r="AE242" s="629">
        <f t="shared" si="367"/>
        <v>4928.3900000000003</v>
      </c>
      <c r="AF242" s="629">
        <f t="shared" si="368"/>
        <v>12684.73</v>
      </c>
      <c r="AG242" s="727">
        <f t="shared" si="369"/>
        <v>0</v>
      </c>
      <c r="AH242" s="350"/>
      <c r="AI242" s="313"/>
      <c r="AJ242" s="374"/>
      <c r="AK242" s="331"/>
      <c r="AL242" s="331"/>
      <c r="AM242" s="331"/>
      <c r="AN242" s="352"/>
      <c r="AO242" s="352"/>
      <c r="AP242" s="352"/>
      <c r="AQ242" s="352"/>
      <c r="AR242" s="352"/>
      <c r="AS242" s="352"/>
      <c r="AT242" s="352"/>
      <c r="AU242" s="352"/>
    </row>
    <row r="243" spans="1:47" s="351" customFormat="1" x14ac:dyDescent="0.2">
      <c r="A243" s="423">
        <f t="shared" si="125"/>
        <v>236</v>
      </c>
      <c r="B243" s="721" t="s">
        <v>7961</v>
      </c>
      <c r="C243" s="771">
        <v>521908</v>
      </c>
      <c r="D243" s="771">
        <v>6980</v>
      </c>
      <c r="E243" s="771" t="s">
        <v>706</v>
      </c>
      <c r="F243" s="546"/>
      <c r="G243" s="659">
        <v>43046</v>
      </c>
      <c r="H243" s="655" t="s">
        <v>5129</v>
      </c>
      <c r="I243" s="655" t="s">
        <v>7688</v>
      </c>
      <c r="J243" s="712"/>
      <c r="K243" s="655" t="s">
        <v>8157</v>
      </c>
      <c r="L243" s="655" t="s">
        <v>7496</v>
      </c>
      <c r="M243" s="660">
        <v>-494493.74</v>
      </c>
      <c r="N243" s="660">
        <v>-35764.879999999997</v>
      </c>
      <c r="O243" s="660">
        <v>-84841.38</v>
      </c>
      <c r="P243" s="660">
        <v>-615100</v>
      </c>
      <c r="Q243" s="548"/>
      <c r="R243" s="660">
        <v>-460548.22</v>
      </c>
      <c r="S243" s="549">
        <f t="shared" si="259"/>
        <v>-154551.78000000003</v>
      </c>
      <c r="T243" s="267" t="s">
        <v>1931</v>
      </c>
      <c r="U243" s="267"/>
      <c r="V243" s="93"/>
      <c r="W243" s="267"/>
      <c r="X243" s="267"/>
      <c r="Y243" s="93"/>
      <c r="Z243" s="618"/>
      <c r="AA243" s="717"/>
      <c r="AB243" s="116"/>
      <c r="AC243" s="424"/>
      <c r="AD243" s="425"/>
      <c r="AE243" s="424"/>
      <c r="AF243" s="424"/>
      <c r="AG243" s="396"/>
      <c r="AH243" s="313"/>
      <c r="AI243" s="313"/>
      <c r="AJ243" s="374"/>
      <c r="AK243" s="331"/>
      <c r="AL243" s="331"/>
      <c r="AM243" s="331"/>
      <c r="AN243" s="352"/>
      <c r="AO243" s="352"/>
      <c r="AP243" s="352"/>
      <c r="AQ243" s="352"/>
      <c r="AR243" s="352"/>
      <c r="AS243" s="352"/>
      <c r="AT243" s="352"/>
      <c r="AU243" s="352"/>
    </row>
    <row r="244" spans="1:47" s="291" customFormat="1" x14ac:dyDescent="0.2">
      <c r="A244" s="423">
        <f t="shared" si="125"/>
        <v>237</v>
      </c>
      <c r="B244" s="721" t="s">
        <v>8000</v>
      </c>
      <c r="C244" s="771">
        <v>1520605</v>
      </c>
      <c r="D244" s="771">
        <v>7491</v>
      </c>
      <c r="E244" s="771" t="s">
        <v>6939</v>
      </c>
      <c r="F244" s="546"/>
      <c r="G244" s="659">
        <v>43042</v>
      </c>
      <c r="H244" s="655"/>
      <c r="I244" s="655" t="s">
        <v>7700</v>
      </c>
      <c r="J244" s="712"/>
      <c r="K244" s="655" t="s">
        <v>1670</v>
      </c>
      <c r="L244" s="655" t="s">
        <v>7508</v>
      </c>
      <c r="M244" s="660">
        <v>-420579.68</v>
      </c>
      <c r="N244" s="660">
        <v>0</v>
      </c>
      <c r="O244" s="660">
        <v>-67292.75</v>
      </c>
      <c r="P244" s="660">
        <v>-487872.43</v>
      </c>
      <c r="Q244" s="548"/>
      <c r="R244" s="660">
        <v>-420224.34</v>
      </c>
      <c r="S244" s="549">
        <f t="shared" si="259"/>
        <v>-67648.089999999967</v>
      </c>
      <c r="T244" s="113" t="s">
        <v>283</v>
      </c>
      <c r="U244" s="267"/>
      <c r="V244" s="93"/>
      <c r="W244" s="267"/>
      <c r="X244" s="267"/>
      <c r="Y244" s="93"/>
      <c r="Z244" s="618"/>
      <c r="AA244" s="618"/>
      <c r="AB244" s="116"/>
      <c r="AC244" s="424"/>
      <c r="AD244" s="425"/>
      <c r="AE244" s="424"/>
      <c r="AF244" s="424"/>
      <c r="AG244" s="396"/>
      <c r="AH244" s="488"/>
      <c r="AI244" s="313"/>
      <c r="AJ244" s="374"/>
      <c r="AK244" s="374"/>
      <c r="AL244" s="374"/>
      <c r="AM244" s="374"/>
      <c r="AN244" s="296"/>
      <c r="AO244" s="296"/>
      <c r="AP244" s="296"/>
      <c r="AQ244" s="296"/>
      <c r="AR244" s="296"/>
      <c r="AS244" s="296"/>
      <c r="AT244" s="296"/>
      <c r="AU244" s="296"/>
    </row>
    <row r="245" spans="1:47" s="351" customFormat="1" x14ac:dyDescent="0.2">
      <c r="A245" s="423">
        <f t="shared" si="125"/>
        <v>238</v>
      </c>
      <c r="B245" s="721" t="s">
        <v>8001</v>
      </c>
      <c r="C245" s="771">
        <v>1520605</v>
      </c>
      <c r="D245" s="771">
        <v>7491</v>
      </c>
      <c r="E245" s="771" t="s">
        <v>6939</v>
      </c>
      <c r="F245" s="546"/>
      <c r="G245" s="659">
        <v>43042</v>
      </c>
      <c r="H245" s="655"/>
      <c r="I245" s="655" t="s">
        <v>7700</v>
      </c>
      <c r="J245" s="712"/>
      <c r="K245" s="655" t="s">
        <v>1670</v>
      </c>
      <c r="L245" s="655" t="s">
        <v>7508</v>
      </c>
      <c r="M245" s="660">
        <v>420579.68</v>
      </c>
      <c r="N245" s="660">
        <v>0</v>
      </c>
      <c r="O245" s="660">
        <v>67292.75</v>
      </c>
      <c r="P245" s="660">
        <v>487872.43</v>
      </c>
      <c r="Q245" s="548"/>
      <c r="R245" s="660">
        <v>420224.34</v>
      </c>
      <c r="S245" s="549">
        <f t="shared" si="259"/>
        <v>67648.089999999967</v>
      </c>
      <c r="T245" s="113" t="s">
        <v>283</v>
      </c>
      <c r="AB245" s="389"/>
      <c r="AI245" s="313"/>
      <c r="AJ245" s="374"/>
      <c r="AK245" s="331"/>
      <c r="AL245" s="331"/>
      <c r="AM245" s="331"/>
      <c r="AN245" s="352"/>
      <c r="AO245" s="352"/>
      <c r="AP245" s="352"/>
      <c r="AQ245" s="352"/>
      <c r="AR245" s="352"/>
      <c r="AS245" s="352"/>
      <c r="AT245" s="352"/>
      <c r="AU245" s="352"/>
    </row>
    <row r="246" spans="1:47" s="291" customFormat="1" x14ac:dyDescent="0.2">
      <c r="A246" s="423">
        <f t="shared" si="125"/>
        <v>239</v>
      </c>
      <c r="B246" s="721" t="s">
        <v>7962</v>
      </c>
      <c r="C246" s="771">
        <v>521908</v>
      </c>
      <c r="D246" s="771">
        <v>6980</v>
      </c>
      <c r="E246" s="771" t="s">
        <v>706</v>
      </c>
      <c r="F246" s="546"/>
      <c r="G246" s="659">
        <v>43046</v>
      </c>
      <c r="H246" s="655" t="s">
        <v>5129</v>
      </c>
      <c r="I246" s="655" t="s">
        <v>7688</v>
      </c>
      <c r="J246" s="712"/>
      <c r="K246" s="655" t="s">
        <v>8157</v>
      </c>
      <c r="L246" s="655" t="s">
        <v>7496</v>
      </c>
      <c r="M246" s="660">
        <v>494493.74</v>
      </c>
      <c r="N246" s="660">
        <v>35764.879999999997</v>
      </c>
      <c r="O246" s="660">
        <v>84841.38</v>
      </c>
      <c r="P246" s="660">
        <v>615100</v>
      </c>
      <c r="Q246" s="548"/>
      <c r="R246" s="660">
        <v>460548.22</v>
      </c>
      <c r="S246" s="549">
        <f t="shared" si="259"/>
        <v>154551.78000000003</v>
      </c>
      <c r="T246" s="267" t="s">
        <v>1931</v>
      </c>
      <c r="AB246" s="389"/>
      <c r="AH246" s="348"/>
      <c r="AI246" s="313"/>
      <c r="AJ246" s="374"/>
      <c r="AK246" s="374"/>
      <c r="AL246" s="374"/>
      <c r="AM246" s="374"/>
      <c r="AN246" s="296"/>
      <c r="AO246" s="296"/>
      <c r="AP246" s="296"/>
      <c r="AQ246" s="296"/>
      <c r="AR246" s="296"/>
      <c r="AS246" s="296"/>
      <c r="AT246" s="296"/>
      <c r="AU246" s="296"/>
    </row>
    <row r="247" spans="1:47" s="351" customFormat="1" x14ac:dyDescent="0.2">
      <c r="A247" s="423">
        <f t="shared" si="125"/>
        <v>240</v>
      </c>
      <c r="B247" s="786" t="s">
        <v>8013</v>
      </c>
      <c r="C247" s="771">
        <v>1520104</v>
      </c>
      <c r="D247" s="771">
        <v>7491</v>
      </c>
      <c r="E247" s="771" t="s">
        <v>6939</v>
      </c>
      <c r="F247" s="546"/>
      <c r="G247" s="659">
        <v>43067</v>
      </c>
      <c r="H247" s="655" t="s">
        <v>2216</v>
      </c>
      <c r="I247" s="655" t="s">
        <v>7707</v>
      </c>
      <c r="J247" s="712"/>
      <c r="K247" s="655" t="s">
        <v>8164</v>
      </c>
      <c r="L247" s="655" t="s">
        <v>7515</v>
      </c>
      <c r="M247" s="660">
        <v>476108.37</v>
      </c>
      <c r="N247" s="660">
        <v>23805.42</v>
      </c>
      <c r="O247" s="660">
        <v>79986.210000000006</v>
      </c>
      <c r="P247" s="660">
        <v>579900</v>
      </c>
      <c r="Q247" s="548"/>
      <c r="R247" s="660">
        <v>420579.82</v>
      </c>
      <c r="S247" s="549">
        <f t="shared" si="259"/>
        <v>159320.18</v>
      </c>
      <c r="T247" s="113" t="s">
        <v>1932</v>
      </c>
      <c r="U247" s="722" t="str">
        <f t="shared" ref="U247:U248" si="370">+B247</f>
        <v>AA12433</v>
      </c>
      <c r="V247" s="723" t="str">
        <f t="shared" ref="V247:V248" si="371">+I247</f>
        <v>0200-TCN18</v>
      </c>
      <c r="W247" s="722">
        <f t="shared" ref="W247:W248" si="372">+C247</f>
        <v>1520104</v>
      </c>
      <c r="X247" s="722" t="str">
        <f t="shared" ref="X247:X248" si="373">+E247</f>
        <v>HILUX DIESEL EQUIPADA</v>
      </c>
      <c r="Y247" s="723">
        <f t="shared" ref="Y247:Y248" si="374">+F247</f>
        <v>0</v>
      </c>
      <c r="Z247" s="778">
        <f t="shared" ref="Z247:Z248" si="375">+M247</f>
        <v>476108.37</v>
      </c>
      <c r="AA247" s="629"/>
      <c r="AB247" s="795"/>
      <c r="AC247" s="780">
        <f t="shared" ref="AC247:AC248" si="376">VLOOKUP(Z247,TARIFA,1)</f>
        <v>443562.4</v>
      </c>
      <c r="AD247" s="726">
        <f t="shared" ref="AD247:AD248" si="377">VLOOKUP(Z247,TARIFA,4)</f>
        <v>0.17</v>
      </c>
      <c r="AE247" s="629">
        <f t="shared" ref="AE247:AE248" si="378">VLOOKUP(Z247,TARIFA,3)</f>
        <v>27106.55</v>
      </c>
      <c r="AF247" s="629">
        <f t="shared" ref="AF247:AF248" si="379">+N247</f>
        <v>23805.42</v>
      </c>
      <c r="AG247" s="727">
        <f t="shared" ref="AG247:AG248" si="380">+N247-AF247</f>
        <v>0</v>
      </c>
      <c r="AH247" s="361"/>
      <c r="AI247" s="313"/>
      <c r="AJ247" s="374"/>
      <c r="AK247" s="331"/>
      <c r="AL247" s="331"/>
      <c r="AM247" s="331"/>
      <c r="AN247" s="352"/>
      <c r="AO247" s="352"/>
      <c r="AP247" s="352"/>
      <c r="AQ247" s="352"/>
      <c r="AR247" s="352"/>
      <c r="AS247" s="352"/>
      <c r="AT247" s="352"/>
      <c r="AU247" s="352"/>
    </row>
    <row r="248" spans="1:47" s="291" customFormat="1" x14ac:dyDescent="0.2">
      <c r="A248" s="423">
        <f t="shared" si="125"/>
        <v>241</v>
      </c>
      <c r="B248" s="786" t="s">
        <v>8014</v>
      </c>
      <c r="C248" s="771">
        <v>1520104</v>
      </c>
      <c r="D248" s="771">
        <v>7493</v>
      </c>
      <c r="E248" s="771" t="s">
        <v>6945</v>
      </c>
      <c r="F248" s="546"/>
      <c r="G248" s="659">
        <v>43041</v>
      </c>
      <c r="H248" s="655" t="s">
        <v>5129</v>
      </c>
      <c r="I248" s="655" t="s">
        <v>7708</v>
      </c>
      <c r="J248" s="712"/>
      <c r="K248" s="655" t="s">
        <v>3188</v>
      </c>
      <c r="L248" s="655" t="s">
        <v>7516</v>
      </c>
      <c r="M248" s="660">
        <v>241789.82</v>
      </c>
      <c r="N248" s="660">
        <v>12089.49</v>
      </c>
      <c r="O248" s="660">
        <v>40620.69</v>
      </c>
      <c r="P248" s="660">
        <v>294500</v>
      </c>
      <c r="Q248" s="548"/>
      <c r="R248" s="660">
        <v>229415.62</v>
      </c>
      <c r="S248" s="549">
        <f t="shared" si="259"/>
        <v>65084.380000000005</v>
      </c>
      <c r="T248" s="113" t="s">
        <v>1932</v>
      </c>
      <c r="U248" s="722" t="str">
        <f t="shared" si="370"/>
        <v>AA12219</v>
      </c>
      <c r="V248" s="723" t="str">
        <f t="shared" si="371"/>
        <v>1948-TCN17</v>
      </c>
      <c r="W248" s="722">
        <f t="shared" si="372"/>
        <v>1520104</v>
      </c>
      <c r="X248" s="722" t="str">
        <f t="shared" si="373"/>
        <v>HILUX CABINA SENCILLA 5MT 4X2 AC</v>
      </c>
      <c r="Y248" s="723">
        <f t="shared" si="374"/>
        <v>0</v>
      </c>
      <c r="Z248" s="778">
        <f t="shared" si="375"/>
        <v>241789.82</v>
      </c>
      <c r="AA248" s="629">
        <f>+SUM(Z242:Z248)</f>
        <v>971592.77</v>
      </c>
      <c r="AB248" s="798">
        <v>3</v>
      </c>
      <c r="AC248" s="780">
        <f t="shared" si="376"/>
        <v>0.01</v>
      </c>
      <c r="AD248" s="726">
        <f t="shared" si="377"/>
        <v>0.02</v>
      </c>
      <c r="AE248" s="629">
        <f t="shared" si="378"/>
        <v>0</v>
      </c>
      <c r="AF248" s="629">
        <f t="shared" si="379"/>
        <v>12089.49</v>
      </c>
      <c r="AG248" s="727">
        <f t="shared" si="380"/>
        <v>0</v>
      </c>
      <c r="AH248" s="361"/>
      <c r="AI248" s="313"/>
      <c r="AJ248" s="374"/>
      <c r="AK248" s="374"/>
      <c r="AL248" s="374"/>
      <c r="AM248" s="374"/>
      <c r="AN248" s="296"/>
      <c r="AO248" s="296"/>
      <c r="AP248" s="296"/>
      <c r="AQ248" s="296"/>
      <c r="AR248" s="296"/>
      <c r="AS248" s="296"/>
      <c r="AT248" s="296"/>
      <c r="AU248" s="296"/>
    </row>
    <row r="249" spans="1:47" s="291" customFormat="1" x14ac:dyDescent="0.2">
      <c r="A249" s="423">
        <f t="shared" si="125"/>
        <v>242</v>
      </c>
      <c r="B249" s="721" t="s">
        <v>8044</v>
      </c>
      <c r="C249" s="771">
        <v>1520604</v>
      </c>
      <c r="D249" s="771">
        <v>7495</v>
      </c>
      <c r="E249" s="771" t="s">
        <v>718</v>
      </c>
      <c r="F249" s="546"/>
      <c r="G249" s="659">
        <v>43060</v>
      </c>
      <c r="H249" s="655" t="s">
        <v>2216</v>
      </c>
      <c r="I249" s="655" t="s">
        <v>7027</v>
      </c>
      <c r="J249" s="712"/>
      <c r="K249" s="655" t="s">
        <v>7029</v>
      </c>
      <c r="L249" s="655" t="s">
        <v>7028</v>
      </c>
      <c r="M249" s="660">
        <v>-296880.13</v>
      </c>
      <c r="N249" s="660">
        <v>-14844.01</v>
      </c>
      <c r="O249" s="660">
        <v>-49875.86</v>
      </c>
      <c r="P249" s="660">
        <v>-361600</v>
      </c>
      <c r="Q249" s="548"/>
      <c r="R249" s="660">
        <v>-262805.40999999997</v>
      </c>
      <c r="S249" s="549">
        <f t="shared" si="259"/>
        <v>-98794.590000000026</v>
      </c>
      <c r="T249" s="113" t="s">
        <v>1931</v>
      </c>
      <c r="AB249" s="422"/>
      <c r="AH249" s="361"/>
      <c r="AI249" s="313"/>
      <c r="AJ249" s="374"/>
      <c r="AK249" s="374"/>
      <c r="AL249" s="374"/>
      <c r="AM249" s="374"/>
      <c r="AN249" s="296"/>
      <c r="AO249" s="296"/>
      <c r="AP249" s="296"/>
      <c r="AQ249" s="296"/>
      <c r="AR249" s="296"/>
      <c r="AS249" s="296"/>
      <c r="AT249" s="296"/>
      <c r="AU249" s="296"/>
    </row>
    <row r="250" spans="1:47" s="351" customFormat="1" x14ac:dyDescent="0.2">
      <c r="A250" s="423">
        <f t="shared" si="125"/>
        <v>243</v>
      </c>
      <c r="B250" s="721" t="s">
        <v>8006</v>
      </c>
      <c r="C250" s="771">
        <v>1520605</v>
      </c>
      <c r="D250" s="771">
        <v>7491</v>
      </c>
      <c r="E250" s="771" t="s">
        <v>6939</v>
      </c>
      <c r="F250" s="546"/>
      <c r="G250" s="659">
        <v>43060</v>
      </c>
      <c r="H250" s="655"/>
      <c r="I250" s="655" t="s">
        <v>7704</v>
      </c>
      <c r="J250" s="712"/>
      <c r="K250" s="655" t="s">
        <v>1688</v>
      </c>
      <c r="L250" s="655" t="s">
        <v>7512</v>
      </c>
      <c r="M250" s="660">
        <v>-420579.68</v>
      </c>
      <c r="N250" s="660">
        <v>0</v>
      </c>
      <c r="O250" s="660">
        <v>-67292.75</v>
      </c>
      <c r="P250" s="660">
        <v>-487872.43</v>
      </c>
      <c r="Q250" s="548"/>
      <c r="R250" s="660">
        <v>-420224.34</v>
      </c>
      <c r="S250" s="549">
        <f t="shared" si="259"/>
        <v>-67648.089999999967</v>
      </c>
      <c r="T250" s="113" t="s">
        <v>283</v>
      </c>
      <c r="AB250" s="422"/>
      <c r="AH250" s="361"/>
      <c r="AI250" s="313"/>
      <c r="AJ250" s="374"/>
      <c r="AK250" s="331"/>
      <c r="AL250" s="331"/>
      <c r="AM250" s="331"/>
      <c r="AN250" s="352"/>
      <c r="AO250" s="352"/>
      <c r="AP250" s="352"/>
      <c r="AQ250" s="352"/>
      <c r="AR250" s="352"/>
      <c r="AS250" s="352"/>
      <c r="AT250" s="352"/>
      <c r="AU250" s="352"/>
    </row>
    <row r="251" spans="1:47" s="351" customFormat="1" x14ac:dyDescent="0.2">
      <c r="A251" s="423">
        <f t="shared" si="125"/>
        <v>244</v>
      </c>
      <c r="B251" s="721" t="s">
        <v>8007</v>
      </c>
      <c r="C251" s="771">
        <v>1520605</v>
      </c>
      <c r="D251" s="771">
        <v>7491</v>
      </c>
      <c r="E251" s="771" t="s">
        <v>6939</v>
      </c>
      <c r="F251" s="546"/>
      <c r="G251" s="659">
        <v>43060</v>
      </c>
      <c r="H251" s="655"/>
      <c r="I251" s="655" t="s">
        <v>7704</v>
      </c>
      <c r="J251" s="712"/>
      <c r="K251" s="655" t="s">
        <v>1688</v>
      </c>
      <c r="L251" s="655" t="s">
        <v>7512</v>
      </c>
      <c r="M251" s="660">
        <v>420579.68</v>
      </c>
      <c r="N251" s="660">
        <v>0</v>
      </c>
      <c r="O251" s="660">
        <v>67292.75</v>
      </c>
      <c r="P251" s="660">
        <v>487872.43</v>
      </c>
      <c r="Q251" s="548"/>
      <c r="R251" s="660">
        <v>420224.34</v>
      </c>
      <c r="S251" s="549">
        <f t="shared" si="259"/>
        <v>67648.089999999967</v>
      </c>
      <c r="T251" s="113" t="s">
        <v>283</v>
      </c>
      <c r="AB251" s="422"/>
      <c r="AH251" s="361"/>
      <c r="AI251" s="313"/>
      <c r="AJ251" s="374"/>
      <c r="AK251" s="331"/>
      <c r="AL251" s="331"/>
      <c r="AM251" s="331"/>
      <c r="AN251" s="352"/>
      <c r="AO251" s="352"/>
      <c r="AP251" s="352"/>
      <c r="AQ251" s="352"/>
      <c r="AR251" s="352"/>
      <c r="AS251" s="352"/>
      <c r="AT251" s="352"/>
      <c r="AU251" s="352"/>
    </row>
    <row r="252" spans="1:47" s="291" customFormat="1" x14ac:dyDescent="0.2">
      <c r="A252" s="423">
        <f t="shared" si="125"/>
        <v>245</v>
      </c>
      <c r="B252" s="721" t="s">
        <v>8008</v>
      </c>
      <c r="C252" s="771">
        <v>1520605</v>
      </c>
      <c r="D252" s="771">
        <v>7491</v>
      </c>
      <c r="E252" s="771" t="s">
        <v>6939</v>
      </c>
      <c r="F252" s="546"/>
      <c r="G252" s="659">
        <v>43060</v>
      </c>
      <c r="H252" s="655"/>
      <c r="I252" s="655" t="s">
        <v>7704</v>
      </c>
      <c r="J252" s="712"/>
      <c r="K252" s="655" t="s">
        <v>392</v>
      </c>
      <c r="L252" s="655" t="s">
        <v>7512</v>
      </c>
      <c r="M252" s="660">
        <v>420579.68</v>
      </c>
      <c r="N252" s="660">
        <v>0</v>
      </c>
      <c r="O252" s="660">
        <v>67292.75</v>
      </c>
      <c r="P252" s="660">
        <v>487872.43</v>
      </c>
      <c r="Q252" s="548"/>
      <c r="R252" s="660">
        <v>420224.34</v>
      </c>
      <c r="S252" s="549">
        <f t="shared" si="259"/>
        <v>67648.089999999967</v>
      </c>
      <c r="T252" s="113" t="s">
        <v>283</v>
      </c>
      <c r="AB252" s="422"/>
      <c r="AH252" s="361"/>
      <c r="AI252" s="313"/>
      <c r="AJ252" s="330"/>
      <c r="AK252" s="374"/>
      <c r="AL252" s="374"/>
      <c r="AM252" s="374"/>
      <c r="AN252" s="296"/>
      <c r="AO252" s="296"/>
      <c r="AP252" s="296"/>
      <c r="AQ252" s="296"/>
      <c r="AR252" s="296"/>
      <c r="AS252" s="296"/>
      <c r="AT252" s="296"/>
      <c r="AU252" s="296"/>
    </row>
    <row r="253" spans="1:47" s="351" customFormat="1" x14ac:dyDescent="0.2">
      <c r="A253" s="423">
        <f t="shared" si="125"/>
        <v>246</v>
      </c>
      <c r="B253" s="721" t="s">
        <v>8009</v>
      </c>
      <c r="C253" s="771">
        <v>1520605</v>
      </c>
      <c r="D253" s="771">
        <v>7491</v>
      </c>
      <c r="E253" s="771" t="s">
        <v>6939</v>
      </c>
      <c r="F253" s="546"/>
      <c r="G253" s="659">
        <v>43060</v>
      </c>
      <c r="H253" s="655"/>
      <c r="I253" s="655" t="s">
        <v>7705</v>
      </c>
      <c r="J253" s="712"/>
      <c r="K253" s="655" t="s">
        <v>1147</v>
      </c>
      <c r="L253" s="655" t="s">
        <v>7513</v>
      </c>
      <c r="M253" s="660">
        <v>420580.68</v>
      </c>
      <c r="N253" s="660">
        <v>0</v>
      </c>
      <c r="O253" s="660">
        <v>67292.91</v>
      </c>
      <c r="P253" s="660">
        <v>487873.59</v>
      </c>
      <c r="Q253" s="548"/>
      <c r="R253" s="660">
        <v>420579.82</v>
      </c>
      <c r="S253" s="549">
        <f t="shared" si="259"/>
        <v>67293.770000000019</v>
      </c>
      <c r="T253" s="113" t="s">
        <v>283</v>
      </c>
      <c r="AB253" s="422"/>
      <c r="AH253" s="361"/>
      <c r="AI253" s="313"/>
      <c r="AJ253" s="331"/>
      <c r="AK253" s="331"/>
      <c r="AL253" s="331"/>
      <c r="AM253" s="331"/>
      <c r="AN253" s="352"/>
      <c r="AO253" s="352"/>
      <c r="AP253" s="352"/>
      <c r="AQ253" s="352"/>
      <c r="AR253" s="352"/>
      <c r="AS253" s="352"/>
      <c r="AT253" s="352"/>
      <c r="AU253" s="352"/>
    </row>
    <row r="254" spans="1:47" s="348" customFormat="1" x14ac:dyDescent="0.2">
      <c r="A254" s="423">
        <f t="shared" si="125"/>
        <v>247</v>
      </c>
      <c r="B254" s="721" t="s">
        <v>8010</v>
      </c>
      <c r="C254" s="771">
        <v>1520605</v>
      </c>
      <c r="D254" s="771">
        <v>7491</v>
      </c>
      <c r="E254" s="771" t="s">
        <v>6939</v>
      </c>
      <c r="F254" s="546"/>
      <c r="G254" s="659">
        <v>43062</v>
      </c>
      <c r="H254" s="655"/>
      <c r="I254" s="655" t="s">
        <v>7706</v>
      </c>
      <c r="J254" s="712"/>
      <c r="K254" s="655" t="s">
        <v>1754</v>
      </c>
      <c r="L254" s="655" t="s">
        <v>7514</v>
      </c>
      <c r="M254" s="660">
        <v>420579.68</v>
      </c>
      <c r="N254" s="660">
        <v>0</v>
      </c>
      <c r="O254" s="660">
        <v>67292.75</v>
      </c>
      <c r="P254" s="660">
        <v>487872.43</v>
      </c>
      <c r="Q254" s="548"/>
      <c r="R254" s="660">
        <v>420224.34</v>
      </c>
      <c r="S254" s="549">
        <f t="shared" si="259"/>
        <v>67648.089999999967</v>
      </c>
      <c r="T254" s="113" t="s">
        <v>283</v>
      </c>
      <c r="AB254" s="422"/>
      <c r="AH254" s="361"/>
      <c r="AI254" s="313"/>
      <c r="AJ254" s="330"/>
      <c r="AK254" s="330"/>
      <c r="AL254" s="330"/>
      <c r="AM254" s="330"/>
      <c r="AN254" s="353"/>
      <c r="AO254" s="353"/>
      <c r="AP254" s="353"/>
      <c r="AQ254" s="353"/>
      <c r="AR254" s="353"/>
      <c r="AS254" s="353"/>
      <c r="AT254" s="353"/>
      <c r="AU254" s="353"/>
    </row>
    <row r="255" spans="1:47" s="351" customFormat="1" x14ac:dyDescent="0.2">
      <c r="A255" s="423">
        <f t="shared" si="125"/>
        <v>248</v>
      </c>
      <c r="B255" s="721" t="s">
        <v>8045</v>
      </c>
      <c r="C255" s="771">
        <v>1520604</v>
      </c>
      <c r="D255" s="771">
        <v>7495</v>
      </c>
      <c r="E255" s="771" t="s">
        <v>718</v>
      </c>
      <c r="F255" s="546"/>
      <c r="G255" s="659">
        <v>43060</v>
      </c>
      <c r="H255" s="655" t="s">
        <v>2216</v>
      </c>
      <c r="I255" s="655" t="s">
        <v>7027</v>
      </c>
      <c r="J255" s="712"/>
      <c r="K255" s="655" t="s">
        <v>7029</v>
      </c>
      <c r="L255" s="655" t="s">
        <v>7028</v>
      </c>
      <c r="M255" s="660">
        <v>296880.13</v>
      </c>
      <c r="N255" s="660">
        <v>14844.01</v>
      </c>
      <c r="O255" s="660">
        <v>49875.86</v>
      </c>
      <c r="P255" s="660">
        <v>361600</v>
      </c>
      <c r="Q255" s="548"/>
      <c r="R255" s="660">
        <v>262805.40999999997</v>
      </c>
      <c r="S255" s="549">
        <f t="shared" si="259"/>
        <v>98794.590000000026</v>
      </c>
      <c r="T255" s="113" t="s">
        <v>1931</v>
      </c>
      <c r="AB255" s="422"/>
      <c r="AH255" s="361"/>
      <c r="AI255" s="313"/>
      <c r="AJ255" s="374"/>
      <c r="AK255" s="331"/>
      <c r="AL255" s="331"/>
      <c r="AM255" s="331"/>
      <c r="AN255" s="352"/>
      <c r="AO255" s="352"/>
      <c r="AP255" s="352"/>
      <c r="AQ255" s="352"/>
      <c r="AR255" s="352"/>
      <c r="AS255" s="352"/>
      <c r="AT255" s="352"/>
      <c r="AU255" s="352"/>
    </row>
    <row r="256" spans="1:47" s="348" customFormat="1" x14ac:dyDescent="0.2">
      <c r="A256" s="423">
        <f t="shared" si="125"/>
        <v>249</v>
      </c>
      <c r="B256" s="721" t="s">
        <v>8026</v>
      </c>
      <c r="C256" s="771">
        <v>1520105</v>
      </c>
      <c r="D256" s="771">
        <v>7494</v>
      </c>
      <c r="E256" s="771" t="s">
        <v>712</v>
      </c>
      <c r="F256" s="546"/>
      <c r="G256" s="659">
        <v>43067</v>
      </c>
      <c r="H256" s="655" t="s">
        <v>788</v>
      </c>
      <c r="I256" s="655" t="s">
        <v>7714</v>
      </c>
      <c r="J256" s="712"/>
      <c r="K256" s="655" t="s">
        <v>3886</v>
      </c>
      <c r="L256" s="655" t="s">
        <v>7522</v>
      </c>
      <c r="M256" s="660">
        <v>238587.85</v>
      </c>
      <c r="N256" s="660">
        <v>11929.39</v>
      </c>
      <c r="O256" s="660">
        <v>40082.76</v>
      </c>
      <c r="P256" s="660">
        <v>290600</v>
      </c>
      <c r="Q256" s="548"/>
      <c r="R256" s="660">
        <v>218704.68</v>
      </c>
      <c r="S256" s="549">
        <f t="shared" si="259"/>
        <v>71895.320000000007</v>
      </c>
      <c r="T256" s="113" t="s">
        <v>1932</v>
      </c>
      <c r="U256" s="722" t="str">
        <f t="shared" ref="U256" si="381">+B256</f>
        <v>AA12436</v>
      </c>
      <c r="V256" s="723" t="str">
        <f t="shared" ref="V256" si="382">+I256</f>
        <v>0173-TCN18</v>
      </c>
      <c r="W256" s="722">
        <f t="shared" ref="W256" si="383">+C256</f>
        <v>1520105</v>
      </c>
      <c r="X256" s="722" t="str">
        <f t="shared" ref="X256" si="384">+E256</f>
        <v>HILUX PICK UP CHASSIS CAB</v>
      </c>
      <c r="Y256" s="723">
        <f t="shared" ref="Y256" si="385">+F256</f>
        <v>0</v>
      </c>
      <c r="Z256" s="778">
        <f t="shared" ref="Z256" si="386">+M256</f>
        <v>238587.85</v>
      </c>
      <c r="AA256" s="629"/>
      <c r="AB256" s="795"/>
      <c r="AC256" s="780">
        <f t="shared" ref="AC256" si="387">VLOOKUP(Z256,TARIFA,1)</f>
        <v>0.01</v>
      </c>
      <c r="AD256" s="726">
        <f t="shared" ref="AD256" si="388">VLOOKUP(Z256,TARIFA,4)</f>
        <v>0.02</v>
      </c>
      <c r="AE256" s="629">
        <f t="shared" ref="AE256" si="389">VLOOKUP(Z256,TARIFA,3)</f>
        <v>0</v>
      </c>
      <c r="AF256" s="629">
        <f t="shared" ref="AF256" si="390">+N256</f>
        <v>11929.39</v>
      </c>
      <c r="AG256" s="727">
        <f t="shared" ref="AG256" si="391">+N256-AF256</f>
        <v>0</v>
      </c>
      <c r="AH256" s="361"/>
      <c r="AI256" s="313"/>
      <c r="AJ256" s="374"/>
      <c r="AK256" s="330"/>
      <c r="AL256" s="330"/>
      <c r="AM256" s="330"/>
      <c r="AN256" s="353"/>
      <c r="AO256" s="353"/>
      <c r="AP256" s="353"/>
      <c r="AQ256" s="353"/>
      <c r="AR256" s="353"/>
      <c r="AS256" s="353"/>
      <c r="AT256" s="353"/>
      <c r="AU256" s="353"/>
    </row>
    <row r="257" spans="1:47" s="291" customFormat="1" x14ac:dyDescent="0.2">
      <c r="A257" s="423">
        <f t="shared" si="125"/>
        <v>250</v>
      </c>
      <c r="B257" s="721" t="s">
        <v>7980</v>
      </c>
      <c r="C257" s="771">
        <v>1520302</v>
      </c>
      <c r="D257" s="771">
        <v>7441</v>
      </c>
      <c r="E257" s="771" t="s">
        <v>715</v>
      </c>
      <c r="F257" s="546"/>
      <c r="G257" s="659">
        <v>43050</v>
      </c>
      <c r="H257" s="655" t="s">
        <v>2214</v>
      </c>
      <c r="I257" s="655" t="s">
        <v>6932</v>
      </c>
      <c r="J257" s="712"/>
      <c r="K257" s="655" t="s">
        <v>6934</v>
      </c>
      <c r="L257" s="655" t="s">
        <v>6933</v>
      </c>
      <c r="M257" s="660">
        <v>-532019.69999999995</v>
      </c>
      <c r="N257" s="660">
        <v>-26600.99</v>
      </c>
      <c r="O257" s="660">
        <v>-89379.31</v>
      </c>
      <c r="P257" s="660">
        <v>-648000</v>
      </c>
      <c r="Q257" s="548"/>
      <c r="R257" s="660">
        <v>-471232.76</v>
      </c>
      <c r="S257" s="549">
        <f t="shared" si="259"/>
        <v>-176767.24</v>
      </c>
      <c r="T257" s="113" t="s">
        <v>1931</v>
      </c>
      <c r="U257" s="267"/>
      <c r="V257" s="93"/>
      <c r="W257" s="267"/>
      <c r="X257" s="267"/>
      <c r="Y257" s="93"/>
      <c r="Z257" s="618"/>
      <c r="AA257" s="424"/>
      <c r="AB257" s="715"/>
      <c r="AC257" s="424"/>
      <c r="AD257" s="425"/>
      <c r="AE257" s="424"/>
      <c r="AF257" s="424"/>
      <c r="AG257" s="396"/>
      <c r="AH257" s="361"/>
      <c r="AI257" s="313"/>
      <c r="AJ257" s="331"/>
      <c r="AK257" s="374"/>
      <c r="AL257" s="374"/>
      <c r="AM257" s="374"/>
      <c r="AN257" s="296"/>
      <c r="AO257" s="296"/>
      <c r="AP257" s="296"/>
      <c r="AQ257" s="296"/>
      <c r="AR257" s="296"/>
      <c r="AS257" s="296"/>
      <c r="AT257" s="296"/>
      <c r="AU257" s="296"/>
    </row>
    <row r="258" spans="1:47" s="351" customFormat="1" x14ac:dyDescent="0.2">
      <c r="A258" s="423">
        <f t="shared" si="125"/>
        <v>251</v>
      </c>
      <c r="B258" s="721" t="s">
        <v>7983</v>
      </c>
      <c r="C258" s="771">
        <v>1520302</v>
      </c>
      <c r="D258" s="771">
        <v>7441</v>
      </c>
      <c r="E258" s="771" t="s">
        <v>715</v>
      </c>
      <c r="F258" s="546"/>
      <c r="G258" s="659">
        <v>43069</v>
      </c>
      <c r="H258" s="655" t="s">
        <v>7762</v>
      </c>
      <c r="I258" s="655" t="s">
        <v>6932</v>
      </c>
      <c r="J258" s="712"/>
      <c r="K258" s="655" t="s">
        <v>8162</v>
      </c>
      <c r="L258" s="655" t="s">
        <v>6933</v>
      </c>
      <c r="M258" s="660">
        <v>532019.69999999995</v>
      </c>
      <c r="N258" s="660">
        <v>26600.99</v>
      </c>
      <c r="O258" s="660">
        <v>89379.31</v>
      </c>
      <c r="P258" s="660">
        <v>648000</v>
      </c>
      <c r="Q258" s="548"/>
      <c r="R258" s="660">
        <v>471232.76</v>
      </c>
      <c r="S258" s="549">
        <f t="shared" si="259"/>
        <v>176767.24</v>
      </c>
      <c r="T258" s="113" t="s">
        <v>1931</v>
      </c>
      <c r="U258" s="267"/>
      <c r="V258" s="93"/>
      <c r="W258" s="267"/>
      <c r="X258" s="267"/>
      <c r="Y258" s="93"/>
      <c r="Z258" s="618"/>
      <c r="AA258" s="424"/>
      <c r="AB258" s="715"/>
      <c r="AC258" s="424"/>
      <c r="AD258" s="425"/>
      <c r="AE258" s="424"/>
      <c r="AF258" s="424"/>
      <c r="AG258" s="396"/>
      <c r="AH258" s="361"/>
      <c r="AI258" s="313"/>
      <c r="AJ258" s="374"/>
      <c r="AK258" s="374"/>
      <c r="AL258" s="374"/>
      <c r="AM258" s="374"/>
      <c r="AN258" s="296"/>
      <c r="AO258" s="296"/>
      <c r="AP258" s="296"/>
      <c r="AQ258" s="296"/>
      <c r="AR258" s="296"/>
      <c r="AS258" s="296"/>
      <c r="AT258" s="352"/>
      <c r="AU258" s="352"/>
    </row>
    <row r="259" spans="1:47" s="348" customFormat="1" x14ac:dyDescent="0.2">
      <c r="A259" s="423">
        <f t="shared" si="125"/>
        <v>252</v>
      </c>
      <c r="B259" s="721" t="s">
        <v>7805</v>
      </c>
      <c r="C259" s="771">
        <v>521702</v>
      </c>
      <c r="D259" s="771">
        <v>2005</v>
      </c>
      <c r="E259" s="771" t="s">
        <v>701</v>
      </c>
      <c r="F259" s="546"/>
      <c r="G259" s="659">
        <v>43041</v>
      </c>
      <c r="H259" s="655" t="s">
        <v>2215</v>
      </c>
      <c r="I259" s="655" t="s">
        <v>7593</v>
      </c>
      <c r="J259" s="712"/>
      <c r="K259" s="655" t="s">
        <v>8103</v>
      </c>
      <c r="L259" s="655" t="s">
        <v>7401</v>
      </c>
      <c r="M259" s="660">
        <v>185344.83</v>
      </c>
      <c r="N259" s="660">
        <v>0</v>
      </c>
      <c r="O259" s="660">
        <v>29655.17</v>
      </c>
      <c r="P259" s="660">
        <v>215000</v>
      </c>
      <c r="Q259" s="548"/>
      <c r="R259" s="660">
        <v>168469.72</v>
      </c>
      <c r="S259" s="549">
        <f t="shared" si="259"/>
        <v>46530.28</v>
      </c>
      <c r="T259" s="113" t="s">
        <v>1931</v>
      </c>
      <c r="U259" s="267"/>
      <c r="V259" s="93"/>
      <c r="W259" s="267"/>
      <c r="X259" s="267"/>
      <c r="Y259" s="93"/>
      <c r="Z259" s="618"/>
      <c r="AA259" s="424"/>
      <c r="AB259" s="715"/>
      <c r="AC259" s="424"/>
      <c r="AD259" s="425"/>
      <c r="AE259" s="424"/>
      <c r="AF259" s="424"/>
      <c r="AG259" s="396"/>
      <c r="AH259" s="361"/>
      <c r="AI259" s="313"/>
      <c r="AJ259" s="374"/>
      <c r="AK259" s="374"/>
      <c r="AL259" s="374"/>
      <c r="AM259" s="374"/>
      <c r="AN259" s="296"/>
      <c r="AO259" s="296"/>
      <c r="AP259" s="296"/>
      <c r="AQ259" s="296"/>
      <c r="AR259" s="296"/>
      <c r="AS259" s="296"/>
      <c r="AT259" s="353"/>
      <c r="AU259" s="353"/>
    </row>
    <row r="260" spans="1:47" s="351" customFormat="1" x14ac:dyDescent="0.2">
      <c r="A260" s="423">
        <f t="shared" si="125"/>
        <v>253</v>
      </c>
      <c r="B260" s="786" t="s">
        <v>8016</v>
      </c>
      <c r="C260" s="771">
        <v>1520104</v>
      </c>
      <c r="D260" s="771">
        <v>7493</v>
      </c>
      <c r="E260" s="771" t="s">
        <v>6945</v>
      </c>
      <c r="F260" s="546"/>
      <c r="G260" s="659">
        <v>43048</v>
      </c>
      <c r="H260" s="655"/>
      <c r="I260" s="655" t="s">
        <v>7710</v>
      </c>
      <c r="J260" s="712"/>
      <c r="K260" s="655" t="s">
        <v>1144</v>
      </c>
      <c r="L260" s="655" t="s">
        <v>7518</v>
      </c>
      <c r="M260" s="660">
        <v>229416.4</v>
      </c>
      <c r="N260" s="660">
        <v>0</v>
      </c>
      <c r="O260" s="660">
        <v>36706.620000000003</v>
      </c>
      <c r="P260" s="660">
        <v>266123.02</v>
      </c>
      <c r="Q260" s="548"/>
      <c r="R260" s="660">
        <v>229061.05</v>
      </c>
      <c r="S260" s="549">
        <f t="shared" si="259"/>
        <v>37061.97000000003</v>
      </c>
      <c r="T260" s="113" t="s">
        <v>283</v>
      </c>
      <c r="U260" s="267"/>
      <c r="V260" s="93"/>
      <c r="W260" s="267"/>
      <c r="X260" s="267"/>
      <c r="Y260" s="93"/>
      <c r="Z260" s="618"/>
      <c r="AA260" s="424"/>
      <c r="AB260" s="715"/>
      <c r="AC260" s="424"/>
      <c r="AD260" s="425"/>
      <c r="AE260" s="424"/>
      <c r="AF260" s="424"/>
      <c r="AG260" s="396"/>
      <c r="AH260" s="361"/>
      <c r="AI260" s="313"/>
      <c r="AJ260" s="331"/>
      <c r="AK260" s="374"/>
      <c r="AL260" s="374"/>
      <c r="AM260" s="374"/>
      <c r="AN260" s="296"/>
      <c r="AO260" s="296"/>
      <c r="AP260" s="296"/>
      <c r="AQ260" s="296"/>
      <c r="AR260" s="296"/>
      <c r="AS260" s="296"/>
      <c r="AT260" s="352"/>
      <c r="AU260" s="352"/>
    </row>
    <row r="261" spans="1:47" s="351" customFormat="1" x14ac:dyDescent="0.2">
      <c r="A261" s="423">
        <f t="shared" si="125"/>
        <v>254</v>
      </c>
      <c r="B261" s="786" t="s">
        <v>8017</v>
      </c>
      <c r="C261" s="771">
        <v>1520104</v>
      </c>
      <c r="D261" s="771">
        <v>7493</v>
      </c>
      <c r="E261" s="771" t="s">
        <v>6945</v>
      </c>
      <c r="F261" s="546"/>
      <c r="G261" s="659">
        <v>43049</v>
      </c>
      <c r="H261" s="655"/>
      <c r="I261" s="655" t="s">
        <v>7710</v>
      </c>
      <c r="J261" s="712"/>
      <c r="K261" s="655" t="s">
        <v>1144</v>
      </c>
      <c r="L261" s="655" t="s">
        <v>7518</v>
      </c>
      <c r="M261" s="660">
        <v>-229416.4</v>
      </c>
      <c r="N261" s="660">
        <v>0</v>
      </c>
      <c r="O261" s="660">
        <v>-36706.620000000003</v>
      </c>
      <c r="P261" s="660">
        <v>-266123.02</v>
      </c>
      <c r="Q261" s="548"/>
      <c r="R261" s="660">
        <v>-229061.05</v>
      </c>
      <c r="S261" s="549">
        <f t="shared" si="259"/>
        <v>-37061.97000000003</v>
      </c>
      <c r="T261" s="113" t="s">
        <v>283</v>
      </c>
      <c r="U261" s="267"/>
      <c r="V261" s="93"/>
      <c r="W261" s="267"/>
      <c r="X261" s="267"/>
      <c r="Y261" s="93"/>
      <c r="Z261" s="618"/>
      <c r="AA261" s="424"/>
      <c r="AB261" s="715"/>
      <c r="AC261" s="424"/>
      <c r="AD261" s="425"/>
      <c r="AE261" s="424"/>
      <c r="AF261" s="424"/>
      <c r="AG261" s="396"/>
      <c r="AH261" s="361"/>
      <c r="AI261" s="313"/>
      <c r="AJ261" s="331"/>
      <c r="AK261" s="374"/>
      <c r="AL261" s="374"/>
      <c r="AM261" s="374"/>
      <c r="AN261" s="296"/>
      <c r="AO261" s="296"/>
      <c r="AP261" s="296"/>
      <c r="AQ261" s="296"/>
      <c r="AR261" s="296"/>
      <c r="AS261" s="296"/>
      <c r="AT261" s="352"/>
      <c r="AU261" s="352"/>
    </row>
    <row r="262" spans="1:47" s="291" customFormat="1" x14ac:dyDescent="0.2">
      <c r="A262" s="423">
        <f t="shared" si="125"/>
        <v>255</v>
      </c>
      <c r="B262" s="721" t="s">
        <v>8018</v>
      </c>
      <c r="C262" s="771">
        <v>1520104</v>
      </c>
      <c r="D262" s="771">
        <v>7493</v>
      </c>
      <c r="E262" s="771" t="s">
        <v>6945</v>
      </c>
      <c r="F262" s="546"/>
      <c r="G262" s="659">
        <v>43049</v>
      </c>
      <c r="H262" s="655"/>
      <c r="I262" s="655" t="s">
        <v>7710</v>
      </c>
      <c r="J262" s="712"/>
      <c r="K262" s="655" t="s">
        <v>392</v>
      </c>
      <c r="L262" s="655" t="s">
        <v>7518</v>
      </c>
      <c r="M262" s="660">
        <v>229416.4</v>
      </c>
      <c r="N262" s="660">
        <v>0</v>
      </c>
      <c r="O262" s="660">
        <v>36706.620000000003</v>
      </c>
      <c r="P262" s="660">
        <v>266123.02</v>
      </c>
      <c r="Q262" s="548"/>
      <c r="R262" s="660">
        <v>229061.05</v>
      </c>
      <c r="S262" s="549">
        <f t="shared" si="259"/>
        <v>37061.97000000003</v>
      </c>
      <c r="T262" s="113" t="s">
        <v>283</v>
      </c>
      <c r="U262" s="267"/>
      <c r="V262" s="93"/>
      <c r="W262" s="267"/>
      <c r="X262" s="267"/>
      <c r="Y262" s="93"/>
      <c r="Z262" s="618"/>
      <c r="AA262" s="424"/>
      <c r="AB262" s="715"/>
      <c r="AC262" s="424"/>
      <c r="AD262" s="425"/>
      <c r="AE262" s="424"/>
      <c r="AF262" s="424"/>
      <c r="AG262" s="396"/>
      <c r="AH262" s="361"/>
      <c r="AI262" s="313"/>
      <c r="AJ262" s="374"/>
      <c r="AK262" s="374"/>
      <c r="AL262" s="374"/>
      <c r="AM262" s="374"/>
      <c r="AN262" s="296"/>
      <c r="AO262" s="296"/>
      <c r="AP262" s="296"/>
      <c r="AQ262" s="296"/>
      <c r="AR262" s="296"/>
      <c r="AS262" s="296"/>
      <c r="AT262" s="296"/>
      <c r="AU262" s="296"/>
    </row>
    <row r="263" spans="1:47" s="351" customFormat="1" x14ac:dyDescent="0.2">
      <c r="A263" s="423">
        <f t="shared" si="125"/>
        <v>256</v>
      </c>
      <c r="B263" s="721" t="s">
        <v>7806</v>
      </c>
      <c r="C263" s="771">
        <v>521702</v>
      </c>
      <c r="D263" s="771">
        <v>2005</v>
      </c>
      <c r="E263" s="771" t="s">
        <v>701</v>
      </c>
      <c r="F263" s="546"/>
      <c r="G263" s="659">
        <v>43042</v>
      </c>
      <c r="H263" s="655" t="s">
        <v>2215</v>
      </c>
      <c r="I263" s="655" t="s">
        <v>7593</v>
      </c>
      <c r="J263" s="712"/>
      <c r="K263" s="655" t="s">
        <v>8103</v>
      </c>
      <c r="L263" s="655" t="s">
        <v>7401</v>
      </c>
      <c r="M263" s="660">
        <v>-185344.83</v>
      </c>
      <c r="N263" s="660">
        <v>0</v>
      </c>
      <c r="O263" s="660">
        <v>-29655.17</v>
      </c>
      <c r="P263" s="660">
        <v>-215000</v>
      </c>
      <c r="Q263" s="548"/>
      <c r="R263" s="660">
        <v>-168469.72</v>
      </c>
      <c r="S263" s="549">
        <f t="shared" si="259"/>
        <v>-46530.28</v>
      </c>
      <c r="T263" s="113" t="s">
        <v>1931</v>
      </c>
      <c r="U263" s="267"/>
      <c r="V263" s="93"/>
      <c r="W263" s="267"/>
      <c r="X263" s="267"/>
      <c r="Y263" s="93"/>
      <c r="Z263" s="618"/>
      <c r="AA263" s="424"/>
      <c r="AB263" s="715"/>
      <c r="AC263" s="424"/>
      <c r="AD263" s="425"/>
      <c r="AE263" s="424"/>
      <c r="AF263" s="424"/>
      <c r="AG263" s="396"/>
      <c r="AH263" s="361"/>
      <c r="AI263" s="313"/>
      <c r="AJ263" s="331"/>
      <c r="AK263" s="374"/>
      <c r="AL263" s="374"/>
      <c r="AM263" s="374"/>
      <c r="AN263" s="296"/>
      <c r="AO263" s="296"/>
      <c r="AP263" s="296"/>
      <c r="AQ263" s="296"/>
      <c r="AR263" s="296"/>
      <c r="AS263" s="296"/>
      <c r="AT263" s="352"/>
      <c r="AU263" s="352"/>
    </row>
    <row r="264" spans="1:47" s="291" customFormat="1" x14ac:dyDescent="0.2">
      <c r="A264" s="423">
        <f t="shared" si="125"/>
        <v>257</v>
      </c>
      <c r="B264" s="721" t="s">
        <v>8029</v>
      </c>
      <c r="C264" s="771">
        <v>1520105</v>
      </c>
      <c r="D264" s="771">
        <v>7494</v>
      </c>
      <c r="E264" s="771" t="s">
        <v>712</v>
      </c>
      <c r="F264" s="546"/>
      <c r="G264" s="659">
        <v>43067</v>
      </c>
      <c r="H264" s="655" t="s">
        <v>2213</v>
      </c>
      <c r="I264" s="655" t="s">
        <v>7716</v>
      </c>
      <c r="J264" s="712"/>
      <c r="K264" s="655" t="s">
        <v>8167</v>
      </c>
      <c r="L264" s="655" t="s">
        <v>7524</v>
      </c>
      <c r="M264" s="660">
        <v>238587.85</v>
      </c>
      <c r="N264" s="660">
        <v>11929.39</v>
      </c>
      <c r="O264" s="660">
        <v>40082.76</v>
      </c>
      <c r="P264" s="660">
        <v>290600</v>
      </c>
      <c r="Q264" s="548"/>
      <c r="R264" s="660">
        <v>218704.67</v>
      </c>
      <c r="S264" s="549">
        <f t="shared" ref="S264:S308" si="392">+P264-R264</f>
        <v>71895.329999999987</v>
      </c>
      <c r="T264" s="113" t="s">
        <v>1932</v>
      </c>
      <c r="U264" s="722" t="str">
        <f t="shared" ref="U264" si="393">+B264</f>
        <v>AA12434</v>
      </c>
      <c r="V264" s="723" t="str">
        <f t="shared" ref="V264" si="394">+I264</f>
        <v>0241-TCN18</v>
      </c>
      <c r="W264" s="722">
        <f t="shared" ref="W264" si="395">+C264</f>
        <v>1520105</v>
      </c>
      <c r="X264" s="722" t="str">
        <f t="shared" ref="X264" si="396">+E264</f>
        <v>HILUX PICK UP CHASSIS CAB</v>
      </c>
      <c r="Y264" s="723">
        <f t="shared" ref="Y264" si="397">+F264</f>
        <v>0</v>
      </c>
      <c r="Z264" s="778">
        <f t="shared" ref="Z264" si="398">+M264</f>
        <v>238587.85</v>
      </c>
      <c r="AA264" s="629">
        <f>+Z264+Z256</f>
        <v>477175.7</v>
      </c>
      <c r="AB264" s="797">
        <v>2</v>
      </c>
      <c r="AC264" s="780">
        <f t="shared" ref="AC264" si="399">VLOOKUP(Z264,TARIFA,1)</f>
        <v>0.01</v>
      </c>
      <c r="AD264" s="726">
        <f t="shared" ref="AD264" si="400">VLOOKUP(Z264,TARIFA,4)</f>
        <v>0.02</v>
      </c>
      <c r="AE264" s="629">
        <f t="shared" ref="AE264" si="401">VLOOKUP(Z264,TARIFA,3)</f>
        <v>0</v>
      </c>
      <c r="AF264" s="629">
        <f t="shared" ref="AF264" si="402">+N264</f>
        <v>11929.39</v>
      </c>
      <c r="AG264" s="727">
        <f t="shared" ref="AG264" si="403">+N264-AF264</f>
        <v>0</v>
      </c>
      <c r="AH264" s="361"/>
      <c r="AI264" s="313"/>
      <c r="AJ264" s="331"/>
      <c r="AK264" s="374"/>
      <c r="AL264" s="374"/>
      <c r="AM264" s="374"/>
      <c r="AN264" s="296"/>
      <c r="AO264" s="296"/>
      <c r="AP264" s="296"/>
      <c r="AQ264" s="296"/>
      <c r="AR264" s="296"/>
      <c r="AS264" s="296"/>
      <c r="AT264" s="296"/>
      <c r="AU264" s="296"/>
    </row>
    <row r="265" spans="1:47" s="351" customFormat="1" x14ac:dyDescent="0.2">
      <c r="A265" s="423">
        <f t="shared" si="125"/>
        <v>258</v>
      </c>
      <c r="B265" s="721" t="s">
        <v>8021</v>
      </c>
      <c r="C265" s="771">
        <v>1520104</v>
      </c>
      <c r="D265" s="771">
        <v>7493</v>
      </c>
      <c r="E265" s="771" t="s">
        <v>6945</v>
      </c>
      <c r="F265" s="546"/>
      <c r="G265" s="659">
        <v>43067</v>
      </c>
      <c r="H265" s="655"/>
      <c r="I265" s="655" t="s">
        <v>7712</v>
      </c>
      <c r="J265" s="712"/>
      <c r="K265" s="655" t="s">
        <v>62</v>
      </c>
      <c r="L265" s="655" t="s">
        <v>7520</v>
      </c>
      <c r="M265" s="660">
        <v>229416.4</v>
      </c>
      <c r="N265" s="660">
        <v>0</v>
      </c>
      <c r="O265" s="660">
        <v>36706.620000000003</v>
      </c>
      <c r="P265" s="660">
        <v>266123.02</v>
      </c>
      <c r="Q265" s="548"/>
      <c r="R265" s="660">
        <v>229061.05</v>
      </c>
      <c r="S265" s="549">
        <f t="shared" si="392"/>
        <v>37061.97000000003</v>
      </c>
      <c r="T265" s="113" t="s">
        <v>283</v>
      </c>
      <c r="U265" s="267"/>
      <c r="V265" s="93"/>
      <c r="W265" s="267"/>
      <c r="X265" s="267"/>
      <c r="Y265" s="93"/>
      <c r="Z265" s="618"/>
      <c r="AA265" s="424"/>
      <c r="AB265" s="715"/>
      <c r="AC265" s="424"/>
      <c r="AD265" s="425"/>
      <c r="AE265" s="424"/>
      <c r="AF265" s="424"/>
      <c r="AG265" s="396"/>
      <c r="AH265" s="361"/>
      <c r="AI265" s="313"/>
      <c r="AJ265" s="330"/>
      <c r="AK265" s="374"/>
      <c r="AL265" s="374"/>
      <c r="AM265" s="374"/>
      <c r="AN265" s="296"/>
      <c r="AO265" s="296"/>
      <c r="AP265" s="296"/>
      <c r="AQ265" s="296"/>
      <c r="AR265" s="296"/>
      <c r="AS265" s="296"/>
      <c r="AT265" s="352"/>
      <c r="AU265" s="352"/>
    </row>
    <row r="266" spans="1:47" s="351" customFormat="1" x14ac:dyDescent="0.2">
      <c r="A266" s="423">
        <f t="shared" si="125"/>
        <v>259</v>
      </c>
      <c r="B266" s="721" t="s">
        <v>8022</v>
      </c>
      <c r="C266" s="771">
        <v>1520104</v>
      </c>
      <c r="D266" s="771">
        <v>7493</v>
      </c>
      <c r="E266" s="771" t="s">
        <v>6945</v>
      </c>
      <c r="F266" s="546"/>
      <c r="G266" s="659">
        <v>43067</v>
      </c>
      <c r="H266" s="655"/>
      <c r="I266" s="655" t="s">
        <v>7713</v>
      </c>
      <c r="J266" s="712"/>
      <c r="K266" s="655" t="s">
        <v>1175</v>
      </c>
      <c r="L266" s="655" t="s">
        <v>7521</v>
      </c>
      <c r="M266" s="660">
        <v>229416.4</v>
      </c>
      <c r="N266" s="660">
        <v>0</v>
      </c>
      <c r="O266" s="660">
        <v>36706.620000000003</v>
      </c>
      <c r="P266" s="660">
        <v>266123.02</v>
      </c>
      <c r="Q266" s="548"/>
      <c r="R266" s="660">
        <v>229061.05</v>
      </c>
      <c r="S266" s="549">
        <f t="shared" si="392"/>
        <v>37061.97000000003</v>
      </c>
      <c r="T266" s="113" t="s">
        <v>283</v>
      </c>
      <c r="U266" s="267"/>
      <c r="V266" s="93"/>
      <c r="W266" s="267"/>
      <c r="X266" s="267"/>
      <c r="Y266" s="93"/>
      <c r="Z266" s="618"/>
      <c r="AA266" s="424"/>
      <c r="AB266" s="715"/>
      <c r="AC266" s="424"/>
      <c r="AD266" s="425"/>
      <c r="AE266" s="424"/>
      <c r="AF266" s="424"/>
      <c r="AG266" s="396"/>
      <c r="AH266" s="361"/>
      <c r="AI266" s="313"/>
      <c r="AJ266" s="374"/>
      <c r="AK266" s="374"/>
      <c r="AL266" s="374"/>
      <c r="AM266" s="374"/>
      <c r="AN266" s="296"/>
      <c r="AO266" s="296"/>
      <c r="AP266" s="296"/>
      <c r="AQ266" s="296"/>
      <c r="AR266" s="296"/>
      <c r="AS266" s="296"/>
      <c r="AT266" s="352"/>
      <c r="AU266" s="352"/>
    </row>
    <row r="267" spans="1:47" s="291" customFormat="1" x14ac:dyDescent="0.2">
      <c r="A267" s="423">
        <f t="shared" si="125"/>
        <v>260</v>
      </c>
      <c r="B267" s="721" t="s">
        <v>8023</v>
      </c>
      <c r="C267" s="771">
        <v>1520104</v>
      </c>
      <c r="D267" s="771">
        <v>7493</v>
      </c>
      <c r="E267" s="771" t="s">
        <v>6945</v>
      </c>
      <c r="F267" s="546"/>
      <c r="G267" s="659">
        <v>43068</v>
      </c>
      <c r="H267" s="655"/>
      <c r="I267" s="655" t="s">
        <v>7713</v>
      </c>
      <c r="J267" s="712"/>
      <c r="K267" s="655" t="s">
        <v>1175</v>
      </c>
      <c r="L267" s="655" t="s">
        <v>7521</v>
      </c>
      <c r="M267" s="660">
        <v>-229416.4</v>
      </c>
      <c r="N267" s="660">
        <v>0</v>
      </c>
      <c r="O267" s="660">
        <v>-36706.620000000003</v>
      </c>
      <c r="P267" s="660">
        <v>-266123.02</v>
      </c>
      <c r="Q267" s="548"/>
      <c r="R267" s="660">
        <v>-229061.05</v>
      </c>
      <c r="S267" s="549">
        <f t="shared" si="392"/>
        <v>-37061.97000000003</v>
      </c>
      <c r="T267" s="113" t="s">
        <v>283</v>
      </c>
      <c r="U267" s="267"/>
      <c r="V267" s="93"/>
      <c r="W267" s="267"/>
      <c r="X267" s="267"/>
      <c r="Y267" s="93"/>
      <c r="Z267" s="618"/>
      <c r="AA267" s="424"/>
      <c r="AB267" s="715"/>
      <c r="AC267" s="424"/>
      <c r="AD267" s="425"/>
      <c r="AE267" s="424"/>
      <c r="AF267" s="424"/>
      <c r="AG267" s="396"/>
      <c r="AH267" s="361"/>
      <c r="AI267" s="313"/>
      <c r="AJ267" s="374"/>
      <c r="AK267" s="374"/>
      <c r="AL267" s="374"/>
      <c r="AM267" s="374"/>
      <c r="AN267" s="296"/>
      <c r="AO267" s="296"/>
      <c r="AP267" s="296"/>
      <c r="AQ267" s="296"/>
      <c r="AR267" s="296"/>
      <c r="AS267" s="296"/>
      <c r="AT267" s="296"/>
      <c r="AU267" s="296"/>
    </row>
    <row r="268" spans="1:47" s="348" customFormat="1" x14ac:dyDescent="0.2">
      <c r="A268" s="423">
        <f t="shared" si="125"/>
        <v>261</v>
      </c>
      <c r="B268" s="721" t="s">
        <v>8041</v>
      </c>
      <c r="C268" s="771">
        <v>1520107</v>
      </c>
      <c r="D268" s="771">
        <v>7495</v>
      </c>
      <c r="E268" s="771" t="s">
        <v>718</v>
      </c>
      <c r="F268" s="546"/>
      <c r="G268" s="659">
        <v>43060</v>
      </c>
      <c r="H268" s="655" t="s">
        <v>5622</v>
      </c>
      <c r="I268" s="655" t="s">
        <v>7718</v>
      </c>
      <c r="J268" s="712"/>
      <c r="K268" s="655" t="s">
        <v>8172</v>
      </c>
      <c r="L268" s="655" t="s">
        <v>7526</v>
      </c>
      <c r="M268" s="660">
        <v>302298.84999999998</v>
      </c>
      <c r="N268" s="660">
        <v>15114.94</v>
      </c>
      <c r="O268" s="660">
        <v>50786.21</v>
      </c>
      <c r="P268" s="660">
        <v>368200</v>
      </c>
      <c r="Q268" s="548"/>
      <c r="R268" s="660">
        <v>267271.96000000002</v>
      </c>
      <c r="S268" s="549">
        <f t="shared" si="392"/>
        <v>100928.03999999998</v>
      </c>
      <c r="T268" s="267" t="s">
        <v>1932</v>
      </c>
      <c r="U268" s="722" t="str">
        <f t="shared" ref="U268:U276" si="404">+B268</f>
        <v>AA12340</v>
      </c>
      <c r="V268" s="723" t="str">
        <f t="shared" ref="V268:V276" si="405">+I268</f>
        <v>0157-TCN18</v>
      </c>
      <c r="W268" s="722">
        <f t="shared" ref="W268:W276" si="406">+C268</f>
        <v>1520107</v>
      </c>
      <c r="X268" s="722" t="str">
        <f t="shared" ref="X268:X276" si="407">+E268</f>
        <v>HILUX PICK UP D CAB SR A/C</v>
      </c>
      <c r="Y268" s="723">
        <f t="shared" ref="Y268:Y276" si="408">+F268</f>
        <v>0</v>
      </c>
      <c r="Z268" s="778">
        <f t="shared" ref="Z268:Z276" si="409">+M268</f>
        <v>302298.84999999998</v>
      </c>
      <c r="AA268" s="629"/>
      <c r="AB268" s="793"/>
      <c r="AC268" s="780">
        <f t="shared" ref="AC268:AC276" si="410">VLOOKUP(Z268,TARIFA,1)</f>
        <v>295708.34000000003</v>
      </c>
      <c r="AD268" s="726">
        <f t="shared" ref="AD268:AD276" si="411">VLOOKUP(Z268,TARIFA,4)</f>
        <v>0.1</v>
      </c>
      <c r="AE268" s="629">
        <f t="shared" ref="AE268:AE276" si="412">VLOOKUP(Z268,TARIFA,3)</f>
        <v>7392.74</v>
      </c>
      <c r="AF268" s="629">
        <f t="shared" ref="AF268:AF276" si="413">+N268</f>
        <v>15114.94</v>
      </c>
      <c r="AG268" s="727">
        <f t="shared" ref="AG268:AG276" si="414">+N268-AF268</f>
        <v>0</v>
      </c>
      <c r="AH268" s="361"/>
      <c r="AI268" s="313"/>
      <c r="AJ268" s="331"/>
      <c r="AK268" s="374"/>
      <c r="AL268" s="374"/>
      <c r="AM268" s="374"/>
      <c r="AN268" s="296"/>
      <c r="AO268" s="296"/>
      <c r="AP268" s="296"/>
      <c r="AQ268" s="296"/>
      <c r="AR268" s="296"/>
      <c r="AS268" s="296"/>
      <c r="AT268" s="353"/>
      <c r="AU268" s="353"/>
    </row>
    <row r="269" spans="1:47" s="351" customFormat="1" x14ac:dyDescent="0.2">
      <c r="A269" s="423">
        <f t="shared" si="125"/>
        <v>262</v>
      </c>
      <c r="B269" s="721" t="s">
        <v>8030</v>
      </c>
      <c r="C269" s="771">
        <v>1520107</v>
      </c>
      <c r="D269" s="771">
        <v>7495</v>
      </c>
      <c r="E269" s="771" t="s">
        <v>718</v>
      </c>
      <c r="F269" s="546"/>
      <c r="G269" s="659">
        <v>43048</v>
      </c>
      <c r="H269" s="655" t="s">
        <v>792</v>
      </c>
      <c r="I269" s="655" t="s">
        <v>7717</v>
      </c>
      <c r="J269" s="712"/>
      <c r="K269" s="655" t="s">
        <v>8168</v>
      </c>
      <c r="L269" s="655" t="s">
        <v>7525</v>
      </c>
      <c r="M269" s="660">
        <v>302298.84999999998</v>
      </c>
      <c r="N269" s="660">
        <v>15114.94</v>
      </c>
      <c r="O269" s="660">
        <v>50786.21</v>
      </c>
      <c r="P269" s="660">
        <v>368200</v>
      </c>
      <c r="Q269" s="548"/>
      <c r="R269" s="660">
        <v>267271.96000000002</v>
      </c>
      <c r="S269" s="549">
        <f t="shared" si="392"/>
        <v>100928.03999999998</v>
      </c>
      <c r="T269" s="113" t="s">
        <v>1932</v>
      </c>
      <c r="U269" s="722" t="str">
        <f t="shared" si="404"/>
        <v>AA12270</v>
      </c>
      <c r="V269" s="723" t="str">
        <f t="shared" si="405"/>
        <v>0158-TCN18</v>
      </c>
      <c r="W269" s="722">
        <f t="shared" si="406"/>
        <v>1520107</v>
      </c>
      <c r="X269" s="722" t="str">
        <f t="shared" si="407"/>
        <v>HILUX PICK UP D CAB SR A/C</v>
      </c>
      <c r="Y269" s="723">
        <f t="shared" si="408"/>
        <v>0</v>
      </c>
      <c r="Z269" s="778">
        <f t="shared" si="409"/>
        <v>302298.84999999998</v>
      </c>
      <c r="AA269" s="629"/>
      <c r="AB269" s="793"/>
      <c r="AC269" s="780">
        <f t="shared" si="410"/>
        <v>295708.34000000003</v>
      </c>
      <c r="AD269" s="726">
        <f t="shared" si="411"/>
        <v>0.1</v>
      </c>
      <c r="AE269" s="629">
        <f t="shared" si="412"/>
        <v>7392.74</v>
      </c>
      <c r="AF269" s="629">
        <f t="shared" si="413"/>
        <v>15114.94</v>
      </c>
      <c r="AG269" s="727">
        <f t="shared" si="414"/>
        <v>0</v>
      </c>
      <c r="AH269" s="361"/>
      <c r="AI269" s="313"/>
      <c r="AJ269" s="374"/>
      <c r="AK269" s="374"/>
      <c r="AL269" s="374"/>
      <c r="AM269" s="374"/>
      <c r="AN269" s="296"/>
      <c r="AO269" s="296"/>
      <c r="AP269" s="296"/>
      <c r="AQ269" s="296"/>
      <c r="AR269" s="296"/>
      <c r="AS269" s="296"/>
      <c r="AT269" s="352"/>
      <c r="AU269" s="352"/>
    </row>
    <row r="270" spans="1:47" s="348" customFormat="1" x14ac:dyDescent="0.2">
      <c r="A270" s="423">
        <f t="shared" si="125"/>
        <v>263</v>
      </c>
      <c r="B270" s="721" t="s">
        <v>8058</v>
      </c>
      <c r="C270" s="771">
        <v>1520107</v>
      </c>
      <c r="D270" s="771">
        <v>7497</v>
      </c>
      <c r="E270" s="771" t="s">
        <v>5619</v>
      </c>
      <c r="F270" s="546"/>
      <c r="G270" s="659">
        <v>43047</v>
      </c>
      <c r="H270" s="655" t="s">
        <v>739</v>
      </c>
      <c r="I270" s="655" t="s">
        <v>7733</v>
      </c>
      <c r="J270" s="712"/>
      <c r="K270" s="655" t="s">
        <v>3918</v>
      </c>
      <c r="L270" s="655" t="s">
        <v>7541</v>
      </c>
      <c r="M270" s="660">
        <v>283579.64</v>
      </c>
      <c r="N270" s="660">
        <v>14178.98</v>
      </c>
      <c r="O270" s="660">
        <v>47641.38</v>
      </c>
      <c r="P270" s="660">
        <v>345400</v>
      </c>
      <c r="Q270" s="548"/>
      <c r="R270" s="660">
        <v>257241.12</v>
      </c>
      <c r="S270" s="549">
        <f t="shared" si="392"/>
        <v>88158.88</v>
      </c>
      <c r="T270" s="113" t="s">
        <v>1932</v>
      </c>
      <c r="U270" s="722" t="str">
        <f t="shared" si="404"/>
        <v>AA12262</v>
      </c>
      <c r="V270" s="723" t="str">
        <f t="shared" si="405"/>
        <v>0194-TCN18</v>
      </c>
      <c r="W270" s="722">
        <f t="shared" si="406"/>
        <v>1520107</v>
      </c>
      <c r="X270" s="722" t="str">
        <f t="shared" si="407"/>
        <v>HILUX 4X2 DOBLE CABINA BASE</v>
      </c>
      <c r="Y270" s="723">
        <f t="shared" si="408"/>
        <v>0</v>
      </c>
      <c r="Z270" s="778">
        <f t="shared" si="409"/>
        <v>283579.64</v>
      </c>
      <c r="AA270" s="629">
        <f>+SUM(Z268:Z270)</f>
        <v>888177.34</v>
      </c>
      <c r="AB270" s="797">
        <v>3</v>
      </c>
      <c r="AC270" s="780">
        <f t="shared" si="410"/>
        <v>246423.66</v>
      </c>
      <c r="AD270" s="726">
        <f t="shared" si="411"/>
        <v>0.05</v>
      </c>
      <c r="AE270" s="629">
        <f t="shared" si="412"/>
        <v>4928.3900000000003</v>
      </c>
      <c r="AF270" s="629">
        <f t="shared" si="413"/>
        <v>14178.98</v>
      </c>
      <c r="AG270" s="727">
        <f t="shared" si="414"/>
        <v>0</v>
      </c>
      <c r="AH270" s="361"/>
      <c r="AI270" s="313"/>
      <c r="AJ270" s="330"/>
      <c r="AK270" s="374"/>
      <c r="AL270" s="374"/>
      <c r="AM270" s="374"/>
      <c r="AN270" s="296"/>
      <c r="AO270" s="296"/>
      <c r="AP270" s="296"/>
      <c r="AQ270" s="296"/>
      <c r="AR270" s="296"/>
      <c r="AS270" s="296"/>
      <c r="AT270" s="353"/>
      <c r="AU270" s="353"/>
    </row>
    <row r="271" spans="1:47" s="348" customFormat="1" x14ac:dyDescent="0.2">
      <c r="A271" s="423">
        <f t="shared" si="125"/>
        <v>264</v>
      </c>
      <c r="B271" s="721" t="s">
        <v>7947</v>
      </c>
      <c r="C271" s="771">
        <v>1520202</v>
      </c>
      <c r="D271" s="771">
        <v>5611</v>
      </c>
      <c r="E271" s="771" t="s">
        <v>225</v>
      </c>
      <c r="F271" s="546"/>
      <c r="G271" s="659">
        <v>43045</v>
      </c>
      <c r="H271" s="655" t="s">
        <v>2216</v>
      </c>
      <c r="I271" s="655" t="s">
        <v>6901</v>
      </c>
      <c r="J271" s="712"/>
      <c r="K271" s="655" t="s">
        <v>6903</v>
      </c>
      <c r="L271" s="655" t="s">
        <v>6902</v>
      </c>
      <c r="M271" s="660">
        <v>-394255.04</v>
      </c>
      <c r="N271" s="660">
        <v>-19710.48</v>
      </c>
      <c r="O271" s="660">
        <v>-66234.48</v>
      </c>
      <c r="P271" s="660">
        <v>-480200</v>
      </c>
      <c r="Q271" s="548"/>
      <c r="R271" s="660">
        <v>-349547.89</v>
      </c>
      <c r="S271" s="549">
        <f t="shared" si="392"/>
        <v>-130652.10999999999</v>
      </c>
      <c r="T271" s="113" t="s">
        <v>1266</v>
      </c>
      <c r="U271" s="722" t="str">
        <f t="shared" si="404"/>
        <v>ZA04417</v>
      </c>
      <c r="V271" s="723" t="str">
        <f t="shared" si="405"/>
        <v>0117-TCN18</v>
      </c>
      <c r="W271" s="722">
        <f t="shared" si="406"/>
        <v>1520202</v>
      </c>
      <c r="X271" s="722" t="str">
        <f t="shared" si="407"/>
        <v>HIACE PANEL 15 PASAJ AC</v>
      </c>
      <c r="Y271" s="723">
        <f t="shared" si="408"/>
        <v>0</v>
      </c>
      <c r="Z271" s="778">
        <f t="shared" si="409"/>
        <v>-394255.04</v>
      </c>
      <c r="AA271" s="629"/>
      <c r="AB271" s="793"/>
      <c r="AC271" s="780" t="e">
        <f t="shared" si="410"/>
        <v>#N/A</v>
      </c>
      <c r="AD271" s="726" t="e">
        <f t="shared" si="411"/>
        <v>#N/A</v>
      </c>
      <c r="AE271" s="629" t="e">
        <f t="shared" si="412"/>
        <v>#N/A</v>
      </c>
      <c r="AF271" s="629">
        <f t="shared" si="413"/>
        <v>-19710.48</v>
      </c>
      <c r="AG271" s="727">
        <f t="shared" si="414"/>
        <v>0</v>
      </c>
      <c r="AH271" s="361"/>
      <c r="AI271" s="313"/>
      <c r="AJ271" s="374"/>
      <c r="AK271" s="374"/>
      <c r="AL271" s="374"/>
      <c r="AM271" s="374"/>
      <c r="AN271" s="296"/>
      <c r="AO271" s="296"/>
      <c r="AP271" s="296"/>
      <c r="AQ271" s="296"/>
      <c r="AR271" s="296"/>
      <c r="AS271" s="296"/>
      <c r="AT271" s="353"/>
      <c r="AU271" s="353"/>
    </row>
    <row r="272" spans="1:47" s="351" customFormat="1" x14ac:dyDescent="0.2">
      <c r="A272" s="423">
        <f t="shared" si="125"/>
        <v>265</v>
      </c>
      <c r="B272" s="721" t="s">
        <v>7948</v>
      </c>
      <c r="C272" s="771">
        <v>1520202</v>
      </c>
      <c r="D272" s="771">
        <v>5611</v>
      </c>
      <c r="E272" s="771" t="s">
        <v>225</v>
      </c>
      <c r="F272" s="546"/>
      <c r="G272" s="659">
        <v>43045</v>
      </c>
      <c r="H272" s="655" t="s">
        <v>2216</v>
      </c>
      <c r="I272" s="655" t="s">
        <v>7681</v>
      </c>
      <c r="J272" s="712"/>
      <c r="K272" s="655" t="s">
        <v>6903</v>
      </c>
      <c r="L272" s="655" t="s">
        <v>7489</v>
      </c>
      <c r="M272" s="660">
        <v>394255.04</v>
      </c>
      <c r="N272" s="660">
        <v>19710.48</v>
      </c>
      <c r="O272" s="660">
        <v>66234.48</v>
      </c>
      <c r="P272" s="660">
        <v>480200</v>
      </c>
      <c r="Q272" s="548"/>
      <c r="R272" s="660">
        <v>349547.89</v>
      </c>
      <c r="S272" s="549">
        <f t="shared" si="392"/>
        <v>130652.10999999999</v>
      </c>
      <c r="T272" s="267" t="s">
        <v>1932</v>
      </c>
      <c r="U272" s="722" t="str">
        <f t="shared" si="404"/>
        <v>AA12239</v>
      </c>
      <c r="V272" s="723" t="str">
        <f t="shared" si="405"/>
        <v>0183-TCN18</v>
      </c>
      <c r="W272" s="722">
        <f t="shared" si="406"/>
        <v>1520202</v>
      </c>
      <c r="X272" s="722" t="str">
        <f t="shared" si="407"/>
        <v>HIACE PANEL 15 PASAJ AC</v>
      </c>
      <c r="Y272" s="723">
        <f t="shared" si="408"/>
        <v>0</v>
      </c>
      <c r="Z272" s="778">
        <f t="shared" si="409"/>
        <v>394255.04</v>
      </c>
      <c r="AA272" s="629"/>
      <c r="AB272" s="793"/>
      <c r="AC272" s="780">
        <f t="shared" si="410"/>
        <v>344993.21</v>
      </c>
      <c r="AD272" s="726">
        <f t="shared" si="411"/>
        <v>0.15</v>
      </c>
      <c r="AE272" s="629">
        <f t="shared" si="412"/>
        <v>12321.2</v>
      </c>
      <c r="AF272" s="629">
        <f t="shared" si="413"/>
        <v>19710.48</v>
      </c>
      <c r="AG272" s="727">
        <f t="shared" si="414"/>
        <v>0</v>
      </c>
      <c r="AH272" s="361"/>
      <c r="AI272" s="313"/>
      <c r="AJ272" s="331"/>
      <c r="AK272" s="374"/>
      <c r="AL272" s="374"/>
      <c r="AM272" s="374"/>
      <c r="AN272" s="296"/>
      <c r="AO272" s="296"/>
      <c r="AP272" s="296"/>
      <c r="AQ272" s="296"/>
      <c r="AR272" s="296"/>
      <c r="AS272" s="296"/>
      <c r="AT272" s="352"/>
      <c r="AU272" s="352"/>
    </row>
    <row r="273" spans="1:47" s="351" customFormat="1" x14ac:dyDescent="0.2">
      <c r="A273" s="423">
        <f t="shared" si="125"/>
        <v>266</v>
      </c>
      <c r="B273" s="721" t="s">
        <v>7952</v>
      </c>
      <c r="C273" s="771">
        <v>1520202</v>
      </c>
      <c r="D273" s="771">
        <v>5611</v>
      </c>
      <c r="E273" s="771" t="s">
        <v>225</v>
      </c>
      <c r="F273" s="546"/>
      <c r="G273" s="659">
        <v>43053</v>
      </c>
      <c r="H273" s="655" t="s">
        <v>792</v>
      </c>
      <c r="I273" s="655" t="s">
        <v>7682</v>
      </c>
      <c r="J273" s="712"/>
      <c r="K273" s="655" t="s">
        <v>8156</v>
      </c>
      <c r="L273" s="655" t="s">
        <v>7490</v>
      </c>
      <c r="M273" s="660">
        <v>394255.04</v>
      </c>
      <c r="N273" s="660">
        <v>19710.48</v>
      </c>
      <c r="O273" s="660">
        <v>66234.48</v>
      </c>
      <c r="P273" s="660">
        <v>480200</v>
      </c>
      <c r="Q273" s="548"/>
      <c r="R273" s="660">
        <v>349547.89</v>
      </c>
      <c r="S273" s="549">
        <f t="shared" si="392"/>
        <v>130652.10999999999</v>
      </c>
      <c r="T273" s="267" t="s">
        <v>1932</v>
      </c>
      <c r="U273" s="722" t="str">
        <f t="shared" si="404"/>
        <v>AA12298</v>
      </c>
      <c r="V273" s="723" t="str">
        <f t="shared" si="405"/>
        <v>0198-TCN18</v>
      </c>
      <c r="W273" s="722">
        <f t="shared" si="406"/>
        <v>1520202</v>
      </c>
      <c r="X273" s="722" t="str">
        <f t="shared" si="407"/>
        <v>HIACE PANEL 15 PASAJ AC</v>
      </c>
      <c r="Y273" s="723">
        <f t="shared" si="408"/>
        <v>0</v>
      </c>
      <c r="Z273" s="778">
        <f t="shared" si="409"/>
        <v>394255.04</v>
      </c>
      <c r="AA273" s="629"/>
      <c r="AB273" s="793"/>
      <c r="AC273" s="780">
        <f t="shared" si="410"/>
        <v>344993.21</v>
      </c>
      <c r="AD273" s="726">
        <f t="shared" si="411"/>
        <v>0.15</v>
      </c>
      <c r="AE273" s="629">
        <f t="shared" si="412"/>
        <v>12321.2</v>
      </c>
      <c r="AF273" s="629">
        <f t="shared" si="413"/>
        <v>19710.48</v>
      </c>
      <c r="AG273" s="727">
        <f t="shared" si="414"/>
        <v>0</v>
      </c>
      <c r="AH273" s="361"/>
      <c r="AI273" s="313"/>
      <c r="AJ273" s="331"/>
      <c r="AK273" s="374"/>
      <c r="AL273" s="374"/>
      <c r="AM273" s="374"/>
      <c r="AN273" s="296"/>
      <c r="AO273" s="296"/>
      <c r="AP273" s="296"/>
      <c r="AQ273" s="296"/>
      <c r="AR273" s="296"/>
      <c r="AS273" s="296"/>
      <c r="AT273" s="352"/>
      <c r="AU273" s="352"/>
    </row>
    <row r="274" spans="1:47" s="351" customFormat="1" x14ac:dyDescent="0.2">
      <c r="A274" s="423">
        <f t="shared" si="125"/>
        <v>267</v>
      </c>
      <c r="B274" s="721" t="s">
        <v>7954</v>
      </c>
      <c r="C274" s="771">
        <v>1520202</v>
      </c>
      <c r="D274" s="771">
        <v>5611</v>
      </c>
      <c r="E274" s="771" t="s">
        <v>225</v>
      </c>
      <c r="F274" s="546"/>
      <c r="G274" s="659">
        <v>43053</v>
      </c>
      <c r="H274" s="655" t="s">
        <v>819</v>
      </c>
      <c r="I274" s="655" t="s">
        <v>7683</v>
      </c>
      <c r="J274" s="712"/>
      <c r="K274" s="655" t="s">
        <v>923</v>
      </c>
      <c r="L274" s="655" t="s">
        <v>7491</v>
      </c>
      <c r="M274" s="660">
        <v>394255.04</v>
      </c>
      <c r="N274" s="660">
        <v>19710.48</v>
      </c>
      <c r="O274" s="660">
        <v>66234.48</v>
      </c>
      <c r="P274" s="660">
        <v>480200</v>
      </c>
      <c r="Q274" s="548"/>
      <c r="R274" s="660">
        <v>349547.89</v>
      </c>
      <c r="S274" s="549">
        <f t="shared" si="392"/>
        <v>130652.10999999999</v>
      </c>
      <c r="T274" s="113" t="s">
        <v>1932</v>
      </c>
      <c r="U274" s="722" t="str">
        <f t="shared" si="404"/>
        <v>AA12299</v>
      </c>
      <c r="V274" s="723" t="str">
        <f t="shared" si="405"/>
        <v>0206-TCN18</v>
      </c>
      <c r="W274" s="722">
        <f t="shared" si="406"/>
        <v>1520202</v>
      </c>
      <c r="X274" s="722" t="str">
        <f t="shared" si="407"/>
        <v>HIACE PANEL 15 PASAJ AC</v>
      </c>
      <c r="Y274" s="723">
        <f t="shared" si="408"/>
        <v>0</v>
      </c>
      <c r="Z274" s="778">
        <f t="shared" si="409"/>
        <v>394255.04</v>
      </c>
      <c r="AA274" s="629"/>
      <c r="AB274" s="795"/>
      <c r="AC274" s="780">
        <f t="shared" si="410"/>
        <v>344993.21</v>
      </c>
      <c r="AD274" s="726">
        <f t="shared" si="411"/>
        <v>0.15</v>
      </c>
      <c r="AE274" s="629">
        <f t="shared" si="412"/>
        <v>12321.2</v>
      </c>
      <c r="AF274" s="629">
        <f t="shared" si="413"/>
        <v>19710.48</v>
      </c>
      <c r="AG274" s="727">
        <f t="shared" si="414"/>
        <v>0</v>
      </c>
      <c r="AI274" s="313"/>
      <c r="AJ274" s="331"/>
      <c r="AK274" s="374"/>
      <c r="AL274" s="374"/>
      <c r="AM274" s="374"/>
      <c r="AN274" s="296"/>
      <c r="AO274" s="296"/>
      <c r="AP274" s="296"/>
      <c r="AQ274" s="296"/>
      <c r="AR274" s="296"/>
      <c r="AS274" s="296"/>
      <c r="AT274" s="352"/>
      <c r="AU274" s="352"/>
    </row>
    <row r="275" spans="1:47" s="291" customFormat="1" x14ac:dyDescent="0.2">
      <c r="A275" s="423">
        <f t="shared" si="125"/>
        <v>268</v>
      </c>
      <c r="B275" s="721" t="s">
        <v>7955</v>
      </c>
      <c r="C275" s="771">
        <v>1520202</v>
      </c>
      <c r="D275" s="771">
        <v>5611</v>
      </c>
      <c r="E275" s="771" t="s">
        <v>225</v>
      </c>
      <c r="F275" s="546"/>
      <c r="G275" s="659">
        <v>43055</v>
      </c>
      <c r="H275" s="655" t="s">
        <v>819</v>
      </c>
      <c r="I275" s="655" t="s">
        <v>7684</v>
      </c>
      <c r="J275" s="712"/>
      <c r="K275" s="655" t="s">
        <v>1008</v>
      </c>
      <c r="L275" s="655" t="s">
        <v>7492</v>
      </c>
      <c r="M275" s="660">
        <v>394255.04</v>
      </c>
      <c r="N275" s="660">
        <v>19710.48</v>
      </c>
      <c r="O275" s="660">
        <v>66234.48</v>
      </c>
      <c r="P275" s="660">
        <v>480200</v>
      </c>
      <c r="Q275" s="548"/>
      <c r="R275" s="660">
        <v>349547.89</v>
      </c>
      <c r="S275" s="549">
        <f t="shared" si="392"/>
        <v>130652.10999999999</v>
      </c>
      <c r="T275" s="113" t="s">
        <v>1932</v>
      </c>
      <c r="U275" s="722" t="str">
        <f t="shared" si="404"/>
        <v>AA12320</v>
      </c>
      <c r="V275" s="723" t="str">
        <f t="shared" si="405"/>
        <v>0208-TCN18</v>
      </c>
      <c r="W275" s="722">
        <f t="shared" si="406"/>
        <v>1520202</v>
      </c>
      <c r="X275" s="722" t="str">
        <f t="shared" si="407"/>
        <v>HIACE PANEL 15 PASAJ AC</v>
      </c>
      <c r="Y275" s="723">
        <f t="shared" si="408"/>
        <v>0</v>
      </c>
      <c r="Z275" s="778">
        <f t="shared" si="409"/>
        <v>394255.04</v>
      </c>
      <c r="AA275" s="629">
        <f>+SUM(Z271:Z275)</f>
        <v>1182765.1199999999</v>
      </c>
      <c r="AB275" s="798">
        <v>3</v>
      </c>
      <c r="AC275" s="780">
        <f t="shared" si="410"/>
        <v>344993.21</v>
      </c>
      <c r="AD275" s="726">
        <f t="shared" si="411"/>
        <v>0.15</v>
      </c>
      <c r="AE275" s="629">
        <f t="shared" si="412"/>
        <v>12321.2</v>
      </c>
      <c r="AF275" s="629">
        <f t="shared" si="413"/>
        <v>19710.48</v>
      </c>
      <c r="AG275" s="727">
        <f t="shared" si="414"/>
        <v>0</v>
      </c>
      <c r="AI275" s="313"/>
      <c r="AJ275" s="374"/>
      <c r="AK275" s="374"/>
      <c r="AL275" s="374"/>
      <c r="AM275" s="374"/>
      <c r="AN275" s="296"/>
      <c r="AO275" s="296"/>
      <c r="AP275" s="296"/>
      <c r="AQ275" s="296"/>
      <c r="AR275" s="296"/>
      <c r="AS275" s="296"/>
      <c r="AT275" s="296"/>
      <c r="AU275" s="296"/>
    </row>
    <row r="276" spans="1:47" s="291" customFormat="1" x14ac:dyDescent="0.2">
      <c r="A276" s="423">
        <f t="shared" si="125"/>
        <v>269</v>
      </c>
      <c r="B276" s="721" t="s">
        <v>7981</v>
      </c>
      <c r="C276" s="771">
        <v>1520302</v>
      </c>
      <c r="D276" s="771">
        <v>7441</v>
      </c>
      <c r="E276" s="771" t="s">
        <v>715</v>
      </c>
      <c r="F276" s="546"/>
      <c r="G276" s="659">
        <v>43069</v>
      </c>
      <c r="H276" s="655" t="s">
        <v>774</v>
      </c>
      <c r="I276" s="655" t="s">
        <v>6388</v>
      </c>
      <c r="J276" s="712"/>
      <c r="K276" s="655" t="s">
        <v>8161</v>
      </c>
      <c r="L276" s="655" t="s">
        <v>6649</v>
      </c>
      <c r="M276" s="660">
        <v>-532019.69999999995</v>
      </c>
      <c r="N276" s="660">
        <v>-26600.99</v>
      </c>
      <c r="O276" s="660">
        <v>-89379.31</v>
      </c>
      <c r="P276" s="660">
        <v>-648000</v>
      </c>
      <c r="Q276" s="548"/>
      <c r="R276" s="660">
        <v>-471232.63</v>
      </c>
      <c r="S276" s="549">
        <f t="shared" si="392"/>
        <v>-176767.37</v>
      </c>
      <c r="T276" s="113" t="s">
        <v>1932</v>
      </c>
      <c r="U276" s="722" t="str">
        <f t="shared" si="404"/>
        <v>ZA04477</v>
      </c>
      <c r="V276" s="723" t="str">
        <f t="shared" si="405"/>
        <v>1864-TCN17</v>
      </c>
      <c r="W276" s="722">
        <f t="shared" si="406"/>
        <v>1520302</v>
      </c>
      <c r="X276" s="722" t="str">
        <f t="shared" si="407"/>
        <v>TACOMA 4X4</v>
      </c>
      <c r="Y276" s="723">
        <f t="shared" si="408"/>
        <v>0</v>
      </c>
      <c r="Z276" s="778">
        <f t="shared" si="409"/>
        <v>-532019.69999999995</v>
      </c>
      <c r="AA276" s="629">
        <f>+Z276</f>
        <v>-532019.69999999995</v>
      </c>
      <c r="AB276" s="795"/>
      <c r="AC276" s="780" t="e">
        <f t="shared" si="410"/>
        <v>#N/A</v>
      </c>
      <c r="AD276" s="726" t="e">
        <f t="shared" si="411"/>
        <v>#N/A</v>
      </c>
      <c r="AE276" s="629" t="e">
        <f t="shared" si="412"/>
        <v>#N/A</v>
      </c>
      <c r="AF276" s="629">
        <f t="shared" si="413"/>
        <v>-26600.99</v>
      </c>
      <c r="AG276" s="727">
        <f t="shared" si="414"/>
        <v>0</v>
      </c>
      <c r="AI276" s="313"/>
      <c r="AK276" s="296"/>
      <c r="AL276" s="374"/>
      <c r="AM276" s="374"/>
    </row>
    <row r="277" spans="1:47" s="291" customFormat="1" x14ac:dyDescent="0.2">
      <c r="A277" s="423">
        <f t="shared" si="125"/>
        <v>270</v>
      </c>
      <c r="B277" s="721" t="s">
        <v>8033</v>
      </c>
      <c r="C277" s="771">
        <v>1520604</v>
      </c>
      <c r="D277" s="771">
        <v>7495</v>
      </c>
      <c r="E277" s="771" t="s">
        <v>718</v>
      </c>
      <c r="F277" s="546"/>
      <c r="G277" s="659">
        <v>43054</v>
      </c>
      <c r="H277" s="655"/>
      <c r="I277" s="655" t="s">
        <v>7720</v>
      </c>
      <c r="J277" s="712"/>
      <c r="K277" s="655" t="s">
        <v>1698</v>
      </c>
      <c r="L277" s="655" t="s">
        <v>7528</v>
      </c>
      <c r="M277" s="660">
        <v>262806.28000000003</v>
      </c>
      <c r="N277" s="660">
        <v>0</v>
      </c>
      <c r="O277" s="660">
        <v>42049</v>
      </c>
      <c r="P277" s="660">
        <v>304855.28000000003</v>
      </c>
      <c r="Q277" s="548"/>
      <c r="R277" s="660">
        <v>262450.93</v>
      </c>
      <c r="S277" s="549">
        <f t="shared" si="392"/>
        <v>42404.350000000035</v>
      </c>
      <c r="T277" s="113" t="s">
        <v>283</v>
      </c>
      <c r="AB277" s="389"/>
      <c r="AI277" s="313"/>
      <c r="AK277" s="296"/>
      <c r="AL277" s="374"/>
      <c r="AM277" s="374"/>
    </row>
    <row r="278" spans="1:47" s="291" customFormat="1" x14ac:dyDescent="0.2">
      <c r="A278" s="423">
        <f t="shared" si="125"/>
        <v>271</v>
      </c>
      <c r="B278" s="721" t="s">
        <v>8034</v>
      </c>
      <c r="C278" s="771">
        <v>1520604</v>
      </c>
      <c r="D278" s="771">
        <v>7495</v>
      </c>
      <c r="E278" s="771" t="s">
        <v>718</v>
      </c>
      <c r="F278" s="546"/>
      <c r="G278" s="659">
        <v>43055</v>
      </c>
      <c r="H278" s="655"/>
      <c r="I278" s="655" t="s">
        <v>7721</v>
      </c>
      <c r="J278" s="712"/>
      <c r="K278" s="655" t="s">
        <v>1155</v>
      </c>
      <c r="L278" s="655" t="s">
        <v>7529</v>
      </c>
      <c r="M278" s="660">
        <v>262806.28000000003</v>
      </c>
      <c r="N278" s="660">
        <v>0</v>
      </c>
      <c r="O278" s="660">
        <v>42049</v>
      </c>
      <c r="P278" s="660">
        <v>304855.28000000003</v>
      </c>
      <c r="Q278" s="548"/>
      <c r="R278" s="660">
        <v>262450.93</v>
      </c>
      <c r="S278" s="549">
        <f t="shared" si="392"/>
        <v>42404.350000000035</v>
      </c>
      <c r="T278" s="113" t="s">
        <v>283</v>
      </c>
      <c r="AB278" s="389"/>
      <c r="AI278" s="313"/>
      <c r="AJ278" s="374"/>
      <c r="AK278" s="374"/>
      <c r="AL278" s="374"/>
      <c r="AM278" s="374"/>
    </row>
    <row r="279" spans="1:47" s="348" customFormat="1" x14ac:dyDescent="0.2">
      <c r="A279" s="423">
        <f t="shared" si="125"/>
        <v>272</v>
      </c>
      <c r="B279" s="721" t="s">
        <v>8035</v>
      </c>
      <c r="C279" s="771">
        <v>1520604</v>
      </c>
      <c r="D279" s="771">
        <v>7495</v>
      </c>
      <c r="E279" s="771" t="s">
        <v>718</v>
      </c>
      <c r="F279" s="546"/>
      <c r="G279" s="659">
        <v>43055</v>
      </c>
      <c r="H279" s="655"/>
      <c r="I279" s="655" t="s">
        <v>7722</v>
      </c>
      <c r="J279" s="712"/>
      <c r="K279" s="655" t="s">
        <v>1155</v>
      </c>
      <c r="L279" s="655" t="s">
        <v>7530</v>
      </c>
      <c r="M279" s="660">
        <v>262805.40999999997</v>
      </c>
      <c r="N279" s="660">
        <v>0</v>
      </c>
      <c r="O279" s="660">
        <v>42048.87</v>
      </c>
      <c r="P279" s="660">
        <v>304854.28000000003</v>
      </c>
      <c r="Q279" s="548"/>
      <c r="R279" s="660">
        <v>262450.93</v>
      </c>
      <c r="S279" s="549">
        <f t="shared" si="392"/>
        <v>42403.350000000035</v>
      </c>
      <c r="T279" s="113" t="s">
        <v>283</v>
      </c>
      <c r="AB279" s="389"/>
      <c r="AI279" s="363"/>
      <c r="AJ279" s="330"/>
      <c r="AK279" s="330"/>
      <c r="AL279" s="330"/>
      <c r="AM279" s="330"/>
    </row>
    <row r="280" spans="1:47" s="351" customFormat="1" x14ac:dyDescent="0.2">
      <c r="A280" s="423">
        <f t="shared" si="125"/>
        <v>273</v>
      </c>
      <c r="B280" s="721" t="s">
        <v>7842</v>
      </c>
      <c r="C280" s="771">
        <v>520905</v>
      </c>
      <c r="D280" s="771">
        <v>2009</v>
      </c>
      <c r="E280" s="771" t="s">
        <v>698</v>
      </c>
      <c r="F280" s="546"/>
      <c r="G280" s="659">
        <v>43055</v>
      </c>
      <c r="H280" s="655" t="s">
        <v>5621</v>
      </c>
      <c r="I280" s="655" t="s">
        <v>7618</v>
      </c>
      <c r="J280" s="712"/>
      <c r="K280" s="655" t="s">
        <v>8120</v>
      </c>
      <c r="L280" s="655" t="s">
        <v>7426</v>
      </c>
      <c r="M280" s="660">
        <v>213275.86</v>
      </c>
      <c r="N280" s="660">
        <v>0</v>
      </c>
      <c r="O280" s="660">
        <v>34124.14</v>
      </c>
      <c r="P280" s="660">
        <v>247400</v>
      </c>
      <c r="Q280" s="548"/>
      <c r="R280" s="660">
        <v>203130</v>
      </c>
      <c r="S280" s="549">
        <f t="shared" si="392"/>
        <v>44270</v>
      </c>
      <c r="T280" s="445" t="s">
        <v>1931</v>
      </c>
      <c r="AB280" s="389"/>
      <c r="AI280" s="313"/>
      <c r="AJ280" s="374"/>
      <c r="AK280" s="374"/>
      <c r="AL280" s="374"/>
      <c r="AM280" s="374"/>
      <c r="AN280" s="291"/>
      <c r="AO280" s="291"/>
      <c r="AP280" s="291"/>
      <c r="AQ280" s="291"/>
      <c r="AR280" s="291"/>
      <c r="AS280" s="291"/>
    </row>
    <row r="281" spans="1:47" s="348" customFormat="1" x14ac:dyDescent="0.2">
      <c r="A281" s="423">
        <f t="shared" si="125"/>
        <v>274</v>
      </c>
      <c r="B281" s="721" t="s">
        <v>7843</v>
      </c>
      <c r="C281" s="771">
        <v>520905</v>
      </c>
      <c r="D281" s="771">
        <v>2009</v>
      </c>
      <c r="E281" s="771" t="s">
        <v>698</v>
      </c>
      <c r="F281" s="546"/>
      <c r="G281" s="659">
        <v>43060</v>
      </c>
      <c r="H281" s="655" t="s">
        <v>5621</v>
      </c>
      <c r="I281" s="655" t="s">
        <v>7618</v>
      </c>
      <c r="J281" s="712"/>
      <c r="K281" s="655" t="s">
        <v>8120</v>
      </c>
      <c r="L281" s="655" t="s">
        <v>7426</v>
      </c>
      <c r="M281" s="660">
        <v>-213275.86</v>
      </c>
      <c r="N281" s="660">
        <v>0</v>
      </c>
      <c r="O281" s="660">
        <v>-34124.14</v>
      </c>
      <c r="P281" s="660">
        <v>-247400</v>
      </c>
      <c r="Q281" s="548"/>
      <c r="R281" s="660">
        <v>-203130</v>
      </c>
      <c r="S281" s="549">
        <f t="shared" si="392"/>
        <v>-44270</v>
      </c>
      <c r="T281" s="113" t="s">
        <v>1931</v>
      </c>
      <c r="AB281" s="389"/>
      <c r="AI281" s="313"/>
      <c r="AJ281" s="331"/>
      <c r="AK281" s="330"/>
      <c r="AL281" s="330"/>
      <c r="AM281" s="330"/>
    </row>
    <row r="282" spans="1:47" s="291" customFormat="1" x14ac:dyDescent="0.2">
      <c r="A282" s="423">
        <f t="shared" si="125"/>
        <v>275</v>
      </c>
      <c r="B282" s="721" t="s">
        <v>8064</v>
      </c>
      <c r="C282" s="771">
        <v>1520503</v>
      </c>
      <c r="D282" s="771">
        <v>8125</v>
      </c>
      <c r="E282" s="771" t="s">
        <v>6276</v>
      </c>
      <c r="F282" s="546"/>
      <c r="G282" s="659">
        <v>43067</v>
      </c>
      <c r="H282" s="655" t="s">
        <v>764</v>
      </c>
      <c r="I282" s="655" t="s">
        <v>7737</v>
      </c>
      <c r="J282" s="712"/>
      <c r="K282" s="655" t="s">
        <v>8181</v>
      </c>
      <c r="L282" s="655" t="s">
        <v>7545</v>
      </c>
      <c r="M282" s="660">
        <v>737931.04</v>
      </c>
      <c r="N282" s="660">
        <v>36896.550000000003</v>
      </c>
      <c r="O282" s="660">
        <v>123972.41</v>
      </c>
      <c r="P282" s="660">
        <v>898800</v>
      </c>
      <c r="Q282" s="548"/>
      <c r="R282" s="660">
        <v>656047.19999999995</v>
      </c>
      <c r="S282" s="549">
        <f t="shared" si="392"/>
        <v>242752.80000000005</v>
      </c>
      <c r="T282" s="113" t="s">
        <v>1932</v>
      </c>
      <c r="U282" s="722" t="str">
        <f t="shared" ref="U282:U288" si="415">+B282</f>
        <v>AA12414</v>
      </c>
      <c r="V282" s="723" t="str">
        <f t="shared" ref="V282:V288" si="416">+I282</f>
        <v>0231-TCN18</v>
      </c>
      <c r="W282" s="722">
        <f t="shared" ref="W282:W288" si="417">+C282</f>
        <v>1520503</v>
      </c>
      <c r="X282" s="722" t="str">
        <f t="shared" ref="X282:X288" si="418">+E282</f>
        <v>PICKUP TUNDRA 4X4 1794</v>
      </c>
      <c r="Y282" s="723">
        <f t="shared" ref="Y282:Y288" si="419">+F282</f>
        <v>0</v>
      </c>
      <c r="Z282" s="778">
        <f t="shared" ref="Z282:Z288" si="420">+M282</f>
        <v>737931.04</v>
      </c>
      <c r="AA282" s="629">
        <f>+Z282</f>
        <v>737931.04</v>
      </c>
      <c r="AB282" s="798">
        <v>1</v>
      </c>
      <c r="AC282" s="780">
        <f t="shared" ref="AC282:AC288" si="421">VLOOKUP(Z282,TARIFA,1)</f>
        <v>443562.4</v>
      </c>
      <c r="AD282" s="726">
        <f t="shared" ref="AD282:AD288" si="422">VLOOKUP(Z282,TARIFA,4)</f>
        <v>0.17</v>
      </c>
      <c r="AE282" s="629">
        <f t="shared" ref="AE282:AE288" si="423">VLOOKUP(Z282,TARIFA,3)</f>
        <v>27106.55</v>
      </c>
      <c r="AF282" s="629">
        <f t="shared" ref="AF282:AF288" si="424">+N282</f>
        <v>36896.550000000003</v>
      </c>
      <c r="AG282" s="727">
        <f t="shared" ref="AG282:AG288" si="425">+N282-AF282</f>
        <v>0</v>
      </c>
      <c r="AI282" s="313"/>
      <c r="AJ282" s="331"/>
      <c r="AK282" s="374"/>
      <c r="AL282" s="374"/>
      <c r="AM282" s="374"/>
    </row>
    <row r="283" spans="1:47" s="351" customFormat="1" x14ac:dyDescent="0.2">
      <c r="A283" s="423">
        <f t="shared" si="125"/>
        <v>276</v>
      </c>
      <c r="B283" s="721" t="s">
        <v>8059</v>
      </c>
      <c r="C283" s="771">
        <v>1520603</v>
      </c>
      <c r="D283" s="771">
        <v>7497</v>
      </c>
      <c r="E283" s="771" t="s">
        <v>5619</v>
      </c>
      <c r="F283" s="546"/>
      <c r="G283" s="659">
        <v>43062</v>
      </c>
      <c r="H283" s="655" t="s">
        <v>788</v>
      </c>
      <c r="I283" s="655" t="s">
        <v>7734</v>
      </c>
      <c r="J283" s="712"/>
      <c r="K283" s="655" t="s">
        <v>8179</v>
      </c>
      <c r="L283" s="655" t="s">
        <v>7542</v>
      </c>
      <c r="M283" s="660">
        <v>283579.64</v>
      </c>
      <c r="N283" s="660">
        <v>14178.98</v>
      </c>
      <c r="O283" s="660">
        <v>47641.38</v>
      </c>
      <c r="P283" s="660">
        <v>345400</v>
      </c>
      <c r="Q283" s="548"/>
      <c r="R283" s="660">
        <v>257240.12</v>
      </c>
      <c r="S283" s="549">
        <f t="shared" si="392"/>
        <v>88159.88</v>
      </c>
      <c r="T283" s="113" t="s">
        <v>1932</v>
      </c>
      <c r="U283" s="722" t="str">
        <f t="shared" si="415"/>
        <v>AA12386</v>
      </c>
      <c r="V283" s="723" t="str">
        <f t="shared" si="416"/>
        <v>0227-TCN18</v>
      </c>
      <c r="W283" s="722">
        <f t="shared" si="417"/>
        <v>1520603</v>
      </c>
      <c r="X283" s="722" t="str">
        <f t="shared" si="418"/>
        <v>HILUX 4X2 DOBLE CABINA BASE</v>
      </c>
      <c r="Y283" s="723">
        <f t="shared" si="419"/>
        <v>0</v>
      </c>
      <c r="Z283" s="778">
        <f t="shared" si="420"/>
        <v>283579.64</v>
      </c>
      <c r="AA283" s="629">
        <f>+Z283</f>
        <v>283579.64</v>
      </c>
      <c r="AB283" s="798">
        <v>2</v>
      </c>
      <c r="AC283" s="780">
        <f t="shared" si="421"/>
        <v>246423.66</v>
      </c>
      <c r="AD283" s="726">
        <f t="shared" si="422"/>
        <v>0.05</v>
      </c>
      <c r="AE283" s="629">
        <f t="shared" si="423"/>
        <v>4928.3900000000003</v>
      </c>
      <c r="AF283" s="629">
        <f t="shared" si="424"/>
        <v>14178.98</v>
      </c>
      <c r="AG283" s="727">
        <f t="shared" si="425"/>
        <v>0</v>
      </c>
      <c r="AI283" s="313"/>
      <c r="AJ283" s="330"/>
      <c r="AK283" s="374"/>
      <c r="AL283" s="374"/>
      <c r="AM283" s="374"/>
      <c r="AN283" s="291"/>
      <c r="AO283" s="291"/>
      <c r="AP283" s="291"/>
      <c r="AQ283" s="291"/>
      <c r="AR283" s="291"/>
      <c r="AS283" s="291"/>
    </row>
    <row r="284" spans="1:47" s="348" customFormat="1" x14ac:dyDescent="0.2">
      <c r="A284" s="423">
        <f t="shared" ref="A284:A339" si="426">+A283+1</f>
        <v>277</v>
      </c>
      <c r="B284" s="721" t="s">
        <v>8036</v>
      </c>
      <c r="C284" s="771">
        <v>1520604</v>
      </c>
      <c r="D284" s="771">
        <v>7495</v>
      </c>
      <c r="E284" s="771" t="s">
        <v>718</v>
      </c>
      <c r="F284" s="546"/>
      <c r="G284" s="659">
        <v>43056</v>
      </c>
      <c r="H284" s="655" t="s">
        <v>819</v>
      </c>
      <c r="I284" s="655" t="s">
        <v>7723</v>
      </c>
      <c r="J284" s="712"/>
      <c r="K284" s="655" t="s">
        <v>830</v>
      </c>
      <c r="L284" s="655" t="s">
        <v>7531</v>
      </c>
      <c r="M284" s="660">
        <v>302298.84999999998</v>
      </c>
      <c r="N284" s="660">
        <v>15114.94</v>
      </c>
      <c r="O284" s="660">
        <v>50786.21</v>
      </c>
      <c r="P284" s="660">
        <v>368200</v>
      </c>
      <c r="Q284" s="548"/>
      <c r="R284" s="660">
        <v>267627.44</v>
      </c>
      <c r="S284" s="549">
        <f t="shared" si="392"/>
        <v>100572.56</v>
      </c>
      <c r="T284" s="267" t="s">
        <v>1932</v>
      </c>
      <c r="U284" s="722" t="str">
        <f t="shared" si="415"/>
        <v>AA12334</v>
      </c>
      <c r="V284" s="723" t="str">
        <f t="shared" si="416"/>
        <v>0213-TCN18</v>
      </c>
      <c r="W284" s="722">
        <f t="shared" si="417"/>
        <v>1520604</v>
      </c>
      <c r="X284" s="722" t="str">
        <f t="shared" si="418"/>
        <v>HILUX PICK UP D CAB SR A/C</v>
      </c>
      <c r="Y284" s="723">
        <f t="shared" si="419"/>
        <v>0</v>
      </c>
      <c r="Z284" s="778">
        <f t="shared" si="420"/>
        <v>302298.84999999998</v>
      </c>
      <c r="AA284" s="629"/>
      <c r="AB284" s="795"/>
      <c r="AC284" s="780">
        <f t="shared" si="421"/>
        <v>295708.34000000003</v>
      </c>
      <c r="AD284" s="726">
        <f t="shared" si="422"/>
        <v>0.1</v>
      </c>
      <c r="AE284" s="629">
        <f t="shared" si="423"/>
        <v>7392.74</v>
      </c>
      <c r="AF284" s="629">
        <f t="shared" si="424"/>
        <v>15114.94</v>
      </c>
      <c r="AG284" s="727">
        <f t="shared" si="425"/>
        <v>0</v>
      </c>
      <c r="AI284" s="313"/>
      <c r="AJ284" s="374"/>
      <c r="AK284" s="330"/>
      <c r="AL284" s="330"/>
      <c r="AM284" s="330"/>
    </row>
    <row r="285" spans="1:47" s="291" customFormat="1" x14ac:dyDescent="0.2">
      <c r="A285" s="423">
        <f t="shared" si="426"/>
        <v>278</v>
      </c>
      <c r="B285" s="721" t="s">
        <v>8051</v>
      </c>
      <c r="C285" s="771">
        <v>1520604</v>
      </c>
      <c r="D285" s="771">
        <v>7495</v>
      </c>
      <c r="E285" s="771" t="s">
        <v>718</v>
      </c>
      <c r="F285" s="546"/>
      <c r="G285" s="659">
        <v>43062</v>
      </c>
      <c r="H285" s="655" t="s">
        <v>774</v>
      </c>
      <c r="I285" s="655" t="s">
        <v>7728</v>
      </c>
      <c r="J285" s="712"/>
      <c r="K285" s="655" t="s">
        <v>8175</v>
      </c>
      <c r="L285" s="655" t="s">
        <v>7536</v>
      </c>
      <c r="M285" s="660">
        <v>302298.84999999998</v>
      </c>
      <c r="N285" s="660">
        <v>15114.94</v>
      </c>
      <c r="O285" s="660">
        <v>50786.21</v>
      </c>
      <c r="P285" s="660">
        <v>368200</v>
      </c>
      <c r="Q285" s="548"/>
      <c r="R285" s="660">
        <v>267626.44</v>
      </c>
      <c r="S285" s="549">
        <f t="shared" si="392"/>
        <v>100573.56</v>
      </c>
      <c r="T285" s="113" t="s">
        <v>1932</v>
      </c>
      <c r="U285" s="722" t="str">
        <f t="shared" si="415"/>
        <v>AA12387</v>
      </c>
      <c r="V285" s="723" t="str">
        <f t="shared" si="416"/>
        <v>0220-TCN18</v>
      </c>
      <c r="W285" s="722">
        <f t="shared" si="417"/>
        <v>1520604</v>
      </c>
      <c r="X285" s="722" t="str">
        <f t="shared" si="418"/>
        <v>HILUX PICK UP D CAB SR A/C</v>
      </c>
      <c r="Y285" s="723">
        <f t="shared" si="419"/>
        <v>0</v>
      </c>
      <c r="Z285" s="778">
        <f t="shared" si="420"/>
        <v>302298.84999999998</v>
      </c>
      <c r="AA285" s="629"/>
      <c r="AB285" s="795"/>
      <c r="AC285" s="780">
        <f t="shared" si="421"/>
        <v>295708.34000000003</v>
      </c>
      <c r="AD285" s="726">
        <f t="shared" si="422"/>
        <v>0.1</v>
      </c>
      <c r="AE285" s="629">
        <f t="shared" si="423"/>
        <v>7392.74</v>
      </c>
      <c r="AF285" s="629">
        <f t="shared" si="424"/>
        <v>15114.94</v>
      </c>
      <c r="AG285" s="727">
        <f t="shared" si="425"/>
        <v>0</v>
      </c>
      <c r="AI285" s="313"/>
      <c r="AJ285" s="331"/>
      <c r="AK285" s="374"/>
      <c r="AL285" s="374"/>
      <c r="AM285" s="374"/>
    </row>
    <row r="286" spans="1:47" s="291" customFormat="1" x14ac:dyDescent="0.2">
      <c r="A286" s="423">
        <f t="shared" si="426"/>
        <v>279</v>
      </c>
      <c r="B286" s="721" t="s">
        <v>8042</v>
      </c>
      <c r="C286" s="771">
        <v>1520604</v>
      </c>
      <c r="D286" s="771">
        <v>7495</v>
      </c>
      <c r="E286" s="771" t="s">
        <v>718</v>
      </c>
      <c r="F286" s="546"/>
      <c r="G286" s="659">
        <v>43060</v>
      </c>
      <c r="H286" s="655" t="s">
        <v>727</v>
      </c>
      <c r="I286" s="655" t="s">
        <v>7725</v>
      </c>
      <c r="J286" s="712"/>
      <c r="K286" s="655" t="s">
        <v>8166</v>
      </c>
      <c r="L286" s="655" t="s">
        <v>7533</v>
      </c>
      <c r="M286" s="660">
        <v>302298.84999999998</v>
      </c>
      <c r="N286" s="660">
        <v>15114.94</v>
      </c>
      <c r="O286" s="660">
        <v>50786.21</v>
      </c>
      <c r="P286" s="660">
        <v>368200</v>
      </c>
      <c r="Q286" s="548"/>
      <c r="R286" s="660">
        <v>267626.44</v>
      </c>
      <c r="S286" s="549">
        <f t="shared" si="392"/>
        <v>100573.56</v>
      </c>
      <c r="T286" s="113" t="s">
        <v>1932</v>
      </c>
      <c r="U286" s="722" t="str">
        <f t="shared" si="415"/>
        <v>AA12367</v>
      </c>
      <c r="V286" s="723" t="str">
        <f t="shared" si="416"/>
        <v>0221-TCN18</v>
      </c>
      <c r="W286" s="722">
        <f t="shared" si="417"/>
        <v>1520604</v>
      </c>
      <c r="X286" s="722" t="str">
        <f t="shared" si="418"/>
        <v>HILUX PICK UP D CAB SR A/C</v>
      </c>
      <c r="Y286" s="723">
        <f t="shared" si="419"/>
        <v>0</v>
      </c>
      <c r="Z286" s="778">
        <f t="shared" si="420"/>
        <v>302298.84999999998</v>
      </c>
      <c r="AA286" s="629"/>
      <c r="AB286" s="795"/>
      <c r="AC286" s="780">
        <f t="shared" si="421"/>
        <v>295708.34000000003</v>
      </c>
      <c r="AD286" s="726">
        <f t="shared" si="422"/>
        <v>0.1</v>
      </c>
      <c r="AE286" s="629">
        <f t="shared" si="423"/>
        <v>7392.74</v>
      </c>
      <c r="AF286" s="629">
        <f t="shared" si="424"/>
        <v>15114.94</v>
      </c>
      <c r="AG286" s="727">
        <f t="shared" si="425"/>
        <v>0</v>
      </c>
      <c r="AI286" s="313"/>
      <c r="AJ286" s="374"/>
      <c r="AK286" s="374"/>
      <c r="AL286" s="374"/>
      <c r="AM286" s="374"/>
    </row>
    <row r="287" spans="1:47" s="348" customFormat="1" x14ac:dyDescent="0.2">
      <c r="A287" s="423">
        <f t="shared" si="426"/>
        <v>280</v>
      </c>
      <c r="B287" s="721" t="s">
        <v>8048</v>
      </c>
      <c r="C287" s="771">
        <v>1520604</v>
      </c>
      <c r="D287" s="771">
        <v>7495</v>
      </c>
      <c r="E287" s="771" t="s">
        <v>718</v>
      </c>
      <c r="F287" s="546"/>
      <c r="G287" s="659">
        <v>43061</v>
      </c>
      <c r="H287" s="655" t="s">
        <v>2216</v>
      </c>
      <c r="I287" s="655" t="s">
        <v>7727</v>
      </c>
      <c r="J287" s="712"/>
      <c r="K287" s="655" t="s">
        <v>8174</v>
      </c>
      <c r="L287" s="655" t="s">
        <v>7535</v>
      </c>
      <c r="M287" s="660">
        <v>302298.84999999998</v>
      </c>
      <c r="N287" s="660">
        <v>15114.94</v>
      </c>
      <c r="O287" s="660">
        <v>50786.21</v>
      </c>
      <c r="P287" s="660">
        <v>368200</v>
      </c>
      <c r="Q287" s="548"/>
      <c r="R287" s="660">
        <v>267627.44</v>
      </c>
      <c r="S287" s="549">
        <f t="shared" si="392"/>
        <v>100572.56</v>
      </c>
      <c r="T287" s="113" t="s">
        <v>1932</v>
      </c>
      <c r="U287" s="722" t="str">
        <f t="shared" si="415"/>
        <v>AA12377</v>
      </c>
      <c r="V287" s="723" t="str">
        <f t="shared" si="416"/>
        <v>0222-TCN18</v>
      </c>
      <c r="W287" s="722">
        <f t="shared" si="417"/>
        <v>1520604</v>
      </c>
      <c r="X287" s="722" t="str">
        <f t="shared" si="418"/>
        <v>HILUX PICK UP D CAB SR A/C</v>
      </c>
      <c r="Y287" s="723">
        <f t="shared" si="419"/>
        <v>0</v>
      </c>
      <c r="Z287" s="778">
        <f t="shared" si="420"/>
        <v>302298.84999999998</v>
      </c>
      <c r="AA287" s="629"/>
      <c r="AB287" s="795"/>
      <c r="AC287" s="780">
        <f t="shared" si="421"/>
        <v>295708.34000000003</v>
      </c>
      <c r="AD287" s="726">
        <f t="shared" si="422"/>
        <v>0.1</v>
      </c>
      <c r="AE287" s="629">
        <f t="shared" si="423"/>
        <v>7392.74</v>
      </c>
      <c r="AF287" s="629">
        <f t="shared" si="424"/>
        <v>15114.94</v>
      </c>
      <c r="AG287" s="727">
        <f t="shared" si="425"/>
        <v>0</v>
      </c>
      <c r="AI287" s="313"/>
      <c r="AJ287" s="331"/>
      <c r="AK287" s="374"/>
      <c r="AL287" s="374"/>
      <c r="AM287" s="374"/>
      <c r="AN287" s="291"/>
      <c r="AO287" s="291"/>
      <c r="AP287" s="291"/>
      <c r="AQ287" s="291"/>
      <c r="AR287" s="291"/>
      <c r="AS287" s="291"/>
    </row>
    <row r="288" spans="1:47" s="348" customFormat="1" x14ac:dyDescent="0.2">
      <c r="A288" s="423">
        <f t="shared" si="426"/>
        <v>281</v>
      </c>
      <c r="B288" s="721" t="s">
        <v>8053</v>
      </c>
      <c r="C288" s="771">
        <v>1520604</v>
      </c>
      <c r="D288" s="771">
        <v>7495</v>
      </c>
      <c r="E288" s="771" t="s">
        <v>718</v>
      </c>
      <c r="F288" s="546"/>
      <c r="G288" s="659">
        <v>43066</v>
      </c>
      <c r="H288" s="655" t="s">
        <v>727</v>
      </c>
      <c r="I288" s="655" t="s">
        <v>7730</v>
      </c>
      <c r="J288" s="712"/>
      <c r="K288" s="655" t="s">
        <v>8176</v>
      </c>
      <c r="L288" s="655" t="s">
        <v>7538</v>
      </c>
      <c r="M288" s="660">
        <v>288669.95</v>
      </c>
      <c r="N288" s="660">
        <v>14433.5</v>
      </c>
      <c r="O288" s="660">
        <v>48496.55</v>
      </c>
      <c r="P288" s="660">
        <v>351600</v>
      </c>
      <c r="Q288" s="548"/>
      <c r="R288" s="660">
        <v>262450.93</v>
      </c>
      <c r="S288" s="549">
        <f t="shared" si="392"/>
        <v>89149.07</v>
      </c>
      <c r="T288" s="113" t="s">
        <v>1932</v>
      </c>
      <c r="U288" s="722" t="str">
        <f t="shared" si="415"/>
        <v>AA12408</v>
      </c>
      <c r="V288" s="723" t="str">
        <f t="shared" si="416"/>
        <v>1808-TCN17</v>
      </c>
      <c r="W288" s="722">
        <f t="shared" si="417"/>
        <v>1520604</v>
      </c>
      <c r="X288" s="722" t="str">
        <f t="shared" si="418"/>
        <v>HILUX PICK UP D CAB SR A/C</v>
      </c>
      <c r="Y288" s="723">
        <f t="shared" si="419"/>
        <v>0</v>
      </c>
      <c r="Z288" s="778">
        <f t="shared" si="420"/>
        <v>288669.95</v>
      </c>
      <c r="AA288" s="629"/>
      <c r="AB288" s="795"/>
      <c r="AC288" s="780">
        <f t="shared" si="421"/>
        <v>246423.66</v>
      </c>
      <c r="AD288" s="726">
        <f t="shared" si="422"/>
        <v>0.05</v>
      </c>
      <c r="AE288" s="629">
        <f t="shared" si="423"/>
        <v>4928.3900000000003</v>
      </c>
      <c r="AF288" s="629">
        <f t="shared" si="424"/>
        <v>14433.5</v>
      </c>
      <c r="AG288" s="727">
        <f t="shared" si="425"/>
        <v>0</v>
      </c>
      <c r="AI288" s="313"/>
      <c r="AJ288" s="374"/>
      <c r="AK288" s="330"/>
      <c r="AL288" s="330"/>
      <c r="AM288" s="330"/>
    </row>
    <row r="289" spans="1:45" s="348" customFormat="1" x14ac:dyDescent="0.2">
      <c r="A289" s="423">
        <f t="shared" si="426"/>
        <v>282</v>
      </c>
      <c r="B289" s="721" t="s">
        <v>7811</v>
      </c>
      <c r="C289" s="771">
        <v>521702</v>
      </c>
      <c r="D289" s="771">
        <v>2005</v>
      </c>
      <c r="E289" s="771" t="s">
        <v>701</v>
      </c>
      <c r="F289" s="546"/>
      <c r="G289" s="659">
        <v>43066</v>
      </c>
      <c r="H289" s="655" t="s">
        <v>810</v>
      </c>
      <c r="I289" s="655" t="s">
        <v>7597</v>
      </c>
      <c r="J289" s="712"/>
      <c r="K289" s="655" t="s">
        <v>8105</v>
      </c>
      <c r="L289" s="655" t="s">
        <v>7405</v>
      </c>
      <c r="M289" s="660">
        <v>185344.83</v>
      </c>
      <c r="N289" s="660">
        <v>0</v>
      </c>
      <c r="O289" s="660">
        <v>29655.17</v>
      </c>
      <c r="P289" s="660">
        <v>215000</v>
      </c>
      <c r="Q289" s="548"/>
      <c r="R289" s="660">
        <v>168469.59</v>
      </c>
      <c r="S289" s="549">
        <f t="shared" si="392"/>
        <v>46530.41</v>
      </c>
      <c r="T289" s="113" t="s">
        <v>1931</v>
      </c>
      <c r="U289" s="360"/>
      <c r="V289" s="360"/>
      <c r="W289" s="358"/>
      <c r="X289" s="331"/>
      <c r="Y289" s="360"/>
      <c r="Z289" s="334"/>
      <c r="AA289" s="334"/>
      <c r="AB289" s="744"/>
      <c r="AC289" s="349"/>
      <c r="AD289" s="335"/>
      <c r="AE289" s="349"/>
      <c r="AF289" s="349"/>
      <c r="AG289" s="349"/>
      <c r="AH289" s="313"/>
      <c r="AI289" s="313"/>
      <c r="AJ289" s="374"/>
      <c r="AK289" s="330"/>
      <c r="AL289" s="330"/>
      <c r="AM289" s="330"/>
    </row>
    <row r="290" spans="1:45" s="348" customFormat="1" x14ac:dyDescent="0.2">
      <c r="A290" s="423">
        <f t="shared" si="426"/>
        <v>283</v>
      </c>
      <c r="B290" s="721" t="s">
        <v>7812</v>
      </c>
      <c r="C290" s="771">
        <v>521702</v>
      </c>
      <c r="D290" s="771">
        <v>2005</v>
      </c>
      <c r="E290" s="771" t="s">
        <v>701</v>
      </c>
      <c r="F290" s="546"/>
      <c r="G290" s="659">
        <v>43067</v>
      </c>
      <c r="H290" s="655" t="s">
        <v>810</v>
      </c>
      <c r="I290" s="655" t="s">
        <v>7597</v>
      </c>
      <c r="J290" s="712"/>
      <c r="K290" s="655" t="s">
        <v>8105</v>
      </c>
      <c r="L290" s="655" t="s">
        <v>7405</v>
      </c>
      <c r="M290" s="660">
        <v>-185344.83</v>
      </c>
      <c r="N290" s="660">
        <v>0</v>
      </c>
      <c r="O290" s="660">
        <v>-29655.17</v>
      </c>
      <c r="P290" s="660">
        <v>-215000</v>
      </c>
      <c r="Q290" s="548"/>
      <c r="R290" s="660">
        <v>-168469.59</v>
      </c>
      <c r="S290" s="549">
        <f t="shared" si="392"/>
        <v>-46530.41</v>
      </c>
      <c r="T290" s="113" t="s">
        <v>1931</v>
      </c>
      <c r="U290" s="370"/>
      <c r="V290" s="370"/>
      <c r="W290" s="375"/>
      <c r="X290" s="374"/>
      <c r="Y290" s="370"/>
      <c r="Z290" s="371"/>
      <c r="AA290" s="371"/>
      <c r="AB290" s="744"/>
      <c r="AC290" s="270"/>
      <c r="AD290" s="372"/>
      <c r="AE290" s="270"/>
      <c r="AF290" s="270"/>
      <c r="AG290" s="270"/>
      <c r="AH290" s="313"/>
      <c r="AI290" s="313"/>
      <c r="AJ290" s="374"/>
      <c r="AK290" s="330"/>
      <c r="AL290" s="330"/>
      <c r="AM290" s="330"/>
    </row>
    <row r="291" spans="1:45" s="353" customFormat="1" x14ac:dyDescent="0.2">
      <c r="A291" s="423">
        <f t="shared" si="426"/>
        <v>284</v>
      </c>
      <c r="B291" s="721" t="s">
        <v>8055</v>
      </c>
      <c r="C291" s="771">
        <v>1520604</v>
      </c>
      <c r="D291" s="771">
        <v>7495</v>
      </c>
      <c r="E291" s="771" t="s">
        <v>718</v>
      </c>
      <c r="F291" s="546"/>
      <c r="G291" s="659">
        <v>43067</v>
      </c>
      <c r="H291" s="655" t="s">
        <v>4285</v>
      </c>
      <c r="I291" s="655" t="s">
        <v>7724</v>
      </c>
      <c r="J291" s="712"/>
      <c r="K291" s="655" t="s">
        <v>8177</v>
      </c>
      <c r="L291" s="655" t="s">
        <v>7532</v>
      </c>
      <c r="M291" s="660">
        <v>288669.95</v>
      </c>
      <c r="N291" s="660">
        <v>14433.5</v>
      </c>
      <c r="O291" s="660">
        <v>48496.55</v>
      </c>
      <c r="P291" s="660">
        <v>351600</v>
      </c>
      <c r="Q291" s="548"/>
      <c r="R291" s="660">
        <v>262450.93</v>
      </c>
      <c r="S291" s="549">
        <f t="shared" si="392"/>
        <v>89149.07</v>
      </c>
      <c r="T291" s="113" t="s">
        <v>1932</v>
      </c>
      <c r="U291" s="722" t="str">
        <f t="shared" ref="U291:U295" si="427">+B291</f>
        <v>AA12411</v>
      </c>
      <c r="V291" s="723" t="str">
        <f t="shared" ref="V291:V295" si="428">+I291</f>
        <v>1810-TCN17</v>
      </c>
      <c r="W291" s="722">
        <f t="shared" ref="W291:W295" si="429">+C291</f>
        <v>1520604</v>
      </c>
      <c r="X291" s="722" t="str">
        <f t="shared" ref="X291:X295" si="430">+E291</f>
        <v>HILUX PICK UP D CAB SR A/C</v>
      </c>
      <c r="Y291" s="723">
        <f t="shared" ref="Y291:Y295" si="431">+F291</f>
        <v>0</v>
      </c>
      <c r="Z291" s="778">
        <f t="shared" ref="Z291:Z295" si="432">+M291</f>
        <v>288669.95</v>
      </c>
      <c r="AA291" s="629"/>
      <c r="AB291" s="793"/>
      <c r="AC291" s="780">
        <f t="shared" ref="AC291:AC295" si="433">VLOOKUP(Z291,TARIFA,1)</f>
        <v>246423.66</v>
      </c>
      <c r="AD291" s="726">
        <f t="shared" ref="AD291:AD294" si="434">VLOOKUP(Z291,TARIFA,4)</f>
        <v>0.05</v>
      </c>
      <c r="AE291" s="629">
        <f t="shared" ref="AE291:AE295" si="435">VLOOKUP(Z291,TARIFA,3)</f>
        <v>4928.3900000000003</v>
      </c>
      <c r="AF291" s="629">
        <f t="shared" ref="AF291:AF295" si="436">+N291</f>
        <v>14433.5</v>
      </c>
      <c r="AG291" s="727">
        <f t="shared" ref="AG291:AG295" si="437">+N291-AF291</f>
        <v>0</v>
      </c>
      <c r="AH291" s="313"/>
      <c r="AI291" s="313"/>
      <c r="AJ291" s="374"/>
      <c r="AK291" s="374"/>
      <c r="AL291" s="374"/>
      <c r="AM291" s="374"/>
      <c r="AN291" s="296"/>
      <c r="AO291" s="296"/>
      <c r="AP291" s="296"/>
      <c r="AQ291" s="296"/>
      <c r="AR291" s="296"/>
      <c r="AS291" s="296"/>
    </row>
    <row r="292" spans="1:45" s="291" customFormat="1" x14ac:dyDescent="0.2">
      <c r="A292" s="423">
        <f t="shared" si="426"/>
        <v>285</v>
      </c>
      <c r="B292" s="721" t="s">
        <v>8043</v>
      </c>
      <c r="C292" s="771">
        <v>1520604</v>
      </c>
      <c r="D292" s="771">
        <v>7495</v>
      </c>
      <c r="E292" s="771" t="s">
        <v>718</v>
      </c>
      <c r="F292" s="546"/>
      <c r="G292" s="659">
        <v>43060</v>
      </c>
      <c r="H292" s="655" t="s">
        <v>2216</v>
      </c>
      <c r="I292" s="655" t="s">
        <v>7027</v>
      </c>
      <c r="J292" s="712"/>
      <c r="K292" s="655" t="s">
        <v>7029</v>
      </c>
      <c r="L292" s="655" t="s">
        <v>7028</v>
      </c>
      <c r="M292" s="660">
        <v>-296880.13</v>
      </c>
      <c r="N292" s="660">
        <v>-14844.01</v>
      </c>
      <c r="O292" s="660">
        <v>-49875.86</v>
      </c>
      <c r="P292" s="660">
        <v>-361600</v>
      </c>
      <c r="Q292" s="548"/>
      <c r="R292" s="660">
        <v>-262805.40999999997</v>
      </c>
      <c r="S292" s="549">
        <f t="shared" si="392"/>
        <v>-98794.590000000026</v>
      </c>
      <c r="T292" s="113" t="s">
        <v>1266</v>
      </c>
      <c r="U292" s="722" t="str">
        <f t="shared" si="427"/>
        <v>ZA04452</v>
      </c>
      <c r="V292" s="723" t="str">
        <f t="shared" si="428"/>
        <v>1935-TCN17</v>
      </c>
      <c r="W292" s="722">
        <f t="shared" si="429"/>
        <v>1520604</v>
      </c>
      <c r="X292" s="722" t="str">
        <f t="shared" si="430"/>
        <v>HILUX PICK UP D CAB SR A/C</v>
      </c>
      <c r="Y292" s="723">
        <f t="shared" si="431"/>
        <v>0</v>
      </c>
      <c r="Z292" s="778">
        <f t="shared" si="432"/>
        <v>-296880.13</v>
      </c>
      <c r="AA292" s="629"/>
      <c r="AB292" s="793"/>
      <c r="AC292" s="780" t="e">
        <f t="shared" si="433"/>
        <v>#N/A</v>
      </c>
      <c r="AD292" s="726" t="e">
        <f t="shared" si="434"/>
        <v>#N/A</v>
      </c>
      <c r="AE292" s="629" t="e">
        <f t="shared" si="435"/>
        <v>#N/A</v>
      </c>
      <c r="AF292" s="629">
        <f t="shared" si="436"/>
        <v>-14844.01</v>
      </c>
      <c r="AG292" s="727">
        <f t="shared" si="437"/>
        <v>0</v>
      </c>
      <c r="AH292" s="313"/>
      <c r="AI292" s="313"/>
      <c r="AJ292" s="374"/>
      <c r="AK292" s="374"/>
      <c r="AL292" s="374"/>
      <c r="AM292" s="374"/>
    </row>
    <row r="293" spans="1:45" s="291" customFormat="1" x14ac:dyDescent="0.2">
      <c r="A293" s="423">
        <f t="shared" si="426"/>
        <v>286</v>
      </c>
      <c r="B293" s="721" t="s">
        <v>8046</v>
      </c>
      <c r="C293" s="771">
        <v>1520604</v>
      </c>
      <c r="D293" s="771">
        <v>7495</v>
      </c>
      <c r="E293" s="771" t="s">
        <v>718</v>
      </c>
      <c r="F293" s="546"/>
      <c r="G293" s="659">
        <v>43060</v>
      </c>
      <c r="H293" s="655" t="s">
        <v>2216</v>
      </c>
      <c r="I293" s="655" t="s">
        <v>7027</v>
      </c>
      <c r="J293" s="712"/>
      <c r="K293" s="655" t="s">
        <v>7029</v>
      </c>
      <c r="L293" s="655" t="s">
        <v>7028</v>
      </c>
      <c r="M293" s="660">
        <v>288669.95</v>
      </c>
      <c r="N293" s="660">
        <v>14433.5</v>
      </c>
      <c r="O293" s="660">
        <v>48496.55</v>
      </c>
      <c r="P293" s="660">
        <v>351600</v>
      </c>
      <c r="Q293" s="548"/>
      <c r="R293" s="660">
        <v>262805.40999999997</v>
      </c>
      <c r="S293" s="549">
        <f t="shared" si="392"/>
        <v>88794.590000000026</v>
      </c>
      <c r="T293" s="113" t="s">
        <v>1932</v>
      </c>
      <c r="U293" s="722" t="str">
        <f t="shared" si="427"/>
        <v>AA12355</v>
      </c>
      <c r="V293" s="723" t="str">
        <f t="shared" si="428"/>
        <v>1935-TCN17</v>
      </c>
      <c r="W293" s="722">
        <f t="shared" si="429"/>
        <v>1520604</v>
      </c>
      <c r="X293" s="722" t="str">
        <f t="shared" si="430"/>
        <v>HILUX PICK UP D CAB SR A/C</v>
      </c>
      <c r="Y293" s="723">
        <f t="shared" si="431"/>
        <v>0</v>
      </c>
      <c r="Z293" s="778">
        <f t="shared" si="432"/>
        <v>288669.95</v>
      </c>
      <c r="AA293" s="629"/>
      <c r="AB293" s="793"/>
      <c r="AC293" s="780">
        <f t="shared" si="433"/>
        <v>246423.66</v>
      </c>
      <c r="AD293" s="726">
        <f t="shared" si="434"/>
        <v>0.05</v>
      </c>
      <c r="AE293" s="629">
        <f t="shared" si="435"/>
        <v>4928.3900000000003</v>
      </c>
      <c r="AF293" s="629">
        <f t="shared" si="436"/>
        <v>14433.5</v>
      </c>
      <c r="AG293" s="727">
        <f t="shared" si="437"/>
        <v>0</v>
      </c>
      <c r="AH293" s="313"/>
      <c r="AI293" s="313"/>
      <c r="AJ293" s="374"/>
      <c r="AK293" s="374"/>
      <c r="AL293" s="374"/>
      <c r="AM293" s="374"/>
    </row>
    <row r="294" spans="1:45" s="291" customFormat="1" x14ac:dyDescent="0.2">
      <c r="A294" s="423">
        <f t="shared" si="426"/>
        <v>287</v>
      </c>
      <c r="B294" s="721" t="s">
        <v>8032</v>
      </c>
      <c r="C294" s="771">
        <v>1520604</v>
      </c>
      <c r="D294" s="771">
        <v>7495</v>
      </c>
      <c r="E294" s="771" t="s">
        <v>718</v>
      </c>
      <c r="F294" s="546"/>
      <c r="G294" s="659">
        <v>43053</v>
      </c>
      <c r="H294" s="655" t="s">
        <v>2213</v>
      </c>
      <c r="I294" s="655" t="s">
        <v>7719</v>
      </c>
      <c r="J294" s="712"/>
      <c r="K294" s="655" t="s">
        <v>8170</v>
      </c>
      <c r="L294" s="655" t="s">
        <v>7527</v>
      </c>
      <c r="M294" s="660">
        <v>288669.95</v>
      </c>
      <c r="N294" s="660">
        <v>14433.5</v>
      </c>
      <c r="O294" s="660">
        <v>48496.55</v>
      </c>
      <c r="P294" s="660">
        <v>351600</v>
      </c>
      <c r="Q294" s="548"/>
      <c r="R294" s="660">
        <v>262805.40999999997</v>
      </c>
      <c r="S294" s="549">
        <f t="shared" si="392"/>
        <v>88794.590000000026</v>
      </c>
      <c r="T294" s="113" t="s">
        <v>1932</v>
      </c>
      <c r="U294" s="722" t="str">
        <f t="shared" si="427"/>
        <v>AA12300</v>
      </c>
      <c r="V294" s="723" t="str">
        <f t="shared" si="428"/>
        <v>1953-TCN17</v>
      </c>
      <c r="W294" s="722">
        <f t="shared" si="429"/>
        <v>1520604</v>
      </c>
      <c r="X294" s="722" t="str">
        <f t="shared" si="430"/>
        <v>HILUX PICK UP D CAB SR A/C</v>
      </c>
      <c r="Y294" s="723">
        <f t="shared" si="431"/>
        <v>0</v>
      </c>
      <c r="Z294" s="778">
        <f t="shared" si="432"/>
        <v>288669.95</v>
      </c>
      <c r="AA294" s="629"/>
      <c r="AB294" s="793"/>
      <c r="AC294" s="780">
        <f t="shared" si="433"/>
        <v>246423.66</v>
      </c>
      <c r="AD294" s="726">
        <f t="shared" si="434"/>
        <v>0.05</v>
      </c>
      <c r="AE294" s="629">
        <f t="shared" si="435"/>
        <v>4928.3900000000003</v>
      </c>
      <c r="AF294" s="629">
        <f t="shared" si="436"/>
        <v>14433.5</v>
      </c>
      <c r="AG294" s="727">
        <f t="shared" si="437"/>
        <v>0</v>
      </c>
      <c r="AH294" s="363"/>
      <c r="AI294" s="363"/>
      <c r="AJ294" s="374"/>
      <c r="AK294" s="374"/>
      <c r="AL294" s="374"/>
      <c r="AM294" s="374"/>
    </row>
    <row r="295" spans="1:45" s="348" customFormat="1" x14ac:dyDescent="0.2">
      <c r="A295" s="423">
        <f t="shared" si="426"/>
        <v>288</v>
      </c>
      <c r="B295" s="721" t="s">
        <v>8047</v>
      </c>
      <c r="C295" s="771">
        <v>1520604</v>
      </c>
      <c r="D295" s="771">
        <v>7495</v>
      </c>
      <c r="E295" s="771" t="s">
        <v>718</v>
      </c>
      <c r="F295" s="546"/>
      <c r="G295" s="659">
        <v>43060</v>
      </c>
      <c r="H295" s="655" t="s">
        <v>819</v>
      </c>
      <c r="I295" s="655" t="s">
        <v>7726</v>
      </c>
      <c r="J295" s="712"/>
      <c r="K295" s="655" t="s">
        <v>8173</v>
      </c>
      <c r="L295" s="655" t="s">
        <v>7534</v>
      </c>
      <c r="M295" s="660">
        <v>288669.95</v>
      </c>
      <c r="N295" s="660">
        <v>14433.5</v>
      </c>
      <c r="O295" s="660">
        <v>48496.55</v>
      </c>
      <c r="P295" s="660">
        <v>351600</v>
      </c>
      <c r="Q295" s="548"/>
      <c r="R295" s="660">
        <v>262806.28000000003</v>
      </c>
      <c r="S295" s="549">
        <f t="shared" si="392"/>
        <v>88793.719999999972</v>
      </c>
      <c r="T295" s="113" t="s">
        <v>1932</v>
      </c>
      <c r="U295" s="722" t="str">
        <f t="shared" si="427"/>
        <v>AA12365</v>
      </c>
      <c r="V295" s="723" t="str">
        <f t="shared" si="428"/>
        <v>1962-TCN17</v>
      </c>
      <c r="W295" s="722">
        <f t="shared" si="429"/>
        <v>1520604</v>
      </c>
      <c r="X295" s="722" t="str">
        <f t="shared" si="430"/>
        <v>HILUX PICK UP D CAB SR A/C</v>
      </c>
      <c r="Y295" s="723">
        <f t="shared" si="431"/>
        <v>0</v>
      </c>
      <c r="Z295" s="778">
        <f t="shared" si="432"/>
        <v>288669.95</v>
      </c>
      <c r="AA295" s="629"/>
      <c r="AB295" s="793"/>
      <c r="AC295" s="780">
        <f t="shared" si="433"/>
        <v>246423.66</v>
      </c>
      <c r="AD295" s="630">
        <f t="shared" ref="AD295" si="438">VLOOKUP(Z295,TARIFA,4)</f>
        <v>0.05</v>
      </c>
      <c r="AE295" s="629">
        <f t="shared" si="435"/>
        <v>4928.3900000000003</v>
      </c>
      <c r="AF295" s="629">
        <f t="shared" si="436"/>
        <v>14433.5</v>
      </c>
      <c r="AG295" s="727">
        <f t="shared" si="437"/>
        <v>0</v>
      </c>
      <c r="AH295" s="272"/>
      <c r="AI295" s="313"/>
      <c r="AJ295" s="331"/>
      <c r="AK295" s="330"/>
      <c r="AL295" s="330"/>
      <c r="AM295" s="330"/>
    </row>
    <row r="296" spans="1:45" s="291" customFormat="1" x14ac:dyDescent="0.2">
      <c r="A296" s="423">
        <f t="shared" si="426"/>
        <v>289</v>
      </c>
      <c r="B296" s="721" t="s">
        <v>8052</v>
      </c>
      <c r="C296" s="771">
        <v>1520604</v>
      </c>
      <c r="D296" s="771">
        <v>7495</v>
      </c>
      <c r="E296" s="771" t="s">
        <v>718</v>
      </c>
      <c r="F296" s="546"/>
      <c r="G296" s="659">
        <v>43062</v>
      </c>
      <c r="H296" s="655"/>
      <c r="I296" s="655" t="s">
        <v>7729</v>
      </c>
      <c r="J296" s="712"/>
      <c r="K296" s="655" t="s">
        <v>62</v>
      </c>
      <c r="L296" s="655" t="s">
        <v>7537</v>
      </c>
      <c r="M296" s="660">
        <v>262806.28000000003</v>
      </c>
      <c r="N296" s="660">
        <v>0</v>
      </c>
      <c r="O296" s="660">
        <v>42049</v>
      </c>
      <c r="P296" s="660">
        <v>304855.28000000003</v>
      </c>
      <c r="Q296" s="548"/>
      <c r="R296" s="660">
        <v>262450.93</v>
      </c>
      <c r="S296" s="549">
        <f t="shared" si="392"/>
        <v>42404.350000000035</v>
      </c>
      <c r="T296" s="113" t="s">
        <v>283</v>
      </c>
      <c r="U296" s="370"/>
      <c r="V296" s="370"/>
      <c r="W296" s="375"/>
      <c r="X296" s="374"/>
      <c r="Y296" s="370"/>
      <c r="Z296" s="371"/>
      <c r="AA296" s="371"/>
      <c r="AB296" s="744"/>
      <c r="AC296" s="270"/>
      <c r="AD296" s="372"/>
      <c r="AE296" s="270"/>
      <c r="AF296" s="270"/>
      <c r="AG296" s="270"/>
      <c r="AH296" s="347"/>
      <c r="AI296" s="363"/>
      <c r="AJ296" s="331"/>
      <c r="AK296" s="374"/>
      <c r="AL296" s="374"/>
      <c r="AM296" s="374"/>
    </row>
    <row r="297" spans="1:45" s="291" customFormat="1" x14ac:dyDescent="0.2">
      <c r="A297" s="423">
        <f t="shared" si="426"/>
        <v>290</v>
      </c>
      <c r="B297" s="721" t="s">
        <v>7932</v>
      </c>
      <c r="C297" s="771">
        <v>520513</v>
      </c>
      <c r="D297" s="771">
        <v>5396</v>
      </c>
      <c r="E297" s="771" t="s">
        <v>132</v>
      </c>
      <c r="F297" s="546"/>
      <c r="G297" s="659">
        <v>43069</v>
      </c>
      <c r="H297" s="655" t="s">
        <v>727</v>
      </c>
      <c r="I297" s="655" t="s">
        <v>7672</v>
      </c>
      <c r="J297" s="712"/>
      <c r="K297" s="655" t="s">
        <v>8148</v>
      </c>
      <c r="L297" s="655" t="s">
        <v>7480</v>
      </c>
      <c r="M297" s="660">
        <v>-459200.49</v>
      </c>
      <c r="N297" s="660">
        <v>-29765.03</v>
      </c>
      <c r="O297" s="660">
        <v>-78234.48</v>
      </c>
      <c r="P297" s="660">
        <v>-567200</v>
      </c>
      <c r="Q297" s="548"/>
      <c r="R297" s="660">
        <v>-426248.19</v>
      </c>
      <c r="S297" s="549">
        <f t="shared" si="392"/>
        <v>-140951.81</v>
      </c>
      <c r="T297" s="267" t="s">
        <v>1931</v>
      </c>
      <c r="U297" s="360"/>
      <c r="V297" s="360"/>
      <c r="W297" s="358"/>
      <c r="X297" s="331"/>
      <c r="Y297" s="360"/>
      <c r="Z297" s="334"/>
      <c r="AA297" s="334"/>
      <c r="AB297" s="744"/>
      <c r="AC297" s="349"/>
      <c r="AD297" s="335"/>
      <c r="AE297" s="349"/>
      <c r="AF297" s="349"/>
      <c r="AG297" s="349"/>
      <c r="AH297" s="350"/>
      <c r="AI297" s="313"/>
      <c r="AJ297" s="331"/>
      <c r="AK297" s="374"/>
      <c r="AL297" s="374"/>
      <c r="AM297" s="374"/>
    </row>
    <row r="298" spans="1:45" s="291" customFormat="1" x14ac:dyDescent="0.2">
      <c r="A298" s="423">
        <f t="shared" si="426"/>
        <v>291</v>
      </c>
      <c r="B298" s="721" t="s">
        <v>7933</v>
      </c>
      <c r="C298" s="771">
        <v>520513</v>
      </c>
      <c r="D298" s="771">
        <v>5396</v>
      </c>
      <c r="E298" s="771" t="s">
        <v>132</v>
      </c>
      <c r="F298" s="546"/>
      <c r="G298" s="659">
        <v>43069</v>
      </c>
      <c r="H298" s="655" t="s">
        <v>727</v>
      </c>
      <c r="I298" s="655" t="s">
        <v>7672</v>
      </c>
      <c r="J298" s="712"/>
      <c r="K298" s="655" t="s">
        <v>8148</v>
      </c>
      <c r="L298" s="655" t="s">
        <v>7480</v>
      </c>
      <c r="M298" s="660">
        <v>459200.49</v>
      </c>
      <c r="N298" s="660">
        <v>29765.03</v>
      </c>
      <c r="O298" s="660">
        <v>78234.48</v>
      </c>
      <c r="P298" s="660">
        <v>567200</v>
      </c>
      <c r="Q298" s="548"/>
      <c r="R298" s="660">
        <v>426248.19</v>
      </c>
      <c r="S298" s="549">
        <f t="shared" si="392"/>
        <v>140951.81</v>
      </c>
      <c r="T298" s="267" t="s">
        <v>1931</v>
      </c>
      <c r="U298" s="370"/>
      <c r="V298" s="370"/>
      <c r="W298" s="375"/>
      <c r="X298" s="374"/>
      <c r="Y298" s="370"/>
      <c r="Z298" s="371"/>
      <c r="AA298" s="371"/>
      <c r="AB298" s="744"/>
      <c r="AC298" s="270"/>
      <c r="AD298" s="372"/>
      <c r="AE298" s="270"/>
      <c r="AF298" s="270"/>
      <c r="AG298" s="270"/>
      <c r="AH298" s="272"/>
      <c r="AI298" s="313"/>
      <c r="AJ298" s="331"/>
      <c r="AK298" s="374"/>
      <c r="AL298" s="374"/>
      <c r="AM298" s="374"/>
    </row>
    <row r="299" spans="1:45" s="291" customFormat="1" x14ac:dyDescent="0.2">
      <c r="A299" s="423">
        <f t="shared" si="426"/>
        <v>292</v>
      </c>
      <c r="B299" s="721" t="s">
        <v>8057</v>
      </c>
      <c r="C299" s="771">
        <v>1520604</v>
      </c>
      <c r="D299" s="771">
        <v>7495</v>
      </c>
      <c r="E299" s="771" t="s">
        <v>718</v>
      </c>
      <c r="F299" s="546"/>
      <c r="G299" s="659">
        <v>43068</v>
      </c>
      <c r="H299" s="655" t="s">
        <v>810</v>
      </c>
      <c r="I299" s="655" t="s">
        <v>7732</v>
      </c>
      <c r="J299" s="712"/>
      <c r="K299" s="655" t="s">
        <v>8178</v>
      </c>
      <c r="L299" s="655" t="s">
        <v>7540</v>
      </c>
      <c r="M299" s="660">
        <v>288669.95</v>
      </c>
      <c r="N299" s="660">
        <v>14433.5</v>
      </c>
      <c r="O299" s="660">
        <v>48496.55</v>
      </c>
      <c r="P299" s="660">
        <v>351600</v>
      </c>
      <c r="Q299" s="548"/>
      <c r="R299" s="660">
        <v>262806.27</v>
      </c>
      <c r="S299" s="549">
        <f t="shared" si="392"/>
        <v>88793.729999999981</v>
      </c>
      <c r="T299" s="113" t="s">
        <v>1932</v>
      </c>
      <c r="U299" s="722" t="str">
        <f t="shared" ref="U299" si="439">+B299</f>
        <v>AA12439</v>
      </c>
      <c r="V299" s="723" t="str">
        <f t="shared" ref="V299" si="440">+I299</f>
        <v>1970-TCN17</v>
      </c>
      <c r="W299" s="722">
        <f t="shared" ref="W299" si="441">+C299</f>
        <v>1520604</v>
      </c>
      <c r="X299" s="722" t="str">
        <f t="shared" ref="X299" si="442">+E299</f>
        <v>HILUX PICK UP D CAB SR A/C</v>
      </c>
      <c r="Y299" s="723">
        <f t="shared" ref="Y299" si="443">+F299</f>
        <v>0</v>
      </c>
      <c r="Z299" s="778">
        <f t="shared" ref="Z299" si="444">+M299</f>
        <v>288669.95</v>
      </c>
      <c r="AA299" s="629">
        <f>+SUM(Z284:Z299)</f>
        <v>2644334.9700000002</v>
      </c>
      <c r="AB299" s="797">
        <v>11</v>
      </c>
      <c r="AC299" s="780">
        <f t="shared" ref="AC299" si="445">VLOOKUP(Z299,TARIFA,1)</f>
        <v>246423.66</v>
      </c>
      <c r="AD299" s="630">
        <f t="shared" ref="AD299" si="446">VLOOKUP(Z299,TARIFA,4)</f>
        <v>0.05</v>
      </c>
      <c r="AE299" s="629">
        <f t="shared" ref="AE299" si="447">VLOOKUP(Z299,TARIFA,3)</f>
        <v>4928.3900000000003</v>
      </c>
      <c r="AF299" s="629">
        <f t="shared" ref="AF299" si="448">+N299</f>
        <v>14433.5</v>
      </c>
      <c r="AG299" s="727">
        <f t="shared" ref="AG299" si="449">+N299-AF299</f>
        <v>0</v>
      </c>
      <c r="AH299" s="272"/>
      <c r="AI299" s="313"/>
      <c r="AJ299" s="331"/>
      <c r="AK299" s="374"/>
      <c r="AL299" s="374"/>
      <c r="AM299" s="374"/>
    </row>
    <row r="300" spans="1:45" s="291" customFormat="1" x14ac:dyDescent="0.2">
      <c r="A300" s="423">
        <f t="shared" si="426"/>
        <v>293</v>
      </c>
      <c r="B300" s="721" t="s">
        <v>8056</v>
      </c>
      <c r="C300" s="771">
        <v>1520604</v>
      </c>
      <c r="D300" s="771">
        <v>7495</v>
      </c>
      <c r="E300" s="771" t="s">
        <v>718</v>
      </c>
      <c r="F300" s="546"/>
      <c r="G300" s="659">
        <v>43067</v>
      </c>
      <c r="H300" s="655"/>
      <c r="I300" s="655" t="s">
        <v>7731</v>
      </c>
      <c r="J300" s="712"/>
      <c r="K300" s="655" t="s">
        <v>62</v>
      </c>
      <c r="L300" s="655" t="s">
        <v>7539</v>
      </c>
      <c r="M300" s="660">
        <v>262806.71000000002</v>
      </c>
      <c r="N300" s="660">
        <v>0</v>
      </c>
      <c r="O300" s="660">
        <v>42049.07</v>
      </c>
      <c r="P300" s="660">
        <v>304855.78000000003</v>
      </c>
      <c r="Q300" s="548"/>
      <c r="R300" s="660">
        <v>262450.93</v>
      </c>
      <c r="S300" s="549">
        <f t="shared" si="392"/>
        <v>42404.850000000035</v>
      </c>
      <c r="T300" s="113" t="s">
        <v>283</v>
      </c>
      <c r="U300" s="360"/>
      <c r="V300" s="360"/>
      <c r="W300" s="358"/>
      <c r="X300" s="331"/>
      <c r="Y300" s="360"/>
      <c r="Z300" s="334"/>
      <c r="AA300" s="334"/>
      <c r="AB300" s="744"/>
      <c r="AC300" s="349"/>
      <c r="AD300" s="335"/>
      <c r="AE300" s="349"/>
      <c r="AF300" s="349"/>
      <c r="AG300" s="349"/>
      <c r="AH300" s="350"/>
      <c r="AI300" s="365"/>
      <c r="AJ300" s="331"/>
      <c r="AK300" s="374"/>
      <c r="AL300" s="374"/>
      <c r="AM300" s="374"/>
    </row>
    <row r="301" spans="1:45" s="291" customFormat="1" x14ac:dyDescent="0.2">
      <c r="A301" s="423">
        <f t="shared" si="426"/>
        <v>294</v>
      </c>
      <c r="B301" s="721" t="s">
        <v>8005</v>
      </c>
      <c r="C301" s="771">
        <v>1520605</v>
      </c>
      <c r="D301" s="771">
        <v>7491</v>
      </c>
      <c r="E301" s="771" t="s">
        <v>6939</v>
      </c>
      <c r="F301" s="546"/>
      <c r="G301" s="659">
        <v>43046</v>
      </c>
      <c r="H301" s="655" t="s">
        <v>817</v>
      </c>
      <c r="I301" s="655" t="s">
        <v>7703</v>
      </c>
      <c r="J301" s="712"/>
      <c r="K301" s="655" t="s">
        <v>8163</v>
      </c>
      <c r="L301" s="655" t="s">
        <v>7511</v>
      </c>
      <c r="M301" s="660">
        <v>476108.37</v>
      </c>
      <c r="N301" s="660">
        <v>23805.42</v>
      </c>
      <c r="O301" s="660">
        <v>79986.210000000006</v>
      </c>
      <c r="P301" s="660">
        <v>579900</v>
      </c>
      <c r="Q301" s="548"/>
      <c r="R301" s="660">
        <v>420224.34</v>
      </c>
      <c r="S301" s="549">
        <f t="shared" si="392"/>
        <v>159675.65999999997</v>
      </c>
      <c r="T301" s="113" t="s">
        <v>1932</v>
      </c>
      <c r="U301" s="722" t="str">
        <f t="shared" ref="U301" si="450">+B301</f>
        <v>AA12256</v>
      </c>
      <c r="V301" s="723" t="str">
        <f t="shared" ref="V301" si="451">+I301</f>
        <v>0167-TCN18</v>
      </c>
      <c r="W301" s="722">
        <f t="shared" ref="W301" si="452">+C301</f>
        <v>1520605</v>
      </c>
      <c r="X301" s="722" t="str">
        <f t="shared" ref="X301" si="453">+E301</f>
        <v>HILUX DIESEL EQUIPADA</v>
      </c>
      <c r="Y301" s="723">
        <f t="shared" ref="Y301" si="454">+F301</f>
        <v>0</v>
      </c>
      <c r="Z301" s="778">
        <f t="shared" ref="Z301" si="455">+M301</f>
        <v>476108.37</v>
      </c>
      <c r="AA301" s="629"/>
      <c r="AB301" s="793"/>
      <c r="AC301" s="780">
        <f t="shared" ref="AC301" si="456">VLOOKUP(Z301,TARIFA,1)</f>
        <v>443562.4</v>
      </c>
      <c r="AD301" s="630">
        <f t="shared" ref="AD301" si="457">VLOOKUP(Z301,TARIFA,4)</f>
        <v>0.17</v>
      </c>
      <c r="AE301" s="629">
        <f t="shared" ref="AE301" si="458">VLOOKUP(Z301,TARIFA,3)</f>
        <v>27106.55</v>
      </c>
      <c r="AF301" s="629">
        <f t="shared" ref="AF301" si="459">+N301</f>
        <v>23805.42</v>
      </c>
      <c r="AG301" s="727">
        <f t="shared" ref="AG301" si="460">+N301-AF301</f>
        <v>0</v>
      </c>
      <c r="AH301" s="350"/>
      <c r="AI301" s="365"/>
      <c r="AJ301" s="331"/>
      <c r="AK301" s="374"/>
      <c r="AL301" s="374"/>
      <c r="AM301" s="374"/>
    </row>
    <row r="302" spans="1:45" s="291" customFormat="1" x14ac:dyDescent="0.2">
      <c r="A302" s="423">
        <f t="shared" si="426"/>
        <v>295</v>
      </c>
      <c r="B302" s="721" t="s">
        <v>7925</v>
      </c>
      <c r="C302" s="771">
        <v>520512</v>
      </c>
      <c r="D302" s="771">
        <v>5394</v>
      </c>
      <c r="E302" s="771" t="s">
        <v>223</v>
      </c>
      <c r="F302" s="546"/>
      <c r="G302" s="659">
        <v>43069</v>
      </c>
      <c r="H302" s="655" t="s">
        <v>5129</v>
      </c>
      <c r="I302" s="655" t="s">
        <v>7667</v>
      </c>
      <c r="J302" s="712"/>
      <c r="K302" s="655" t="s">
        <v>8146</v>
      </c>
      <c r="L302" s="655" t="s">
        <v>7475</v>
      </c>
      <c r="M302" s="660">
        <v>-423640.35</v>
      </c>
      <c r="N302" s="660">
        <v>-24118.27</v>
      </c>
      <c r="O302" s="660">
        <v>-71641.38</v>
      </c>
      <c r="P302" s="660">
        <v>-519400</v>
      </c>
      <c r="Q302" s="548"/>
      <c r="R302" s="660">
        <v>-392350.68</v>
      </c>
      <c r="S302" s="549">
        <f t="shared" si="392"/>
        <v>-127049.32</v>
      </c>
      <c r="T302" s="267" t="s">
        <v>1931</v>
      </c>
      <c r="U302" s="354"/>
      <c r="V302" s="354"/>
      <c r="W302" s="355"/>
      <c r="X302" s="330"/>
      <c r="Y302" s="354"/>
      <c r="Z302" s="328"/>
      <c r="AA302" s="328"/>
      <c r="AB302" s="744"/>
      <c r="AC302" s="346"/>
      <c r="AD302" s="333"/>
      <c r="AE302" s="346"/>
      <c r="AF302" s="346"/>
      <c r="AG302" s="346"/>
      <c r="AH302" s="272"/>
      <c r="AI302" s="313"/>
      <c r="AJ302" s="331"/>
      <c r="AK302" s="374"/>
      <c r="AL302" s="374"/>
      <c r="AM302" s="374"/>
    </row>
    <row r="303" spans="1:45" s="291" customFormat="1" x14ac:dyDescent="0.2">
      <c r="A303" s="423">
        <f t="shared" si="426"/>
        <v>296</v>
      </c>
      <c r="B303" s="721" t="s">
        <v>7926</v>
      </c>
      <c r="C303" s="771">
        <v>520512</v>
      </c>
      <c r="D303" s="771">
        <v>5394</v>
      </c>
      <c r="E303" s="771" t="s">
        <v>223</v>
      </c>
      <c r="F303" s="546"/>
      <c r="G303" s="659">
        <v>43069</v>
      </c>
      <c r="H303" s="655" t="s">
        <v>5129</v>
      </c>
      <c r="I303" s="655" t="s">
        <v>7667</v>
      </c>
      <c r="J303" s="712"/>
      <c r="K303" s="655" t="s">
        <v>8146</v>
      </c>
      <c r="L303" s="655" t="s">
        <v>7475</v>
      </c>
      <c r="M303" s="660">
        <v>423640.35</v>
      </c>
      <c r="N303" s="660">
        <v>24118.27</v>
      </c>
      <c r="O303" s="660">
        <v>71641.38</v>
      </c>
      <c r="P303" s="660">
        <v>519400</v>
      </c>
      <c r="Q303" s="548"/>
      <c r="R303" s="660">
        <v>392350.68</v>
      </c>
      <c r="S303" s="549">
        <f t="shared" si="392"/>
        <v>127049.32</v>
      </c>
      <c r="T303" s="113" t="s">
        <v>1931</v>
      </c>
      <c r="U303" s="370"/>
      <c r="V303" s="370"/>
      <c r="W303" s="375"/>
      <c r="X303" s="374"/>
      <c r="Y303" s="370"/>
      <c r="Z303" s="371"/>
      <c r="AA303" s="371"/>
      <c r="AB303" s="744"/>
      <c r="AC303" s="270"/>
      <c r="AD303" s="372"/>
      <c r="AE303" s="270"/>
      <c r="AF303" s="270"/>
      <c r="AG303" s="270"/>
      <c r="AH303" s="272"/>
      <c r="AI303" s="313"/>
      <c r="AJ303" s="331"/>
      <c r="AK303" s="374"/>
      <c r="AL303" s="374"/>
      <c r="AM303" s="374"/>
    </row>
    <row r="304" spans="1:45" s="291" customFormat="1" x14ac:dyDescent="0.2">
      <c r="A304" s="423">
        <f t="shared" si="426"/>
        <v>297</v>
      </c>
      <c r="B304" s="721" t="s">
        <v>7999</v>
      </c>
      <c r="C304" s="771">
        <v>1520605</v>
      </c>
      <c r="D304" s="771">
        <v>7491</v>
      </c>
      <c r="E304" s="771" t="s">
        <v>6939</v>
      </c>
      <c r="F304" s="546"/>
      <c r="G304" s="659">
        <v>43042</v>
      </c>
      <c r="H304" s="655" t="s">
        <v>4285</v>
      </c>
      <c r="I304" s="655" t="s">
        <v>7701</v>
      </c>
      <c r="J304" s="712"/>
      <c r="K304" s="655" t="s">
        <v>6732</v>
      </c>
      <c r="L304" s="655" t="s">
        <v>7509</v>
      </c>
      <c r="M304" s="660">
        <v>442780.79</v>
      </c>
      <c r="N304" s="660">
        <v>22139.040000000001</v>
      </c>
      <c r="O304" s="660">
        <v>74387.17</v>
      </c>
      <c r="P304" s="660">
        <v>539307</v>
      </c>
      <c r="Q304" s="548"/>
      <c r="R304" s="660">
        <v>420224.34</v>
      </c>
      <c r="S304" s="549">
        <f t="shared" si="392"/>
        <v>119082.65999999997</v>
      </c>
      <c r="T304" s="113" t="s">
        <v>1932</v>
      </c>
      <c r="U304" s="722" t="str">
        <f t="shared" ref="U304" si="461">+B304</f>
        <v>AA12232</v>
      </c>
      <c r="V304" s="723" t="str">
        <f t="shared" ref="V304" si="462">+I304</f>
        <v>0170-TCN18</v>
      </c>
      <c r="W304" s="722">
        <f t="shared" ref="W304" si="463">+C304</f>
        <v>1520605</v>
      </c>
      <c r="X304" s="722" t="str">
        <f t="shared" ref="X304" si="464">+E304</f>
        <v>HILUX DIESEL EQUIPADA</v>
      </c>
      <c r="Y304" s="723">
        <f t="shared" ref="Y304" si="465">+F304</f>
        <v>0</v>
      </c>
      <c r="Z304" s="778">
        <f t="shared" ref="Z304" si="466">+M304</f>
        <v>442780.79</v>
      </c>
      <c r="AA304" s="629"/>
      <c r="AB304" s="793"/>
      <c r="AC304" s="780">
        <f t="shared" ref="AC304" si="467">VLOOKUP(Z304,TARIFA,1)</f>
        <v>344993.21</v>
      </c>
      <c r="AD304" s="630">
        <f t="shared" ref="AD304" si="468">VLOOKUP(Z304,TARIFA,4)</f>
        <v>0.15</v>
      </c>
      <c r="AE304" s="629">
        <f t="shared" ref="AE304" si="469">VLOOKUP(Z304,TARIFA,3)</f>
        <v>12321.2</v>
      </c>
      <c r="AF304" s="629">
        <f t="shared" ref="AF304" si="470">+N304</f>
        <v>22139.040000000001</v>
      </c>
      <c r="AG304" s="727">
        <f t="shared" ref="AG304" si="471">+N304-AF304</f>
        <v>0</v>
      </c>
      <c r="AH304" s="350"/>
      <c r="AI304" s="365"/>
      <c r="AJ304" s="331"/>
      <c r="AK304" s="374"/>
      <c r="AL304" s="374"/>
      <c r="AM304" s="374"/>
    </row>
    <row r="305" spans="1:39" s="291" customFormat="1" x14ac:dyDescent="0.2">
      <c r="A305" s="423">
        <f t="shared" si="426"/>
        <v>298</v>
      </c>
      <c r="B305" s="721" t="s">
        <v>8061</v>
      </c>
      <c r="C305" s="771">
        <v>1520504</v>
      </c>
      <c r="D305" s="771">
        <v>8125</v>
      </c>
      <c r="E305" s="771" t="s">
        <v>6276</v>
      </c>
      <c r="F305" s="546"/>
      <c r="G305" s="659">
        <v>43046</v>
      </c>
      <c r="H305" s="655"/>
      <c r="I305" s="655" t="s">
        <v>7736</v>
      </c>
      <c r="J305" s="712"/>
      <c r="K305" s="655" t="s">
        <v>3905</v>
      </c>
      <c r="L305" s="655" t="s">
        <v>7544</v>
      </c>
      <c r="M305" s="660">
        <v>-656047.09</v>
      </c>
      <c r="N305" s="660">
        <v>0</v>
      </c>
      <c r="O305" s="660">
        <v>-104967.54</v>
      </c>
      <c r="P305" s="660">
        <v>-761014.63</v>
      </c>
      <c r="Q305" s="548"/>
      <c r="R305" s="660">
        <v>-655691.75</v>
      </c>
      <c r="S305" s="549">
        <f t="shared" si="392"/>
        <v>-105322.88</v>
      </c>
      <c r="T305" s="113" t="s">
        <v>283</v>
      </c>
      <c r="U305" s="370"/>
      <c r="V305" s="370"/>
      <c r="W305" s="375"/>
      <c r="X305" s="374"/>
      <c r="Y305" s="370"/>
      <c r="Z305" s="371"/>
      <c r="AA305" s="371"/>
      <c r="AB305" s="744"/>
      <c r="AC305" s="270"/>
      <c r="AD305" s="372"/>
      <c r="AE305" s="270"/>
      <c r="AF305" s="270"/>
      <c r="AG305" s="270"/>
      <c r="AH305" s="272"/>
      <c r="AI305" s="313"/>
      <c r="AJ305" s="331"/>
      <c r="AK305" s="374"/>
      <c r="AL305" s="374"/>
      <c r="AM305" s="374"/>
    </row>
    <row r="306" spans="1:39" s="291" customFormat="1" x14ac:dyDescent="0.2">
      <c r="A306" s="423">
        <f t="shared" si="426"/>
        <v>299</v>
      </c>
      <c r="B306" s="721" t="s">
        <v>8062</v>
      </c>
      <c r="C306" s="771">
        <v>1520504</v>
      </c>
      <c r="D306" s="771">
        <v>8125</v>
      </c>
      <c r="E306" s="771" t="s">
        <v>6276</v>
      </c>
      <c r="F306" s="546"/>
      <c r="G306" s="659">
        <v>43046</v>
      </c>
      <c r="H306" s="655"/>
      <c r="I306" s="655" t="s">
        <v>7736</v>
      </c>
      <c r="J306" s="712"/>
      <c r="K306" s="655" t="s">
        <v>3905</v>
      </c>
      <c r="L306" s="655" t="s">
        <v>7544</v>
      </c>
      <c r="M306" s="660">
        <v>656047.09</v>
      </c>
      <c r="N306" s="660">
        <v>0</v>
      </c>
      <c r="O306" s="660">
        <v>104967.54</v>
      </c>
      <c r="P306" s="660">
        <v>761014.63</v>
      </c>
      <c r="Q306" s="548"/>
      <c r="R306" s="660">
        <v>655691.75</v>
      </c>
      <c r="S306" s="549">
        <f t="shared" si="392"/>
        <v>105322.88</v>
      </c>
      <c r="T306" s="113" t="s">
        <v>283</v>
      </c>
      <c r="U306" s="370"/>
      <c r="V306" s="370"/>
      <c r="W306" s="375"/>
      <c r="X306" s="374"/>
      <c r="Y306" s="370"/>
      <c r="Z306" s="371"/>
      <c r="AA306" s="371"/>
      <c r="AB306" s="744"/>
      <c r="AC306" s="270"/>
      <c r="AD306" s="372"/>
      <c r="AE306" s="270"/>
      <c r="AF306" s="270"/>
      <c r="AG306" s="270"/>
      <c r="AH306" s="272"/>
      <c r="AI306" s="313"/>
      <c r="AJ306" s="331"/>
      <c r="AK306" s="374"/>
      <c r="AL306" s="374"/>
      <c r="AM306" s="374"/>
    </row>
    <row r="307" spans="1:39" s="291" customFormat="1" x14ac:dyDescent="0.2">
      <c r="A307" s="423">
        <f t="shared" si="426"/>
        <v>300</v>
      </c>
      <c r="B307" s="721" t="s">
        <v>8063</v>
      </c>
      <c r="C307" s="771">
        <v>1520504</v>
      </c>
      <c r="D307" s="771">
        <v>8125</v>
      </c>
      <c r="E307" s="771" t="s">
        <v>6276</v>
      </c>
      <c r="F307" s="546"/>
      <c r="G307" s="659">
        <v>43046</v>
      </c>
      <c r="H307" s="655"/>
      <c r="I307" s="655" t="s">
        <v>7736</v>
      </c>
      <c r="J307" s="712"/>
      <c r="K307" s="655" t="s">
        <v>3905</v>
      </c>
      <c r="L307" s="655" t="s">
        <v>7544</v>
      </c>
      <c r="M307" s="660">
        <v>656047.09</v>
      </c>
      <c r="N307" s="660">
        <v>0</v>
      </c>
      <c r="O307" s="660">
        <v>104967.54</v>
      </c>
      <c r="P307" s="660">
        <v>761014.63</v>
      </c>
      <c r="Q307" s="548"/>
      <c r="R307" s="660">
        <v>655691.75</v>
      </c>
      <c r="S307" s="549">
        <f t="shared" si="392"/>
        <v>105322.88</v>
      </c>
      <c r="T307" s="113" t="s">
        <v>283</v>
      </c>
      <c r="U307" s="370"/>
      <c r="V307" s="370"/>
      <c r="W307" s="375"/>
      <c r="X307" s="374"/>
      <c r="Y307" s="370"/>
      <c r="Z307" s="371"/>
      <c r="AA307" s="371"/>
      <c r="AB307" s="744"/>
      <c r="AC307" s="270"/>
      <c r="AD307" s="372"/>
      <c r="AE307" s="270"/>
      <c r="AF307" s="270"/>
      <c r="AG307" s="270"/>
      <c r="AH307" s="347"/>
      <c r="AI307" s="363"/>
      <c r="AJ307" s="331"/>
      <c r="AK307" s="374"/>
      <c r="AL307" s="374"/>
      <c r="AM307" s="374"/>
    </row>
    <row r="308" spans="1:39" s="291" customFormat="1" x14ac:dyDescent="0.2">
      <c r="A308" s="423">
        <f t="shared" si="426"/>
        <v>301</v>
      </c>
      <c r="B308" s="721" t="s">
        <v>8004</v>
      </c>
      <c r="C308" s="771">
        <v>1520605</v>
      </c>
      <c r="D308" s="771">
        <v>7491</v>
      </c>
      <c r="E308" s="771" t="s">
        <v>6939</v>
      </c>
      <c r="F308" s="546"/>
      <c r="G308" s="659">
        <v>43042</v>
      </c>
      <c r="H308" s="655" t="s">
        <v>4285</v>
      </c>
      <c r="I308" s="655" t="s">
        <v>7702</v>
      </c>
      <c r="J308" s="712"/>
      <c r="K308" s="655" t="s">
        <v>6732</v>
      </c>
      <c r="L308" s="655" t="s">
        <v>7510</v>
      </c>
      <c r="M308" s="660">
        <v>442780.79</v>
      </c>
      <c r="N308" s="660">
        <v>22139.040000000001</v>
      </c>
      <c r="O308" s="660">
        <v>74387.17</v>
      </c>
      <c r="P308" s="660">
        <v>539307</v>
      </c>
      <c r="Q308" s="548"/>
      <c r="R308" s="660">
        <v>420224.34</v>
      </c>
      <c r="S308" s="549">
        <f t="shared" si="392"/>
        <v>119082.65999999997</v>
      </c>
      <c r="T308" s="113" t="s">
        <v>1932</v>
      </c>
      <c r="U308" s="626" t="str">
        <f t="shared" ref="U308" si="472">+B308</f>
        <v>AA12231</v>
      </c>
      <c r="V308" s="627" t="str">
        <f t="shared" ref="V308" si="473">+I308</f>
        <v>0178-TCN18</v>
      </c>
      <c r="W308" s="626">
        <f t="shared" ref="W308" si="474">+C308</f>
        <v>1520605</v>
      </c>
      <c r="X308" s="626" t="str">
        <f t="shared" ref="X308" si="475">+E308</f>
        <v>HILUX DIESEL EQUIPADA</v>
      </c>
      <c r="Y308" s="627">
        <f t="shared" ref="Y308" si="476">+F308</f>
        <v>0</v>
      </c>
      <c r="Z308" s="777">
        <f t="shared" ref="Z308" si="477">+M308</f>
        <v>442780.79</v>
      </c>
      <c r="AA308" s="629">
        <f>+Z308+Z304+Z301</f>
        <v>1361669.95</v>
      </c>
      <c r="AB308" s="797">
        <v>3</v>
      </c>
      <c r="AC308" s="780">
        <f t="shared" ref="AC308" si="478">VLOOKUP(Z308,TARIFA,1)</f>
        <v>344993.21</v>
      </c>
      <c r="AD308" s="630">
        <f t="shared" ref="AD308" si="479">VLOOKUP(Z308,TARIFA,4)</f>
        <v>0.15</v>
      </c>
      <c r="AE308" s="629">
        <f t="shared" ref="AE308" si="480">VLOOKUP(Z308,TARIFA,3)</f>
        <v>12321.2</v>
      </c>
      <c r="AF308" s="629">
        <f t="shared" ref="AF308" si="481">+N308</f>
        <v>22139.040000000001</v>
      </c>
      <c r="AG308" s="555">
        <f t="shared" ref="AG308" si="482">+N308-AF308</f>
        <v>0</v>
      </c>
      <c r="AH308" s="350"/>
      <c r="AI308" s="365"/>
      <c r="AJ308" s="331"/>
      <c r="AK308" s="374"/>
      <c r="AL308" s="374"/>
      <c r="AM308" s="374"/>
    </row>
    <row r="309" spans="1:39" s="291" customFormat="1" x14ac:dyDescent="0.2">
      <c r="A309" s="423">
        <f t="shared" si="426"/>
        <v>302</v>
      </c>
      <c r="B309" s="721" t="s">
        <v>8065</v>
      </c>
      <c r="C309" s="771">
        <v>16502</v>
      </c>
      <c r="D309" s="771" t="s">
        <v>721</v>
      </c>
      <c r="E309" s="771" t="s">
        <v>7374</v>
      </c>
      <c r="F309" s="546"/>
      <c r="G309" s="659">
        <v>43042</v>
      </c>
      <c r="H309" s="655" t="s">
        <v>1211</v>
      </c>
      <c r="I309" s="655" t="s">
        <v>7738</v>
      </c>
      <c r="J309" s="712"/>
      <c r="K309" s="655" t="s">
        <v>8182</v>
      </c>
      <c r="L309" s="655" t="s">
        <v>7546</v>
      </c>
      <c r="M309" s="660">
        <v>92379.31</v>
      </c>
      <c r="N309" s="660">
        <v>0</v>
      </c>
      <c r="O309" s="660">
        <v>2620.69</v>
      </c>
      <c r="P309" s="660">
        <v>95000</v>
      </c>
      <c r="Q309" s="548"/>
      <c r="R309" s="660">
        <v>76000</v>
      </c>
      <c r="S309" s="549">
        <f t="shared" ref="S309:S339" si="483">+P309-R309</f>
        <v>19000</v>
      </c>
      <c r="T309" s="267" t="s">
        <v>263</v>
      </c>
      <c r="U309" s="370"/>
      <c r="V309" s="370"/>
      <c r="W309" s="375"/>
      <c r="X309" s="374"/>
      <c r="Y309" s="370"/>
      <c r="Z309" s="371"/>
      <c r="AA309" s="371"/>
      <c r="AB309" s="744"/>
      <c r="AC309" s="270"/>
      <c r="AD309" s="372"/>
      <c r="AE309" s="270"/>
      <c r="AF309" s="270"/>
      <c r="AG309" s="270"/>
      <c r="AH309" s="350"/>
      <c r="AI309" s="365"/>
      <c r="AJ309" s="331"/>
      <c r="AK309" s="374"/>
      <c r="AL309" s="374"/>
      <c r="AM309" s="374"/>
    </row>
    <row r="310" spans="1:39" s="348" customFormat="1" x14ac:dyDescent="0.2">
      <c r="A310" s="423">
        <f t="shared" si="426"/>
        <v>303</v>
      </c>
      <c r="B310" s="721" t="s">
        <v>8066</v>
      </c>
      <c r="C310" s="771">
        <v>251503</v>
      </c>
      <c r="D310" s="771" t="s">
        <v>721</v>
      </c>
      <c r="E310" s="771" t="s">
        <v>7374</v>
      </c>
      <c r="F310" s="546"/>
      <c r="G310" s="659">
        <v>43042</v>
      </c>
      <c r="H310" s="655" t="s">
        <v>1207</v>
      </c>
      <c r="I310" s="655" t="s">
        <v>7739</v>
      </c>
      <c r="J310" s="712"/>
      <c r="K310" s="655" t="s">
        <v>8183</v>
      </c>
      <c r="L310" s="655" t="s">
        <v>7547</v>
      </c>
      <c r="M310" s="660">
        <v>257241.38</v>
      </c>
      <c r="N310" s="660">
        <v>0</v>
      </c>
      <c r="O310" s="660">
        <v>2758.62</v>
      </c>
      <c r="P310" s="660">
        <v>260000</v>
      </c>
      <c r="Q310" s="548"/>
      <c r="R310" s="660">
        <v>240000</v>
      </c>
      <c r="S310" s="549">
        <f t="shared" si="483"/>
        <v>20000</v>
      </c>
      <c r="T310" s="267" t="s">
        <v>263</v>
      </c>
      <c r="U310" s="370"/>
      <c r="V310" s="370"/>
      <c r="W310" s="375"/>
      <c r="X310" s="374"/>
      <c r="Y310" s="370"/>
      <c r="Z310" s="371"/>
      <c r="AA310" s="371"/>
      <c r="AB310" s="744"/>
      <c r="AC310" s="270"/>
      <c r="AD310" s="372"/>
      <c r="AE310" s="270"/>
      <c r="AF310" s="270"/>
      <c r="AG310" s="270"/>
      <c r="AH310" s="350"/>
      <c r="AI310" s="365"/>
      <c r="AJ310" s="330"/>
      <c r="AK310" s="330"/>
      <c r="AL310" s="330"/>
      <c r="AM310" s="330"/>
    </row>
    <row r="311" spans="1:39" s="348" customFormat="1" x14ac:dyDescent="0.2">
      <c r="A311" s="423">
        <f t="shared" si="426"/>
        <v>304</v>
      </c>
      <c r="B311" s="721" t="s">
        <v>8067</v>
      </c>
      <c r="C311" s="771">
        <v>520513</v>
      </c>
      <c r="D311" s="771" t="s">
        <v>721</v>
      </c>
      <c r="E311" s="771" t="s">
        <v>7374</v>
      </c>
      <c r="F311" s="546"/>
      <c r="G311" s="659">
        <v>43047</v>
      </c>
      <c r="H311" s="655" t="s">
        <v>912</v>
      </c>
      <c r="I311" s="655" t="s">
        <v>7740</v>
      </c>
      <c r="J311" s="712"/>
      <c r="K311" s="655" t="s">
        <v>8184</v>
      </c>
      <c r="L311" s="655" t="s">
        <v>7548</v>
      </c>
      <c r="M311" s="660">
        <v>244482.76</v>
      </c>
      <c r="N311" s="660">
        <v>0</v>
      </c>
      <c r="O311" s="660">
        <v>5517.24</v>
      </c>
      <c r="P311" s="660">
        <v>250000</v>
      </c>
      <c r="Q311" s="548"/>
      <c r="R311" s="660">
        <v>210000</v>
      </c>
      <c r="S311" s="549">
        <f t="shared" si="483"/>
        <v>40000</v>
      </c>
      <c r="T311" s="267" t="s">
        <v>263</v>
      </c>
      <c r="U311" s="370"/>
      <c r="V311" s="370"/>
      <c r="W311" s="375"/>
      <c r="X311" s="374"/>
      <c r="Y311" s="370"/>
      <c r="Z311" s="371"/>
      <c r="AA311" s="371"/>
      <c r="AB311" s="744"/>
      <c r="AC311" s="270"/>
      <c r="AD311" s="372"/>
      <c r="AE311" s="270"/>
      <c r="AF311" s="270"/>
      <c r="AG311" s="270"/>
      <c r="AH311" s="350"/>
      <c r="AI311" s="365"/>
      <c r="AJ311" s="330"/>
      <c r="AK311" s="330"/>
      <c r="AL311" s="330"/>
      <c r="AM311" s="330"/>
    </row>
    <row r="312" spans="1:39" s="348" customFormat="1" x14ac:dyDescent="0.2">
      <c r="A312" s="423">
        <f t="shared" si="426"/>
        <v>305</v>
      </c>
      <c r="B312" s="721" t="s">
        <v>8068</v>
      </c>
      <c r="C312" s="771">
        <v>72403</v>
      </c>
      <c r="D312" s="771" t="s">
        <v>721</v>
      </c>
      <c r="E312" s="771" t="s">
        <v>7374</v>
      </c>
      <c r="F312" s="546"/>
      <c r="G312" s="659">
        <v>43047</v>
      </c>
      <c r="H312" s="655" t="s">
        <v>1211</v>
      </c>
      <c r="I312" s="655" t="s">
        <v>7038</v>
      </c>
      <c r="J312" s="712"/>
      <c r="K312" s="655" t="s">
        <v>8185</v>
      </c>
      <c r="L312" s="655" t="s">
        <v>7039</v>
      </c>
      <c r="M312" s="660">
        <v>133275.85999999999</v>
      </c>
      <c r="N312" s="660">
        <v>0</v>
      </c>
      <c r="O312" s="660">
        <v>1724.14</v>
      </c>
      <c r="P312" s="660">
        <v>135000</v>
      </c>
      <c r="Q312" s="548"/>
      <c r="R312" s="660">
        <v>122500</v>
      </c>
      <c r="S312" s="549">
        <f t="shared" si="483"/>
        <v>12500</v>
      </c>
      <c r="T312" s="267" t="s">
        <v>263</v>
      </c>
      <c r="U312" s="370"/>
      <c r="V312" s="370"/>
      <c r="W312" s="375"/>
      <c r="X312" s="374"/>
      <c r="Y312" s="370"/>
      <c r="Z312" s="371"/>
      <c r="AA312" s="371"/>
      <c r="AB312" s="744"/>
      <c r="AC312" s="270"/>
      <c r="AD312" s="372"/>
      <c r="AE312" s="270"/>
      <c r="AF312" s="270"/>
      <c r="AG312" s="270"/>
      <c r="AH312" s="350"/>
      <c r="AI312" s="365"/>
      <c r="AJ312" s="330"/>
      <c r="AK312" s="330"/>
      <c r="AL312" s="330"/>
      <c r="AM312" s="330"/>
    </row>
    <row r="313" spans="1:39" s="348" customFormat="1" x14ac:dyDescent="0.2">
      <c r="A313" s="423">
        <f t="shared" si="426"/>
        <v>306</v>
      </c>
      <c r="B313" s="721" t="s">
        <v>8069</v>
      </c>
      <c r="C313" s="771">
        <v>1032706</v>
      </c>
      <c r="D313" s="771" t="s">
        <v>721</v>
      </c>
      <c r="E313" s="771" t="s">
        <v>7374</v>
      </c>
      <c r="F313" s="546"/>
      <c r="G313" s="659">
        <v>43055</v>
      </c>
      <c r="H313" s="655" t="s">
        <v>7761</v>
      </c>
      <c r="I313" s="655" t="s">
        <v>7741</v>
      </c>
      <c r="J313" s="712"/>
      <c r="K313" s="655" t="s">
        <v>8186</v>
      </c>
      <c r="L313" s="655" t="s">
        <v>7549</v>
      </c>
      <c r="M313" s="660">
        <v>314655.17</v>
      </c>
      <c r="N313" s="660">
        <v>0</v>
      </c>
      <c r="O313" s="660">
        <v>50344.83</v>
      </c>
      <c r="P313" s="660">
        <v>365000</v>
      </c>
      <c r="Q313" s="548"/>
      <c r="R313" s="660">
        <v>284482.76</v>
      </c>
      <c r="S313" s="549">
        <f t="shared" si="483"/>
        <v>80517.239999999991</v>
      </c>
      <c r="T313" s="267" t="s">
        <v>263</v>
      </c>
      <c r="U313" s="370"/>
      <c r="V313" s="370"/>
      <c r="W313" s="375"/>
      <c r="X313" s="374"/>
      <c r="Y313" s="370"/>
      <c r="Z313" s="371"/>
      <c r="AA313" s="371"/>
      <c r="AB313" s="744"/>
      <c r="AC313" s="270"/>
      <c r="AD313" s="372"/>
      <c r="AE313" s="270"/>
      <c r="AF313" s="270"/>
      <c r="AG313" s="270"/>
      <c r="AH313" s="350"/>
      <c r="AI313" s="365"/>
      <c r="AJ313" s="330"/>
      <c r="AK313" s="330"/>
      <c r="AL313" s="330"/>
      <c r="AM313" s="330"/>
    </row>
    <row r="314" spans="1:39" s="348" customFormat="1" x14ac:dyDescent="0.2">
      <c r="A314" s="423">
        <f t="shared" si="426"/>
        <v>307</v>
      </c>
      <c r="B314" s="721" t="s">
        <v>8070</v>
      </c>
      <c r="C314" s="771">
        <v>25201</v>
      </c>
      <c r="D314" s="771" t="s">
        <v>721</v>
      </c>
      <c r="E314" s="771" t="s">
        <v>7374</v>
      </c>
      <c r="F314" s="546"/>
      <c r="G314" s="659">
        <v>43057</v>
      </c>
      <c r="H314" s="655" t="s">
        <v>7762</v>
      </c>
      <c r="I314" s="655" t="s">
        <v>7742</v>
      </c>
      <c r="J314" s="712"/>
      <c r="K314" s="655" t="s">
        <v>8187</v>
      </c>
      <c r="L314" s="655" t="s">
        <v>7550</v>
      </c>
      <c r="M314" s="660">
        <v>117241.38</v>
      </c>
      <c r="N314" s="660">
        <v>0</v>
      </c>
      <c r="O314" s="660">
        <v>2758.62</v>
      </c>
      <c r="P314" s="660">
        <v>120000</v>
      </c>
      <c r="Q314" s="548"/>
      <c r="R314" s="660">
        <v>100000</v>
      </c>
      <c r="S314" s="549">
        <f t="shared" si="483"/>
        <v>20000</v>
      </c>
      <c r="T314" s="267" t="s">
        <v>263</v>
      </c>
      <c r="U314" s="370"/>
      <c r="V314" s="370"/>
      <c r="W314" s="375"/>
      <c r="X314" s="374"/>
      <c r="Y314" s="370"/>
      <c r="Z314" s="371"/>
      <c r="AA314" s="371"/>
      <c r="AB314" s="744"/>
      <c r="AC314" s="270"/>
      <c r="AD314" s="372"/>
      <c r="AE314" s="270"/>
      <c r="AF314" s="270"/>
      <c r="AG314" s="270"/>
      <c r="AH314" s="350"/>
      <c r="AI314" s="365"/>
      <c r="AJ314" s="330"/>
      <c r="AK314" s="330"/>
      <c r="AL314" s="330"/>
      <c r="AM314" s="330"/>
    </row>
    <row r="315" spans="1:39" s="348" customFormat="1" x14ac:dyDescent="0.2">
      <c r="A315" s="423">
        <f t="shared" si="426"/>
        <v>308</v>
      </c>
      <c r="B315" s="721" t="s">
        <v>8071</v>
      </c>
      <c r="C315" s="771">
        <v>16902</v>
      </c>
      <c r="D315" s="771" t="s">
        <v>721</v>
      </c>
      <c r="E315" s="771" t="s">
        <v>7374</v>
      </c>
      <c r="F315" s="546"/>
      <c r="G315" s="659">
        <v>43060</v>
      </c>
      <c r="H315" s="655" t="s">
        <v>7762</v>
      </c>
      <c r="I315" s="655" t="s">
        <v>7743</v>
      </c>
      <c r="J315" s="712"/>
      <c r="K315" s="655" t="s">
        <v>8188</v>
      </c>
      <c r="L315" s="655" t="s">
        <v>7551</v>
      </c>
      <c r="M315" s="660">
        <v>125000</v>
      </c>
      <c r="N315" s="660">
        <v>0</v>
      </c>
      <c r="O315" s="660">
        <v>20000</v>
      </c>
      <c r="P315" s="660">
        <v>145000</v>
      </c>
      <c r="Q315" s="548"/>
      <c r="R315" s="660">
        <v>103750</v>
      </c>
      <c r="S315" s="549">
        <f t="shared" si="483"/>
        <v>41250</v>
      </c>
      <c r="T315" s="113" t="s">
        <v>263</v>
      </c>
      <c r="U315" s="370"/>
      <c r="V315" s="370"/>
      <c r="W315" s="375"/>
      <c r="X315" s="374"/>
      <c r="Y315" s="370"/>
      <c r="Z315" s="371"/>
      <c r="AA315" s="371"/>
      <c r="AB315" s="744"/>
      <c r="AC315" s="270"/>
      <c r="AD315" s="372"/>
      <c r="AE315" s="270"/>
      <c r="AF315" s="270"/>
      <c r="AG315" s="270"/>
      <c r="AH315" s="350"/>
      <c r="AI315" s="365"/>
      <c r="AJ315" s="330"/>
      <c r="AK315" s="330"/>
      <c r="AL315" s="330"/>
      <c r="AM315" s="330"/>
    </row>
    <row r="316" spans="1:39" s="348" customFormat="1" x14ac:dyDescent="0.2">
      <c r="A316" s="423">
        <f t="shared" si="426"/>
        <v>309</v>
      </c>
      <c r="B316" s="721" t="s">
        <v>8072</v>
      </c>
      <c r="C316" s="771">
        <v>16902</v>
      </c>
      <c r="D316" s="771" t="s">
        <v>721</v>
      </c>
      <c r="E316" s="771" t="s">
        <v>7374</v>
      </c>
      <c r="F316" s="546"/>
      <c r="G316" s="659">
        <v>43061</v>
      </c>
      <c r="H316" s="655" t="s">
        <v>7762</v>
      </c>
      <c r="I316" s="655" t="s">
        <v>7743</v>
      </c>
      <c r="J316" s="712"/>
      <c r="K316" s="655" t="s">
        <v>8188</v>
      </c>
      <c r="L316" s="655" t="s">
        <v>7551</v>
      </c>
      <c r="M316" s="660">
        <v>-125000</v>
      </c>
      <c r="N316" s="660">
        <v>0</v>
      </c>
      <c r="O316" s="660">
        <v>-20000</v>
      </c>
      <c r="P316" s="660">
        <v>-145000</v>
      </c>
      <c r="Q316" s="548"/>
      <c r="R316" s="660">
        <v>-103750</v>
      </c>
      <c r="S316" s="549">
        <f t="shared" si="483"/>
        <v>-41250</v>
      </c>
      <c r="T316" s="113" t="s">
        <v>263</v>
      </c>
      <c r="U316" s="370"/>
      <c r="V316" s="370"/>
      <c r="W316" s="375"/>
      <c r="X316" s="374"/>
      <c r="Y316" s="370"/>
      <c r="Z316" s="371"/>
      <c r="AA316" s="371"/>
      <c r="AB316" s="744"/>
      <c r="AC316" s="270"/>
      <c r="AD316" s="372"/>
      <c r="AE316" s="270"/>
      <c r="AF316" s="270"/>
      <c r="AG316" s="270"/>
      <c r="AH316" s="350"/>
      <c r="AI316" s="365"/>
      <c r="AJ316" s="330"/>
      <c r="AK316" s="330"/>
      <c r="AL316" s="330"/>
      <c r="AM316" s="330"/>
    </row>
    <row r="317" spans="1:39" s="348" customFormat="1" x14ac:dyDescent="0.2">
      <c r="A317" s="423">
        <f t="shared" si="426"/>
        <v>310</v>
      </c>
      <c r="B317" s="721" t="s">
        <v>8073</v>
      </c>
      <c r="C317" s="771">
        <v>16902</v>
      </c>
      <c r="D317" s="771" t="s">
        <v>721</v>
      </c>
      <c r="E317" s="771" t="s">
        <v>7374</v>
      </c>
      <c r="F317" s="546"/>
      <c r="G317" s="659">
        <v>43061</v>
      </c>
      <c r="H317" s="655" t="s">
        <v>7762</v>
      </c>
      <c r="I317" s="655" t="s">
        <v>7743</v>
      </c>
      <c r="J317" s="712"/>
      <c r="K317" s="655" t="s">
        <v>8188</v>
      </c>
      <c r="L317" s="655" t="s">
        <v>7551</v>
      </c>
      <c r="M317" s="660">
        <v>125000</v>
      </c>
      <c r="N317" s="660">
        <v>0</v>
      </c>
      <c r="O317" s="660">
        <v>20000</v>
      </c>
      <c r="P317" s="660">
        <v>145000</v>
      </c>
      <c r="Q317" s="548"/>
      <c r="R317" s="660">
        <v>103750</v>
      </c>
      <c r="S317" s="549">
        <f t="shared" si="483"/>
        <v>41250</v>
      </c>
      <c r="T317" s="113" t="s">
        <v>263</v>
      </c>
      <c r="U317" s="370"/>
      <c r="V317" s="370"/>
      <c r="W317" s="375"/>
      <c r="X317" s="374"/>
      <c r="Y317" s="370"/>
      <c r="Z317" s="371"/>
      <c r="AA317" s="371"/>
      <c r="AB317" s="744"/>
      <c r="AC317" s="270"/>
      <c r="AD317" s="372"/>
      <c r="AE317" s="270"/>
      <c r="AF317" s="270"/>
      <c r="AG317" s="270"/>
      <c r="AH317" s="350"/>
      <c r="AI317" s="365"/>
      <c r="AJ317" s="330"/>
      <c r="AK317" s="330"/>
      <c r="AL317" s="330"/>
      <c r="AM317" s="330"/>
    </row>
    <row r="318" spans="1:39" s="348" customFormat="1" x14ac:dyDescent="0.2">
      <c r="A318" s="423">
        <f t="shared" si="426"/>
        <v>311</v>
      </c>
      <c r="B318" s="721" t="s">
        <v>8074</v>
      </c>
      <c r="C318" s="771">
        <v>570310</v>
      </c>
      <c r="D318" s="771" t="s">
        <v>721</v>
      </c>
      <c r="E318" s="771" t="s">
        <v>7374</v>
      </c>
      <c r="F318" s="546"/>
      <c r="G318" s="659">
        <v>43061</v>
      </c>
      <c r="H318" s="655" t="s">
        <v>7762</v>
      </c>
      <c r="I318" s="655" t="s">
        <v>7744</v>
      </c>
      <c r="J318" s="712"/>
      <c r="K318" s="655" t="s">
        <v>8189</v>
      </c>
      <c r="L318" s="655" t="s">
        <v>7552</v>
      </c>
      <c r="M318" s="660">
        <v>176724.14</v>
      </c>
      <c r="N318" s="660">
        <v>0</v>
      </c>
      <c r="O318" s="660">
        <v>28275.86</v>
      </c>
      <c r="P318" s="660">
        <v>205000</v>
      </c>
      <c r="Q318" s="548"/>
      <c r="R318" s="660">
        <v>155172.41</v>
      </c>
      <c r="S318" s="549">
        <f t="shared" si="483"/>
        <v>49827.59</v>
      </c>
      <c r="T318" s="113" t="s">
        <v>263</v>
      </c>
      <c r="U318" s="370"/>
      <c r="V318" s="370"/>
      <c r="W318" s="375"/>
      <c r="X318" s="374"/>
      <c r="Y318" s="370"/>
      <c r="Z318" s="371"/>
      <c r="AA318" s="371"/>
      <c r="AB318" s="744"/>
      <c r="AC318" s="270"/>
      <c r="AD318" s="372"/>
      <c r="AE318" s="270"/>
      <c r="AF318" s="270"/>
      <c r="AG318" s="270"/>
      <c r="AH318" s="350"/>
      <c r="AI318" s="365"/>
      <c r="AJ318" s="330"/>
      <c r="AK318" s="330"/>
      <c r="AL318" s="330"/>
      <c r="AM318" s="330"/>
    </row>
    <row r="319" spans="1:39" s="348" customFormat="1" x14ac:dyDescent="0.2">
      <c r="A319" s="423">
        <f t="shared" si="426"/>
        <v>312</v>
      </c>
      <c r="B319" s="721" t="s">
        <v>8075</v>
      </c>
      <c r="C319" s="771">
        <v>750204</v>
      </c>
      <c r="D319" s="771" t="s">
        <v>721</v>
      </c>
      <c r="E319" s="771" t="s">
        <v>7374</v>
      </c>
      <c r="F319" s="546"/>
      <c r="G319" s="659">
        <v>43063</v>
      </c>
      <c r="H319" s="655" t="s">
        <v>912</v>
      </c>
      <c r="I319" s="655" t="s">
        <v>7745</v>
      </c>
      <c r="J319" s="712"/>
      <c r="K319" s="655" t="s">
        <v>8190</v>
      </c>
      <c r="L319" s="655" t="s">
        <v>7553</v>
      </c>
      <c r="M319" s="660">
        <v>394482.76</v>
      </c>
      <c r="N319" s="660">
        <v>0</v>
      </c>
      <c r="O319" s="660">
        <v>5517.24</v>
      </c>
      <c r="P319" s="660">
        <v>400000</v>
      </c>
      <c r="Q319" s="548"/>
      <c r="R319" s="660">
        <v>360000</v>
      </c>
      <c r="S319" s="549">
        <f t="shared" si="483"/>
        <v>40000</v>
      </c>
      <c r="T319" s="113" t="s">
        <v>263</v>
      </c>
      <c r="U319" s="370"/>
      <c r="V319" s="370"/>
      <c r="W319" s="375"/>
      <c r="X319" s="374"/>
      <c r="Y319" s="370"/>
      <c r="Z319" s="371"/>
      <c r="AA319" s="371"/>
      <c r="AB319" s="744"/>
      <c r="AC319" s="270"/>
      <c r="AD319" s="372"/>
      <c r="AE319" s="270"/>
      <c r="AF319" s="270"/>
      <c r="AG319" s="270"/>
      <c r="AH319" s="350"/>
      <c r="AI319" s="365"/>
      <c r="AJ319" s="330"/>
      <c r="AK319" s="330"/>
      <c r="AL319" s="330"/>
      <c r="AM319" s="330"/>
    </row>
    <row r="320" spans="1:39" s="348" customFormat="1" x14ac:dyDescent="0.2">
      <c r="A320" s="423">
        <f t="shared" si="426"/>
        <v>313</v>
      </c>
      <c r="B320" s="721" t="s">
        <v>8076</v>
      </c>
      <c r="C320" s="771">
        <v>51360</v>
      </c>
      <c r="D320" s="771" t="s">
        <v>721</v>
      </c>
      <c r="E320" s="771" t="s">
        <v>7374</v>
      </c>
      <c r="F320" s="546"/>
      <c r="G320" s="659">
        <v>43063</v>
      </c>
      <c r="H320" s="655" t="s">
        <v>912</v>
      </c>
      <c r="I320" s="655" t="s">
        <v>7746</v>
      </c>
      <c r="J320" s="712"/>
      <c r="K320" s="655" t="s">
        <v>4638</v>
      </c>
      <c r="L320" s="655" t="s">
        <v>7554</v>
      </c>
      <c r="M320" s="660">
        <v>194137.93</v>
      </c>
      <c r="N320" s="660">
        <v>0</v>
      </c>
      <c r="O320" s="660">
        <v>3862.07</v>
      </c>
      <c r="P320" s="660">
        <v>198000</v>
      </c>
      <c r="Q320" s="548"/>
      <c r="R320" s="660">
        <v>170000</v>
      </c>
      <c r="S320" s="549">
        <f t="shared" si="483"/>
        <v>28000</v>
      </c>
      <c r="T320" s="267" t="s">
        <v>263</v>
      </c>
      <c r="U320" s="370"/>
      <c r="V320" s="370"/>
      <c r="W320" s="375"/>
      <c r="X320" s="374"/>
      <c r="Y320" s="370"/>
      <c r="Z320" s="371"/>
      <c r="AA320" s="371"/>
      <c r="AB320" s="744"/>
      <c r="AC320" s="270"/>
      <c r="AD320" s="372"/>
      <c r="AE320" s="270"/>
      <c r="AF320" s="270"/>
      <c r="AG320" s="270"/>
      <c r="AH320" s="350"/>
      <c r="AI320" s="365"/>
      <c r="AJ320" s="330"/>
      <c r="AK320" s="330"/>
      <c r="AL320" s="330"/>
      <c r="AM320" s="330"/>
    </row>
    <row r="321" spans="1:39" s="348" customFormat="1" x14ac:dyDescent="0.2">
      <c r="A321" s="423">
        <f t="shared" si="426"/>
        <v>314</v>
      </c>
      <c r="B321" s="721" t="s">
        <v>8077</v>
      </c>
      <c r="C321" s="771">
        <v>39701</v>
      </c>
      <c r="D321" s="771" t="s">
        <v>721</v>
      </c>
      <c r="E321" s="771" t="s">
        <v>7374</v>
      </c>
      <c r="F321" s="546"/>
      <c r="G321" s="659">
        <v>43064</v>
      </c>
      <c r="H321" s="655" t="s">
        <v>7763</v>
      </c>
      <c r="I321" s="655" t="s">
        <v>7747</v>
      </c>
      <c r="J321" s="712"/>
      <c r="K321" s="655" t="s">
        <v>8191</v>
      </c>
      <c r="L321" s="655" t="s">
        <v>7555</v>
      </c>
      <c r="M321" s="660">
        <v>215517.24</v>
      </c>
      <c r="N321" s="660">
        <v>0</v>
      </c>
      <c r="O321" s="660">
        <v>34482.76</v>
      </c>
      <c r="P321" s="660">
        <v>250000</v>
      </c>
      <c r="Q321" s="548"/>
      <c r="R321" s="660">
        <v>189655.17</v>
      </c>
      <c r="S321" s="549">
        <f t="shared" si="483"/>
        <v>60344.829999999987</v>
      </c>
      <c r="T321" s="444" t="s">
        <v>263</v>
      </c>
      <c r="U321" s="370"/>
      <c r="V321" s="370"/>
      <c r="W321" s="375"/>
      <c r="X321" s="374"/>
      <c r="Y321" s="370"/>
      <c r="Z321" s="371"/>
      <c r="AA321" s="371"/>
      <c r="AB321" s="744"/>
      <c r="AC321" s="270"/>
      <c r="AD321" s="372"/>
      <c r="AE321" s="270"/>
      <c r="AF321" s="270"/>
      <c r="AG321" s="270"/>
      <c r="AH321" s="350"/>
      <c r="AI321" s="365"/>
      <c r="AJ321" s="330"/>
      <c r="AK321" s="330"/>
      <c r="AL321" s="330"/>
      <c r="AM321" s="330"/>
    </row>
    <row r="322" spans="1:39" s="348" customFormat="1" x14ac:dyDescent="0.2">
      <c r="A322" s="423">
        <f t="shared" si="426"/>
        <v>315</v>
      </c>
      <c r="B322" s="721" t="s">
        <v>8078</v>
      </c>
      <c r="C322" s="771">
        <v>44604</v>
      </c>
      <c r="D322" s="771" t="s">
        <v>721</v>
      </c>
      <c r="E322" s="771" t="s">
        <v>7374</v>
      </c>
      <c r="F322" s="546"/>
      <c r="G322" s="659">
        <v>43064</v>
      </c>
      <c r="H322" s="655" t="s">
        <v>1207</v>
      </c>
      <c r="I322" s="655" t="s">
        <v>7748</v>
      </c>
      <c r="J322" s="712"/>
      <c r="K322" s="655" t="s">
        <v>8192</v>
      </c>
      <c r="L322" s="655" t="s">
        <v>7556</v>
      </c>
      <c r="M322" s="660">
        <v>95344.83</v>
      </c>
      <c r="N322" s="660">
        <v>0</v>
      </c>
      <c r="O322" s="660">
        <v>1655.17</v>
      </c>
      <c r="P322" s="660">
        <v>97000</v>
      </c>
      <c r="Q322" s="548"/>
      <c r="R322" s="660">
        <v>85000</v>
      </c>
      <c r="S322" s="549">
        <f t="shared" si="483"/>
        <v>12000</v>
      </c>
      <c r="T322" s="113" t="s">
        <v>263</v>
      </c>
      <c r="U322" s="370"/>
      <c r="V322" s="370"/>
      <c r="W322" s="375"/>
      <c r="X322" s="374"/>
      <c r="Y322" s="370"/>
      <c r="Z322" s="371"/>
      <c r="AA322" s="371"/>
      <c r="AB322" s="744"/>
      <c r="AC322" s="270"/>
      <c r="AD322" s="372"/>
      <c r="AE322" s="270"/>
      <c r="AF322" s="270"/>
      <c r="AG322" s="270"/>
      <c r="AH322" s="350"/>
      <c r="AI322" s="365"/>
      <c r="AJ322" s="330"/>
      <c r="AK322" s="330"/>
      <c r="AL322" s="330"/>
      <c r="AM322" s="330"/>
    </row>
    <row r="323" spans="1:39" s="348" customFormat="1" x14ac:dyDescent="0.2">
      <c r="A323" s="423">
        <f t="shared" si="426"/>
        <v>316</v>
      </c>
      <c r="B323" s="721" t="s">
        <v>8079</v>
      </c>
      <c r="C323" s="771">
        <v>54102</v>
      </c>
      <c r="D323" s="771" t="s">
        <v>721</v>
      </c>
      <c r="E323" s="771" t="s">
        <v>7374</v>
      </c>
      <c r="F323" s="546"/>
      <c r="G323" s="659">
        <v>43067</v>
      </c>
      <c r="H323" s="655" t="s">
        <v>912</v>
      </c>
      <c r="I323" s="655" t="s">
        <v>7749</v>
      </c>
      <c r="J323" s="712"/>
      <c r="K323" s="655" t="s">
        <v>1767</v>
      </c>
      <c r="L323" s="655" t="s">
        <v>7557</v>
      </c>
      <c r="M323" s="660">
        <v>167793.1</v>
      </c>
      <c r="N323" s="660">
        <v>0</v>
      </c>
      <c r="O323" s="660">
        <v>2206.9</v>
      </c>
      <c r="P323" s="660">
        <v>170000</v>
      </c>
      <c r="Q323" s="548"/>
      <c r="R323" s="660">
        <v>154000</v>
      </c>
      <c r="S323" s="549">
        <f t="shared" si="483"/>
        <v>16000</v>
      </c>
      <c r="T323" s="113" t="s">
        <v>263</v>
      </c>
      <c r="U323" s="370"/>
      <c r="V323" s="370"/>
      <c r="W323" s="375"/>
      <c r="X323" s="374"/>
      <c r="Y323" s="370"/>
      <c r="Z323" s="371"/>
      <c r="AA323" s="371"/>
      <c r="AB323" s="744"/>
      <c r="AC323" s="270"/>
      <c r="AD323" s="372"/>
      <c r="AE323" s="270"/>
      <c r="AF323" s="270"/>
      <c r="AG323" s="270"/>
      <c r="AH323" s="350"/>
      <c r="AI323" s="365"/>
      <c r="AJ323" s="330"/>
      <c r="AK323" s="330"/>
      <c r="AL323" s="330"/>
      <c r="AM323" s="330"/>
    </row>
    <row r="324" spans="1:39" s="348" customFormat="1" x14ac:dyDescent="0.2">
      <c r="A324" s="423">
        <f t="shared" si="426"/>
        <v>317</v>
      </c>
      <c r="B324" s="721" t="s">
        <v>8080</v>
      </c>
      <c r="C324" s="771">
        <v>250610</v>
      </c>
      <c r="D324" s="771" t="s">
        <v>721</v>
      </c>
      <c r="E324" s="771" t="s">
        <v>7374</v>
      </c>
      <c r="F324" s="546"/>
      <c r="G324" s="659">
        <v>43067</v>
      </c>
      <c r="H324" s="655" t="s">
        <v>7763</v>
      </c>
      <c r="I324" s="655" t="s">
        <v>7750</v>
      </c>
      <c r="J324" s="712"/>
      <c r="K324" s="655" t="s">
        <v>8193</v>
      </c>
      <c r="L324" s="655" t="s">
        <v>7558</v>
      </c>
      <c r="M324" s="660">
        <v>227241.38</v>
      </c>
      <c r="N324" s="660">
        <v>0</v>
      </c>
      <c r="O324" s="660">
        <v>2758.62</v>
      </c>
      <c r="P324" s="660">
        <v>230000</v>
      </c>
      <c r="Q324" s="548"/>
      <c r="R324" s="660">
        <v>210000</v>
      </c>
      <c r="S324" s="549">
        <f t="shared" si="483"/>
        <v>20000</v>
      </c>
      <c r="T324" s="113" t="s">
        <v>263</v>
      </c>
      <c r="U324" s="370"/>
      <c r="V324" s="370"/>
      <c r="W324" s="375"/>
      <c r="X324" s="374"/>
      <c r="Y324" s="370"/>
      <c r="Z324" s="371"/>
      <c r="AA324" s="371"/>
      <c r="AB324" s="744"/>
      <c r="AC324" s="270"/>
      <c r="AD324" s="372"/>
      <c r="AE324" s="270"/>
      <c r="AF324" s="270"/>
      <c r="AG324" s="270"/>
      <c r="AH324" s="350"/>
      <c r="AI324" s="365"/>
      <c r="AJ324" s="330"/>
      <c r="AK324" s="330"/>
      <c r="AL324" s="330"/>
      <c r="AM324" s="330"/>
    </row>
    <row r="325" spans="1:39" s="348" customFormat="1" x14ac:dyDescent="0.2">
      <c r="A325" s="423">
        <f t="shared" si="426"/>
        <v>318</v>
      </c>
      <c r="B325" s="721" t="s">
        <v>8081</v>
      </c>
      <c r="C325" s="771">
        <v>37705</v>
      </c>
      <c r="D325" s="771" t="s">
        <v>721</v>
      </c>
      <c r="E325" s="771" t="s">
        <v>7374</v>
      </c>
      <c r="F325" s="546"/>
      <c r="G325" s="659">
        <v>43068</v>
      </c>
      <c r="H325" s="655" t="s">
        <v>751</v>
      </c>
      <c r="I325" s="655" t="s">
        <v>4897</v>
      </c>
      <c r="J325" s="712"/>
      <c r="K325" s="655" t="s">
        <v>4716</v>
      </c>
      <c r="L325" s="655" t="s">
        <v>5336</v>
      </c>
      <c r="M325" s="660">
        <v>-175000</v>
      </c>
      <c r="N325" s="660">
        <v>0</v>
      </c>
      <c r="O325" s="660">
        <v>0</v>
      </c>
      <c r="P325" s="660">
        <v>-175000</v>
      </c>
      <c r="Q325" s="548"/>
      <c r="R325" s="660">
        <v>-175000</v>
      </c>
      <c r="S325" s="549">
        <f t="shared" si="483"/>
        <v>0</v>
      </c>
      <c r="T325" s="113" t="s">
        <v>263</v>
      </c>
      <c r="U325" s="370"/>
      <c r="V325" s="370"/>
      <c r="W325" s="375"/>
      <c r="X325" s="374"/>
      <c r="Y325" s="370"/>
      <c r="Z325" s="371"/>
      <c r="AA325" s="371"/>
      <c r="AB325" s="744"/>
      <c r="AC325" s="270"/>
      <c r="AD325" s="372"/>
      <c r="AE325" s="270"/>
      <c r="AF325" s="270"/>
      <c r="AG325" s="270"/>
      <c r="AH325" s="350"/>
      <c r="AI325" s="365"/>
      <c r="AJ325" s="330"/>
      <c r="AK325" s="330"/>
      <c r="AL325" s="330"/>
      <c r="AM325" s="330"/>
    </row>
    <row r="326" spans="1:39" s="348" customFormat="1" x14ac:dyDescent="0.2">
      <c r="A326" s="423">
        <f t="shared" si="426"/>
        <v>319</v>
      </c>
      <c r="B326" s="721" t="s">
        <v>8082</v>
      </c>
      <c r="C326" s="771">
        <v>1520302</v>
      </c>
      <c r="D326" s="771" t="s">
        <v>686</v>
      </c>
      <c r="E326" s="771" t="s">
        <v>718</v>
      </c>
      <c r="F326" s="546"/>
      <c r="G326" s="659">
        <v>43045</v>
      </c>
      <c r="H326" s="655" t="s">
        <v>1211</v>
      </c>
      <c r="I326" s="655" t="s">
        <v>7751</v>
      </c>
      <c r="J326" s="712"/>
      <c r="K326" s="655" t="s">
        <v>8194</v>
      </c>
      <c r="L326" s="655" t="s">
        <v>7559</v>
      </c>
      <c r="M326" s="660">
        <v>-366551.72</v>
      </c>
      <c r="N326" s="660">
        <v>0</v>
      </c>
      <c r="O326" s="660">
        <v>-3448.28</v>
      </c>
      <c r="P326" s="660">
        <v>-370000</v>
      </c>
      <c r="Q326" s="548"/>
      <c r="R326" s="660">
        <v>-345000</v>
      </c>
      <c r="S326" s="549">
        <f t="shared" si="483"/>
        <v>-25000</v>
      </c>
      <c r="T326" s="113" t="s">
        <v>263</v>
      </c>
      <c r="U326" s="370"/>
      <c r="V326" s="370"/>
      <c r="W326" s="375"/>
      <c r="X326" s="374"/>
      <c r="Y326" s="370"/>
      <c r="Z326" s="371"/>
      <c r="AA326" s="371"/>
      <c r="AB326" s="744"/>
      <c r="AC326" s="270"/>
      <c r="AD326" s="372"/>
      <c r="AE326" s="270"/>
      <c r="AF326" s="270"/>
      <c r="AG326" s="270"/>
      <c r="AH326" s="350"/>
      <c r="AI326" s="365"/>
      <c r="AJ326" s="330"/>
      <c r="AK326" s="330"/>
      <c r="AL326" s="330"/>
      <c r="AM326" s="330"/>
    </row>
    <row r="327" spans="1:39" s="348" customFormat="1" x14ac:dyDescent="0.2">
      <c r="A327" s="423">
        <f t="shared" si="426"/>
        <v>320</v>
      </c>
      <c r="B327" s="721" t="s">
        <v>8083</v>
      </c>
      <c r="C327" s="771">
        <v>1520302</v>
      </c>
      <c r="D327" s="771" t="s">
        <v>686</v>
      </c>
      <c r="E327" s="771" t="s">
        <v>718</v>
      </c>
      <c r="F327" s="546"/>
      <c r="G327" s="659">
        <v>43045</v>
      </c>
      <c r="H327" s="655" t="s">
        <v>1211</v>
      </c>
      <c r="I327" s="655" t="s">
        <v>7751</v>
      </c>
      <c r="J327" s="712"/>
      <c r="K327" s="655" t="s">
        <v>8194</v>
      </c>
      <c r="L327" s="655" t="s">
        <v>7559</v>
      </c>
      <c r="M327" s="660">
        <v>366551.72</v>
      </c>
      <c r="N327" s="660">
        <v>0</v>
      </c>
      <c r="O327" s="660">
        <v>3448.28</v>
      </c>
      <c r="P327" s="660">
        <v>370000</v>
      </c>
      <c r="Q327" s="548"/>
      <c r="R327" s="660">
        <v>345000</v>
      </c>
      <c r="S327" s="549">
        <f t="shared" si="483"/>
        <v>25000</v>
      </c>
      <c r="T327" s="113" t="s">
        <v>263</v>
      </c>
      <c r="U327" s="370"/>
      <c r="V327" s="370"/>
      <c r="W327" s="375"/>
      <c r="X327" s="374"/>
      <c r="Y327" s="370"/>
      <c r="Z327" s="371"/>
      <c r="AA327" s="371"/>
      <c r="AB327" s="744"/>
      <c r="AC327" s="270"/>
      <c r="AD327" s="372"/>
      <c r="AE327" s="270"/>
      <c r="AF327" s="270"/>
      <c r="AG327" s="270"/>
      <c r="AH327" s="350"/>
      <c r="AI327" s="365"/>
      <c r="AJ327" s="330"/>
      <c r="AK327" s="330"/>
      <c r="AL327" s="330"/>
      <c r="AM327" s="330"/>
    </row>
    <row r="328" spans="1:39" s="348" customFormat="1" x14ac:dyDescent="0.2">
      <c r="A328" s="423">
        <f t="shared" si="426"/>
        <v>321</v>
      </c>
      <c r="B328" s="721" t="s">
        <v>8084</v>
      </c>
      <c r="C328" s="771">
        <v>1520302</v>
      </c>
      <c r="D328" s="771" t="s">
        <v>686</v>
      </c>
      <c r="E328" s="771" t="s">
        <v>718</v>
      </c>
      <c r="F328" s="546"/>
      <c r="G328" s="659">
        <v>43045</v>
      </c>
      <c r="H328" s="655" t="s">
        <v>1211</v>
      </c>
      <c r="I328" s="655" t="s">
        <v>7751</v>
      </c>
      <c r="J328" s="712"/>
      <c r="K328" s="655" t="s">
        <v>8194</v>
      </c>
      <c r="L328" s="655" t="s">
        <v>7559</v>
      </c>
      <c r="M328" s="660">
        <v>366551.72</v>
      </c>
      <c r="N328" s="660">
        <v>0</v>
      </c>
      <c r="O328" s="660">
        <v>3448.28</v>
      </c>
      <c r="P328" s="660">
        <v>370000</v>
      </c>
      <c r="Q328" s="548"/>
      <c r="R328" s="660">
        <v>345000</v>
      </c>
      <c r="S328" s="549">
        <f t="shared" si="483"/>
        <v>25000</v>
      </c>
      <c r="T328" s="113" t="s">
        <v>263</v>
      </c>
      <c r="U328" s="370"/>
      <c r="V328" s="370"/>
      <c r="W328" s="375"/>
      <c r="X328" s="374"/>
      <c r="Y328" s="370"/>
      <c r="Z328" s="371"/>
      <c r="AA328" s="371"/>
      <c r="AB328" s="744"/>
      <c r="AC328" s="270"/>
      <c r="AD328" s="372"/>
      <c r="AE328" s="270"/>
      <c r="AF328" s="270"/>
      <c r="AG328" s="270"/>
      <c r="AH328" s="350"/>
      <c r="AI328" s="365"/>
      <c r="AJ328" s="330"/>
      <c r="AK328" s="330"/>
      <c r="AL328" s="330"/>
      <c r="AM328" s="330"/>
    </row>
    <row r="329" spans="1:39" s="348" customFormat="1" x14ac:dyDescent="0.2">
      <c r="A329" s="423">
        <f t="shared" si="426"/>
        <v>322</v>
      </c>
      <c r="B329" s="721" t="s">
        <v>8085</v>
      </c>
      <c r="C329" s="771">
        <v>520905</v>
      </c>
      <c r="D329" s="771" t="s">
        <v>686</v>
      </c>
      <c r="E329" s="771" t="s">
        <v>718</v>
      </c>
      <c r="F329" s="546"/>
      <c r="G329" s="659">
        <v>43046</v>
      </c>
      <c r="H329" s="655" t="s">
        <v>4285</v>
      </c>
      <c r="I329" s="655" t="s">
        <v>7752</v>
      </c>
      <c r="J329" s="712"/>
      <c r="K329" s="655" t="s">
        <v>8195</v>
      </c>
      <c r="L329" s="655" t="s">
        <v>7560</v>
      </c>
      <c r="M329" s="660">
        <v>154310.34</v>
      </c>
      <c r="N329" s="660">
        <v>0</v>
      </c>
      <c r="O329" s="660">
        <v>4689.66</v>
      </c>
      <c r="P329" s="660">
        <v>159000</v>
      </c>
      <c r="Q329" s="548"/>
      <c r="R329" s="660">
        <v>125000</v>
      </c>
      <c r="S329" s="549">
        <f t="shared" si="483"/>
        <v>34000</v>
      </c>
      <c r="T329" s="113" t="s">
        <v>263</v>
      </c>
      <c r="U329" s="370"/>
      <c r="V329" s="370"/>
      <c r="W329" s="375"/>
      <c r="X329" s="374"/>
      <c r="Y329" s="370"/>
      <c r="Z329" s="371"/>
      <c r="AA329" s="371"/>
      <c r="AB329" s="744"/>
      <c r="AC329" s="270"/>
      <c r="AD329" s="372"/>
      <c r="AE329" s="270"/>
      <c r="AF329" s="270"/>
      <c r="AG329" s="270"/>
      <c r="AH329" s="350"/>
      <c r="AI329" s="365"/>
      <c r="AJ329" s="330"/>
      <c r="AK329" s="330"/>
      <c r="AL329" s="330"/>
      <c r="AM329" s="330"/>
    </row>
    <row r="330" spans="1:39" s="348" customFormat="1" x14ac:dyDescent="0.2">
      <c r="A330" s="423">
        <f t="shared" si="426"/>
        <v>323</v>
      </c>
      <c r="B330" s="721" t="s">
        <v>8086</v>
      </c>
      <c r="C330" s="771">
        <v>520905</v>
      </c>
      <c r="D330" s="771" t="s">
        <v>686</v>
      </c>
      <c r="E330" s="771" t="s">
        <v>718</v>
      </c>
      <c r="F330" s="546"/>
      <c r="G330" s="659">
        <v>43047</v>
      </c>
      <c r="H330" s="655" t="s">
        <v>4285</v>
      </c>
      <c r="I330" s="655" t="s">
        <v>7752</v>
      </c>
      <c r="J330" s="712"/>
      <c r="K330" s="655" t="s">
        <v>8195</v>
      </c>
      <c r="L330" s="655" t="s">
        <v>7560</v>
      </c>
      <c r="M330" s="660">
        <v>-154310.34</v>
      </c>
      <c r="N330" s="660">
        <v>0</v>
      </c>
      <c r="O330" s="660">
        <v>-4689.66</v>
      </c>
      <c r="P330" s="660">
        <v>-159000</v>
      </c>
      <c r="Q330" s="548"/>
      <c r="R330" s="660">
        <v>-125000</v>
      </c>
      <c r="S330" s="549">
        <f t="shared" si="483"/>
        <v>-34000</v>
      </c>
      <c r="T330" s="113" t="s">
        <v>263</v>
      </c>
      <c r="U330" s="370"/>
      <c r="V330" s="370"/>
      <c r="W330" s="375"/>
      <c r="X330" s="374"/>
      <c r="Y330" s="370"/>
      <c r="Z330" s="371"/>
      <c r="AA330" s="371"/>
      <c r="AB330" s="744"/>
      <c r="AC330" s="270"/>
      <c r="AD330" s="372"/>
      <c r="AE330" s="270"/>
      <c r="AF330" s="270"/>
      <c r="AG330" s="270"/>
      <c r="AH330" s="350"/>
      <c r="AI330" s="365"/>
      <c r="AJ330" s="330"/>
      <c r="AK330" s="330"/>
      <c r="AL330" s="330"/>
      <c r="AM330" s="330"/>
    </row>
    <row r="331" spans="1:39" s="348" customFormat="1" x14ac:dyDescent="0.2">
      <c r="A331" s="423">
        <f t="shared" si="426"/>
        <v>324</v>
      </c>
      <c r="B331" s="721" t="s">
        <v>8087</v>
      </c>
      <c r="C331" s="771">
        <v>520905</v>
      </c>
      <c r="D331" s="771" t="s">
        <v>686</v>
      </c>
      <c r="E331" s="771" t="s">
        <v>718</v>
      </c>
      <c r="F331" s="546"/>
      <c r="G331" s="659">
        <v>43047</v>
      </c>
      <c r="H331" s="655" t="s">
        <v>4285</v>
      </c>
      <c r="I331" s="655" t="s">
        <v>7752</v>
      </c>
      <c r="J331" s="712"/>
      <c r="K331" s="655" t="s">
        <v>8195</v>
      </c>
      <c r="L331" s="655" t="s">
        <v>7560</v>
      </c>
      <c r="M331" s="660">
        <v>154310.34</v>
      </c>
      <c r="N331" s="660">
        <v>0</v>
      </c>
      <c r="O331" s="660">
        <v>4689.66</v>
      </c>
      <c r="P331" s="660">
        <v>159000</v>
      </c>
      <c r="Q331" s="548"/>
      <c r="R331" s="660">
        <v>125000</v>
      </c>
      <c r="S331" s="549">
        <f t="shared" si="483"/>
        <v>34000</v>
      </c>
      <c r="T331" s="113" t="s">
        <v>263</v>
      </c>
      <c r="U331" s="370"/>
      <c r="V331" s="370"/>
      <c r="W331" s="375"/>
      <c r="X331" s="374"/>
      <c r="Y331" s="370"/>
      <c r="Z331" s="371"/>
      <c r="AA331" s="371"/>
      <c r="AB331" s="744"/>
      <c r="AC331" s="270"/>
      <c r="AD331" s="372"/>
      <c r="AE331" s="270"/>
      <c r="AF331" s="270"/>
      <c r="AG331" s="270"/>
      <c r="AH331" s="350"/>
      <c r="AI331" s="365"/>
      <c r="AJ331" s="330"/>
      <c r="AK331" s="330"/>
      <c r="AL331" s="330"/>
      <c r="AM331" s="330"/>
    </row>
    <row r="332" spans="1:39" s="348" customFormat="1" x14ac:dyDescent="0.2">
      <c r="A332" s="423">
        <f t="shared" si="426"/>
        <v>325</v>
      </c>
      <c r="B332" s="721" t="s">
        <v>8088</v>
      </c>
      <c r="C332" s="771">
        <v>1520302</v>
      </c>
      <c r="D332" s="771" t="s">
        <v>686</v>
      </c>
      <c r="E332" s="771" t="s">
        <v>718</v>
      </c>
      <c r="F332" s="546"/>
      <c r="G332" s="659">
        <v>43049</v>
      </c>
      <c r="H332" s="655" t="s">
        <v>2954</v>
      </c>
      <c r="I332" s="655" t="s">
        <v>7753</v>
      </c>
      <c r="J332" s="712"/>
      <c r="K332" s="655" t="s">
        <v>8196</v>
      </c>
      <c r="L332" s="655" t="s">
        <v>7561</v>
      </c>
      <c r="M332" s="660">
        <v>353448.28</v>
      </c>
      <c r="N332" s="660">
        <v>0</v>
      </c>
      <c r="O332" s="660">
        <v>56551.72</v>
      </c>
      <c r="P332" s="660">
        <v>410000</v>
      </c>
      <c r="Q332" s="548"/>
      <c r="R332" s="660">
        <v>306034.48</v>
      </c>
      <c r="S332" s="549">
        <f t="shared" si="483"/>
        <v>103965.52000000002</v>
      </c>
      <c r="T332" s="113" t="s">
        <v>263</v>
      </c>
      <c r="U332" s="370"/>
      <c r="V332" s="370"/>
      <c r="W332" s="375"/>
      <c r="X332" s="374"/>
      <c r="Y332" s="370"/>
      <c r="Z332" s="371"/>
      <c r="AA332" s="371"/>
      <c r="AB332" s="744"/>
      <c r="AC332" s="270"/>
      <c r="AD332" s="372"/>
      <c r="AE332" s="270"/>
      <c r="AF332" s="270"/>
      <c r="AG332" s="270"/>
      <c r="AH332" s="350"/>
      <c r="AI332" s="365"/>
      <c r="AJ332" s="330"/>
      <c r="AK332" s="330"/>
      <c r="AL332" s="330"/>
      <c r="AM332" s="330"/>
    </row>
    <row r="333" spans="1:39" s="348" customFormat="1" x14ac:dyDescent="0.2">
      <c r="A333" s="423">
        <f t="shared" si="426"/>
        <v>326</v>
      </c>
      <c r="B333" s="721" t="s">
        <v>8089</v>
      </c>
      <c r="C333" s="771">
        <v>521908</v>
      </c>
      <c r="D333" s="771" t="s">
        <v>686</v>
      </c>
      <c r="E333" s="771" t="s">
        <v>718</v>
      </c>
      <c r="F333" s="546"/>
      <c r="G333" s="659">
        <v>43053</v>
      </c>
      <c r="H333" s="655" t="s">
        <v>2954</v>
      </c>
      <c r="I333" s="655" t="s">
        <v>7754</v>
      </c>
      <c r="J333" s="712"/>
      <c r="K333" s="655" t="s">
        <v>8197</v>
      </c>
      <c r="L333" s="655" t="s">
        <v>7562</v>
      </c>
      <c r="M333" s="660">
        <v>388793.1</v>
      </c>
      <c r="N333" s="660">
        <v>0</v>
      </c>
      <c r="O333" s="660">
        <v>6206.9</v>
      </c>
      <c r="P333" s="660">
        <v>395000</v>
      </c>
      <c r="Q333" s="548"/>
      <c r="R333" s="660">
        <v>350000</v>
      </c>
      <c r="S333" s="549">
        <f t="shared" si="483"/>
        <v>45000</v>
      </c>
      <c r="T333" s="113" t="s">
        <v>263</v>
      </c>
      <c r="U333" s="370"/>
      <c r="V333" s="370"/>
      <c r="W333" s="375"/>
      <c r="X333" s="374"/>
      <c r="Y333" s="370"/>
      <c r="Z333" s="371"/>
      <c r="AA333" s="371"/>
      <c r="AB333" s="744"/>
      <c r="AC333" s="270"/>
      <c r="AD333" s="372"/>
      <c r="AE333" s="270"/>
      <c r="AF333" s="270"/>
      <c r="AG333" s="270"/>
      <c r="AH333" s="350"/>
      <c r="AI333" s="365"/>
      <c r="AJ333" s="330"/>
      <c r="AK333" s="330"/>
      <c r="AL333" s="330"/>
      <c r="AM333" s="330"/>
    </row>
    <row r="334" spans="1:39" s="348" customFormat="1" x14ac:dyDescent="0.2">
      <c r="A334" s="423">
        <f t="shared" si="426"/>
        <v>327</v>
      </c>
      <c r="B334" s="721" t="s">
        <v>8090</v>
      </c>
      <c r="C334" s="771">
        <v>521802</v>
      </c>
      <c r="D334" s="771" t="s">
        <v>686</v>
      </c>
      <c r="E334" s="771" t="s">
        <v>718</v>
      </c>
      <c r="F334" s="546"/>
      <c r="G334" s="659">
        <v>43061</v>
      </c>
      <c r="H334" s="655" t="s">
        <v>7763</v>
      </c>
      <c r="I334" s="655" t="s">
        <v>7755</v>
      </c>
      <c r="J334" s="712"/>
      <c r="K334" s="655" t="s">
        <v>8198</v>
      </c>
      <c r="L334" s="655" t="s">
        <v>1253</v>
      </c>
      <c r="M334" s="660">
        <v>189275.86</v>
      </c>
      <c r="N334" s="660">
        <v>0</v>
      </c>
      <c r="O334" s="660">
        <v>3724.14</v>
      </c>
      <c r="P334" s="660">
        <v>193000</v>
      </c>
      <c r="Q334" s="548"/>
      <c r="R334" s="660">
        <v>166000</v>
      </c>
      <c r="S334" s="549">
        <f t="shared" si="483"/>
        <v>27000</v>
      </c>
      <c r="T334" s="113" t="s">
        <v>263</v>
      </c>
      <c r="U334" s="370"/>
      <c r="V334" s="370"/>
      <c r="W334" s="375"/>
      <c r="X334" s="374"/>
      <c r="Y334" s="370"/>
      <c r="Z334" s="371"/>
      <c r="AA334" s="371"/>
      <c r="AB334" s="744"/>
      <c r="AC334" s="270"/>
      <c r="AD334" s="372"/>
      <c r="AE334" s="270"/>
      <c r="AF334" s="270"/>
      <c r="AG334" s="270"/>
      <c r="AH334" s="350"/>
      <c r="AI334" s="365"/>
      <c r="AJ334" s="330"/>
      <c r="AK334" s="330"/>
      <c r="AL334" s="330"/>
      <c r="AM334" s="330"/>
    </row>
    <row r="335" spans="1:39" s="348" customFormat="1" x14ac:dyDescent="0.2">
      <c r="A335" s="423">
        <f t="shared" si="426"/>
        <v>328</v>
      </c>
      <c r="B335" s="721" t="s">
        <v>8091</v>
      </c>
      <c r="C335" s="771">
        <v>521707</v>
      </c>
      <c r="D335" s="771" t="s">
        <v>686</v>
      </c>
      <c r="E335" s="771" t="s">
        <v>718</v>
      </c>
      <c r="F335" s="546"/>
      <c r="G335" s="659">
        <v>43063</v>
      </c>
      <c r="H335" s="655" t="s">
        <v>2215</v>
      </c>
      <c r="I335" s="655" t="s">
        <v>7756</v>
      </c>
      <c r="J335" s="712"/>
      <c r="K335" s="655" t="s">
        <v>8199</v>
      </c>
      <c r="L335" s="655" t="s">
        <v>5343</v>
      </c>
      <c r="M335" s="660">
        <v>202241.38</v>
      </c>
      <c r="N335" s="660">
        <v>0</v>
      </c>
      <c r="O335" s="660">
        <v>2758.62</v>
      </c>
      <c r="P335" s="660">
        <v>205000</v>
      </c>
      <c r="Q335" s="548"/>
      <c r="R335" s="660">
        <v>185000</v>
      </c>
      <c r="S335" s="549">
        <f t="shared" si="483"/>
        <v>20000</v>
      </c>
      <c r="T335" s="113" t="s">
        <v>263</v>
      </c>
      <c r="U335" s="370"/>
      <c r="V335" s="370"/>
      <c r="W335" s="375"/>
      <c r="X335" s="374"/>
      <c r="Y335" s="370"/>
      <c r="Z335" s="371"/>
      <c r="AA335" s="371"/>
      <c r="AB335" s="744"/>
      <c r="AC335" s="270"/>
      <c r="AD335" s="372"/>
      <c r="AE335" s="270"/>
      <c r="AF335" s="270"/>
      <c r="AG335" s="270"/>
      <c r="AH335" s="350"/>
      <c r="AI335" s="365"/>
      <c r="AJ335" s="330"/>
      <c r="AK335" s="330"/>
      <c r="AL335" s="330"/>
      <c r="AM335" s="330"/>
    </row>
    <row r="336" spans="1:39" s="348" customFormat="1" x14ac:dyDescent="0.2">
      <c r="A336" s="423">
        <f t="shared" si="426"/>
        <v>329</v>
      </c>
      <c r="B336" s="721" t="s">
        <v>8092</v>
      </c>
      <c r="C336" s="771">
        <v>520224</v>
      </c>
      <c r="D336" s="771" t="s">
        <v>686</v>
      </c>
      <c r="E336" s="771" t="s">
        <v>718</v>
      </c>
      <c r="F336" s="546"/>
      <c r="G336" s="659">
        <v>43066</v>
      </c>
      <c r="H336" s="655" t="s">
        <v>1211</v>
      </c>
      <c r="I336" s="655" t="s">
        <v>7757</v>
      </c>
      <c r="J336" s="712"/>
      <c r="K336" s="655" t="s">
        <v>8200</v>
      </c>
      <c r="L336" s="655" t="s">
        <v>7563</v>
      </c>
      <c r="M336" s="660">
        <v>186551.72</v>
      </c>
      <c r="N336" s="660">
        <v>0</v>
      </c>
      <c r="O336" s="660">
        <v>3448.28</v>
      </c>
      <c r="P336" s="660">
        <v>190000</v>
      </c>
      <c r="Q336" s="548"/>
      <c r="R336" s="660">
        <v>165000</v>
      </c>
      <c r="S336" s="549">
        <f t="shared" si="483"/>
        <v>25000</v>
      </c>
      <c r="T336" s="113" t="s">
        <v>263</v>
      </c>
      <c r="U336" s="370"/>
      <c r="V336" s="370"/>
      <c r="W336" s="375"/>
      <c r="X336" s="374"/>
      <c r="Y336" s="370"/>
      <c r="Z336" s="371"/>
      <c r="AA336" s="371"/>
      <c r="AB336" s="744"/>
      <c r="AC336" s="270"/>
      <c r="AD336" s="372"/>
      <c r="AE336" s="270"/>
      <c r="AF336" s="270"/>
      <c r="AG336" s="270"/>
      <c r="AH336" s="350"/>
      <c r="AI336" s="365"/>
      <c r="AJ336" s="330"/>
      <c r="AK336" s="330"/>
      <c r="AL336" s="330"/>
      <c r="AM336" s="330"/>
    </row>
    <row r="337" spans="1:41" s="348" customFormat="1" x14ac:dyDescent="0.2">
      <c r="A337" s="423">
        <f t="shared" si="426"/>
        <v>330</v>
      </c>
      <c r="B337" s="721" t="s">
        <v>8093</v>
      </c>
      <c r="C337" s="771">
        <v>520224</v>
      </c>
      <c r="D337" s="771" t="s">
        <v>686</v>
      </c>
      <c r="E337" s="771" t="s">
        <v>718</v>
      </c>
      <c r="F337" s="546"/>
      <c r="G337" s="659">
        <v>43068</v>
      </c>
      <c r="H337" s="655" t="s">
        <v>2216</v>
      </c>
      <c r="I337" s="655" t="s">
        <v>7758</v>
      </c>
      <c r="J337" s="712"/>
      <c r="K337" s="655" t="s">
        <v>8201</v>
      </c>
      <c r="L337" s="655" t="s">
        <v>7564</v>
      </c>
      <c r="M337" s="660">
        <v>241000</v>
      </c>
      <c r="N337" s="660">
        <v>0</v>
      </c>
      <c r="O337" s="660">
        <v>4000</v>
      </c>
      <c r="P337" s="660">
        <v>245000</v>
      </c>
      <c r="Q337" s="548"/>
      <c r="R337" s="660">
        <v>216000</v>
      </c>
      <c r="S337" s="549">
        <f t="shared" si="483"/>
        <v>29000</v>
      </c>
      <c r="T337" s="113" t="s">
        <v>263</v>
      </c>
      <c r="U337" s="370"/>
      <c r="V337" s="370"/>
      <c r="W337" s="375"/>
      <c r="X337" s="374"/>
      <c r="Y337" s="370"/>
      <c r="Z337" s="371"/>
      <c r="AA337" s="371"/>
      <c r="AB337" s="744"/>
      <c r="AC337" s="270"/>
      <c r="AD337" s="372"/>
      <c r="AE337" s="270"/>
      <c r="AF337" s="270"/>
      <c r="AG337" s="270"/>
      <c r="AH337" s="350"/>
      <c r="AI337" s="365"/>
      <c r="AJ337" s="330"/>
      <c r="AK337" s="330"/>
      <c r="AL337" s="330"/>
      <c r="AM337" s="330"/>
    </row>
    <row r="338" spans="1:41" s="348" customFormat="1" x14ac:dyDescent="0.2">
      <c r="A338" s="423">
        <f t="shared" si="426"/>
        <v>331</v>
      </c>
      <c r="B338" s="721" t="s">
        <v>8094</v>
      </c>
      <c r="C338" s="771">
        <v>521101</v>
      </c>
      <c r="D338" s="771" t="s">
        <v>686</v>
      </c>
      <c r="E338" s="771" t="s">
        <v>718</v>
      </c>
      <c r="F338" s="546"/>
      <c r="G338" s="659">
        <v>43068</v>
      </c>
      <c r="H338" s="655" t="s">
        <v>912</v>
      </c>
      <c r="I338" s="655" t="s">
        <v>7759</v>
      </c>
      <c r="J338" s="712"/>
      <c r="K338" s="655" t="s">
        <v>8202</v>
      </c>
      <c r="L338" s="655" t="s">
        <v>7565</v>
      </c>
      <c r="M338" s="660">
        <v>365862.07</v>
      </c>
      <c r="N338" s="660">
        <v>0</v>
      </c>
      <c r="O338" s="660">
        <v>4137.93</v>
      </c>
      <c r="P338" s="660">
        <v>370000</v>
      </c>
      <c r="Q338" s="548"/>
      <c r="R338" s="660">
        <v>340000</v>
      </c>
      <c r="S338" s="549">
        <f t="shared" si="483"/>
        <v>30000</v>
      </c>
      <c r="T338" s="113" t="s">
        <v>263</v>
      </c>
      <c r="U338" s="370"/>
      <c r="V338" s="370"/>
      <c r="W338" s="375"/>
      <c r="X338" s="374"/>
      <c r="Y338" s="370"/>
      <c r="Z338" s="371"/>
      <c r="AA338" s="371"/>
      <c r="AB338" s="744"/>
      <c r="AC338" s="270"/>
      <c r="AD338" s="372"/>
      <c r="AE338" s="270"/>
      <c r="AF338" s="270"/>
      <c r="AG338" s="270"/>
      <c r="AH338" s="350"/>
      <c r="AI338" s="365"/>
      <c r="AJ338" s="330"/>
      <c r="AK338" s="330"/>
      <c r="AL338" s="330"/>
      <c r="AM338" s="330"/>
    </row>
    <row r="339" spans="1:41" s="348" customFormat="1" x14ac:dyDescent="0.2">
      <c r="A339" s="423">
        <f t="shared" si="426"/>
        <v>332</v>
      </c>
      <c r="B339" s="721" t="s">
        <v>8095</v>
      </c>
      <c r="C339" s="771">
        <v>520814</v>
      </c>
      <c r="D339" s="771" t="s">
        <v>686</v>
      </c>
      <c r="E339" s="771" t="s">
        <v>718</v>
      </c>
      <c r="F339" s="546"/>
      <c r="G339" s="659">
        <v>43069</v>
      </c>
      <c r="H339" s="655" t="s">
        <v>912</v>
      </c>
      <c r="I339" s="655" t="s">
        <v>7760</v>
      </c>
      <c r="J339" s="712"/>
      <c r="K339" s="655" t="s">
        <v>8203</v>
      </c>
      <c r="L339" s="655" t="s">
        <v>7566</v>
      </c>
      <c r="M339" s="660">
        <v>289206.90000000002</v>
      </c>
      <c r="N339" s="660">
        <v>0</v>
      </c>
      <c r="O339" s="660">
        <v>5793.1</v>
      </c>
      <c r="P339" s="660">
        <v>295000</v>
      </c>
      <c r="Q339" s="548"/>
      <c r="R339" s="660">
        <v>253000</v>
      </c>
      <c r="S339" s="549">
        <f t="shared" si="483"/>
        <v>42000</v>
      </c>
      <c r="T339" s="113" t="s">
        <v>263</v>
      </c>
      <c r="U339" s="370"/>
      <c r="V339" s="370"/>
      <c r="W339" s="375"/>
      <c r="X339" s="374"/>
      <c r="Y339" s="370"/>
      <c r="Z339" s="371"/>
      <c r="AA339" s="371"/>
      <c r="AB339" s="744"/>
      <c r="AC339" s="270"/>
      <c r="AD339" s="372"/>
      <c r="AE339" s="270"/>
      <c r="AF339" s="270"/>
      <c r="AG339" s="270"/>
      <c r="AH339" s="350"/>
      <c r="AI339" s="365"/>
      <c r="AJ339" s="330"/>
      <c r="AK339" s="330"/>
      <c r="AL339" s="330"/>
      <c r="AM339" s="330"/>
    </row>
    <row r="340" spans="1:41" s="348" customFormat="1" ht="13.5" thickBot="1" x14ac:dyDescent="0.25">
      <c r="A340" s="423"/>
      <c r="B340" s="657"/>
      <c r="C340" s="655"/>
      <c r="D340" s="658"/>
      <c r="E340" s="655"/>
      <c r="F340" s="546"/>
      <c r="G340" s="659"/>
      <c r="H340" s="655"/>
      <c r="I340" s="655"/>
      <c r="J340" s="712"/>
      <c r="K340" s="655"/>
      <c r="L340" s="655"/>
      <c r="M340" s="660"/>
      <c r="N340" s="660"/>
      <c r="O340" s="660"/>
      <c r="P340" s="660"/>
      <c r="Q340" s="548"/>
      <c r="R340" s="660"/>
      <c r="S340" s="549"/>
      <c r="T340" s="113"/>
      <c r="U340" s="370"/>
      <c r="V340" s="370"/>
      <c r="W340" s="375"/>
      <c r="X340" s="374"/>
      <c r="Y340" s="370"/>
      <c r="Z340" s="371"/>
      <c r="AA340" s="371"/>
      <c r="AB340" s="744"/>
      <c r="AC340" s="270"/>
      <c r="AD340" s="372"/>
      <c r="AE340" s="270"/>
      <c r="AF340" s="270"/>
      <c r="AG340" s="270"/>
      <c r="AH340" s="350"/>
      <c r="AI340" s="365"/>
      <c r="AJ340" s="330"/>
      <c r="AK340" s="330"/>
      <c r="AL340" s="330"/>
      <c r="AM340" s="330"/>
    </row>
    <row r="341" spans="1:41" s="53" customFormat="1" ht="13.5" thickBot="1" x14ac:dyDescent="0.25">
      <c r="A341" s="48"/>
      <c r="B341" s="557"/>
      <c r="C341" s="558"/>
      <c r="D341" s="558"/>
      <c r="E341" s="559"/>
      <c r="F341" s="559"/>
      <c r="G341" s="560"/>
      <c r="H341" s="559"/>
      <c r="I341" s="559"/>
      <c r="J341" s="559"/>
      <c r="K341" s="559"/>
      <c r="L341" s="559"/>
      <c r="M341" s="561"/>
      <c r="N341" s="561"/>
      <c r="O341" s="561"/>
      <c r="P341" s="561"/>
      <c r="Q341" s="561"/>
      <c r="R341" s="561"/>
      <c r="S341" s="562"/>
      <c r="T341" s="13"/>
      <c r="V341" s="116"/>
      <c r="W341" s="757"/>
      <c r="X341" s="382"/>
      <c r="Y341" s="619"/>
      <c r="Z341" s="737">
        <f>SUBTOTAL(9,Z8:Z308)</f>
        <v>35375563.889999986</v>
      </c>
      <c r="AA341" s="737">
        <f>SUBTOTAL(9,AA8:AA308)</f>
        <v>41672237.940000005</v>
      </c>
      <c r="AB341" s="739">
        <f>+AB308+AB299+AB283+AB282+AB275+AB270+AB264+AB248+AB241+AB232+AB225+AB220+AB216+AB210+AB186+AB149+AB139+AB127+AB124+AB106+AB102+AB100+AB98+AB83+AB73+AB66+AB65+AB60+AB53+AB56+AB52+AB50+AB45+AB21+AB10+AB8</f>
        <v>99</v>
      </c>
      <c r="AC341" s="620"/>
      <c r="AD341" s="620"/>
      <c r="AE341" s="620"/>
      <c r="AF341" s="737" t="e">
        <f>SUBTOTAL(9,AF8:AF308)</f>
        <v>#N/A</v>
      </c>
      <c r="AG341" s="396"/>
      <c r="AH341" s="346"/>
      <c r="AI341" s="313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592"/>
      <c r="C342" s="593"/>
      <c r="D342" s="593"/>
      <c r="E342" s="593"/>
      <c r="F342" s="594"/>
      <c r="G342" s="595"/>
      <c r="H342" s="596"/>
      <c r="I342" s="597"/>
      <c r="J342" s="598"/>
      <c r="K342" s="598"/>
      <c r="L342" s="594"/>
      <c r="M342" s="599"/>
      <c r="N342" s="600"/>
      <c r="O342" s="601"/>
      <c r="P342" s="601"/>
      <c r="Q342" s="601"/>
      <c r="R342" s="602"/>
      <c r="S342" s="603"/>
      <c r="T342" s="13"/>
      <c r="V342" s="116"/>
      <c r="W342" s="757"/>
      <c r="X342" s="271"/>
      <c r="Y342" s="93"/>
      <c r="Z342" s="260"/>
      <c r="AA342" s="431"/>
      <c r="AB342" s="715"/>
      <c r="AC342" s="431"/>
      <c r="AD342" s="436"/>
      <c r="AE342" s="431"/>
      <c r="AF342" s="431" t="e">
        <f>SUBTOTAL(9,AF8:AF308)</f>
        <v>#N/A</v>
      </c>
      <c r="AG342" s="440"/>
      <c r="AH342" s="270"/>
      <c r="AI342" s="313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604"/>
      <c r="C343" s="262"/>
      <c r="D343" s="262"/>
      <c r="E343" s="129"/>
      <c r="F343" s="40"/>
      <c r="G343" s="81"/>
      <c r="H343" s="254"/>
      <c r="I343" s="90"/>
      <c r="J343" s="90"/>
      <c r="K343" s="90"/>
      <c r="L343" s="40"/>
      <c r="M343" s="209">
        <f t="shared" ref="M343:S343" si="484">SUM(M6:M341)</f>
        <v>59625555.14000003</v>
      </c>
      <c r="N343" s="209">
        <f t="shared" si="484"/>
        <v>1305127.1499999999</v>
      </c>
      <c r="O343" s="209">
        <f t="shared" si="484"/>
        <v>9157309.1000000089</v>
      </c>
      <c r="P343" s="209">
        <f t="shared" si="484"/>
        <v>70087991.390000015</v>
      </c>
      <c r="Q343" s="209">
        <f t="shared" si="484"/>
        <v>0</v>
      </c>
      <c r="R343" s="209">
        <f t="shared" si="484"/>
        <v>56495322.730000034</v>
      </c>
      <c r="S343" s="605">
        <f t="shared" si="484"/>
        <v>13592668.660000011</v>
      </c>
      <c r="T343" s="13"/>
      <c r="V343" s="93"/>
      <c r="W343" s="267"/>
      <c r="X343" s="271"/>
      <c r="Y343" s="469"/>
      <c r="Z343" s="470"/>
      <c r="AA343" s="431"/>
      <c r="AB343" s="715"/>
      <c r="AC343" s="396"/>
      <c r="AD343" s="425"/>
      <c r="AE343" s="395"/>
      <c r="AF343" s="738"/>
      <c r="AG343" s="346"/>
      <c r="AH343" s="270"/>
      <c r="AI343" s="313"/>
      <c r="AJ343" s="21"/>
      <c r="AK343" s="21"/>
      <c r="AL343" s="21"/>
      <c r="AM343" s="21"/>
      <c r="AN343" s="21"/>
      <c r="AO343" s="21"/>
    </row>
    <row r="344" spans="1:41" s="53" customFormat="1" ht="13.5" thickBot="1" x14ac:dyDescent="0.25">
      <c r="A344" s="48"/>
      <c r="B344" s="606"/>
      <c r="C344" s="607"/>
      <c r="D344" s="607"/>
      <c r="E344" s="607"/>
      <c r="F344" s="608"/>
      <c r="G344" s="609"/>
      <c r="H344" s="610"/>
      <c r="I344" s="611"/>
      <c r="J344" s="612"/>
      <c r="K344" s="612"/>
      <c r="L344" s="608"/>
      <c r="M344" s="613"/>
      <c r="N344" s="614"/>
      <c r="O344" s="615"/>
      <c r="P344" s="615"/>
      <c r="Q344" s="615"/>
      <c r="R344" s="616"/>
      <c r="S344" s="617"/>
      <c r="T344" s="13"/>
      <c r="V344" s="429"/>
      <c r="W344" s="426"/>
      <c r="X344" s="382"/>
      <c r="Y344" s="441"/>
      <c r="Z344" s="438"/>
      <c r="AA344" s="439"/>
      <c r="AB344" s="715"/>
      <c r="AC344" s="396"/>
      <c r="AD344" s="425"/>
      <c r="AE344" s="440"/>
      <c r="AF344" s="439" t="e">
        <f>+AF341-AF342</f>
        <v>#N/A</v>
      </c>
      <c r="AG344" s="291"/>
      <c r="AH344" s="270"/>
      <c r="AI344" s="313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5"/>
      <c r="C345" s="233"/>
      <c r="D345" s="233"/>
      <c r="E345" s="113"/>
      <c r="F345" s="48"/>
      <c r="G345" s="49"/>
      <c r="H345" s="256"/>
      <c r="I345" s="133"/>
      <c r="J345" s="117"/>
      <c r="K345" s="133" t="s">
        <v>37</v>
      </c>
      <c r="L345" s="8" t="s">
        <v>75</v>
      </c>
      <c r="M345" s="410">
        <v>30343407.73</v>
      </c>
      <c r="N345" s="326">
        <f>+N343</f>
        <v>1305127.1499999999</v>
      </c>
      <c r="O345" s="201"/>
      <c r="P345" s="279"/>
      <c r="Q345" s="201"/>
      <c r="R345" s="326">
        <v>27364079.710000001</v>
      </c>
      <c r="S345" s="201">
        <f>SUM(R6:R292)+SUM(Q356:Q357)-R346+Q1</f>
        <v>40769211.590000033</v>
      </c>
      <c r="T345" s="13"/>
      <c r="V345" s="298" t="s">
        <v>6705</v>
      </c>
      <c r="W345" s="437" t="s">
        <v>7802</v>
      </c>
      <c r="X345" s="331"/>
      <c r="Y345" s="441"/>
      <c r="Z345" s="471">
        <f>+AB308+AB299+AB283+AB282+AB275+AB270+AB264+AB248</f>
        <v>28</v>
      </c>
      <c r="AA345" s="776">
        <f>+AA308+AA299+AA283+AA282+AA275+AA276+AA270+AA264+AA248</f>
        <v>8015206.8300000001</v>
      </c>
      <c r="AB345" s="473"/>
      <c r="AC345" s="741" t="s">
        <v>1269</v>
      </c>
      <c r="AD345" s="436"/>
      <c r="AE345" s="431"/>
      <c r="AF345" s="431"/>
      <c r="AG345" s="351"/>
      <c r="AH345" s="270"/>
      <c r="AI345" s="313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5"/>
      <c r="C346" s="233"/>
      <c r="D346" s="233"/>
      <c r="E346" s="113"/>
      <c r="F346" s="48"/>
      <c r="G346" s="49"/>
      <c r="H346" s="256"/>
      <c r="I346" s="133"/>
      <c r="J346" s="117"/>
      <c r="K346" s="133" t="s">
        <v>74</v>
      </c>
      <c r="L346" s="8" t="s">
        <v>75</v>
      </c>
      <c r="M346" s="410">
        <v>23964388.800000001</v>
      </c>
      <c r="N346" s="326"/>
      <c r="O346" s="201"/>
      <c r="P346" s="279"/>
      <c r="Q346" s="201"/>
      <c r="R346" s="326">
        <v>7522946.3200000003</v>
      </c>
      <c r="S346" s="285"/>
      <c r="T346" s="13"/>
      <c r="V346" s="298" t="s">
        <v>6704</v>
      </c>
      <c r="W346" s="437" t="s">
        <v>7945</v>
      </c>
      <c r="X346" s="330"/>
      <c r="Y346" s="94"/>
      <c r="Z346" s="475">
        <f>+AB241+AB220+AB216+AB210+AB186+AB124+AB106+AB102</f>
        <v>37</v>
      </c>
      <c r="AA346" s="472">
        <f>+AA241+AA220+AA216+AA210+AA186+AA124+AA106+AA102</f>
        <v>7420311.8100000005</v>
      </c>
      <c r="AB346" s="473"/>
      <c r="AC346" s="741" t="s">
        <v>1270</v>
      </c>
      <c r="AD346" s="425"/>
      <c r="AE346" s="424"/>
      <c r="AF346" s="424"/>
      <c r="AG346" s="348"/>
      <c r="AH346" s="346"/>
      <c r="AI346" s="363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E347" s="113"/>
      <c r="F347" s="48"/>
      <c r="G347" s="49"/>
      <c r="H347" s="256"/>
      <c r="I347" s="133"/>
      <c r="J347" s="117"/>
      <c r="K347" s="133" t="s">
        <v>38</v>
      </c>
      <c r="L347" s="8" t="s">
        <v>75</v>
      </c>
      <c r="M347" s="410">
        <v>5317758.6100000003</v>
      </c>
      <c r="N347" s="201"/>
      <c r="O347" s="201"/>
      <c r="P347" s="279"/>
      <c r="Q347" s="332">
        <f>72*360</f>
        <v>25920</v>
      </c>
      <c r="R347" s="326">
        <v>5857317.5899999999</v>
      </c>
      <c r="S347" s="201" t="e">
        <f>SUM(#REF!)</f>
        <v>#REF!</v>
      </c>
      <c r="T347" s="13"/>
      <c r="U347" s="369"/>
      <c r="V347" s="370"/>
      <c r="W347" s="375"/>
      <c r="X347" s="375"/>
      <c r="Y347" s="442"/>
      <c r="Z347" s="476">
        <f>+AB232+AB225+AB149+AB127+AB100+AB98+AB83+AB73+AB66+AB65+AB56+AB60+AB53+AB52+AB50+AB45+AB21+AB10+AB8</f>
        <v>33</v>
      </c>
      <c r="AA347" s="472">
        <f>+AA8+AA10+AA21+AA45+AA50+AA52+AA53+AA56+AA60+AA65+AA66+AA73+AA83+AA98+AA100+AA127+AA149+AA232+AA225</f>
        <v>14585130.469999999</v>
      </c>
      <c r="AB347" s="473"/>
      <c r="AC347" s="741" t="s">
        <v>1271</v>
      </c>
      <c r="AD347" s="443"/>
      <c r="AE347" s="439"/>
      <c r="AF347" s="439"/>
      <c r="AG347" s="270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ht="13.5" thickBot="1" x14ac:dyDescent="0.25">
      <c r="A348" s="48"/>
      <c r="B348" s="306"/>
      <c r="C348" s="233"/>
      <c r="D348" s="233"/>
      <c r="E348" s="113"/>
      <c r="F348" s="48"/>
      <c r="G348" s="49"/>
      <c r="H348" s="256"/>
      <c r="I348" s="133"/>
      <c r="J348" s="117"/>
      <c r="K348" s="117"/>
      <c r="L348" s="8"/>
      <c r="M348" s="326"/>
      <c r="N348" s="326"/>
      <c r="O348" s="326"/>
      <c r="P348" s="327"/>
      <c r="Q348" s="327"/>
      <c r="R348" s="400">
        <v>8200735.7800000003</v>
      </c>
      <c r="S348" s="401"/>
      <c r="T348" s="380"/>
      <c r="U348" s="369"/>
      <c r="V348" s="370"/>
      <c r="W348" s="375"/>
      <c r="X348" s="375"/>
      <c r="Y348" s="352"/>
      <c r="Z348" s="477">
        <f>+AB139</f>
        <v>1</v>
      </c>
      <c r="AA348" s="478">
        <f>+AA139</f>
        <v>322758.62000000005</v>
      </c>
      <c r="AB348" s="473"/>
      <c r="AC348" s="741" t="s">
        <v>1272</v>
      </c>
      <c r="AD348" s="351"/>
      <c r="AE348" s="351"/>
      <c r="AF348" s="351"/>
      <c r="AG348" s="270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ht="13.5" thickTop="1" x14ac:dyDescent="0.2">
      <c r="A349" s="48"/>
      <c r="B349" s="306"/>
      <c r="C349" s="233"/>
      <c r="D349" s="233"/>
      <c r="E349" s="113"/>
      <c r="F349" s="48"/>
      <c r="G349" s="49"/>
      <c r="H349" s="256"/>
      <c r="I349" s="133"/>
      <c r="J349" s="117"/>
      <c r="K349" s="117"/>
      <c r="L349" s="8"/>
      <c r="M349" s="258">
        <v>0</v>
      </c>
      <c r="N349" s="258"/>
      <c r="O349" s="258"/>
      <c r="P349" s="280"/>
      <c r="Q349" s="280"/>
      <c r="R349" s="400">
        <v>604</v>
      </c>
      <c r="S349" s="401"/>
      <c r="T349" s="13"/>
      <c r="U349" s="320"/>
      <c r="V349" s="354"/>
      <c r="W349" s="355"/>
      <c r="X349" s="355"/>
      <c r="Y349" s="348"/>
      <c r="Z349" s="479">
        <f>+SUM(Z345:Z348)</f>
        <v>99</v>
      </c>
      <c r="AA349" s="480">
        <f>SUM(AA345:AA348)</f>
        <v>30343407.73</v>
      </c>
      <c r="AB349" s="473"/>
      <c r="AC349" s="472"/>
      <c r="AD349" s="348"/>
      <c r="AE349" s="348"/>
      <c r="AF349" s="348"/>
      <c r="AG349" s="346"/>
      <c r="AH349" s="347"/>
      <c r="AI349" s="363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E350" s="113"/>
      <c r="F350" s="48"/>
      <c r="G350" s="51"/>
      <c r="H350" s="257"/>
      <c r="I350" s="133"/>
      <c r="J350" s="117"/>
      <c r="K350" s="117"/>
      <c r="L350" s="8"/>
      <c r="M350" s="204">
        <f>SUM(M345:M349)</f>
        <v>59625555.140000001</v>
      </c>
      <c r="N350" s="204">
        <f>SUM(N345:N349)</f>
        <v>1305127.1499999999</v>
      </c>
      <c r="O350" s="204"/>
      <c r="P350" s="204"/>
      <c r="Q350" s="204">
        <f>+Q343-Q345</f>
        <v>0</v>
      </c>
      <c r="R350" s="402">
        <f>+SUM(R345:R349)</f>
        <v>48945683.400000006</v>
      </c>
      <c r="S350" s="285"/>
      <c r="T350" s="13"/>
      <c r="U350" s="369"/>
      <c r="V350" s="370"/>
      <c r="W350" s="375"/>
      <c r="X350" s="375"/>
      <c r="Y350" s="375"/>
      <c r="Z350" s="376"/>
      <c r="AA350" s="371"/>
      <c r="AB350" s="744"/>
      <c r="AC350" s="371"/>
      <c r="AD350" s="372"/>
      <c r="AE350" s="371"/>
      <c r="AF350" s="371"/>
      <c r="AG350" s="270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E351" s="113"/>
      <c r="F351" s="48"/>
      <c r="G351" s="49"/>
      <c r="H351" s="256"/>
      <c r="I351" s="116"/>
      <c r="J351" s="117"/>
      <c r="K351" s="117"/>
      <c r="L351" s="8"/>
      <c r="M351" s="403"/>
      <c r="N351" s="201"/>
      <c r="O351" s="202"/>
      <c r="P351" s="200"/>
      <c r="Q351" s="200"/>
      <c r="R351" s="52"/>
      <c r="S351" s="285"/>
      <c r="T351" s="13"/>
      <c r="U351" s="369"/>
      <c r="V351" s="370"/>
      <c r="W351" s="375"/>
      <c r="X351" s="375"/>
      <c r="Y351" s="375"/>
      <c r="Z351" s="376"/>
      <c r="AA351" s="371"/>
      <c r="AB351" s="744"/>
      <c r="AC351" s="371"/>
      <c r="AD351" s="372"/>
      <c r="AE351" s="371"/>
      <c r="AF351" s="371"/>
      <c r="AG351" s="270"/>
      <c r="AH351" s="272"/>
      <c r="AI351" s="313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E352" s="113"/>
      <c r="F352" s="48"/>
      <c r="G352" s="49"/>
      <c r="H352" s="256"/>
      <c r="I352" s="116"/>
      <c r="J352" s="117"/>
      <c r="K352" s="117"/>
      <c r="L352" s="8" t="s">
        <v>40</v>
      </c>
      <c r="M352" s="404">
        <f>+M343-M350</f>
        <v>0</v>
      </c>
      <c r="N352" s="404"/>
      <c r="O352" s="202"/>
      <c r="P352" s="200"/>
      <c r="Q352" s="200"/>
      <c r="R352" s="52"/>
      <c r="S352" s="285"/>
      <c r="T352" s="13"/>
      <c r="U352" s="369"/>
      <c r="V352" s="370"/>
      <c r="W352" s="375"/>
      <c r="X352" s="375"/>
      <c r="Y352" s="375"/>
      <c r="Z352" s="376"/>
      <c r="AA352" s="371"/>
      <c r="AB352" s="744"/>
      <c r="AC352" s="371"/>
      <c r="AD352" s="372"/>
      <c r="AE352" s="371"/>
      <c r="AF352" s="371"/>
      <c r="AG352" s="270"/>
      <c r="AH352" s="272"/>
      <c r="AI352" s="313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69"/>
      <c r="C353" s="375"/>
      <c r="D353" s="374"/>
      <c r="E353" s="374"/>
      <c r="F353" s="374"/>
      <c r="G353" s="414"/>
      <c r="H353" s="415"/>
      <c r="I353" s="374"/>
      <c r="J353" s="374"/>
      <c r="K353" s="374"/>
      <c r="L353" s="374"/>
      <c r="M353" s="396"/>
      <c r="N353" s="396"/>
      <c r="O353" s="396"/>
      <c r="P353" s="396"/>
      <c r="Q353" s="401"/>
      <c r="R353" s="405"/>
      <c r="S353" s="406"/>
      <c r="T353" s="13"/>
      <c r="U353" s="369"/>
      <c r="V353" s="370"/>
      <c r="W353" s="375"/>
      <c r="X353" s="375"/>
      <c r="Y353" s="375"/>
      <c r="Z353" s="376"/>
      <c r="AA353" s="371"/>
      <c r="AB353" s="744"/>
      <c r="AC353" s="371"/>
      <c r="AD353" s="372"/>
      <c r="AE353" s="371"/>
      <c r="AF353" s="371"/>
      <c r="AG353" s="270"/>
      <c r="AH353" s="272"/>
      <c r="AI353" s="313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69"/>
      <c r="C354" s="375"/>
      <c r="D354" s="374"/>
      <c r="E354" s="374"/>
      <c r="F354" s="374"/>
      <c r="G354" s="414"/>
      <c r="H354" s="318"/>
      <c r="I354" s="374"/>
      <c r="J354" s="374"/>
      <c r="K354" s="374"/>
      <c r="L354" s="374"/>
      <c r="M354" s="396"/>
      <c r="N354" s="396"/>
      <c r="O354" s="396"/>
      <c r="P354" s="396"/>
      <c r="Q354" s="97"/>
      <c r="R354" s="407"/>
      <c r="S354" s="94"/>
      <c r="T354" s="13"/>
      <c r="U354" s="320"/>
      <c r="V354" s="354"/>
      <c r="W354" s="355"/>
      <c r="X354" s="355"/>
      <c r="Y354" s="355"/>
      <c r="Z354" s="356"/>
      <c r="AA354" s="328"/>
      <c r="AB354" s="744"/>
      <c r="AC354" s="328"/>
      <c r="AD354" s="333"/>
      <c r="AE354" s="328"/>
      <c r="AF354" s="328"/>
      <c r="AG354" s="346"/>
      <c r="AH354" s="272"/>
      <c r="AI354" s="313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69"/>
      <c r="C355" s="375"/>
      <c r="D355" s="374"/>
      <c r="E355" s="374"/>
      <c r="F355" s="374"/>
      <c r="G355" s="414"/>
      <c r="H355" s="318"/>
      <c r="I355" s="374"/>
      <c r="J355" s="374"/>
      <c r="K355" s="374"/>
      <c r="L355" s="297"/>
      <c r="M355" s="396"/>
      <c r="N355" s="396"/>
      <c r="O355" s="396"/>
      <c r="P355" s="396"/>
      <c r="Q355" s="21"/>
      <c r="R355" s="408"/>
      <c r="S355" s="94"/>
      <c r="T355" s="13"/>
      <c r="U355" s="320"/>
      <c r="V355" s="354"/>
      <c r="W355" s="355"/>
      <c r="X355" s="355"/>
      <c r="Y355" s="355"/>
      <c r="Z355" s="356"/>
      <c r="AA355" s="328"/>
      <c r="AB355" s="744"/>
      <c r="AC355" s="328"/>
      <c r="AD355" s="333"/>
      <c r="AE355" s="328"/>
      <c r="AF355" s="328"/>
      <c r="AG355" s="346"/>
      <c r="AH355" s="347"/>
      <c r="AI355" s="363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69"/>
      <c r="C356" s="375"/>
      <c r="D356" s="374"/>
      <c r="E356" s="374"/>
      <c r="F356" s="374"/>
      <c r="G356" s="414"/>
      <c r="H356" s="415"/>
      <c r="I356" s="291"/>
      <c r="J356" s="291"/>
      <c r="K356" s="374"/>
      <c r="L356" s="416"/>
      <c r="M356" s="403"/>
      <c r="N356" s="396"/>
      <c r="O356" s="396"/>
      <c r="P356" s="409"/>
      <c r="Q356" s="50"/>
      <c r="R356" s="407"/>
      <c r="S356" s="97"/>
      <c r="T356" s="13"/>
      <c r="U356" s="369"/>
      <c r="V356" s="370"/>
      <c r="W356" s="375"/>
      <c r="X356" s="375"/>
      <c r="Y356" s="375"/>
      <c r="Z356" s="376"/>
      <c r="AA356" s="371"/>
      <c r="AB356" s="744"/>
      <c r="AC356" s="371"/>
      <c r="AD356" s="372"/>
      <c r="AE356" s="371"/>
      <c r="AF356" s="371"/>
      <c r="AG356" s="270"/>
      <c r="AH356" s="347"/>
      <c r="AI356" s="363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69"/>
      <c r="C357" s="375"/>
      <c r="D357" s="374"/>
      <c r="E357" s="374"/>
      <c r="F357" s="374"/>
      <c r="G357" s="414"/>
      <c r="H357" s="415"/>
      <c r="I357" s="291"/>
      <c r="J357" s="291"/>
      <c r="K357" s="374"/>
      <c r="L357" s="377"/>
      <c r="M357" s="416"/>
      <c r="N357" s="270"/>
      <c r="O357" s="270"/>
      <c r="P357" s="296"/>
      <c r="Q357" s="78"/>
      <c r="S357" s="319"/>
      <c r="T357" s="13"/>
      <c r="U357" s="369"/>
      <c r="V357" s="370"/>
      <c r="W357" s="375"/>
      <c r="X357" s="375"/>
      <c r="Y357" s="375"/>
      <c r="Z357" s="376"/>
      <c r="AA357" s="371"/>
      <c r="AB357" s="744"/>
      <c r="AC357" s="371"/>
      <c r="AD357" s="372"/>
      <c r="AE357" s="371"/>
      <c r="AF357" s="371"/>
      <c r="AG357" s="270"/>
      <c r="AH357" s="272"/>
      <c r="AI357" s="313"/>
      <c r="AJ357" s="21"/>
      <c r="AK357" s="21"/>
      <c r="AL357" s="21"/>
      <c r="AM357" s="21"/>
      <c r="AN357" s="21"/>
      <c r="AO357" s="21"/>
    </row>
    <row r="358" spans="1:41" s="53" customFormat="1" ht="14.25" x14ac:dyDescent="0.2">
      <c r="A358" s="48"/>
      <c r="B358" s="369"/>
      <c r="C358" s="375"/>
      <c r="D358" s="374"/>
      <c r="E358" s="374"/>
      <c r="F358" s="374"/>
      <c r="G358" s="414"/>
      <c r="H358" s="415"/>
      <c r="I358" s="291"/>
      <c r="J358" s="291"/>
      <c r="K358" s="374"/>
      <c r="L358" s="291"/>
      <c r="M358" s="291"/>
      <c r="N358" s="270"/>
      <c r="O358" s="270"/>
      <c r="P358" s="387"/>
      <c r="Q358" s="417"/>
      <c r="T358" s="13"/>
      <c r="U358" s="369"/>
      <c r="V358" s="370"/>
      <c r="W358" s="375"/>
      <c r="X358" s="375"/>
      <c r="Y358" s="375"/>
      <c r="Z358" s="376"/>
      <c r="AA358" s="371"/>
      <c r="AB358" s="744"/>
      <c r="AC358" s="371"/>
      <c r="AD358" s="372"/>
      <c r="AE358" s="371"/>
      <c r="AF358" s="371"/>
      <c r="AG358" s="270"/>
      <c r="AH358" s="272"/>
      <c r="AI358" s="313"/>
      <c r="AJ358" s="21"/>
      <c r="AK358" s="21"/>
      <c r="AL358" s="21"/>
      <c r="AM358" s="21"/>
      <c r="AN358" s="21"/>
      <c r="AO358" s="21"/>
    </row>
    <row r="359" spans="1:41" s="53" customFormat="1" ht="14.25" x14ac:dyDescent="0.2">
      <c r="A359" s="48"/>
      <c r="B359" s="369"/>
      <c r="C359" s="375"/>
      <c r="D359" s="374"/>
      <c r="E359" s="374"/>
      <c r="F359" s="374"/>
      <c r="G359" s="414"/>
      <c r="H359" s="415"/>
      <c r="I359" s="291"/>
      <c r="J359" s="291"/>
      <c r="L359" s="374"/>
      <c r="M359" s="296"/>
      <c r="N359" s="316"/>
      <c r="O359" s="367"/>
      <c r="P359" s="387"/>
      <c r="Q359" s="417"/>
      <c r="T359" s="13"/>
      <c r="U359" s="369"/>
      <c r="V359" s="370"/>
      <c r="W359" s="375"/>
      <c r="X359" s="375"/>
      <c r="Y359" s="375"/>
      <c r="Z359" s="376"/>
      <c r="AA359" s="371"/>
      <c r="AB359" s="744"/>
      <c r="AC359" s="371"/>
      <c r="AD359" s="372"/>
      <c r="AE359" s="371"/>
      <c r="AF359" s="371"/>
      <c r="AG359" s="270"/>
      <c r="AH359" s="347"/>
      <c r="AI359" s="363"/>
      <c r="AJ359" s="21"/>
      <c r="AK359" s="21"/>
      <c r="AL359" s="21"/>
      <c r="AM359" s="21"/>
      <c r="AN359" s="21"/>
      <c r="AO359" s="21"/>
    </row>
    <row r="360" spans="1:41" s="53" customFormat="1" ht="14.25" x14ac:dyDescent="0.2">
      <c r="A360" s="48"/>
      <c r="B360" s="369"/>
      <c r="C360" s="375"/>
      <c r="D360" s="374"/>
      <c r="E360" s="374"/>
      <c r="F360" s="374"/>
      <c r="G360" s="414"/>
      <c r="H360" s="415"/>
      <c r="I360" s="291"/>
      <c r="J360" s="291"/>
      <c r="L360" s="384"/>
      <c r="M360" s="296"/>
      <c r="N360" s="316"/>
      <c r="O360" s="270"/>
      <c r="P360" s="387"/>
      <c r="Q360" s="417"/>
      <c r="T360" s="13"/>
      <c r="U360" s="369"/>
      <c r="V360" s="370"/>
      <c r="W360" s="375"/>
      <c r="X360" s="375"/>
      <c r="Y360" s="375"/>
      <c r="Z360" s="376"/>
      <c r="AA360" s="371"/>
      <c r="AB360" s="744"/>
      <c r="AC360" s="371"/>
      <c r="AD360" s="372"/>
      <c r="AE360" s="371"/>
      <c r="AF360" s="371"/>
      <c r="AG360" s="270"/>
      <c r="AH360" s="272"/>
      <c r="AI360" s="313"/>
      <c r="AJ360" s="21"/>
      <c r="AK360" s="21"/>
      <c r="AL360" s="21"/>
      <c r="AM360" s="21"/>
      <c r="AN360" s="21"/>
      <c r="AO360" s="21"/>
    </row>
    <row r="361" spans="1:41" s="53" customFormat="1" ht="14.25" x14ac:dyDescent="0.2">
      <c r="A361" s="48"/>
      <c r="B361" s="369"/>
      <c r="C361" s="375"/>
      <c r="D361" s="374"/>
      <c r="E361" s="374"/>
      <c r="F361" s="374"/>
      <c r="G361" s="414"/>
      <c r="H361" s="415"/>
      <c r="I361" s="291"/>
      <c r="J361" s="291"/>
      <c r="L361" s="374"/>
      <c r="M361" s="296"/>
      <c r="N361" s="316"/>
      <c r="O361" s="270"/>
      <c r="P361" s="387"/>
      <c r="Q361" s="417"/>
      <c r="T361" s="13"/>
      <c r="U361" s="369"/>
      <c r="V361" s="370"/>
      <c r="W361" s="375"/>
      <c r="X361" s="375"/>
      <c r="Y361" s="375"/>
      <c r="Z361" s="376"/>
      <c r="AA361" s="371"/>
      <c r="AB361" s="744"/>
      <c r="AC361" s="371"/>
      <c r="AD361" s="372"/>
      <c r="AE361" s="371"/>
      <c r="AF361" s="371"/>
      <c r="AG361" s="270"/>
      <c r="AH361" s="347"/>
      <c r="AI361" s="363"/>
      <c r="AJ361" s="21"/>
      <c r="AK361" s="21"/>
      <c r="AL361" s="21"/>
      <c r="AM361" s="21"/>
      <c r="AN361" s="21"/>
      <c r="AO361" s="21"/>
    </row>
    <row r="362" spans="1:41" s="53" customFormat="1" ht="14.25" x14ac:dyDescent="0.2">
      <c r="A362" s="48"/>
      <c r="B362" s="369"/>
      <c r="C362" s="375"/>
      <c r="D362" s="374"/>
      <c r="E362" s="374"/>
      <c r="F362" s="374"/>
      <c r="G362" s="414"/>
      <c r="H362" s="415"/>
      <c r="I362" s="291"/>
      <c r="J362" s="291"/>
      <c r="L362" s="374"/>
      <c r="M362" s="296"/>
      <c r="N362" s="316"/>
      <c r="O362" s="270"/>
      <c r="P362" s="387"/>
      <c r="Q362" s="417"/>
      <c r="T362" s="13"/>
      <c r="U362" s="369"/>
      <c r="V362" s="370"/>
      <c r="W362" s="375"/>
      <c r="X362" s="375"/>
      <c r="Y362" s="375"/>
      <c r="Z362" s="376"/>
      <c r="AA362" s="371"/>
      <c r="AB362" s="744"/>
      <c r="AC362" s="371"/>
      <c r="AD362" s="372"/>
      <c r="AE362" s="371"/>
      <c r="AF362" s="371"/>
      <c r="AG362" s="270"/>
      <c r="AH362" s="347"/>
      <c r="AI362" s="363"/>
      <c r="AJ362" s="21"/>
      <c r="AK362" s="21"/>
      <c r="AL362" s="21"/>
      <c r="AM362" s="21"/>
      <c r="AN362" s="21"/>
      <c r="AO362" s="21"/>
    </row>
    <row r="363" spans="1:41" s="53" customFormat="1" ht="14.25" x14ac:dyDescent="0.2">
      <c r="A363" s="48"/>
      <c r="B363" s="369"/>
      <c r="C363" s="375"/>
      <c r="D363" s="374"/>
      <c r="E363" s="374"/>
      <c r="F363" s="374"/>
      <c r="G363" s="414"/>
      <c r="H363" s="415"/>
      <c r="I363" s="78"/>
      <c r="J363" s="291"/>
      <c r="L363" s="374"/>
      <c r="M363" s="296"/>
      <c r="N363" s="316"/>
      <c r="O363" s="270"/>
      <c r="P363" s="418"/>
      <c r="Q363" s="417"/>
      <c r="T363" s="13"/>
      <c r="U363" s="366"/>
      <c r="V363" s="354"/>
      <c r="W363" s="355"/>
      <c r="X363" s="355"/>
      <c r="Y363" s="355"/>
      <c r="Z363" s="356" t="s">
        <v>8205</v>
      </c>
      <c r="AA363" s="328"/>
      <c r="AB363" s="744"/>
      <c r="AC363" s="328"/>
      <c r="AD363" s="333"/>
      <c r="AE363" s="328"/>
      <c r="AF363" s="328"/>
      <c r="AG363" s="346"/>
      <c r="AH363" s="347"/>
      <c r="AI363" s="363"/>
      <c r="AJ363" s="21"/>
      <c r="AK363" s="21"/>
      <c r="AL363" s="21"/>
      <c r="AM363" s="21"/>
      <c r="AN363" s="21"/>
      <c r="AO363" s="21"/>
    </row>
    <row r="364" spans="1:41" s="53" customFormat="1" ht="14.25" x14ac:dyDescent="0.2">
      <c r="A364" s="48"/>
      <c r="B364" s="369"/>
      <c r="C364" s="375"/>
      <c r="D364" s="374"/>
      <c r="E364" s="374"/>
      <c r="F364" s="374"/>
      <c r="G364" s="414"/>
      <c r="H364" s="415"/>
      <c r="I364" s="78"/>
      <c r="J364" s="291"/>
      <c r="L364" s="374"/>
      <c r="M364" s="296"/>
      <c r="N364" s="316"/>
      <c r="O364" s="270"/>
      <c r="P364" s="387"/>
      <c r="Q364" s="417"/>
      <c r="T364" s="13"/>
      <c r="U364" s="320"/>
      <c r="V364" s="354"/>
      <c r="W364" s="355"/>
      <c r="X364" s="355"/>
      <c r="Y364" s="355"/>
      <c r="Z364" s="356"/>
      <c r="AA364" s="328"/>
      <c r="AB364" s="744"/>
      <c r="AC364" s="328"/>
      <c r="AD364" s="333"/>
      <c r="AE364" s="328"/>
      <c r="AF364" s="328"/>
      <c r="AG364" s="346"/>
      <c r="AH364" s="272"/>
      <c r="AI364" s="313"/>
      <c r="AJ364" s="21"/>
      <c r="AK364" s="21"/>
      <c r="AL364" s="21"/>
      <c r="AM364" s="21"/>
      <c r="AN364" s="21"/>
      <c r="AO364" s="21"/>
    </row>
    <row r="365" spans="1:41" s="53" customFormat="1" ht="14.25" x14ac:dyDescent="0.2">
      <c r="A365" s="48"/>
      <c r="B365" s="369"/>
      <c r="C365" s="375"/>
      <c r="D365" s="374"/>
      <c r="E365" s="374"/>
      <c r="F365" s="374"/>
      <c r="G365" s="414"/>
      <c r="H365" s="415"/>
      <c r="I365" s="78"/>
      <c r="J365" s="291"/>
      <c r="L365" s="374"/>
      <c r="M365" s="296"/>
      <c r="N365" s="316"/>
      <c r="O365" s="270"/>
      <c r="P365" s="387"/>
      <c r="Q365" s="417"/>
      <c r="T365" s="13"/>
      <c r="U365" s="320"/>
      <c r="V365" s="354"/>
      <c r="W365" s="355"/>
      <c r="X365" s="355"/>
      <c r="Y365" s="355"/>
      <c r="Z365" s="356"/>
      <c r="AA365" s="328"/>
      <c r="AB365" s="744"/>
      <c r="AC365" s="328"/>
      <c r="AD365" s="333"/>
      <c r="AE365" s="328"/>
      <c r="AF365" s="328"/>
      <c r="AG365" s="346"/>
      <c r="AH365" s="347"/>
      <c r="AI365" s="363"/>
      <c r="AJ365" s="21"/>
      <c r="AK365" s="21"/>
      <c r="AL365" s="21"/>
      <c r="AM365" s="21"/>
      <c r="AN365" s="21"/>
      <c r="AO365" s="21"/>
    </row>
    <row r="366" spans="1:41" s="53" customFormat="1" ht="14.25" x14ac:dyDescent="0.2">
      <c r="A366" s="48"/>
      <c r="B366" s="369"/>
      <c r="C366" s="375"/>
      <c r="D366" s="374"/>
      <c r="E366" s="374"/>
      <c r="F366" s="374"/>
      <c r="G366" s="414"/>
      <c r="H366" s="415"/>
      <c r="I366" s="78"/>
      <c r="J366" s="291"/>
      <c r="L366" s="374"/>
      <c r="M366" s="296"/>
      <c r="N366" s="316"/>
      <c r="O366" s="377"/>
      <c r="P366" s="388"/>
      <c r="Q366" s="417"/>
      <c r="T366" s="13"/>
      <c r="U366" s="366"/>
      <c r="V366" s="354"/>
      <c r="W366" s="359"/>
      <c r="X366" s="355"/>
      <c r="Y366" s="355"/>
      <c r="Z366" s="356"/>
      <c r="AA366" s="328"/>
      <c r="AB366" s="744"/>
      <c r="AC366" s="328"/>
      <c r="AD366" s="333"/>
      <c r="AE366" s="328"/>
      <c r="AF366" s="328"/>
      <c r="AG366" s="346"/>
      <c r="AH366" s="272"/>
      <c r="AI366" s="313"/>
      <c r="AJ366" s="21"/>
      <c r="AK366" s="21"/>
      <c r="AL366" s="21"/>
      <c r="AM366" s="21"/>
      <c r="AN366" s="21"/>
      <c r="AO366" s="21"/>
    </row>
    <row r="367" spans="1:41" s="53" customFormat="1" ht="14.25" x14ac:dyDescent="0.2">
      <c r="A367" s="48"/>
      <c r="B367" s="307"/>
      <c r="C367" s="375"/>
      <c r="D367" s="266"/>
      <c r="E367" s="267"/>
      <c r="F367" s="93"/>
      <c r="G367" s="268"/>
      <c r="H367" s="269"/>
      <c r="I367" s="78"/>
      <c r="J367" s="271"/>
      <c r="L367" s="382"/>
      <c r="M367" s="296"/>
      <c r="N367" s="316"/>
      <c r="O367" s="419"/>
      <c r="P367" s="387"/>
      <c r="Q367" s="417"/>
      <c r="T367" s="13"/>
      <c r="U367" s="366"/>
      <c r="V367" s="354"/>
      <c r="W367" s="355"/>
      <c r="X367" s="355"/>
      <c r="Y367" s="355"/>
      <c r="Z367" s="356"/>
      <c r="AA367" s="328"/>
      <c r="AB367" s="744"/>
      <c r="AC367" s="328"/>
      <c r="AD367" s="333"/>
      <c r="AE367" s="328"/>
      <c r="AF367" s="328"/>
      <c r="AG367" s="346"/>
      <c r="AH367" s="272"/>
      <c r="AI367" s="313"/>
      <c r="AJ367" s="21"/>
      <c r="AK367" s="21"/>
      <c r="AL367" s="21"/>
      <c r="AM367" s="21"/>
      <c r="AN367" s="21"/>
      <c r="AO367" s="21"/>
    </row>
    <row r="368" spans="1:41" s="53" customFormat="1" ht="14.25" x14ac:dyDescent="0.2">
      <c r="A368" s="48"/>
      <c r="B368" s="307"/>
      <c r="C368" s="375"/>
      <c r="D368" s="266"/>
      <c r="E368" s="267"/>
      <c r="F368" s="93"/>
      <c r="G368" s="268"/>
      <c r="H368" s="269"/>
      <c r="I368" s="78"/>
      <c r="J368" s="271"/>
      <c r="L368" s="271"/>
      <c r="M368" s="296"/>
      <c r="N368" s="316"/>
      <c r="O368" s="419"/>
      <c r="P368" s="387"/>
      <c r="Q368" s="417"/>
      <c r="T368" s="13"/>
      <c r="U368" s="320"/>
      <c r="V368" s="354"/>
      <c r="W368" s="355"/>
      <c r="X368" s="355"/>
      <c r="Y368" s="355"/>
      <c r="Z368" s="356"/>
      <c r="AA368" s="328"/>
      <c r="AB368" s="744"/>
      <c r="AC368" s="328"/>
      <c r="AD368" s="333"/>
      <c r="AE368" s="328"/>
      <c r="AF368" s="328"/>
      <c r="AG368" s="346"/>
      <c r="AH368" s="272"/>
      <c r="AI368" s="313"/>
      <c r="AJ368" s="21"/>
      <c r="AK368" s="21"/>
      <c r="AL368" s="21"/>
      <c r="AM368" s="21"/>
      <c r="AN368" s="21"/>
      <c r="AO368" s="21"/>
    </row>
    <row r="369" spans="1:41" s="53" customFormat="1" ht="14.25" x14ac:dyDescent="0.2">
      <c r="A369" s="48"/>
      <c r="B369" s="307"/>
      <c r="C369" s="375"/>
      <c r="D369" s="266"/>
      <c r="E369" s="267"/>
      <c r="F369" s="93"/>
      <c r="G369" s="268"/>
      <c r="H369" s="269"/>
      <c r="I369" s="78"/>
      <c r="J369" s="271"/>
      <c r="L369" s="271"/>
      <c r="M369" s="296"/>
      <c r="N369" s="316"/>
      <c r="O369" s="419"/>
      <c r="P369" s="387"/>
      <c r="Q369" s="417"/>
      <c r="T369" s="13"/>
      <c r="U369" s="357"/>
      <c r="V369" s="354"/>
      <c r="W369" s="355"/>
      <c r="X369" s="330"/>
      <c r="Y369" s="354"/>
      <c r="Z369" s="356"/>
      <c r="AA369" s="328"/>
      <c r="AB369" s="744"/>
      <c r="AC369" s="346"/>
      <c r="AD369" s="333"/>
      <c r="AE369" s="346"/>
      <c r="AF369" s="346"/>
      <c r="AG369" s="346"/>
      <c r="AH369" s="272"/>
      <c r="AI369" s="313"/>
      <c r="AJ369" s="21"/>
      <c r="AK369" s="21"/>
      <c r="AL369" s="21"/>
      <c r="AM369" s="21"/>
      <c r="AN369" s="21"/>
      <c r="AO369" s="21"/>
    </row>
    <row r="370" spans="1:41" s="53" customFormat="1" ht="14.25" x14ac:dyDescent="0.2">
      <c r="A370" s="48"/>
      <c r="B370" s="307"/>
      <c r="C370" s="375"/>
      <c r="D370" s="266"/>
      <c r="E370" s="267"/>
      <c r="F370" s="93"/>
      <c r="G370" s="268"/>
      <c r="H370" s="269"/>
      <c r="I370" s="78"/>
      <c r="J370" s="271"/>
      <c r="L370" s="382"/>
      <c r="M370" s="296"/>
      <c r="N370" s="316"/>
      <c r="O370" s="377"/>
      <c r="P370" s="387"/>
      <c r="Q370" s="417"/>
      <c r="T370" s="13"/>
      <c r="U370" s="370"/>
      <c r="V370" s="370"/>
      <c r="W370" s="375"/>
      <c r="X370" s="374"/>
      <c r="Y370" s="370"/>
      <c r="Z370" s="376"/>
      <c r="AA370" s="371"/>
      <c r="AB370" s="744"/>
      <c r="AC370" s="270"/>
      <c r="AD370" s="372"/>
      <c r="AE370" s="270"/>
      <c r="AF370" s="270"/>
      <c r="AG370" s="270"/>
      <c r="AH370" s="272"/>
      <c r="AI370" s="313"/>
      <c r="AJ370" s="21"/>
      <c r="AK370" s="21"/>
      <c r="AL370" s="21"/>
      <c r="AM370" s="21"/>
      <c r="AN370" s="21"/>
      <c r="AO370" s="21"/>
    </row>
    <row r="371" spans="1:41" s="53" customFormat="1" ht="14.25" x14ac:dyDescent="0.2">
      <c r="A371" s="48"/>
      <c r="B371" s="369"/>
      <c r="C371" s="375"/>
      <c r="D371" s="374"/>
      <c r="E371" s="374"/>
      <c r="F371" s="374"/>
      <c r="G371" s="414"/>
      <c r="H371" s="415"/>
      <c r="I371" s="78"/>
      <c r="J371" s="291"/>
      <c r="L371" s="271"/>
      <c r="M371" s="296"/>
      <c r="N371" s="316"/>
      <c r="O371" s="377"/>
      <c r="P371" s="388"/>
      <c r="Q371" s="417"/>
      <c r="T371" s="13"/>
      <c r="U371" s="370"/>
      <c r="V371" s="370"/>
      <c r="W371" s="375"/>
      <c r="X371" s="374"/>
      <c r="Y371" s="370"/>
      <c r="Z371" s="376"/>
      <c r="AA371" s="371"/>
      <c r="AB371" s="744"/>
      <c r="AC371" s="270"/>
      <c r="AD371" s="372"/>
      <c r="AE371" s="270"/>
      <c r="AF371" s="270"/>
      <c r="AG371" s="270"/>
      <c r="AH371" s="272"/>
      <c r="AI371" s="313"/>
      <c r="AJ371" s="21"/>
      <c r="AK371" s="21"/>
      <c r="AL371" s="21"/>
      <c r="AM371" s="21"/>
      <c r="AN371" s="21"/>
      <c r="AO371" s="21"/>
    </row>
    <row r="372" spans="1:41" s="53" customFormat="1" ht="14.25" x14ac:dyDescent="0.2">
      <c r="A372" s="48"/>
      <c r="B372" s="306"/>
      <c r="C372" s="233"/>
      <c r="D372" s="233"/>
      <c r="F372" s="13"/>
      <c r="G372" s="13"/>
      <c r="I372" s="298"/>
      <c r="J372" s="21"/>
      <c r="L372" s="94"/>
      <c r="M372" s="296"/>
      <c r="N372" s="316"/>
      <c r="O372" s="377"/>
      <c r="P372" s="388"/>
      <c r="Q372" s="417"/>
      <c r="T372" s="13"/>
      <c r="U372" s="370"/>
      <c r="V372" s="370"/>
      <c r="W372" s="375"/>
      <c r="X372" s="374"/>
      <c r="Y372" s="370"/>
      <c r="Z372" s="376"/>
      <c r="AA372" s="371"/>
      <c r="AB372" s="744"/>
      <c r="AC372" s="270"/>
      <c r="AD372" s="372"/>
      <c r="AE372" s="270"/>
      <c r="AF372" s="270"/>
      <c r="AG372" s="270"/>
      <c r="AH372" s="272"/>
      <c r="AI372" s="313"/>
      <c r="AJ372" s="21"/>
      <c r="AK372" s="21"/>
      <c r="AL372" s="21"/>
      <c r="AM372" s="21"/>
      <c r="AN372" s="21"/>
      <c r="AO372" s="21"/>
    </row>
    <row r="373" spans="1:41" s="53" customFormat="1" ht="14.25" x14ac:dyDescent="0.2">
      <c r="A373" s="48"/>
      <c r="B373" s="306"/>
      <c r="C373" s="233"/>
      <c r="D373" s="233"/>
      <c r="F373" s="13"/>
      <c r="G373" s="13"/>
      <c r="I373" s="298"/>
      <c r="J373" s="21"/>
      <c r="L373" s="94"/>
      <c r="M373" s="296"/>
      <c r="N373" s="316"/>
      <c r="O373" s="377"/>
      <c r="P373" s="387"/>
      <c r="Q373" s="417"/>
      <c r="T373" s="13"/>
      <c r="U373" s="370"/>
      <c r="V373" s="370"/>
      <c r="W373" s="375"/>
      <c r="X373" s="374"/>
      <c r="Y373" s="370"/>
      <c r="Z373" s="376"/>
      <c r="AA373" s="371"/>
      <c r="AB373" s="744"/>
      <c r="AC373" s="270"/>
      <c r="AD373" s="372"/>
      <c r="AE373" s="270"/>
      <c r="AF373" s="270"/>
      <c r="AG373" s="270"/>
      <c r="AH373" s="272"/>
      <c r="AI373" s="313"/>
      <c r="AJ373" s="21"/>
      <c r="AK373" s="21"/>
      <c r="AL373" s="21"/>
      <c r="AM373" s="21"/>
      <c r="AN373" s="21"/>
      <c r="AO373" s="21"/>
    </row>
    <row r="374" spans="1:41" s="53" customFormat="1" ht="14.25" x14ac:dyDescent="0.2">
      <c r="A374" s="48"/>
      <c r="B374" s="306"/>
      <c r="C374" s="233"/>
      <c r="D374" s="233"/>
      <c r="F374" s="13"/>
      <c r="G374" s="13"/>
      <c r="I374" s="298"/>
      <c r="J374" s="21"/>
      <c r="L374" s="117"/>
      <c r="M374" s="296"/>
      <c r="N374" s="316"/>
      <c r="O374" s="377"/>
      <c r="P374" s="387"/>
      <c r="Q374" s="417"/>
      <c r="T374" s="13"/>
      <c r="U374" s="370"/>
      <c r="V374" s="370"/>
      <c r="W374" s="375"/>
      <c r="X374" s="374"/>
      <c r="Y374" s="370"/>
      <c r="Z374" s="376"/>
      <c r="AA374" s="371"/>
      <c r="AB374" s="744"/>
      <c r="AC374" s="270"/>
      <c r="AD374" s="372"/>
      <c r="AE374" s="270"/>
      <c r="AF374" s="270"/>
      <c r="AG374" s="270"/>
      <c r="AH374" s="272"/>
      <c r="AI374" s="313"/>
      <c r="AJ374" s="21"/>
      <c r="AK374" s="21"/>
      <c r="AL374" s="21"/>
      <c r="AM374" s="21"/>
      <c r="AN374" s="21"/>
      <c r="AO374" s="21"/>
    </row>
    <row r="375" spans="1:41" s="53" customFormat="1" ht="14.25" x14ac:dyDescent="0.2">
      <c r="A375" s="48"/>
      <c r="B375" s="306"/>
      <c r="C375" s="233"/>
      <c r="D375" s="233"/>
      <c r="F375" s="13"/>
      <c r="G375" s="13"/>
      <c r="I375" s="298"/>
      <c r="J375" s="21"/>
      <c r="L375" s="94"/>
      <c r="M375" s="296"/>
      <c r="N375" s="316"/>
      <c r="O375" s="377"/>
      <c r="P375" s="388"/>
      <c r="Q375" s="417"/>
      <c r="T375" s="13"/>
      <c r="U375" s="370"/>
      <c r="V375" s="370"/>
      <c r="W375" s="375"/>
      <c r="X375" s="374"/>
      <c r="Y375" s="370"/>
      <c r="Z375" s="376"/>
      <c r="AA375" s="371"/>
      <c r="AB375" s="744"/>
      <c r="AC375" s="270"/>
      <c r="AD375" s="372"/>
      <c r="AE375" s="270"/>
      <c r="AF375" s="270"/>
      <c r="AG375" s="270"/>
      <c r="AH375" s="272"/>
      <c r="AI375" s="313"/>
      <c r="AJ375" s="21"/>
      <c r="AK375" s="21"/>
      <c r="AL375" s="21"/>
      <c r="AM375" s="21"/>
      <c r="AN375" s="21"/>
      <c r="AO375" s="21"/>
    </row>
    <row r="376" spans="1:41" s="53" customFormat="1" ht="14.25" x14ac:dyDescent="0.2">
      <c r="A376" s="48"/>
      <c r="B376" s="306"/>
      <c r="C376" s="233"/>
      <c r="D376" s="233"/>
      <c r="F376" s="13"/>
      <c r="G376" s="13"/>
      <c r="I376" s="298"/>
      <c r="J376" s="21"/>
      <c r="L376" s="94"/>
      <c r="M376" s="296"/>
      <c r="N376" s="316"/>
      <c r="O376" s="296"/>
      <c r="P376" s="387"/>
      <c r="Q376" s="417"/>
      <c r="T376" s="13"/>
      <c r="U376" s="370"/>
      <c r="V376" s="370"/>
      <c r="W376" s="375"/>
      <c r="X376" s="374"/>
      <c r="Y376" s="370"/>
      <c r="Z376" s="376"/>
      <c r="AA376" s="371"/>
      <c r="AB376" s="744"/>
      <c r="AC376" s="270"/>
      <c r="AD376" s="372"/>
      <c r="AE376" s="270"/>
      <c r="AF376" s="270"/>
      <c r="AG376" s="270"/>
      <c r="AH376" s="272"/>
      <c r="AI376" s="313"/>
      <c r="AJ376" s="21"/>
      <c r="AK376" s="21"/>
      <c r="AL376" s="21"/>
      <c r="AM376" s="21"/>
      <c r="AN376" s="21"/>
      <c r="AO376" s="21"/>
    </row>
    <row r="377" spans="1:41" s="53" customFormat="1" ht="14.25" x14ac:dyDescent="0.2">
      <c r="A377" s="48"/>
      <c r="B377" s="306"/>
      <c r="C377" s="233"/>
      <c r="D377" s="233"/>
      <c r="F377" s="13"/>
      <c r="G377" s="13"/>
      <c r="I377" s="298"/>
      <c r="J377" s="21"/>
      <c r="L377" s="94"/>
      <c r="M377" s="296"/>
      <c r="N377" s="316"/>
      <c r="O377" s="296"/>
      <c r="P377" s="388"/>
      <c r="Q377" s="417"/>
      <c r="T377" s="13"/>
      <c r="U377" s="370"/>
      <c r="V377" s="370"/>
      <c r="W377" s="375"/>
      <c r="X377" s="374"/>
      <c r="Y377" s="370"/>
      <c r="Z377" s="376"/>
      <c r="AA377" s="371"/>
      <c r="AB377" s="744"/>
      <c r="AC377" s="270"/>
      <c r="AD377" s="372"/>
      <c r="AE377" s="270"/>
      <c r="AF377" s="270"/>
      <c r="AG377" s="270"/>
      <c r="AH377" s="272"/>
      <c r="AI377" s="313"/>
      <c r="AJ377" s="21"/>
      <c r="AK377" s="21"/>
      <c r="AL377" s="21"/>
      <c r="AM377" s="21"/>
      <c r="AN377" s="21"/>
      <c r="AO377" s="21"/>
    </row>
    <row r="378" spans="1:41" s="53" customFormat="1" ht="14.25" x14ac:dyDescent="0.2">
      <c r="A378" s="48"/>
      <c r="B378" s="306"/>
      <c r="C378" s="233"/>
      <c r="D378" s="233"/>
      <c r="F378" s="13"/>
      <c r="G378" s="13"/>
      <c r="I378" s="298"/>
      <c r="J378" s="21"/>
      <c r="L378" s="94"/>
      <c r="M378" s="296"/>
      <c r="N378" s="316"/>
      <c r="O378" s="377"/>
      <c r="P378" s="387"/>
      <c r="Q378" s="417"/>
      <c r="T378" s="13"/>
      <c r="U378" s="370"/>
      <c r="V378" s="370"/>
      <c r="W378" s="375"/>
      <c r="X378" s="374"/>
      <c r="Y378" s="370"/>
      <c r="Z378" s="376"/>
      <c r="AA378" s="371"/>
      <c r="AB378" s="744"/>
      <c r="AC378" s="270"/>
      <c r="AD378" s="372"/>
      <c r="AE378" s="270"/>
      <c r="AF378" s="270"/>
      <c r="AG378" s="270"/>
      <c r="AH378" s="272"/>
      <c r="AI378" s="313"/>
      <c r="AJ378" s="21"/>
      <c r="AK378" s="21"/>
      <c r="AL378" s="21"/>
      <c r="AM378" s="21"/>
      <c r="AN378" s="21"/>
      <c r="AO378" s="21"/>
    </row>
    <row r="379" spans="1:41" s="53" customFormat="1" ht="14.25" x14ac:dyDescent="0.2">
      <c r="A379" s="48"/>
      <c r="B379" s="306"/>
      <c r="C379" s="233"/>
      <c r="D379" s="233"/>
      <c r="F379" s="13"/>
      <c r="G379" s="13"/>
      <c r="I379" s="298"/>
      <c r="J379" s="21"/>
      <c r="L379" s="385"/>
      <c r="M379" s="296"/>
      <c r="N379" s="316"/>
      <c r="O379" s="377"/>
      <c r="P379" s="387"/>
      <c r="Q379" s="417"/>
      <c r="T379" s="13"/>
      <c r="U379" s="370"/>
      <c r="V379" s="370"/>
      <c r="W379" s="375"/>
      <c r="X379" s="374"/>
      <c r="Y379" s="370"/>
      <c r="Z379" s="376"/>
      <c r="AA379" s="371"/>
      <c r="AB379" s="744"/>
      <c r="AC379" s="270"/>
      <c r="AD379" s="372"/>
      <c r="AE379" s="270"/>
      <c r="AF379" s="270"/>
      <c r="AG379" s="270"/>
      <c r="AH379" s="272"/>
      <c r="AI379" s="313"/>
      <c r="AJ379" s="21"/>
      <c r="AK379" s="21"/>
      <c r="AL379" s="21"/>
      <c r="AM379" s="21"/>
      <c r="AN379" s="21"/>
      <c r="AO379" s="21"/>
    </row>
    <row r="380" spans="1:41" s="53" customFormat="1" ht="14.25" x14ac:dyDescent="0.2">
      <c r="A380" s="48"/>
      <c r="B380" s="306"/>
      <c r="C380" s="233"/>
      <c r="D380" s="233"/>
      <c r="F380" s="13"/>
      <c r="G380" s="13"/>
      <c r="I380" s="298"/>
      <c r="J380" s="21"/>
      <c r="L380" s="94"/>
      <c r="M380" s="296"/>
      <c r="N380" s="316"/>
      <c r="O380" s="377"/>
      <c r="P380" s="387"/>
      <c r="Q380" s="417"/>
      <c r="T380" s="13"/>
      <c r="U380" s="370"/>
      <c r="V380" s="370"/>
      <c r="W380" s="375"/>
      <c r="X380" s="374"/>
      <c r="Y380" s="370"/>
      <c r="Z380" s="376"/>
      <c r="AA380" s="371"/>
      <c r="AB380" s="744"/>
      <c r="AC380" s="270"/>
      <c r="AD380" s="372"/>
      <c r="AE380" s="270"/>
      <c r="AF380" s="270"/>
      <c r="AG380" s="270"/>
      <c r="AH380" s="272"/>
      <c r="AI380" s="313"/>
      <c r="AJ380" s="21"/>
      <c r="AK380" s="21"/>
      <c r="AL380" s="21"/>
      <c r="AM380" s="21"/>
      <c r="AN380" s="21"/>
      <c r="AO380" s="21"/>
    </row>
    <row r="381" spans="1:41" s="53" customFormat="1" ht="14.25" x14ac:dyDescent="0.2">
      <c r="A381" s="48"/>
      <c r="B381" s="306"/>
      <c r="C381" s="233"/>
      <c r="D381" s="233"/>
      <c r="F381" s="13"/>
      <c r="G381" s="13"/>
      <c r="I381" s="298"/>
      <c r="J381" s="21"/>
      <c r="L381" s="94"/>
      <c r="M381" s="296"/>
      <c r="N381" s="316"/>
      <c r="O381" s="377"/>
      <c r="P381" s="387"/>
      <c r="Q381" s="417"/>
      <c r="T381" s="13"/>
      <c r="U381" s="370"/>
      <c r="V381" s="370"/>
      <c r="W381" s="375"/>
      <c r="X381" s="374"/>
      <c r="Y381" s="370"/>
      <c r="Z381" s="376"/>
      <c r="AA381" s="371"/>
      <c r="AB381" s="744"/>
      <c r="AC381" s="270"/>
      <c r="AD381" s="372"/>
      <c r="AE381" s="270"/>
      <c r="AF381" s="270"/>
      <c r="AG381" s="270"/>
      <c r="AH381" s="272"/>
      <c r="AI381" s="313"/>
      <c r="AJ381" s="21"/>
      <c r="AK381" s="21"/>
      <c r="AL381" s="21"/>
      <c r="AM381" s="21"/>
      <c r="AN381" s="21"/>
      <c r="AO381" s="21"/>
    </row>
    <row r="382" spans="1:41" s="53" customFormat="1" ht="14.25" x14ac:dyDescent="0.2">
      <c r="A382" s="48"/>
      <c r="B382" s="306"/>
      <c r="C382" s="233"/>
      <c r="D382" s="233"/>
      <c r="F382" s="13"/>
      <c r="G382" s="13"/>
      <c r="I382" s="298"/>
      <c r="J382" s="21"/>
      <c r="L382" s="94"/>
      <c r="M382" s="296"/>
      <c r="N382" s="316"/>
      <c r="O382" s="377"/>
      <c r="P382" s="387"/>
      <c r="Q382" s="417"/>
      <c r="T382" s="13"/>
      <c r="U382" s="370"/>
      <c r="V382" s="370"/>
      <c r="W382" s="375"/>
      <c r="X382" s="374"/>
      <c r="Y382" s="370"/>
      <c r="Z382" s="376"/>
      <c r="AA382" s="371"/>
      <c r="AB382" s="744"/>
      <c r="AC382" s="270"/>
      <c r="AD382" s="372"/>
      <c r="AE382" s="270"/>
      <c r="AF382" s="270"/>
      <c r="AG382" s="270"/>
      <c r="AH382" s="272"/>
      <c r="AI382" s="313"/>
      <c r="AJ382" s="21"/>
      <c r="AK382" s="21"/>
      <c r="AL382" s="21"/>
      <c r="AM382" s="21"/>
      <c r="AN382" s="21"/>
      <c r="AO382" s="21"/>
    </row>
    <row r="383" spans="1:41" s="53" customFormat="1" ht="14.25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O383" s="296"/>
      <c r="P383" s="387"/>
      <c r="Q383" s="417"/>
      <c r="T383" s="13"/>
      <c r="U383" s="370"/>
      <c r="V383" s="370"/>
      <c r="W383" s="375"/>
      <c r="X383" s="374"/>
      <c r="Y383" s="370"/>
      <c r="Z383" s="376"/>
      <c r="AA383" s="371"/>
      <c r="AB383" s="744"/>
      <c r="AC383" s="270"/>
      <c r="AD383" s="372"/>
      <c r="AE383" s="270"/>
      <c r="AF383" s="270"/>
      <c r="AG383" s="270"/>
      <c r="AH383" s="272"/>
      <c r="AI383" s="313"/>
      <c r="AJ383" s="21"/>
      <c r="AK383" s="21"/>
      <c r="AL383" s="21"/>
      <c r="AM383" s="21"/>
      <c r="AN383" s="21"/>
      <c r="AO383" s="21"/>
    </row>
    <row r="384" spans="1:41" s="53" customFormat="1" ht="14.25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O384" s="296"/>
      <c r="P384" s="387"/>
      <c r="Q384" s="417"/>
      <c r="T384" s="13"/>
      <c r="U384" s="370"/>
      <c r="V384" s="370"/>
      <c r="W384" s="375"/>
      <c r="X384" s="374"/>
      <c r="Y384" s="370"/>
      <c r="Z384" s="376"/>
      <c r="AA384" s="371"/>
      <c r="AB384" s="744"/>
      <c r="AC384" s="270"/>
      <c r="AD384" s="372"/>
      <c r="AE384" s="270"/>
      <c r="AF384" s="270"/>
      <c r="AG384" s="270"/>
      <c r="AH384" s="272"/>
      <c r="AI384" s="313"/>
      <c r="AJ384" s="21"/>
      <c r="AK384" s="21"/>
      <c r="AL384" s="21"/>
      <c r="AM384" s="21"/>
      <c r="AN384" s="21"/>
      <c r="AO384" s="21"/>
    </row>
    <row r="385" spans="1:41" s="53" customFormat="1" ht="14.25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O385" s="296"/>
      <c r="P385" s="387"/>
      <c r="Q385" s="417"/>
      <c r="T385" s="13"/>
      <c r="U385" s="370"/>
      <c r="V385" s="370"/>
      <c r="W385" s="375"/>
      <c r="X385" s="374"/>
      <c r="Y385" s="370"/>
      <c r="Z385" s="376"/>
      <c r="AA385" s="371"/>
      <c r="AB385" s="744"/>
      <c r="AC385" s="270"/>
      <c r="AD385" s="372"/>
      <c r="AE385" s="270"/>
      <c r="AF385" s="270"/>
      <c r="AG385" s="270"/>
      <c r="AH385" s="272"/>
      <c r="AI385" s="313"/>
      <c r="AJ385" s="21"/>
      <c r="AK385" s="21"/>
      <c r="AL385" s="21"/>
      <c r="AM385" s="21"/>
      <c r="AN385" s="21"/>
      <c r="AO385" s="21"/>
    </row>
    <row r="386" spans="1:41" s="53" customFormat="1" ht="14.25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296"/>
      <c r="P386" s="387"/>
      <c r="Q386" s="417"/>
      <c r="T386" s="13"/>
      <c r="U386" s="370"/>
      <c r="V386" s="370"/>
      <c r="W386" s="375"/>
      <c r="X386" s="374"/>
      <c r="Y386" s="370"/>
      <c r="Z386" s="376"/>
      <c r="AA386" s="371"/>
      <c r="AB386" s="744"/>
      <c r="AC386" s="270"/>
      <c r="AD386" s="372"/>
      <c r="AE386" s="270"/>
      <c r="AF386" s="270"/>
      <c r="AG386" s="270"/>
      <c r="AH386" s="272"/>
      <c r="AI386" s="313"/>
      <c r="AJ386" s="21"/>
      <c r="AK386" s="21"/>
      <c r="AL386" s="21"/>
      <c r="AM386" s="21"/>
      <c r="AN386" s="21"/>
      <c r="AO386" s="21"/>
    </row>
    <row r="387" spans="1:41" s="53" customFormat="1" ht="14.25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362"/>
      <c r="P387" s="387"/>
      <c r="Q387" s="417"/>
      <c r="T387" s="13"/>
      <c r="U387" s="370"/>
      <c r="V387" s="370"/>
      <c r="W387" s="375"/>
      <c r="X387" s="374"/>
      <c r="Y387" s="370"/>
      <c r="Z387" s="376"/>
      <c r="AA387" s="371"/>
      <c r="AB387" s="744"/>
      <c r="AC387" s="270"/>
      <c r="AD387" s="372"/>
      <c r="AE387" s="270"/>
      <c r="AF387" s="270"/>
      <c r="AG387" s="270"/>
      <c r="AH387" s="272"/>
      <c r="AI387" s="313"/>
      <c r="AJ387" s="21"/>
      <c r="AK387" s="21"/>
      <c r="AL387" s="21"/>
      <c r="AM387" s="21"/>
      <c r="AN387" s="21"/>
      <c r="AO387" s="21"/>
    </row>
    <row r="388" spans="1:41" s="53" customFormat="1" ht="14.25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296"/>
      <c r="P388" s="387"/>
      <c r="Q388" s="417"/>
      <c r="T388" s="13"/>
      <c r="U388" s="370"/>
      <c r="V388" s="370"/>
      <c r="W388" s="375"/>
      <c r="X388" s="374"/>
      <c r="Y388" s="370"/>
      <c r="Z388" s="376"/>
      <c r="AA388" s="371"/>
      <c r="AB388" s="744"/>
      <c r="AC388" s="270"/>
      <c r="AD388" s="372"/>
      <c r="AE388" s="270"/>
      <c r="AF388" s="270"/>
      <c r="AG388" s="270"/>
      <c r="AH388" s="272"/>
      <c r="AI388" s="313"/>
      <c r="AJ388" s="21"/>
      <c r="AK388" s="21"/>
      <c r="AL388" s="21"/>
      <c r="AM388" s="21"/>
      <c r="AN388" s="21"/>
      <c r="AO388" s="21"/>
    </row>
    <row r="389" spans="1:41" s="53" customFormat="1" ht="14.25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296"/>
      <c r="P389" s="387"/>
      <c r="Q389" s="417"/>
      <c r="T389" s="13"/>
      <c r="U389" s="370"/>
      <c r="V389" s="370"/>
      <c r="W389" s="375"/>
      <c r="X389" s="374"/>
      <c r="Y389" s="370"/>
      <c r="Z389" s="376"/>
      <c r="AA389" s="371"/>
      <c r="AB389" s="744"/>
      <c r="AC389" s="270"/>
      <c r="AD389" s="372"/>
      <c r="AE389" s="270"/>
      <c r="AF389" s="270"/>
      <c r="AG389" s="270"/>
      <c r="AH389" s="272"/>
      <c r="AI389" s="313"/>
      <c r="AJ389" s="21"/>
      <c r="AK389" s="21"/>
      <c r="AL389" s="21"/>
      <c r="AM389" s="21"/>
      <c r="AN389" s="21"/>
      <c r="AO389" s="21"/>
    </row>
    <row r="390" spans="1:41" s="53" customFormat="1" ht="14.25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296"/>
      <c r="P390" s="387"/>
      <c r="Q390" s="417"/>
      <c r="T390" s="13"/>
      <c r="U390" s="370"/>
      <c r="V390" s="370"/>
      <c r="W390" s="375"/>
      <c r="X390" s="374"/>
      <c r="Y390" s="370"/>
      <c r="Z390" s="376"/>
      <c r="AA390" s="371"/>
      <c r="AB390" s="744"/>
      <c r="AC390" s="270"/>
      <c r="AD390" s="372"/>
      <c r="AE390" s="270"/>
      <c r="AF390" s="270"/>
      <c r="AG390" s="270"/>
      <c r="AH390" s="272"/>
      <c r="AI390" s="313"/>
      <c r="AJ390" s="21"/>
      <c r="AK390" s="21"/>
      <c r="AL390" s="21"/>
      <c r="AM390" s="21"/>
      <c r="AN390" s="21"/>
      <c r="AO390" s="21"/>
    </row>
    <row r="391" spans="1:41" s="53" customFormat="1" ht="14.25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296"/>
      <c r="P391" s="388"/>
      <c r="Q391" s="417"/>
      <c r="T391" s="13"/>
      <c r="U391" s="370"/>
      <c r="V391" s="370"/>
      <c r="W391" s="375"/>
      <c r="X391" s="374"/>
      <c r="Y391" s="370"/>
      <c r="Z391" s="376"/>
      <c r="AA391" s="371"/>
      <c r="AB391" s="744"/>
      <c r="AC391" s="270"/>
      <c r="AD391" s="372"/>
      <c r="AE391" s="270"/>
      <c r="AF391" s="270"/>
      <c r="AG391" s="270"/>
      <c r="AH391" s="272"/>
      <c r="AI391" s="313"/>
      <c r="AJ391" s="21"/>
      <c r="AK391" s="21"/>
      <c r="AL391" s="21"/>
      <c r="AM391" s="21"/>
      <c r="AN391" s="21"/>
      <c r="AO391" s="21"/>
    </row>
    <row r="392" spans="1:41" s="53" customFormat="1" ht="14.25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296"/>
      <c r="P392" s="386"/>
      <c r="Q392" s="420"/>
      <c r="T392" s="13"/>
      <c r="U392" s="370"/>
      <c r="V392" s="370"/>
      <c r="W392" s="375"/>
      <c r="X392" s="374"/>
      <c r="Y392" s="370"/>
      <c r="Z392" s="376"/>
      <c r="AA392" s="371"/>
      <c r="AB392" s="744"/>
      <c r="AC392" s="270"/>
      <c r="AD392" s="372"/>
      <c r="AE392" s="270"/>
      <c r="AF392" s="270"/>
      <c r="AG392" s="270"/>
      <c r="AH392" s="272"/>
      <c r="AI392" s="313"/>
      <c r="AJ392" s="21"/>
      <c r="AK392" s="21"/>
      <c r="AL392" s="21"/>
      <c r="AM392" s="21"/>
      <c r="AN392" s="21"/>
      <c r="AO392" s="21"/>
    </row>
    <row r="393" spans="1:41" s="53" customFormat="1" ht="14.25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296"/>
      <c r="P393" s="387"/>
      <c r="Q393" s="417"/>
      <c r="T393" s="13"/>
      <c r="U393" s="370"/>
      <c r="V393" s="370"/>
      <c r="W393" s="375"/>
      <c r="X393" s="374"/>
      <c r="Y393" s="370"/>
      <c r="Z393" s="376"/>
      <c r="AA393" s="371"/>
      <c r="AB393" s="744"/>
      <c r="AC393" s="270"/>
      <c r="AD393" s="372"/>
      <c r="AE393" s="270"/>
      <c r="AF393" s="270"/>
      <c r="AG393" s="270"/>
      <c r="AH393" s="272"/>
      <c r="AI393" s="313"/>
      <c r="AJ393" s="21"/>
      <c r="AK393" s="21"/>
      <c r="AL393" s="21"/>
      <c r="AM393" s="21"/>
      <c r="AN393" s="21"/>
      <c r="AO393" s="21"/>
    </row>
    <row r="394" spans="1:41" s="53" customFormat="1" ht="14.25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296"/>
      <c r="P394" s="387"/>
      <c r="Q394" s="417"/>
      <c r="T394" s="13"/>
      <c r="U394" s="370"/>
      <c r="V394" s="370"/>
      <c r="W394" s="375"/>
      <c r="X394" s="374"/>
      <c r="Y394" s="370"/>
      <c r="Z394" s="376"/>
      <c r="AA394" s="371"/>
      <c r="AB394" s="744"/>
      <c r="AC394" s="270"/>
      <c r="AD394" s="372"/>
      <c r="AE394" s="270"/>
      <c r="AF394" s="270"/>
      <c r="AG394" s="270"/>
      <c r="AH394" s="272"/>
      <c r="AI394" s="313"/>
      <c r="AJ394" s="21"/>
      <c r="AK394" s="21"/>
      <c r="AL394" s="21"/>
      <c r="AM394" s="21"/>
      <c r="AN394" s="21"/>
      <c r="AO394" s="21"/>
    </row>
    <row r="395" spans="1:41" s="53" customFormat="1" ht="14.25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296"/>
      <c r="P395" s="387"/>
      <c r="Q395" s="417"/>
      <c r="T395" s="13"/>
      <c r="U395" s="370"/>
      <c r="V395" s="370"/>
      <c r="W395" s="375"/>
      <c r="X395" s="374"/>
      <c r="Y395" s="370"/>
      <c r="Z395" s="376"/>
      <c r="AA395" s="371"/>
      <c r="AB395" s="744"/>
      <c r="AC395" s="270"/>
      <c r="AD395" s="372"/>
      <c r="AE395" s="270"/>
      <c r="AF395" s="270"/>
      <c r="AG395" s="270"/>
      <c r="AH395" s="272"/>
      <c r="AI395" s="313"/>
      <c r="AJ395" s="21"/>
      <c r="AK395" s="21"/>
      <c r="AL395" s="21"/>
      <c r="AM395" s="21"/>
      <c r="AN395" s="21"/>
      <c r="AO395" s="21"/>
    </row>
    <row r="396" spans="1:41" s="53" customFormat="1" ht="14.25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296"/>
      <c r="P396" s="387"/>
      <c r="Q396" s="417"/>
      <c r="T396" s="13"/>
      <c r="U396" s="370"/>
      <c r="V396" s="370"/>
      <c r="W396" s="375"/>
      <c r="X396" s="374"/>
      <c r="Y396" s="370"/>
      <c r="Z396" s="376"/>
      <c r="AA396" s="371"/>
      <c r="AB396" s="744"/>
      <c r="AC396" s="270"/>
      <c r="AD396" s="372"/>
      <c r="AE396" s="270"/>
      <c r="AF396" s="270"/>
      <c r="AG396" s="270"/>
      <c r="AH396" s="272"/>
      <c r="AI396" s="313"/>
      <c r="AJ396" s="21"/>
      <c r="AK396" s="21"/>
      <c r="AL396" s="21"/>
      <c r="AM396" s="21"/>
      <c r="AN396" s="21"/>
      <c r="AO396" s="21"/>
    </row>
    <row r="397" spans="1:41" s="53" customFormat="1" ht="14.25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296"/>
      <c r="P397" s="387"/>
      <c r="Q397" s="417"/>
      <c r="T397" s="13"/>
      <c r="U397" s="370"/>
      <c r="V397" s="370"/>
      <c r="W397" s="375"/>
      <c r="X397" s="374"/>
      <c r="Y397" s="370"/>
      <c r="Z397" s="376"/>
      <c r="AA397" s="371"/>
      <c r="AB397" s="744"/>
      <c r="AC397" s="270"/>
      <c r="AD397" s="372"/>
      <c r="AE397" s="270"/>
      <c r="AF397" s="270"/>
      <c r="AG397" s="270"/>
      <c r="AH397" s="272"/>
      <c r="AI397" s="313"/>
      <c r="AJ397" s="21"/>
      <c r="AK397" s="21"/>
      <c r="AL397" s="21"/>
      <c r="AM397" s="21"/>
      <c r="AN397" s="21"/>
      <c r="AO397" s="21"/>
    </row>
    <row r="398" spans="1:41" s="53" customFormat="1" ht="14.25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296"/>
      <c r="P398" s="388"/>
      <c r="Q398" s="417"/>
      <c r="T398" s="13"/>
      <c r="U398" s="370"/>
      <c r="V398" s="370"/>
      <c r="W398" s="375"/>
      <c r="X398" s="374"/>
      <c r="Y398" s="370"/>
      <c r="Z398" s="376"/>
      <c r="AA398" s="371"/>
      <c r="AB398" s="744"/>
      <c r="AC398" s="270"/>
      <c r="AD398" s="372"/>
      <c r="AE398" s="270"/>
      <c r="AF398" s="270"/>
      <c r="AG398" s="270"/>
      <c r="AH398" s="272"/>
      <c r="AI398" s="313"/>
      <c r="AJ398" s="21"/>
      <c r="AK398" s="21"/>
      <c r="AL398" s="21"/>
      <c r="AM398" s="21"/>
      <c r="AN398" s="21"/>
      <c r="AO398" s="21"/>
    </row>
    <row r="399" spans="1:41" s="53" customFormat="1" ht="14.25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296"/>
      <c r="P399" s="387"/>
      <c r="Q399" s="417"/>
      <c r="T399" s="13"/>
      <c r="U399" s="370"/>
      <c r="V399" s="370"/>
      <c r="W399" s="375"/>
      <c r="X399" s="374"/>
      <c r="Y399" s="370"/>
      <c r="Z399" s="376"/>
      <c r="AA399" s="371"/>
      <c r="AB399" s="744"/>
      <c r="AC399" s="270"/>
      <c r="AD399" s="372"/>
      <c r="AE399" s="270"/>
      <c r="AF399" s="270"/>
      <c r="AG399" s="270"/>
      <c r="AH399" s="272"/>
      <c r="AI399" s="313"/>
      <c r="AJ399" s="21"/>
      <c r="AK399" s="21"/>
      <c r="AL399" s="21"/>
      <c r="AM399" s="21"/>
      <c r="AN399" s="21"/>
      <c r="AO399" s="21"/>
    </row>
    <row r="400" spans="1:41" s="53" customFormat="1" ht="14.25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296"/>
      <c r="P400" s="387"/>
      <c r="Q400" s="417"/>
      <c r="T400" s="13"/>
      <c r="U400" s="370"/>
      <c r="V400" s="370"/>
      <c r="W400" s="375"/>
      <c r="X400" s="374"/>
      <c r="Y400" s="370"/>
      <c r="Z400" s="376"/>
      <c r="AA400" s="371"/>
      <c r="AB400" s="744"/>
      <c r="AC400" s="270"/>
      <c r="AD400" s="372"/>
      <c r="AE400" s="270"/>
      <c r="AF400" s="270"/>
      <c r="AG400" s="270"/>
      <c r="AH400" s="272"/>
      <c r="AI400" s="313"/>
      <c r="AJ400" s="21"/>
      <c r="AK400" s="21"/>
      <c r="AL400" s="21"/>
      <c r="AM400" s="21"/>
      <c r="AN400" s="21"/>
      <c r="AO400" s="21"/>
    </row>
    <row r="401" spans="1:41" s="53" customFormat="1" ht="14.25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296"/>
      <c r="P401" s="387"/>
      <c r="Q401" s="417"/>
      <c r="T401" s="13"/>
      <c r="U401" s="370"/>
      <c r="V401" s="370"/>
      <c r="W401" s="375"/>
      <c r="X401" s="374"/>
      <c r="Y401" s="370"/>
      <c r="Z401" s="376"/>
      <c r="AA401" s="371"/>
      <c r="AB401" s="744"/>
      <c r="AC401" s="270"/>
      <c r="AD401" s="372"/>
      <c r="AE401" s="270"/>
      <c r="AF401" s="270"/>
      <c r="AG401" s="270"/>
      <c r="AH401" s="272"/>
      <c r="AI401" s="313"/>
      <c r="AJ401" s="21"/>
      <c r="AK401" s="21"/>
      <c r="AL401" s="21"/>
      <c r="AM401" s="21"/>
      <c r="AN401" s="21"/>
      <c r="AO401" s="21"/>
    </row>
    <row r="402" spans="1:41" s="53" customFormat="1" ht="14.25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296"/>
      <c r="P402" s="387"/>
      <c r="Q402" s="417"/>
      <c r="T402" s="13"/>
      <c r="U402" s="370"/>
      <c r="V402" s="370"/>
      <c r="W402" s="375"/>
      <c r="X402" s="374"/>
      <c r="Y402" s="370"/>
      <c r="Z402" s="376"/>
      <c r="AA402" s="371"/>
      <c r="AB402" s="744"/>
      <c r="AC402" s="270"/>
      <c r="AD402" s="372"/>
      <c r="AE402" s="270"/>
      <c r="AF402" s="270"/>
      <c r="AG402" s="270"/>
      <c r="AH402" s="272"/>
      <c r="AI402" s="313"/>
      <c r="AJ402" s="21"/>
      <c r="AK402" s="21"/>
      <c r="AL402" s="21"/>
      <c r="AM402" s="21"/>
      <c r="AN402" s="21"/>
      <c r="AO402" s="21"/>
    </row>
    <row r="403" spans="1:41" s="53" customFormat="1" ht="14.25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97"/>
      <c r="P403" s="387"/>
      <c r="Q403" s="417"/>
      <c r="T403" s="13"/>
      <c r="U403" s="370"/>
      <c r="V403" s="370"/>
      <c r="W403" s="375"/>
      <c r="X403" s="374"/>
      <c r="Y403" s="370"/>
      <c r="Z403" s="376"/>
      <c r="AA403" s="371"/>
      <c r="AB403" s="744"/>
      <c r="AC403" s="270"/>
      <c r="AD403" s="372"/>
      <c r="AE403" s="270"/>
      <c r="AF403" s="270"/>
      <c r="AG403" s="270"/>
      <c r="AH403" s="272"/>
      <c r="AI403" s="313"/>
      <c r="AJ403" s="21"/>
      <c r="AK403" s="21"/>
      <c r="AL403" s="21"/>
      <c r="AM403" s="21"/>
      <c r="AN403" s="21"/>
      <c r="AO403" s="21"/>
    </row>
    <row r="404" spans="1:41" s="53" customFormat="1" ht="14.25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97"/>
      <c r="P404" s="387"/>
      <c r="Q404" s="417"/>
      <c r="T404" s="13"/>
      <c r="U404" s="370"/>
      <c r="V404" s="370"/>
      <c r="W404" s="375"/>
      <c r="X404" s="374"/>
      <c r="Y404" s="370"/>
      <c r="Z404" s="376"/>
      <c r="AA404" s="371"/>
      <c r="AB404" s="744"/>
      <c r="AC404" s="270"/>
      <c r="AD404" s="372"/>
      <c r="AE404" s="270"/>
      <c r="AF404" s="270"/>
      <c r="AG404" s="270"/>
      <c r="AH404" s="272"/>
      <c r="AI404" s="313"/>
      <c r="AJ404" s="21"/>
      <c r="AK404" s="21"/>
      <c r="AL404" s="21"/>
      <c r="AM404" s="21"/>
      <c r="AN404" s="21"/>
      <c r="AO404" s="21"/>
    </row>
    <row r="405" spans="1:41" s="53" customFormat="1" ht="14.25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97"/>
      <c r="P405" s="388"/>
      <c r="Q405" s="417"/>
      <c r="T405" s="13"/>
      <c r="U405" s="370"/>
      <c r="V405" s="370"/>
      <c r="W405" s="375"/>
      <c r="X405" s="374"/>
      <c r="Y405" s="370"/>
      <c r="Z405" s="376"/>
      <c r="AA405" s="371"/>
      <c r="AB405" s="744"/>
      <c r="AC405" s="270"/>
      <c r="AD405" s="372"/>
      <c r="AE405" s="270"/>
      <c r="AF405" s="270"/>
      <c r="AG405" s="270"/>
      <c r="AH405" s="272"/>
      <c r="AI405" s="313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97"/>
      <c r="P406" s="296"/>
      <c r="Q406" s="316"/>
      <c r="R406" s="362"/>
      <c r="S406" s="291"/>
      <c r="T406" s="13"/>
      <c r="U406" s="370"/>
      <c r="V406" s="370"/>
      <c r="W406" s="375"/>
      <c r="X406" s="374"/>
      <c r="Y406" s="370"/>
      <c r="Z406" s="376"/>
      <c r="AA406" s="371"/>
      <c r="AB406" s="744"/>
      <c r="AC406" s="270"/>
      <c r="AD406" s="372"/>
      <c r="AE406" s="270"/>
      <c r="AF406" s="270"/>
      <c r="AG406" s="270"/>
      <c r="AH406" s="272"/>
      <c r="AI406" s="313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97"/>
      <c r="P407" s="296"/>
      <c r="Q407" s="421"/>
      <c r="R407" s="362"/>
      <c r="S407" s="291"/>
      <c r="T407" s="13"/>
      <c r="U407" s="370"/>
      <c r="V407" s="370"/>
      <c r="W407" s="375"/>
      <c r="X407" s="374"/>
      <c r="Y407" s="370"/>
      <c r="Z407" s="376"/>
      <c r="AA407" s="371"/>
      <c r="AB407" s="744"/>
      <c r="AC407" s="270"/>
      <c r="AD407" s="372"/>
      <c r="AE407" s="270"/>
      <c r="AF407" s="270"/>
      <c r="AG407" s="270"/>
      <c r="AH407" s="272"/>
      <c r="AI407" s="313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97"/>
      <c r="P408" s="296"/>
      <c r="Q408" s="421"/>
      <c r="R408" s="362"/>
      <c r="S408" s="291"/>
      <c r="T408" s="13"/>
      <c r="U408" s="370"/>
      <c r="V408" s="370"/>
      <c r="W408" s="375"/>
      <c r="X408" s="374"/>
      <c r="Y408" s="370"/>
      <c r="Z408" s="376"/>
      <c r="AA408" s="371"/>
      <c r="AB408" s="744"/>
      <c r="AC408" s="270"/>
      <c r="AD408" s="372"/>
      <c r="AE408" s="270"/>
      <c r="AF408" s="270"/>
      <c r="AG408" s="270"/>
      <c r="AH408" s="272"/>
      <c r="AI408" s="313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97"/>
      <c r="P409" s="296"/>
      <c r="Q409" s="421"/>
      <c r="R409" s="362"/>
      <c r="S409" s="291"/>
      <c r="T409" s="13"/>
      <c r="U409" s="370"/>
      <c r="V409" s="370"/>
      <c r="W409" s="375"/>
      <c r="X409" s="374"/>
      <c r="Y409" s="370"/>
      <c r="Z409" s="376"/>
      <c r="AA409" s="371"/>
      <c r="AB409" s="744"/>
      <c r="AC409" s="270"/>
      <c r="AD409" s="372"/>
      <c r="AE409" s="270"/>
      <c r="AF409" s="270"/>
      <c r="AG409" s="270"/>
      <c r="AH409" s="272"/>
      <c r="AI409" s="313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97"/>
      <c r="P410" s="296"/>
      <c r="Q410" s="421"/>
      <c r="R410" s="383"/>
      <c r="S410" s="21"/>
      <c r="T410" s="13"/>
      <c r="U410" s="370"/>
      <c r="V410" s="370"/>
      <c r="W410" s="375"/>
      <c r="X410" s="374"/>
      <c r="Y410" s="370"/>
      <c r="Z410" s="376"/>
      <c r="AA410" s="371"/>
      <c r="AB410" s="744"/>
      <c r="AC410" s="270"/>
      <c r="AD410" s="372"/>
      <c r="AE410" s="270"/>
      <c r="AF410" s="270"/>
      <c r="AG410" s="270"/>
      <c r="AH410" s="272"/>
      <c r="AI410" s="313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97"/>
      <c r="P411" s="296"/>
      <c r="Q411" s="421"/>
      <c r="R411" s="383"/>
      <c r="S411" s="21"/>
      <c r="T411" s="13"/>
      <c r="U411" s="354"/>
      <c r="V411" s="354"/>
      <c r="W411" s="355"/>
      <c r="X411" s="330"/>
      <c r="Y411" s="354"/>
      <c r="Z411" s="356"/>
      <c r="AA411" s="328"/>
      <c r="AB411" s="744"/>
      <c r="AC411" s="346"/>
      <c r="AD411" s="333"/>
      <c r="AE411" s="346"/>
      <c r="AF411" s="346"/>
      <c r="AG411" s="346"/>
      <c r="AH411" s="272"/>
      <c r="AI411" s="313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O412" s="97"/>
      <c r="P412" s="296"/>
      <c r="Q412" s="421"/>
      <c r="R412" s="383"/>
      <c r="S412" s="21"/>
      <c r="T412" s="13"/>
      <c r="U412" s="354"/>
      <c r="V412" s="354"/>
      <c r="W412" s="355"/>
      <c r="X412" s="330"/>
      <c r="Y412" s="354"/>
      <c r="Z412" s="356"/>
      <c r="AA412" s="328"/>
      <c r="AB412" s="744"/>
      <c r="AC412" s="346"/>
      <c r="AD412" s="333"/>
      <c r="AE412" s="346"/>
      <c r="AF412" s="346"/>
      <c r="AG412" s="346"/>
      <c r="AH412" s="272"/>
      <c r="AI412" s="313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O413" s="97"/>
      <c r="P413" s="296"/>
      <c r="Q413" s="421"/>
      <c r="R413" s="383"/>
      <c r="S413" s="21"/>
      <c r="T413" s="13"/>
      <c r="U413" s="381"/>
      <c r="V413" s="381"/>
      <c r="W413" s="375"/>
      <c r="X413" s="374"/>
      <c r="Y413" s="370"/>
      <c r="Z413" s="376"/>
      <c r="AA413" s="371"/>
      <c r="AB413" s="744"/>
      <c r="AC413" s="270"/>
      <c r="AD413" s="372"/>
      <c r="AE413" s="270"/>
      <c r="AF413" s="270"/>
      <c r="AG413" s="270"/>
      <c r="AH413" s="272"/>
      <c r="AI413" s="313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97"/>
      <c r="P414" s="296"/>
      <c r="Q414" s="421"/>
      <c r="R414" s="383"/>
      <c r="S414" s="21"/>
      <c r="T414" s="13"/>
      <c r="U414" s="381"/>
      <c r="V414" s="381"/>
      <c r="W414" s="375"/>
      <c r="X414" s="374"/>
      <c r="Y414" s="370"/>
      <c r="Z414" s="376"/>
      <c r="AA414" s="371"/>
      <c r="AB414" s="744"/>
      <c r="AC414" s="270"/>
      <c r="AD414" s="372"/>
      <c r="AE414" s="270"/>
      <c r="AF414" s="270"/>
      <c r="AG414" s="270"/>
      <c r="AH414" s="272"/>
      <c r="AI414" s="389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97"/>
      <c r="P415" s="296"/>
      <c r="Q415" s="421"/>
      <c r="R415" s="383"/>
      <c r="S415" s="21"/>
      <c r="T415" s="13"/>
      <c r="U415" s="381"/>
      <c r="V415" s="381"/>
      <c r="W415" s="375"/>
      <c r="X415" s="374"/>
      <c r="Y415" s="370"/>
      <c r="Z415" s="376"/>
      <c r="AA415" s="371"/>
      <c r="AB415" s="744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97"/>
      <c r="P416" s="296"/>
      <c r="Q416" s="421"/>
      <c r="R416" s="383"/>
      <c r="S416" s="21"/>
      <c r="T416" s="13"/>
      <c r="U416" s="381"/>
      <c r="V416" s="381"/>
      <c r="W416" s="375"/>
      <c r="X416" s="374"/>
      <c r="Y416" s="370"/>
      <c r="Z416" s="376"/>
      <c r="AA416" s="371"/>
      <c r="AB416" s="744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97"/>
      <c r="P417" s="296"/>
      <c r="Q417" s="421"/>
      <c r="R417" s="383"/>
      <c r="S417" s="21"/>
      <c r="T417" s="13"/>
      <c r="U417" s="381"/>
      <c r="V417" s="381"/>
      <c r="W417" s="375"/>
      <c r="X417" s="374"/>
      <c r="Y417" s="370"/>
      <c r="Z417" s="376"/>
      <c r="AA417" s="371"/>
      <c r="AB417" s="744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O418" s="97"/>
      <c r="P418" s="296"/>
      <c r="Q418" s="421"/>
      <c r="R418" s="383"/>
      <c r="S418" s="21"/>
      <c r="T418" s="13"/>
      <c r="U418" s="381"/>
      <c r="V418" s="381"/>
      <c r="W418" s="375"/>
      <c r="X418" s="374"/>
      <c r="Y418" s="370"/>
      <c r="Z418" s="376"/>
      <c r="AA418" s="371"/>
      <c r="AB418" s="744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97"/>
      <c r="P419" s="296"/>
      <c r="Q419" s="421"/>
      <c r="R419" s="383"/>
      <c r="S419" s="21"/>
      <c r="T419" s="13"/>
      <c r="U419" s="381"/>
      <c r="V419" s="381"/>
      <c r="W419" s="375"/>
      <c r="X419" s="374"/>
      <c r="Y419" s="370"/>
      <c r="Z419" s="376"/>
      <c r="AA419" s="371"/>
      <c r="AB419" s="744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97"/>
      <c r="P420" s="296"/>
      <c r="Q420" s="421"/>
      <c r="R420" s="383"/>
      <c r="S420" s="21"/>
      <c r="T420" s="13"/>
      <c r="U420" s="381"/>
      <c r="V420" s="381"/>
      <c r="W420" s="375"/>
      <c r="X420" s="374"/>
      <c r="Y420" s="370"/>
      <c r="Z420" s="376"/>
      <c r="AA420" s="371"/>
      <c r="AB420" s="744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97"/>
      <c r="P421" s="296"/>
      <c r="Q421" s="421"/>
      <c r="R421" s="383"/>
      <c r="S421" s="21"/>
      <c r="T421" s="13"/>
      <c r="U421" s="381"/>
      <c r="V421" s="381"/>
      <c r="W421" s="375"/>
      <c r="X421" s="374"/>
      <c r="Y421" s="370"/>
      <c r="Z421" s="376"/>
      <c r="AA421" s="371"/>
      <c r="AB421" s="744"/>
      <c r="AC421" s="270"/>
      <c r="AD421" s="372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97"/>
      <c r="P422" s="296"/>
      <c r="Q422" s="421"/>
      <c r="R422" s="383"/>
      <c r="S422" s="21"/>
      <c r="T422" s="13"/>
      <c r="U422" s="381"/>
      <c r="V422" s="381"/>
      <c r="W422" s="375"/>
      <c r="X422" s="374"/>
      <c r="Y422" s="370"/>
      <c r="Z422" s="376"/>
      <c r="AA422" s="371"/>
      <c r="AB422" s="744"/>
      <c r="AC422" s="270"/>
      <c r="AD422" s="372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97"/>
      <c r="P423" s="296"/>
      <c r="Q423" s="421"/>
      <c r="R423" s="383"/>
      <c r="S423" s="1"/>
      <c r="T423" s="13"/>
      <c r="U423" s="381"/>
      <c r="V423" s="381"/>
      <c r="W423" s="375"/>
      <c r="X423" s="374"/>
      <c r="Y423" s="370"/>
      <c r="Z423" s="376"/>
      <c r="AA423" s="371"/>
      <c r="AB423" s="744"/>
      <c r="AC423" s="270"/>
      <c r="AD423" s="372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97"/>
      <c r="P424" s="296"/>
      <c r="Q424" s="421"/>
      <c r="R424" s="383"/>
      <c r="S424" s="21"/>
      <c r="T424" s="13"/>
      <c r="U424" s="381"/>
      <c r="V424" s="381"/>
      <c r="W424" s="375"/>
      <c r="X424" s="374"/>
      <c r="Y424" s="370"/>
      <c r="Z424" s="376"/>
      <c r="AA424" s="371"/>
      <c r="AB424" s="744"/>
      <c r="AC424" s="270"/>
      <c r="AD424" s="372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97"/>
      <c r="P425" s="296"/>
      <c r="Q425" s="421"/>
      <c r="R425" s="383"/>
      <c r="S425" s="21"/>
      <c r="T425" s="13"/>
      <c r="U425" s="381"/>
      <c r="V425" s="381"/>
      <c r="W425" s="375"/>
      <c r="X425" s="374"/>
      <c r="Y425" s="370"/>
      <c r="Z425" s="376"/>
      <c r="AA425" s="371"/>
      <c r="AB425" s="744"/>
      <c r="AC425" s="270"/>
      <c r="AD425" s="372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97"/>
      <c r="P426" s="296"/>
      <c r="Q426" s="421"/>
      <c r="R426" s="383"/>
      <c r="S426" s="21"/>
      <c r="T426" s="13"/>
      <c r="U426" s="381"/>
      <c r="V426" s="381"/>
      <c r="W426" s="375"/>
      <c r="X426" s="374"/>
      <c r="Y426" s="370"/>
      <c r="Z426" s="376"/>
      <c r="AA426" s="371"/>
      <c r="AB426" s="744"/>
      <c r="AC426" s="270"/>
      <c r="AD426" s="372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97"/>
      <c r="P427" s="296"/>
      <c r="Q427" s="421"/>
      <c r="R427" s="383"/>
      <c r="S427" s="21"/>
      <c r="T427" s="13"/>
      <c r="U427" s="381"/>
      <c r="V427" s="381"/>
      <c r="W427" s="375"/>
      <c r="X427" s="374"/>
      <c r="Y427" s="370"/>
      <c r="Z427" s="376"/>
      <c r="AA427" s="371"/>
      <c r="AB427" s="744"/>
      <c r="AC427" s="270"/>
      <c r="AD427" s="372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97"/>
      <c r="P428" s="296"/>
      <c r="Q428" s="421"/>
      <c r="R428" s="383"/>
      <c r="S428" s="21"/>
      <c r="T428" s="13"/>
      <c r="U428" s="381"/>
      <c r="V428" s="381"/>
      <c r="W428" s="375"/>
      <c r="X428" s="374"/>
      <c r="Y428" s="370"/>
      <c r="Z428" s="376"/>
      <c r="AA428" s="371"/>
      <c r="AB428" s="744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97"/>
      <c r="P429" s="296"/>
      <c r="Q429" s="421"/>
      <c r="R429" s="383"/>
      <c r="S429" s="21"/>
      <c r="T429" s="13"/>
      <c r="U429" s="381"/>
      <c r="V429" s="381"/>
      <c r="W429" s="375"/>
      <c r="X429" s="374"/>
      <c r="Y429" s="370"/>
      <c r="Z429" s="376"/>
      <c r="AA429" s="371"/>
      <c r="AB429" s="744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97"/>
      <c r="P430" s="296"/>
      <c r="Q430" s="421"/>
      <c r="R430" s="383"/>
      <c r="S430" s="21"/>
      <c r="T430" s="13"/>
      <c r="U430" s="381"/>
      <c r="V430" s="381"/>
      <c r="W430" s="375"/>
      <c r="X430" s="374"/>
      <c r="Y430" s="370"/>
      <c r="Z430" s="376"/>
      <c r="AA430" s="371"/>
      <c r="AB430" s="744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97"/>
      <c r="P431" s="296"/>
      <c r="Q431" s="421"/>
      <c r="R431" s="383"/>
      <c r="S431" s="21"/>
      <c r="T431" s="13"/>
      <c r="U431" s="381"/>
      <c r="V431" s="381"/>
      <c r="W431" s="375"/>
      <c r="X431" s="374"/>
      <c r="Y431" s="370"/>
      <c r="Z431" s="376"/>
      <c r="AA431" s="371"/>
      <c r="AB431" s="744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97"/>
      <c r="P432" s="296"/>
      <c r="Q432" s="421"/>
      <c r="R432" s="383"/>
      <c r="S432" s="21"/>
      <c r="T432" s="13"/>
      <c r="U432" s="381"/>
      <c r="V432" s="381"/>
      <c r="W432" s="375"/>
      <c r="X432" s="374"/>
      <c r="Y432" s="370"/>
      <c r="Z432" s="376"/>
      <c r="AA432" s="371"/>
      <c r="AB432" s="744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97"/>
      <c r="P433" s="296"/>
      <c r="Q433" s="421"/>
      <c r="R433" s="383"/>
      <c r="S433" s="21"/>
      <c r="T433" s="13"/>
      <c r="U433" s="381"/>
      <c r="V433" s="381"/>
      <c r="W433" s="375"/>
      <c r="X433" s="374"/>
      <c r="Y433" s="370"/>
      <c r="Z433" s="376"/>
      <c r="AA433" s="371"/>
      <c r="AB433" s="744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97"/>
      <c r="P434" s="296"/>
      <c r="Q434" s="421"/>
      <c r="R434" s="383"/>
      <c r="S434" s="21"/>
      <c r="T434" s="13"/>
      <c r="U434" s="381"/>
      <c r="V434" s="381"/>
      <c r="W434" s="375"/>
      <c r="X434" s="374"/>
      <c r="Y434" s="370"/>
      <c r="Z434" s="376"/>
      <c r="AA434" s="371"/>
      <c r="AB434" s="744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97"/>
      <c r="P435" s="296"/>
      <c r="Q435" s="421"/>
      <c r="R435" s="383"/>
      <c r="S435" s="21"/>
      <c r="T435" s="13"/>
      <c r="U435" s="381"/>
      <c r="V435" s="381"/>
      <c r="W435" s="375"/>
      <c r="X435" s="374"/>
      <c r="Y435" s="370"/>
      <c r="Z435" s="376"/>
      <c r="AA435" s="371"/>
      <c r="AB435" s="744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97"/>
      <c r="P436" s="296"/>
      <c r="Q436" s="421"/>
      <c r="R436" s="383"/>
      <c r="S436" s="21"/>
      <c r="T436" s="13"/>
      <c r="U436" s="381"/>
      <c r="V436" s="381"/>
      <c r="W436" s="375"/>
      <c r="X436" s="374"/>
      <c r="Y436" s="370"/>
      <c r="Z436" s="376"/>
      <c r="AA436" s="371"/>
      <c r="AB436" s="744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97"/>
      <c r="P437" s="296"/>
      <c r="Q437" s="421"/>
      <c r="R437" s="383"/>
      <c r="S437" s="21"/>
      <c r="T437" s="13"/>
      <c r="U437" s="381"/>
      <c r="V437" s="381"/>
      <c r="W437" s="375"/>
      <c r="X437" s="374"/>
      <c r="Y437" s="370"/>
      <c r="Z437" s="376"/>
      <c r="AA437" s="371"/>
      <c r="AB437" s="744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97"/>
      <c r="P438" s="296"/>
      <c r="Q438" s="421"/>
      <c r="R438" s="383"/>
      <c r="S438" s="21"/>
      <c r="T438" s="13"/>
      <c r="U438" s="381"/>
      <c r="V438" s="381"/>
      <c r="W438" s="375"/>
      <c r="X438" s="374"/>
      <c r="Y438" s="370"/>
      <c r="Z438" s="376"/>
      <c r="AA438" s="371"/>
      <c r="AB438" s="744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296"/>
      <c r="Q439" s="421"/>
      <c r="R439" s="383"/>
      <c r="S439" s="21"/>
      <c r="T439" s="13"/>
      <c r="U439" s="381"/>
      <c r="V439" s="381"/>
      <c r="W439" s="375"/>
      <c r="X439" s="374"/>
      <c r="Y439" s="370"/>
      <c r="Z439" s="376"/>
      <c r="AA439" s="371"/>
      <c r="AB439" s="744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296"/>
      <c r="Q440" s="421"/>
      <c r="R440" s="383"/>
      <c r="S440" s="21"/>
      <c r="T440" s="13"/>
      <c r="U440" s="381"/>
      <c r="V440" s="381"/>
      <c r="W440" s="375"/>
      <c r="X440" s="374"/>
      <c r="Y440" s="370"/>
      <c r="Z440" s="376"/>
      <c r="AA440" s="371"/>
      <c r="AB440" s="744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296"/>
      <c r="Q441" s="421"/>
      <c r="R441" s="383"/>
      <c r="S441" s="21"/>
      <c r="T441" s="13"/>
      <c r="U441" s="381"/>
      <c r="V441" s="381"/>
      <c r="W441" s="375"/>
      <c r="X441" s="374"/>
      <c r="Y441" s="370"/>
      <c r="Z441" s="376"/>
      <c r="AA441" s="371"/>
      <c r="AB441" s="744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296"/>
      <c r="Q442" s="421"/>
      <c r="R442" s="383"/>
      <c r="S442" s="21"/>
      <c r="T442" s="13"/>
      <c r="U442" s="381"/>
      <c r="V442" s="381"/>
      <c r="W442" s="375"/>
      <c r="X442" s="374"/>
      <c r="Y442" s="370"/>
      <c r="Z442" s="376"/>
      <c r="AA442" s="371"/>
      <c r="AB442" s="744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296"/>
      <c r="Q443" s="421"/>
      <c r="R443" s="383"/>
      <c r="S443" s="21"/>
      <c r="T443" s="13"/>
      <c r="U443" s="381"/>
      <c r="V443" s="381"/>
      <c r="W443" s="375"/>
      <c r="X443" s="374"/>
      <c r="Y443" s="370"/>
      <c r="Z443" s="376"/>
      <c r="AA443" s="371"/>
      <c r="AB443" s="744"/>
      <c r="AC443" s="270"/>
      <c r="AD443" s="372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296"/>
      <c r="Q444" s="421"/>
      <c r="R444" s="383"/>
      <c r="S444" s="21"/>
      <c r="T444" s="13"/>
      <c r="U444" s="381"/>
      <c r="V444" s="381"/>
      <c r="W444" s="375"/>
      <c r="X444" s="374"/>
      <c r="Y444" s="370"/>
      <c r="Z444" s="376"/>
      <c r="AA444" s="371"/>
      <c r="AB444" s="744"/>
      <c r="AC444" s="270"/>
      <c r="AD444" s="372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296"/>
      <c r="Q445" s="421"/>
      <c r="R445" s="383"/>
      <c r="S445" s="21"/>
      <c r="T445" s="13"/>
      <c r="U445" s="381"/>
      <c r="V445" s="381"/>
      <c r="W445" s="375"/>
      <c r="X445" s="374"/>
      <c r="Y445" s="370"/>
      <c r="Z445" s="376"/>
      <c r="AA445" s="371"/>
      <c r="AB445" s="744"/>
      <c r="AC445" s="270"/>
      <c r="AD445" s="372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296"/>
      <c r="Q446" s="421"/>
      <c r="R446" s="383"/>
      <c r="S446" s="21"/>
      <c r="T446" s="13"/>
      <c r="U446" s="381"/>
      <c r="V446" s="381"/>
      <c r="W446" s="375"/>
      <c r="X446" s="374"/>
      <c r="Y446" s="370"/>
      <c r="Z446" s="376"/>
      <c r="AA446" s="371"/>
      <c r="AB446" s="744"/>
      <c r="AC446" s="270"/>
      <c r="AD446" s="372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296"/>
      <c r="Q447" s="421"/>
      <c r="R447" s="383"/>
      <c r="S447" s="21"/>
      <c r="T447" s="13"/>
      <c r="U447" s="381"/>
      <c r="V447" s="381"/>
      <c r="W447" s="375"/>
      <c r="X447" s="374"/>
      <c r="Y447" s="370"/>
      <c r="Z447" s="376"/>
      <c r="AA447" s="371"/>
      <c r="AB447" s="744"/>
      <c r="AC447" s="270"/>
      <c r="AD447" s="372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296"/>
      <c r="Q448" s="421"/>
      <c r="R448" s="383"/>
      <c r="S448" s="21"/>
      <c r="T448" s="13"/>
      <c r="U448" s="381"/>
      <c r="V448" s="381"/>
      <c r="W448" s="375"/>
      <c r="X448" s="374"/>
      <c r="Y448" s="370"/>
      <c r="Z448" s="376"/>
      <c r="AA448" s="371"/>
      <c r="AB448" s="744"/>
      <c r="AC448" s="270"/>
      <c r="AD448" s="372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296"/>
      <c r="Q449" s="421"/>
      <c r="R449" s="383"/>
      <c r="S449" s="21"/>
      <c r="T449" s="13"/>
      <c r="U449" s="381"/>
      <c r="V449" s="381"/>
      <c r="W449" s="375"/>
      <c r="X449" s="374"/>
      <c r="Y449" s="370"/>
      <c r="Z449" s="376"/>
      <c r="AA449" s="371"/>
      <c r="AB449" s="744"/>
      <c r="AC449" s="270"/>
      <c r="AD449" s="372"/>
      <c r="AE449" s="270"/>
      <c r="AF449" s="270"/>
      <c r="AG449" s="270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296"/>
      <c r="Q450" s="421"/>
      <c r="R450" s="383"/>
      <c r="S450" s="21"/>
      <c r="T450" s="13"/>
      <c r="U450" s="381"/>
      <c r="V450" s="381"/>
      <c r="W450" s="375"/>
      <c r="X450" s="374"/>
      <c r="Y450" s="370"/>
      <c r="Z450" s="376"/>
      <c r="AA450" s="371"/>
      <c r="AB450" s="744"/>
      <c r="AC450" s="270"/>
      <c r="AD450" s="372"/>
      <c r="AE450" s="270"/>
      <c r="AF450" s="270"/>
      <c r="AG450" s="270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296"/>
      <c r="Q451" s="421"/>
      <c r="R451" s="383"/>
      <c r="S451" s="21"/>
      <c r="T451" s="13"/>
      <c r="U451" s="381"/>
      <c r="V451" s="381"/>
      <c r="W451" s="375"/>
      <c r="X451" s="374"/>
      <c r="Y451" s="370"/>
      <c r="Z451" s="376"/>
      <c r="AA451" s="371"/>
      <c r="AB451" s="744"/>
      <c r="AC451" s="270"/>
      <c r="AD451" s="372"/>
      <c r="AE451" s="270"/>
      <c r="AF451" s="270"/>
      <c r="AG451" s="270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296"/>
      <c r="Q452" s="421"/>
      <c r="R452" s="383"/>
      <c r="S452" s="21"/>
      <c r="T452" s="13"/>
      <c r="U452" s="381"/>
      <c r="V452" s="381"/>
      <c r="W452" s="375"/>
      <c r="X452" s="374"/>
      <c r="Y452" s="370"/>
      <c r="Z452" s="376"/>
      <c r="AA452" s="371"/>
      <c r="AB452" s="744"/>
      <c r="AC452" s="270"/>
      <c r="AD452" s="372"/>
      <c r="AE452" s="270"/>
      <c r="AF452" s="270"/>
      <c r="AG452" s="270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296"/>
      <c r="Q453" s="421"/>
      <c r="R453" s="383"/>
      <c r="S453" s="21"/>
      <c r="T453" s="13"/>
      <c r="U453" s="381"/>
      <c r="V453" s="321"/>
      <c r="W453" s="322"/>
      <c r="X453" s="322"/>
      <c r="Y453" s="322"/>
      <c r="Z453" s="323"/>
      <c r="AA453" s="371"/>
      <c r="AB453" s="744"/>
      <c r="AC453" s="371"/>
      <c r="AD453" s="372"/>
      <c r="AE453" s="371"/>
      <c r="AF453" s="371"/>
      <c r="AG453" s="270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296"/>
      <c r="Q454" s="421"/>
      <c r="R454" s="383"/>
      <c r="S454" s="21"/>
      <c r="T454" s="13"/>
      <c r="U454" s="381"/>
      <c r="V454" s="321"/>
      <c r="W454" s="322"/>
      <c r="X454" s="322"/>
      <c r="Y454" s="322"/>
      <c r="Z454" s="323"/>
      <c r="AA454" s="371"/>
      <c r="AB454" s="744"/>
      <c r="AC454" s="371"/>
      <c r="AD454" s="372"/>
      <c r="AE454" s="371"/>
      <c r="AF454" s="371"/>
      <c r="AG454" s="270"/>
      <c r="AH454" s="272"/>
      <c r="AI454" s="1"/>
      <c r="AJ454" s="21"/>
      <c r="AK454" s="21"/>
      <c r="AL454" s="21"/>
      <c r="AM454" s="21"/>
      <c r="AN454" s="21"/>
      <c r="AO454" s="21"/>
      <c r="AQ454" s="21"/>
      <c r="AR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296"/>
      <c r="Q455" s="421"/>
      <c r="R455" s="383"/>
      <c r="S455" s="21"/>
      <c r="T455" s="13"/>
      <c r="U455" s="381"/>
      <c r="V455" s="321"/>
      <c r="W455" s="322"/>
      <c r="X455" s="322"/>
      <c r="Y455" s="322"/>
      <c r="Z455" s="323"/>
      <c r="AA455" s="371"/>
      <c r="AB455" s="744"/>
      <c r="AC455" s="371"/>
      <c r="AD455" s="372"/>
      <c r="AE455" s="371"/>
      <c r="AF455" s="371"/>
      <c r="AG455" s="270"/>
      <c r="AH455" s="272"/>
      <c r="AI455" s="1"/>
      <c r="AJ455" s="21"/>
      <c r="AK455" s="21"/>
      <c r="AL455" s="21"/>
      <c r="AM455" s="21"/>
      <c r="AN455" s="21"/>
      <c r="AO455" s="21"/>
      <c r="AQ455" s="21"/>
      <c r="AR455" s="21"/>
    </row>
    <row r="456" spans="1:44" x14ac:dyDescent="0.2">
      <c r="A456" s="48"/>
      <c r="B456" s="306"/>
      <c r="C456" s="233"/>
      <c r="D456" s="233"/>
      <c r="P456" s="296"/>
      <c r="Q456" s="421"/>
      <c r="R456" s="383"/>
      <c r="U456" s="381"/>
      <c r="V456" s="321"/>
      <c r="W456" s="322"/>
      <c r="X456" s="322"/>
      <c r="Y456" s="322"/>
      <c r="Z456" s="323"/>
      <c r="AA456" s="371"/>
      <c r="AB456" s="744"/>
      <c r="AC456" s="371"/>
      <c r="AD456" s="372"/>
      <c r="AE456" s="371"/>
      <c r="AF456" s="371"/>
      <c r="AG456" s="270"/>
      <c r="AH456" s="272"/>
      <c r="AP456" s="53"/>
    </row>
    <row r="457" spans="1:44" x14ac:dyDescent="0.2">
      <c r="A457" s="48"/>
      <c r="B457" s="306"/>
      <c r="C457" s="233"/>
      <c r="D457" s="233"/>
      <c r="P457" s="296"/>
      <c r="Q457" s="421"/>
      <c r="R457" s="383"/>
      <c r="U457" s="381"/>
      <c r="V457" s="321"/>
      <c r="W457" s="322"/>
      <c r="X457" s="322"/>
      <c r="Y457" s="322"/>
      <c r="Z457" s="323"/>
      <c r="AA457" s="371"/>
      <c r="AB457" s="744"/>
      <c r="AC457" s="371"/>
      <c r="AD457" s="372"/>
      <c r="AE457" s="371"/>
      <c r="AF457" s="371"/>
      <c r="AG457" s="270"/>
      <c r="AH457" s="272"/>
      <c r="AP457" s="53"/>
    </row>
    <row r="458" spans="1:44" x14ac:dyDescent="0.2">
      <c r="A458" s="48"/>
      <c r="B458" s="306"/>
      <c r="C458" s="233"/>
      <c r="D458" s="233"/>
      <c r="P458" s="296"/>
      <c r="Q458" s="421"/>
      <c r="R458" s="383"/>
      <c r="U458" s="381"/>
      <c r="V458" s="370"/>
      <c r="W458" s="375"/>
      <c r="X458" s="375"/>
      <c r="Y458" s="375"/>
      <c r="Z458" s="376"/>
      <c r="AA458" s="371"/>
      <c r="AB458" s="744"/>
      <c r="AC458" s="371"/>
      <c r="AD458" s="372"/>
      <c r="AE458" s="371"/>
      <c r="AF458" s="371"/>
      <c r="AG458" s="270"/>
      <c r="AH458" s="272"/>
      <c r="AP458" s="53"/>
    </row>
    <row r="459" spans="1:44" x14ac:dyDescent="0.2">
      <c r="A459" s="48"/>
      <c r="B459" s="306"/>
      <c r="C459" s="233"/>
      <c r="D459" s="233"/>
      <c r="P459" s="296"/>
      <c r="Q459" s="421"/>
      <c r="R459" s="383"/>
      <c r="U459" s="381"/>
      <c r="V459" s="370"/>
      <c r="W459" s="375"/>
      <c r="X459" s="374"/>
      <c r="Y459" s="370"/>
      <c r="Z459" s="376"/>
      <c r="AA459" s="371"/>
      <c r="AB459" s="744"/>
      <c r="AC459" s="270"/>
      <c r="AD459" s="372"/>
      <c r="AE459" s="270"/>
      <c r="AF459" s="270"/>
      <c r="AG459" s="270"/>
      <c r="AH459" s="272"/>
      <c r="AP459" s="53"/>
    </row>
    <row r="460" spans="1:44" x14ac:dyDescent="0.2">
      <c r="A460" s="48"/>
      <c r="B460" s="306"/>
      <c r="C460" s="233"/>
      <c r="D460" s="233"/>
      <c r="P460" s="296"/>
      <c r="Q460" s="421"/>
      <c r="R460" s="383"/>
      <c r="U460" s="381"/>
      <c r="V460" s="370"/>
      <c r="W460" s="375"/>
      <c r="X460" s="374"/>
      <c r="Y460" s="370"/>
      <c r="Z460" s="376"/>
      <c r="AA460" s="371"/>
      <c r="AB460" s="744"/>
      <c r="AC460" s="270"/>
      <c r="AD460" s="372"/>
      <c r="AE460" s="270"/>
      <c r="AF460" s="270"/>
      <c r="AG460" s="270"/>
      <c r="AH460" s="272"/>
      <c r="AP460" s="53"/>
    </row>
    <row r="461" spans="1:44" x14ac:dyDescent="0.2">
      <c r="A461" s="48"/>
      <c r="B461" s="306"/>
      <c r="C461" s="233"/>
      <c r="D461" s="233"/>
      <c r="P461" s="296"/>
      <c r="Q461" s="421"/>
      <c r="R461" s="383"/>
      <c r="U461" s="381"/>
      <c r="V461" s="370"/>
      <c r="W461" s="375"/>
      <c r="X461" s="374"/>
      <c r="Y461" s="370"/>
      <c r="Z461" s="376"/>
      <c r="AA461" s="371"/>
      <c r="AB461" s="744"/>
      <c r="AC461" s="270"/>
      <c r="AD461" s="372"/>
      <c r="AE461" s="270"/>
      <c r="AF461" s="270"/>
      <c r="AG461" s="270"/>
      <c r="AH461" s="272"/>
      <c r="AP461" s="53"/>
    </row>
    <row r="462" spans="1:44" x14ac:dyDescent="0.2">
      <c r="A462" s="48"/>
      <c r="B462" s="306"/>
      <c r="C462" s="233"/>
      <c r="D462" s="233"/>
      <c r="P462" s="296"/>
      <c r="Q462" s="421"/>
      <c r="R462" s="383"/>
      <c r="U462" s="381"/>
      <c r="V462" s="370"/>
      <c r="W462" s="375"/>
      <c r="X462" s="374"/>
      <c r="Y462" s="370"/>
      <c r="Z462" s="376"/>
      <c r="AA462" s="371"/>
      <c r="AB462" s="744"/>
      <c r="AC462" s="270"/>
      <c r="AD462" s="372"/>
      <c r="AE462" s="270"/>
      <c r="AF462" s="270"/>
      <c r="AG462" s="270"/>
      <c r="AH462" s="272"/>
      <c r="AP462" s="53"/>
    </row>
    <row r="463" spans="1:44" x14ac:dyDescent="0.2">
      <c r="A463" s="48"/>
      <c r="B463" s="306"/>
      <c r="C463" s="233"/>
      <c r="D463" s="233"/>
      <c r="P463" s="296"/>
      <c r="Q463" s="421"/>
      <c r="R463" s="383"/>
      <c r="U463" s="381"/>
      <c r="V463" s="370"/>
      <c r="W463" s="375"/>
      <c r="X463" s="374"/>
      <c r="Y463" s="370"/>
      <c r="Z463" s="376"/>
      <c r="AA463" s="371"/>
      <c r="AB463" s="744"/>
      <c r="AC463" s="270"/>
      <c r="AD463" s="372"/>
      <c r="AE463" s="270"/>
      <c r="AF463" s="270"/>
      <c r="AG463" s="270"/>
      <c r="AH463" s="272"/>
      <c r="AP463" s="53"/>
    </row>
    <row r="464" spans="1:44" x14ac:dyDescent="0.2">
      <c r="A464" s="48"/>
      <c r="B464" s="306"/>
      <c r="C464" s="233"/>
      <c r="D464" s="233"/>
      <c r="P464" s="296"/>
      <c r="Q464" s="421"/>
      <c r="R464" s="383"/>
      <c r="U464" s="381"/>
      <c r="V464" s="370"/>
      <c r="W464" s="375"/>
      <c r="X464" s="374"/>
      <c r="Y464" s="370"/>
      <c r="Z464" s="376"/>
      <c r="AA464" s="371"/>
      <c r="AB464" s="744"/>
      <c r="AC464" s="270"/>
      <c r="AD464" s="372"/>
      <c r="AE464" s="270"/>
      <c r="AF464" s="270"/>
      <c r="AG464" s="270"/>
      <c r="AH464" s="272"/>
      <c r="AP464" s="53"/>
      <c r="AQ464" s="53"/>
      <c r="AR464" s="53"/>
    </row>
    <row r="465" spans="1:44" x14ac:dyDescent="0.2">
      <c r="A465" s="48"/>
      <c r="B465" s="306"/>
      <c r="C465" s="233"/>
      <c r="D465" s="233"/>
      <c r="P465" s="296"/>
      <c r="Q465" s="421"/>
      <c r="R465" s="383"/>
      <c r="U465" s="381"/>
      <c r="V465" s="370"/>
      <c r="W465" s="375"/>
      <c r="X465" s="374"/>
      <c r="Y465" s="370"/>
      <c r="Z465" s="376"/>
      <c r="AA465" s="371"/>
      <c r="AB465" s="744"/>
      <c r="AC465" s="270"/>
      <c r="AD465" s="372"/>
      <c r="AE465" s="270"/>
      <c r="AF465" s="270"/>
      <c r="AG465" s="270"/>
      <c r="AH465" s="272"/>
      <c r="AP465" s="53"/>
      <c r="AQ465" s="53"/>
      <c r="AR465" s="53"/>
    </row>
    <row r="466" spans="1:44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296"/>
      <c r="Q466" s="421"/>
      <c r="R466" s="383"/>
      <c r="S466" s="21"/>
      <c r="T466" s="13"/>
      <c r="U466" s="381"/>
      <c r="V466" s="370"/>
      <c r="W466" s="375"/>
      <c r="X466" s="374"/>
      <c r="Y466" s="370"/>
      <c r="Z466" s="376"/>
      <c r="AA466" s="371"/>
      <c r="AB466" s="744"/>
      <c r="AC466" s="270"/>
      <c r="AD466" s="372"/>
      <c r="AE466" s="270"/>
      <c r="AF466" s="270"/>
      <c r="AG466" s="270"/>
      <c r="AH466" s="272"/>
      <c r="AI466" s="1"/>
      <c r="AJ466" s="21"/>
      <c r="AK466" s="21"/>
      <c r="AL466" s="21"/>
      <c r="AM466" s="21"/>
      <c r="AN466" s="21"/>
      <c r="AO466" s="21"/>
    </row>
    <row r="467" spans="1:44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296"/>
      <c r="Q467" s="421"/>
      <c r="R467" s="383"/>
      <c r="S467" s="21"/>
      <c r="T467" s="13"/>
      <c r="U467" s="381"/>
      <c r="V467" s="370"/>
      <c r="W467" s="375"/>
      <c r="X467" s="374"/>
      <c r="Y467" s="370"/>
      <c r="Z467" s="376"/>
      <c r="AA467" s="371"/>
      <c r="AB467" s="744"/>
      <c r="AC467" s="270"/>
      <c r="AD467" s="372"/>
      <c r="AE467" s="270"/>
      <c r="AF467" s="270"/>
      <c r="AG467" s="270"/>
      <c r="AH467" s="272"/>
      <c r="AI467" s="1"/>
      <c r="AJ467" s="21"/>
      <c r="AK467" s="21"/>
      <c r="AL467" s="21"/>
      <c r="AM467" s="21"/>
      <c r="AN467" s="21"/>
      <c r="AO467" s="21"/>
    </row>
    <row r="468" spans="1:44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296"/>
      <c r="Q468" s="421"/>
      <c r="R468" s="383"/>
      <c r="S468" s="21"/>
      <c r="T468" s="13"/>
      <c r="U468" s="381"/>
      <c r="V468" s="370"/>
      <c r="W468" s="375"/>
      <c r="X468" s="374"/>
      <c r="Y468" s="370"/>
      <c r="Z468" s="376"/>
      <c r="AA468" s="371"/>
      <c r="AB468" s="744"/>
      <c r="AC468" s="270"/>
      <c r="AD468" s="372"/>
      <c r="AE468" s="270"/>
      <c r="AF468" s="270"/>
      <c r="AG468" s="270"/>
      <c r="AH468" s="272"/>
      <c r="AI468" s="1"/>
      <c r="AJ468" s="21"/>
      <c r="AK468" s="21"/>
      <c r="AL468" s="21"/>
      <c r="AM468" s="21"/>
      <c r="AN468" s="21"/>
      <c r="AO468" s="21"/>
    </row>
    <row r="469" spans="1:44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296"/>
      <c r="Q469" s="421"/>
      <c r="R469" s="383"/>
      <c r="S469" s="21"/>
      <c r="T469" s="13"/>
      <c r="U469" s="381"/>
      <c r="V469" s="370"/>
      <c r="W469" s="375"/>
      <c r="X469" s="374"/>
      <c r="Y469" s="370"/>
      <c r="Z469" s="376"/>
      <c r="AA469" s="371"/>
      <c r="AB469" s="744"/>
      <c r="AC469" s="270"/>
      <c r="AD469" s="372"/>
      <c r="AE469" s="270"/>
      <c r="AF469" s="270"/>
      <c r="AG469" s="270"/>
      <c r="AH469" s="272"/>
      <c r="AI469" s="1"/>
      <c r="AJ469" s="21"/>
      <c r="AK469" s="21"/>
      <c r="AL469" s="21"/>
      <c r="AM469" s="21"/>
      <c r="AN469" s="21"/>
      <c r="AO469" s="21"/>
    </row>
    <row r="470" spans="1:44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296"/>
      <c r="Q470" s="421"/>
      <c r="R470" s="383"/>
      <c r="S470" s="21"/>
      <c r="T470" s="13"/>
      <c r="U470" s="381"/>
      <c r="V470" s="370"/>
      <c r="W470" s="375"/>
      <c r="X470" s="374"/>
      <c r="Y470" s="370"/>
      <c r="Z470" s="376"/>
      <c r="AA470" s="371"/>
      <c r="AB470" s="744"/>
      <c r="AC470" s="270"/>
      <c r="AD470" s="372"/>
      <c r="AE470" s="270"/>
      <c r="AF470" s="270"/>
      <c r="AG470" s="270"/>
      <c r="AH470" s="272"/>
      <c r="AI470" s="1"/>
      <c r="AJ470" s="21"/>
      <c r="AK470" s="21"/>
      <c r="AL470" s="21"/>
      <c r="AM470" s="21"/>
      <c r="AN470" s="21"/>
      <c r="AO470" s="21"/>
    </row>
    <row r="471" spans="1:44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296"/>
      <c r="Q471" s="421"/>
      <c r="R471" s="383"/>
      <c r="S471" s="21"/>
      <c r="T471" s="13"/>
      <c r="U471" s="381"/>
      <c r="V471" s="370"/>
      <c r="W471" s="375"/>
      <c r="X471" s="374"/>
      <c r="Y471" s="370"/>
      <c r="Z471" s="376"/>
      <c r="AA471" s="371"/>
      <c r="AB471" s="744"/>
      <c r="AC471" s="270"/>
      <c r="AD471" s="372"/>
      <c r="AE471" s="270"/>
      <c r="AF471" s="270"/>
      <c r="AG471" s="270"/>
      <c r="AH471" s="272"/>
      <c r="AI471" s="1"/>
      <c r="AJ471" s="21"/>
      <c r="AK471" s="21"/>
      <c r="AL471" s="21"/>
      <c r="AM471" s="21"/>
      <c r="AN471" s="21"/>
      <c r="AO471" s="21"/>
    </row>
    <row r="472" spans="1:44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296"/>
      <c r="Q472" s="421"/>
      <c r="R472" s="383"/>
      <c r="S472" s="21"/>
      <c r="T472" s="13"/>
      <c r="U472" s="381"/>
      <c r="V472" s="370"/>
      <c r="W472" s="375"/>
      <c r="X472" s="374"/>
      <c r="Y472" s="370"/>
      <c r="Z472" s="376"/>
      <c r="AA472" s="371"/>
      <c r="AB472" s="744"/>
      <c r="AC472" s="270"/>
      <c r="AD472" s="372"/>
      <c r="AE472" s="270"/>
      <c r="AF472" s="270"/>
      <c r="AG472" s="270"/>
      <c r="AH472" s="272"/>
      <c r="AI472" s="1"/>
      <c r="AJ472" s="21"/>
      <c r="AK472" s="21"/>
      <c r="AL472" s="21"/>
      <c r="AM472" s="21"/>
      <c r="AN472" s="21"/>
      <c r="AO472" s="21"/>
    </row>
    <row r="473" spans="1:44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296"/>
      <c r="Q473" s="421"/>
      <c r="R473" s="383"/>
      <c r="S473" s="21"/>
      <c r="T473" s="13"/>
      <c r="U473" s="381"/>
      <c r="V473" s="370"/>
      <c r="W473" s="375"/>
      <c r="X473" s="374"/>
      <c r="Y473" s="370"/>
      <c r="Z473" s="376"/>
      <c r="AA473" s="371"/>
      <c r="AB473" s="744"/>
      <c r="AC473" s="270"/>
      <c r="AD473" s="372"/>
      <c r="AE473" s="270"/>
      <c r="AF473" s="270"/>
      <c r="AG473" s="270"/>
      <c r="AH473" s="272"/>
      <c r="AI473" s="1"/>
      <c r="AJ473" s="21"/>
      <c r="AK473" s="21"/>
      <c r="AL473" s="21"/>
      <c r="AM473" s="21"/>
      <c r="AN473" s="21"/>
      <c r="AO473" s="21"/>
    </row>
    <row r="474" spans="1:44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296"/>
      <c r="Q474" s="421"/>
      <c r="R474" s="383"/>
      <c r="S474" s="21"/>
      <c r="T474" s="13"/>
      <c r="U474" s="381"/>
      <c r="V474" s="370"/>
      <c r="W474" s="375"/>
      <c r="X474" s="374"/>
      <c r="Y474" s="370"/>
      <c r="Z474" s="376"/>
      <c r="AA474" s="371"/>
      <c r="AB474" s="744"/>
      <c r="AC474" s="270"/>
      <c r="AD474" s="372"/>
      <c r="AE474" s="270"/>
      <c r="AF474" s="270"/>
      <c r="AG474" s="270"/>
      <c r="AH474" s="272"/>
      <c r="AI474" s="1"/>
      <c r="AJ474" s="21"/>
      <c r="AK474" s="21"/>
      <c r="AL474" s="21"/>
      <c r="AM474" s="21"/>
      <c r="AN474" s="21"/>
      <c r="AO474" s="21"/>
    </row>
    <row r="475" spans="1:44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296"/>
      <c r="Q475" s="421"/>
      <c r="R475" s="383"/>
      <c r="S475" s="21"/>
      <c r="T475" s="13"/>
      <c r="U475" s="381"/>
      <c r="V475" s="370"/>
      <c r="W475" s="375"/>
      <c r="X475" s="374"/>
      <c r="Y475" s="370"/>
      <c r="Z475" s="376"/>
      <c r="AA475" s="371"/>
      <c r="AB475" s="744"/>
      <c r="AC475" s="270"/>
      <c r="AD475" s="372"/>
      <c r="AE475" s="270"/>
      <c r="AF475" s="270"/>
      <c r="AG475" s="270"/>
      <c r="AH475" s="272"/>
      <c r="AI475" s="1"/>
      <c r="AJ475" s="21"/>
      <c r="AK475" s="21"/>
      <c r="AL475" s="21"/>
      <c r="AM475" s="21"/>
      <c r="AN475" s="21"/>
      <c r="AO475" s="21"/>
    </row>
    <row r="476" spans="1:44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296"/>
      <c r="Q476" s="421"/>
      <c r="R476" s="383"/>
      <c r="S476" s="21"/>
      <c r="T476" s="13"/>
      <c r="U476" s="381"/>
      <c r="V476" s="370"/>
      <c r="W476" s="375"/>
      <c r="X476" s="374"/>
      <c r="Y476" s="370"/>
      <c r="Z476" s="376"/>
      <c r="AA476" s="371"/>
      <c r="AB476" s="744"/>
      <c r="AC476" s="270"/>
      <c r="AD476" s="372"/>
      <c r="AE476" s="270"/>
      <c r="AF476" s="270"/>
      <c r="AG476" s="270"/>
      <c r="AH476" s="272"/>
      <c r="AI476" s="1"/>
      <c r="AJ476" s="21"/>
      <c r="AK476" s="21"/>
      <c r="AL476" s="21"/>
      <c r="AM476" s="21"/>
      <c r="AN476" s="21"/>
      <c r="AO476" s="21"/>
    </row>
    <row r="477" spans="1:44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296"/>
      <c r="Q477" s="421"/>
      <c r="R477" s="383"/>
      <c r="S477" s="21"/>
      <c r="T477" s="13"/>
      <c r="U477" s="381"/>
      <c r="V477" s="370"/>
      <c r="W477" s="375"/>
      <c r="X477" s="374"/>
      <c r="Y477" s="370"/>
      <c r="Z477" s="376"/>
      <c r="AA477" s="371"/>
      <c r="AB477" s="744"/>
      <c r="AC477" s="270"/>
      <c r="AD477" s="372"/>
      <c r="AE477" s="270"/>
      <c r="AF477" s="270"/>
      <c r="AG477" s="270"/>
      <c r="AH477" s="272"/>
      <c r="AI477" s="1"/>
      <c r="AJ477" s="21"/>
      <c r="AK477" s="21"/>
      <c r="AL477" s="21"/>
      <c r="AM477" s="21"/>
      <c r="AN477" s="21"/>
      <c r="AO477" s="21"/>
    </row>
    <row r="478" spans="1:44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296"/>
      <c r="Q478" s="421"/>
      <c r="R478" s="383"/>
      <c r="S478" s="21"/>
      <c r="T478" s="13"/>
      <c r="U478" s="381"/>
      <c r="V478" s="370"/>
      <c r="W478" s="375"/>
      <c r="X478" s="374"/>
      <c r="Y478" s="370"/>
      <c r="Z478" s="376"/>
      <c r="AA478" s="371"/>
      <c r="AB478" s="744"/>
      <c r="AC478" s="270"/>
      <c r="AD478" s="372"/>
      <c r="AE478" s="270"/>
      <c r="AF478" s="270"/>
      <c r="AG478" s="270"/>
      <c r="AH478" s="272"/>
      <c r="AI478" s="1"/>
      <c r="AJ478" s="21"/>
      <c r="AK478" s="21"/>
      <c r="AL478" s="21"/>
      <c r="AM478" s="21"/>
      <c r="AN478" s="21"/>
      <c r="AO478" s="21"/>
    </row>
    <row r="479" spans="1:44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296"/>
      <c r="Q479" s="421"/>
      <c r="R479" s="383"/>
      <c r="S479" s="21"/>
      <c r="T479" s="13"/>
      <c r="U479" s="381"/>
      <c r="V479" s="370"/>
      <c r="W479" s="375"/>
      <c r="X479" s="374"/>
      <c r="Y479" s="370"/>
      <c r="Z479" s="376"/>
      <c r="AA479" s="371"/>
      <c r="AB479" s="744"/>
      <c r="AC479" s="270"/>
      <c r="AD479" s="372"/>
      <c r="AE479" s="270"/>
      <c r="AF479" s="270"/>
      <c r="AG479" s="270"/>
      <c r="AH479" s="272"/>
      <c r="AI479" s="1"/>
      <c r="AJ479" s="21"/>
      <c r="AK479" s="21"/>
      <c r="AL479" s="21"/>
      <c r="AM479" s="21"/>
      <c r="AN479" s="21"/>
      <c r="AO479" s="21"/>
    </row>
    <row r="480" spans="1:44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296"/>
      <c r="Q480" s="421"/>
      <c r="R480" s="383"/>
      <c r="S480" s="21"/>
      <c r="T480" s="13"/>
      <c r="U480" s="381"/>
      <c r="V480" s="370"/>
      <c r="W480" s="375"/>
      <c r="X480" s="374"/>
      <c r="Y480" s="370"/>
      <c r="Z480" s="376"/>
      <c r="AA480" s="371"/>
      <c r="AB480" s="744"/>
      <c r="AC480" s="270"/>
      <c r="AD480" s="372"/>
      <c r="AE480" s="270"/>
      <c r="AF480" s="270"/>
      <c r="AG480" s="270"/>
      <c r="AH480" s="272"/>
      <c r="AI480" s="1"/>
      <c r="AJ480" s="21"/>
      <c r="AK480" s="21"/>
      <c r="AL480" s="21"/>
      <c r="AM480" s="21"/>
      <c r="AN480" s="21"/>
      <c r="AO480" s="21"/>
    </row>
    <row r="481" spans="1:41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296"/>
      <c r="Q481" s="421"/>
      <c r="R481" s="383"/>
      <c r="S481" s="21"/>
      <c r="T481" s="13"/>
      <c r="U481" s="381"/>
      <c r="V481" s="370"/>
      <c r="W481" s="375"/>
      <c r="X481" s="374"/>
      <c r="Y481" s="370"/>
      <c r="Z481" s="376"/>
      <c r="AA481" s="371"/>
      <c r="AB481" s="744"/>
      <c r="AC481" s="270"/>
      <c r="AD481" s="372"/>
      <c r="AE481" s="270"/>
      <c r="AF481" s="270"/>
      <c r="AG481" s="270"/>
      <c r="AH481" s="315"/>
      <c r="AI481" s="1"/>
      <c r="AJ481" s="21"/>
      <c r="AK481" s="21"/>
      <c r="AL481" s="21"/>
      <c r="AM481" s="21"/>
      <c r="AN481" s="21"/>
      <c r="AO481" s="21"/>
    </row>
    <row r="482" spans="1:41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296"/>
      <c r="Q482" s="316"/>
      <c r="R482" s="383"/>
      <c r="S482" s="21"/>
      <c r="T482" s="13"/>
      <c r="U482" s="381"/>
      <c r="V482" s="370"/>
      <c r="W482" s="375"/>
      <c r="X482" s="374"/>
      <c r="Y482" s="370"/>
      <c r="Z482" s="376"/>
      <c r="AA482" s="371"/>
      <c r="AB482" s="744"/>
      <c r="AC482" s="270"/>
      <c r="AD482" s="372"/>
      <c r="AE482" s="270"/>
      <c r="AF482" s="270"/>
      <c r="AG482" s="270"/>
      <c r="AH482" s="315"/>
      <c r="AI482" s="1"/>
      <c r="AJ482" s="21"/>
      <c r="AK482" s="21"/>
      <c r="AL482" s="21"/>
      <c r="AM482" s="21"/>
      <c r="AN482" s="21"/>
      <c r="AO482" s="21"/>
    </row>
    <row r="483" spans="1:41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296"/>
      <c r="Q483" s="316"/>
      <c r="R483" s="383"/>
      <c r="S483" s="21"/>
      <c r="T483" s="13"/>
      <c r="U483" s="381"/>
      <c r="V483" s="370"/>
      <c r="W483" s="375"/>
      <c r="X483" s="374"/>
      <c r="Y483" s="370"/>
      <c r="Z483" s="376"/>
      <c r="AA483" s="371"/>
      <c r="AB483" s="744"/>
      <c r="AC483" s="270"/>
      <c r="AD483" s="372"/>
      <c r="AE483" s="270"/>
      <c r="AF483" s="270"/>
      <c r="AG483" s="270"/>
      <c r="AH483" s="315"/>
      <c r="AI483" s="1"/>
      <c r="AJ483" s="21"/>
      <c r="AK483" s="21"/>
      <c r="AL483" s="21"/>
      <c r="AM483" s="21"/>
      <c r="AN483" s="21"/>
      <c r="AO483" s="21"/>
    </row>
    <row r="484" spans="1:41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296"/>
      <c r="Q484" s="316"/>
      <c r="R484" s="383"/>
      <c r="S484" s="21"/>
      <c r="T484" s="13"/>
      <c r="U484" s="381"/>
      <c r="V484" s="370"/>
      <c r="W484" s="375"/>
      <c r="X484" s="374"/>
      <c r="Y484" s="370"/>
      <c r="Z484" s="376"/>
      <c r="AA484" s="371"/>
      <c r="AB484" s="744"/>
      <c r="AC484" s="270"/>
      <c r="AD484" s="372"/>
      <c r="AE484" s="270"/>
      <c r="AF484" s="270"/>
      <c r="AG484" s="270"/>
      <c r="AH484" s="315"/>
      <c r="AI484" s="1"/>
      <c r="AJ484" s="21"/>
      <c r="AK484" s="21"/>
      <c r="AL484" s="21"/>
      <c r="AM484" s="21"/>
      <c r="AN484" s="21"/>
      <c r="AO484" s="21"/>
    </row>
    <row r="485" spans="1:41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296"/>
      <c r="Q485" s="316"/>
      <c r="R485" s="383"/>
      <c r="S485" s="21"/>
      <c r="T485" s="13"/>
      <c r="U485" s="381"/>
      <c r="V485" s="370"/>
      <c r="W485" s="375"/>
      <c r="X485" s="374"/>
      <c r="Y485" s="370"/>
      <c r="Z485" s="376"/>
      <c r="AA485" s="371"/>
      <c r="AB485" s="744"/>
      <c r="AC485" s="270"/>
      <c r="AD485" s="372"/>
      <c r="AE485" s="270"/>
      <c r="AF485" s="270"/>
      <c r="AG485" s="270"/>
      <c r="AH485" s="315"/>
      <c r="AI485" s="1"/>
      <c r="AJ485" s="21"/>
      <c r="AK485" s="21"/>
      <c r="AL485" s="21"/>
      <c r="AM485" s="21"/>
      <c r="AN485" s="21"/>
      <c r="AO485" s="21"/>
    </row>
    <row r="486" spans="1:41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97"/>
      <c r="Q486" s="316"/>
      <c r="R486" s="383"/>
      <c r="S486" s="21"/>
      <c r="T486" s="13"/>
      <c r="U486" s="381"/>
      <c r="V486" s="370"/>
      <c r="W486" s="375"/>
      <c r="X486" s="374"/>
      <c r="Y486" s="370"/>
      <c r="Z486" s="376"/>
      <c r="AA486" s="371"/>
      <c r="AB486" s="744"/>
      <c r="AC486" s="270"/>
      <c r="AD486" s="372"/>
      <c r="AE486" s="270"/>
      <c r="AF486" s="270"/>
      <c r="AG486" s="270"/>
      <c r="AH486" s="315"/>
      <c r="AI486" s="1"/>
      <c r="AJ486" s="21"/>
      <c r="AK486" s="21"/>
      <c r="AL486" s="21"/>
      <c r="AM486" s="21"/>
      <c r="AN486" s="21"/>
      <c r="AO486" s="21"/>
    </row>
    <row r="487" spans="1:41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97"/>
      <c r="Q487" s="316"/>
      <c r="R487" s="383"/>
      <c r="S487" s="21"/>
      <c r="T487" s="13"/>
      <c r="U487" s="381"/>
      <c r="V487" s="370"/>
      <c r="W487" s="375"/>
      <c r="X487" s="374"/>
      <c r="Y487" s="370"/>
      <c r="Z487" s="376"/>
      <c r="AA487" s="371"/>
      <c r="AB487" s="744"/>
      <c r="AC487" s="270"/>
      <c r="AD487" s="372"/>
      <c r="AE487" s="270"/>
      <c r="AF487" s="270"/>
      <c r="AG487" s="270"/>
      <c r="AH487" s="315"/>
      <c r="AI487" s="1"/>
      <c r="AJ487" s="21"/>
      <c r="AK487" s="21"/>
      <c r="AL487" s="21"/>
      <c r="AM487" s="21"/>
      <c r="AN487" s="21"/>
      <c r="AO487" s="21"/>
    </row>
    <row r="488" spans="1:41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97"/>
      <c r="Q488" s="316"/>
      <c r="R488" s="383"/>
      <c r="S488" s="21"/>
      <c r="T488" s="13"/>
      <c r="U488" s="381"/>
      <c r="V488" s="370"/>
      <c r="W488" s="375"/>
      <c r="X488" s="374"/>
      <c r="Y488" s="370"/>
      <c r="Z488" s="376"/>
      <c r="AA488" s="371"/>
      <c r="AB488" s="744"/>
      <c r="AC488" s="270"/>
      <c r="AD488" s="372"/>
      <c r="AE488" s="270"/>
      <c r="AF488" s="270"/>
      <c r="AG488" s="270"/>
      <c r="AH488" s="272"/>
      <c r="AI488" s="1"/>
      <c r="AJ488" s="21"/>
      <c r="AK488" s="21"/>
      <c r="AL488" s="21"/>
      <c r="AM488" s="21"/>
      <c r="AN488" s="21"/>
      <c r="AO488" s="21"/>
    </row>
    <row r="489" spans="1:41" s="53" customFormat="1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97"/>
      <c r="Q489" s="316"/>
      <c r="R489" s="383"/>
      <c r="S489" s="21"/>
      <c r="T489" s="13"/>
      <c r="U489" s="381"/>
      <c r="V489" s="370"/>
      <c r="W489" s="375"/>
      <c r="X489" s="374"/>
      <c r="Y489" s="370"/>
      <c r="Z489" s="376"/>
      <c r="AA489" s="371"/>
      <c r="AB489" s="744"/>
      <c r="AC489" s="270"/>
      <c r="AD489" s="372"/>
      <c r="AE489" s="270"/>
      <c r="AF489" s="270"/>
      <c r="AG489" s="270"/>
      <c r="AH489" s="272"/>
      <c r="AI489" s="1"/>
      <c r="AJ489" s="21"/>
      <c r="AK489" s="21"/>
      <c r="AL489" s="21"/>
      <c r="AM489" s="21"/>
      <c r="AN489" s="21"/>
      <c r="AO489" s="21"/>
    </row>
    <row r="490" spans="1:41" s="53" customFormat="1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97"/>
      <c r="Q490" s="316"/>
      <c r="R490" s="383"/>
      <c r="S490" s="21"/>
      <c r="T490" s="13"/>
      <c r="U490" s="381"/>
      <c r="V490" s="370"/>
      <c r="W490" s="375"/>
      <c r="X490" s="374"/>
      <c r="Y490" s="370"/>
      <c r="Z490" s="376"/>
      <c r="AA490" s="371"/>
      <c r="AB490" s="744"/>
      <c r="AC490" s="270"/>
      <c r="AD490" s="372"/>
      <c r="AE490" s="270"/>
      <c r="AF490" s="270"/>
      <c r="AG490" s="270"/>
      <c r="AH490" s="272"/>
      <c r="AI490" s="1"/>
      <c r="AJ490" s="21"/>
      <c r="AK490" s="21"/>
      <c r="AL490" s="21"/>
      <c r="AM490" s="21"/>
      <c r="AN490" s="21"/>
      <c r="AO490" s="21"/>
    </row>
    <row r="491" spans="1:41" s="53" customFormat="1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97"/>
      <c r="Q491" s="316"/>
      <c r="R491" s="383"/>
      <c r="S491" s="21"/>
      <c r="T491" s="13"/>
      <c r="U491" s="381"/>
      <c r="V491" s="370"/>
      <c r="W491" s="375"/>
      <c r="X491" s="374"/>
      <c r="Y491" s="370"/>
      <c r="Z491" s="376"/>
      <c r="AA491" s="371"/>
      <c r="AB491" s="744"/>
      <c r="AC491" s="270"/>
      <c r="AD491" s="372"/>
      <c r="AE491" s="270"/>
      <c r="AF491" s="270"/>
      <c r="AG491" s="270"/>
      <c r="AH491" s="272"/>
      <c r="AI491" s="1"/>
      <c r="AJ491" s="21"/>
      <c r="AK491" s="21"/>
      <c r="AL491" s="21"/>
      <c r="AM491" s="21"/>
      <c r="AN491" s="21"/>
      <c r="AO491" s="21"/>
    </row>
    <row r="492" spans="1:41" s="53" customFormat="1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97"/>
      <c r="Q492" s="316"/>
      <c r="R492" s="383"/>
      <c r="S492" s="21"/>
      <c r="T492" s="13"/>
      <c r="U492" s="381"/>
      <c r="V492" s="370"/>
      <c r="W492" s="375"/>
      <c r="X492" s="374"/>
      <c r="Y492" s="370"/>
      <c r="Z492" s="376"/>
      <c r="AA492" s="371"/>
      <c r="AB492" s="744"/>
      <c r="AC492" s="270"/>
      <c r="AD492" s="372"/>
      <c r="AE492" s="270"/>
      <c r="AF492" s="270"/>
      <c r="AG492" s="270"/>
      <c r="AH492" s="272"/>
      <c r="AI492" s="1"/>
      <c r="AJ492" s="21"/>
      <c r="AK492" s="21"/>
      <c r="AL492" s="21"/>
      <c r="AM492" s="21"/>
      <c r="AN492" s="21"/>
      <c r="AO492" s="21"/>
    </row>
    <row r="493" spans="1:41" s="53" customFormat="1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97"/>
      <c r="Q493" s="316"/>
      <c r="R493" s="383"/>
      <c r="S493" s="21"/>
      <c r="T493" s="13"/>
      <c r="U493" s="381"/>
      <c r="V493" s="370"/>
      <c r="W493" s="375"/>
      <c r="X493" s="374"/>
      <c r="Y493" s="370"/>
      <c r="Z493" s="376"/>
      <c r="AA493" s="371"/>
      <c r="AB493" s="744"/>
      <c r="AC493" s="270"/>
      <c r="AD493" s="372"/>
      <c r="AE493" s="270"/>
      <c r="AF493" s="270"/>
      <c r="AG493" s="270"/>
      <c r="AH493" s="272"/>
      <c r="AI493" s="1"/>
      <c r="AJ493" s="21"/>
      <c r="AK493" s="21"/>
      <c r="AL493" s="21"/>
      <c r="AM493" s="21"/>
      <c r="AN493" s="21"/>
      <c r="AO493" s="21"/>
    </row>
    <row r="494" spans="1:41" s="53" customFormat="1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97"/>
      <c r="Q494" s="316"/>
      <c r="R494" s="383"/>
      <c r="S494" s="21"/>
      <c r="T494" s="13"/>
      <c r="U494" s="381"/>
      <c r="V494" s="370"/>
      <c r="W494" s="375"/>
      <c r="X494" s="374"/>
      <c r="Y494" s="370"/>
      <c r="Z494" s="376"/>
      <c r="AA494" s="371"/>
      <c r="AB494" s="744"/>
      <c r="AC494" s="270"/>
      <c r="AD494" s="372"/>
      <c r="AE494" s="270"/>
      <c r="AF494" s="270"/>
      <c r="AG494" s="270"/>
      <c r="AH494" s="272"/>
      <c r="AI494" s="1"/>
      <c r="AJ494" s="21"/>
      <c r="AK494" s="21"/>
      <c r="AL494" s="21"/>
      <c r="AM494" s="21"/>
      <c r="AN494" s="21"/>
      <c r="AO494" s="21"/>
    </row>
    <row r="495" spans="1:41" s="53" customFormat="1" x14ac:dyDescent="0.2">
      <c r="A495" s="48"/>
      <c r="B495" s="306"/>
      <c r="C495" s="233"/>
      <c r="D495" s="233"/>
      <c r="F495" s="13"/>
      <c r="G495" s="13"/>
      <c r="I495" s="298"/>
      <c r="J495" s="21"/>
      <c r="K495" s="21"/>
      <c r="L495" s="13"/>
      <c r="M495" s="50"/>
      <c r="N495" s="97"/>
      <c r="O495" s="50"/>
      <c r="P495" s="97"/>
      <c r="Q495" s="316"/>
      <c r="R495" s="383"/>
      <c r="S495" s="21"/>
      <c r="T495" s="13"/>
      <c r="U495" s="381"/>
      <c r="V495" s="370"/>
      <c r="W495" s="375"/>
      <c r="X495" s="374"/>
      <c r="Y495" s="370"/>
      <c r="Z495" s="376"/>
      <c r="AA495" s="371"/>
      <c r="AB495" s="744"/>
      <c r="AC495" s="270"/>
      <c r="AD495" s="372"/>
      <c r="AE495" s="270"/>
      <c r="AF495" s="270"/>
      <c r="AG495" s="270"/>
      <c r="AH495" s="272"/>
      <c r="AI495" s="1"/>
      <c r="AJ495" s="21"/>
      <c r="AK495" s="21"/>
      <c r="AL495" s="21"/>
      <c r="AM495" s="21"/>
      <c r="AN495" s="21"/>
      <c r="AO495" s="21"/>
    </row>
    <row r="496" spans="1:41" s="53" customFormat="1" x14ac:dyDescent="0.2">
      <c r="A496" s="48"/>
      <c r="B496" s="306"/>
      <c r="C496" s="233"/>
      <c r="D496" s="233"/>
      <c r="F496" s="13"/>
      <c r="G496" s="13"/>
      <c r="I496" s="298"/>
      <c r="J496" s="21"/>
      <c r="K496" s="21"/>
      <c r="L496" s="13"/>
      <c r="M496" s="50"/>
      <c r="N496" s="97"/>
      <c r="O496" s="50"/>
      <c r="P496" s="97"/>
      <c r="Q496" s="316"/>
      <c r="R496" s="383"/>
      <c r="S496" s="21"/>
      <c r="T496" s="13"/>
      <c r="U496" s="381"/>
      <c r="V496" s="370"/>
      <c r="W496" s="375"/>
      <c r="X496" s="374"/>
      <c r="Y496" s="370"/>
      <c r="Z496" s="376"/>
      <c r="AA496" s="371"/>
      <c r="AB496" s="744"/>
      <c r="AC496" s="270"/>
      <c r="AD496" s="372"/>
      <c r="AE496" s="270"/>
      <c r="AF496" s="270"/>
      <c r="AG496" s="270"/>
      <c r="AH496" s="272"/>
      <c r="AI496" s="1"/>
      <c r="AJ496" s="21"/>
      <c r="AK496" s="21"/>
      <c r="AL496" s="21"/>
      <c r="AM496" s="21"/>
      <c r="AN496" s="21"/>
      <c r="AO496" s="21"/>
    </row>
    <row r="497" spans="1:42" s="53" customFormat="1" x14ac:dyDescent="0.2">
      <c r="A497" s="48"/>
      <c r="B497" s="306"/>
      <c r="C497" s="233"/>
      <c r="D497" s="233"/>
      <c r="F497" s="13"/>
      <c r="G497" s="13"/>
      <c r="I497" s="298"/>
      <c r="J497" s="21"/>
      <c r="K497" s="21"/>
      <c r="L497" s="13"/>
      <c r="M497" s="50"/>
      <c r="N497" s="97"/>
      <c r="O497" s="50"/>
      <c r="P497" s="97"/>
      <c r="Q497" s="316"/>
      <c r="R497" s="383"/>
      <c r="S497" s="21"/>
      <c r="T497" s="13"/>
      <c r="U497" s="381"/>
      <c r="V497" s="370"/>
      <c r="W497" s="375"/>
      <c r="X497" s="374"/>
      <c r="Y497" s="370"/>
      <c r="Z497" s="376"/>
      <c r="AA497" s="371"/>
      <c r="AB497" s="744"/>
      <c r="AC497" s="270"/>
      <c r="AD497" s="372"/>
      <c r="AE497" s="270"/>
      <c r="AF497" s="270"/>
      <c r="AG497" s="270"/>
      <c r="AH497" s="272"/>
      <c r="AI497" s="1"/>
      <c r="AJ497" s="21"/>
      <c r="AK497" s="21"/>
      <c r="AL497" s="21"/>
      <c r="AM497" s="21"/>
      <c r="AN497" s="21"/>
      <c r="AO497" s="21"/>
    </row>
    <row r="498" spans="1:42" s="53" customFormat="1" x14ac:dyDescent="0.2">
      <c r="A498" s="48"/>
      <c r="B498" s="306"/>
      <c r="C498" s="233"/>
      <c r="D498" s="233"/>
      <c r="F498" s="13"/>
      <c r="G498" s="13"/>
      <c r="I498" s="298"/>
      <c r="J498" s="21"/>
      <c r="K498" s="21"/>
      <c r="L498" s="13"/>
      <c r="M498" s="50"/>
      <c r="N498" s="97"/>
      <c r="O498" s="50"/>
      <c r="P498" s="97"/>
      <c r="Q498" s="316"/>
      <c r="R498" s="383"/>
      <c r="S498" s="21"/>
      <c r="T498" s="13"/>
      <c r="U498" s="381"/>
      <c r="V498" s="370"/>
      <c r="W498" s="375"/>
      <c r="X498" s="374"/>
      <c r="Y498" s="370"/>
      <c r="Z498" s="376"/>
      <c r="AA498" s="371"/>
      <c r="AB498" s="744"/>
      <c r="AC498" s="270"/>
      <c r="AD498" s="372"/>
      <c r="AE498" s="270"/>
      <c r="AF498" s="270"/>
      <c r="AG498" s="270"/>
      <c r="AH498" s="272"/>
      <c r="AI498" s="1"/>
      <c r="AJ498" s="21"/>
      <c r="AK498" s="21"/>
      <c r="AL498" s="21"/>
      <c r="AM498" s="21"/>
      <c r="AN498" s="21"/>
      <c r="AO498" s="21"/>
    </row>
    <row r="499" spans="1:42" s="53" customFormat="1" x14ac:dyDescent="0.2">
      <c r="A499" s="48"/>
      <c r="B499" s="306"/>
      <c r="C499" s="233"/>
      <c r="D499" s="233"/>
      <c r="F499" s="13"/>
      <c r="G499" s="13"/>
      <c r="I499" s="298"/>
      <c r="J499" s="21"/>
      <c r="K499" s="21"/>
      <c r="L499" s="13"/>
      <c r="M499" s="50"/>
      <c r="N499" s="97"/>
      <c r="O499" s="50"/>
      <c r="P499" s="97"/>
      <c r="Q499" s="316"/>
      <c r="R499" s="383"/>
      <c r="S499" s="21"/>
      <c r="T499" s="13"/>
      <c r="U499" s="381"/>
      <c r="V499" s="370"/>
      <c r="W499" s="375"/>
      <c r="X499" s="374"/>
      <c r="Y499" s="370"/>
      <c r="Z499" s="376"/>
      <c r="AA499" s="371"/>
      <c r="AB499" s="744"/>
      <c r="AC499" s="270"/>
      <c r="AD499" s="372"/>
      <c r="AE499" s="270"/>
      <c r="AF499" s="270"/>
      <c r="AG499" s="270"/>
      <c r="AH499" s="272"/>
      <c r="AI499" s="1"/>
      <c r="AJ499" s="21"/>
      <c r="AK499" s="21"/>
      <c r="AL499" s="21"/>
      <c r="AM499" s="21"/>
      <c r="AN499" s="21"/>
      <c r="AO499" s="21"/>
    </row>
    <row r="500" spans="1:42" s="53" customFormat="1" x14ac:dyDescent="0.2">
      <c r="A500" s="48"/>
      <c r="B500" s="306"/>
      <c r="C500" s="233"/>
      <c r="D500" s="233"/>
      <c r="F500" s="13"/>
      <c r="G500" s="13"/>
      <c r="I500" s="298"/>
      <c r="J500" s="21"/>
      <c r="K500" s="21"/>
      <c r="L500" s="13"/>
      <c r="M500" s="50"/>
      <c r="N500" s="97"/>
      <c r="O500" s="50"/>
      <c r="P500" s="97"/>
      <c r="Q500" s="316"/>
      <c r="R500" s="383"/>
      <c r="S500" s="21"/>
      <c r="T500" s="13"/>
      <c r="U500" s="381"/>
      <c r="V500" s="370"/>
      <c r="W500" s="375"/>
      <c r="X500" s="374"/>
      <c r="Y500" s="370"/>
      <c r="Z500" s="376"/>
      <c r="AA500" s="371"/>
      <c r="AB500" s="744"/>
      <c r="AC500" s="270"/>
      <c r="AD500" s="372"/>
      <c r="AE500" s="270"/>
      <c r="AF500" s="270"/>
      <c r="AG500" s="270"/>
      <c r="AH500" s="272"/>
      <c r="AI500" s="1"/>
      <c r="AJ500" s="21"/>
      <c r="AK500" s="21"/>
      <c r="AL500" s="21"/>
      <c r="AM500" s="21"/>
      <c r="AN500" s="21"/>
      <c r="AO500" s="21"/>
    </row>
    <row r="501" spans="1:42" s="53" customFormat="1" x14ac:dyDescent="0.2">
      <c r="A501" s="48"/>
      <c r="B501" s="306"/>
      <c r="C501" s="233"/>
      <c r="D501" s="233"/>
      <c r="F501" s="13"/>
      <c r="G501" s="13"/>
      <c r="I501" s="298"/>
      <c r="J501" s="21"/>
      <c r="K501" s="21"/>
      <c r="L501" s="13"/>
      <c r="M501" s="50"/>
      <c r="N501" s="97"/>
      <c r="O501" s="50"/>
      <c r="P501" s="97"/>
      <c r="Q501" s="316"/>
      <c r="R501" s="383"/>
      <c r="S501" s="21"/>
      <c r="T501" s="13"/>
      <c r="U501" s="381"/>
      <c r="V501" s="370"/>
      <c r="W501" s="375"/>
      <c r="X501" s="374"/>
      <c r="Y501" s="370"/>
      <c r="Z501" s="376"/>
      <c r="AA501" s="371"/>
      <c r="AB501" s="744"/>
      <c r="AC501" s="270"/>
      <c r="AD501" s="372"/>
      <c r="AE501" s="270"/>
      <c r="AF501" s="270"/>
      <c r="AG501" s="270"/>
      <c r="AH501" s="272"/>
      <c r="AI501" s="1"/>
      <c r="AJ501" s="21"/>
      <c r="AK501" s="21"/>
      <c r="AL501" s="21"/>
      <c r="AM501" s="21"/>
      <c r="AN501" s="21"/>
      <c r="AO501" s="21"/>
    </row>
    <row r="502" spans="1:42" s="53" customFormat="1" x14ac:dyDescent="0.2">
      <c r="A502" s="48"/>
      <c r="B502" s="306"/>
      <c r="C502" s="233"/>
      <c r="D502" s="233"/>
      <c r="F502" s="13"/>
      <c r="G502" s="13"/>
      <c r="I502" s="298"/>
      <c r="J502" s="21"/>
      <c r="K502" s="21"/>
      <c r="L502" s="13"/>
      <c r="M502" s="50"/>
      <c r="N502" s="97"/>
      <c r="O502" s="50"/>
      <c r="P502" s="97"/>
      <c r="Q502" s="316"/>
      <c r="R502" s="383"/>
      <c r="S502" s="21"/>
      <c r="T502" s="13"/>
      <c r="U502" s="381"/>
      <c r="V502" s="370"/>
      <c r="W502" s="375"/>
      <c r="X502" s="374"/>
      <c r="Y502" s="370"/>
      <c r="Z502" s="376"/>
      <c r="AA502" s="371"/>
      <c r="AB502" s="744"/>
      <c r="AC502" s="270"/>
      <c r="AD502" s="372"/>
      <c r="AE502" s="270"/>
      <c r="AF502" s="270"/>
      <c r="AG502" s="270"/>
      <c r="AH502" s="272"/>
      <c r="AI502" s="1"/>
      <c r="AJ502" s="21"/>
      <c r="AK502" s="21"/>
      <c r="AL502" s="21"/>
      <c r="AM502" s="21"/>
      <c r="AN502" s="21"/>
      <c r="AO502" s="21"/>
      <c r="AP502" s="21"/>
    </row>
    <row r="503" spans="1:42" s="53" customFormat="1" x14ac:dyDescent="0.2">
      <c r="A503" s="48"/>
      <c r="B503" s="306"/>
      <c r="C503" s="233"/>
      <c r="D503" s="233"/>
      <c r="F503" s="13"/>
      <c r="G503" s="13"/>
      <c r="I503" s="298"/>
      <c r="J503" s="21"/>
      <c r="K503" s="21"/>
      <c r="L503" s="13"/>
      <c r="M503" s="50"/>
      <c r="N503" s="97"/>
      <c r="O503" s="50"/>
      <c r="P503" s="97"/>
      <c r="Q503" s="316"/>
      <c r="R503" s="383"/>
      <c r="S503" s="21"/>
      <c r="T503" s="13"/>
      <c r="U503" s="381"/>
      <c r="V503" s="370"/>
      <c r="W503" s="375"/>
      <c r="X503" s="374"/>
      <c r="Y503" s="370"/>
      <c r="Z503" s="376"/>
      <c r="AA503" s="371"/>
      <c r="AB503" s="744"/>
      <c r="AC503" s="270"/>
      <c r="AD503" s="372"/>
      <c r="AE503" s="270"/>
      <c r="AF503" s="270"/>
      <c r="AG503" s="270"/>
      <c r="AH503" s="272"/>
      <c r="AI503" s="1"/>
      <c r="AJ503" s="21"/>
      <c r="AK503" s="21"/>
      <c r="AL503" s="21"/>
      <c r="AM503" s="21"/>
      <c r="AN503" s="21"/>
      <c r="AO503" s="21"/>
      <c r="AP503" s="21"/>
    </row>
    <row r="504" spans="1:42" s="53" customFormat="1" x14ac:dyDescent="0.2">
      <c r="A504" s="48"/>
      <c r="B504" s="306"/>
      <c r="C504" s="233"/>
      <c r="D504" s="233"/>
      <c r="F504" s="13"/>
      <c r="G504" s="13"/>
      <c r="I504" s="298"/>
      <c r="J504" s="21"/>
      <c r="K504" s="21"/>
      <c r="L504" s="13"/>
      <c r="M504" s="50"/>
      <c r="N504" s="97"/>
      <c r="O504" s="50"/>
      <c r="P504" s="97"/>
      <c r="Q504" s="316"/>
      <c r="R504" s="383"/>
      <c r="S504" s="21"/>
      <c r="T504" s="13"/>
      <c r="U504" s="381"/>
      <c r="V504" s="370"/>
      <c r="W504" s="375"/>
      <c r="X504" s="374"/>
      <c r="Y504" s="370"/>
      <c r="Z504" s="376"/>
      <c r="AA504" s="371"/>
      <c r="AB504" s="744"/>
      <c r="AC504" s="270"/>
      <c r="AD504" s="372"/>
      <c r="AE504" s="270"/>
      <c r="AF504" s="270"/>
      <c r="AG504" s="270"/>
      <c r="AH504" s="272"/>
      <c r="AI504" s="1"/>
      <c r="AJ504" s="21"/>
      <c r="AK504" s="21"/>
      <c r="AL504" s="21"/>
      <c r="AM504" s="21"/>
      <c r="AN504" s="21"/>
      <c r="AO504" s="21"/>
      <c r="AP504" s="21"/>
    </row>
    <row r="505" spans="1:42" s="53" customFormat="1" x14ac:dyDescent="0.2">
      <c r="A505" s="48"/>
      <c r="B505" s="306"/>
      <c r="C505" s="233"/>
      <c r="D505" s="233"/>
      <c r="F505" s="13"/>
      <c r="G505" s="13"/>
      <c r="I505" s="298"/>
      <c r="J505" s="21"/>
      <c r="K505" s="21"/>
      <c r="L505" s="13"/>
      <c r="M505" s="50"/>
      <c r="N505" s="97"/>
      <c r="O505" s="50"/>
      <c r="P505" s="97"/>
      <c r="Q505" s="316"/>
      <c r="R505" s="383"/>
      <c r="S505" s="21"/>
      <c r="T505" s="13"/>
      <c r="U505" s="381"/>
      <c r="V505" s="370"/>
      <c r="W505" s="375"/>
      <c r="X505" s="374"/>
      <c r="Y505" s="370"/>
      <c r="Z505" s="376"/>
      <c r="AA505" s="371"/>
      <c r="AB505" s="744"/>
      <c r="AC505" s="270"/>
      <c r="AD505" s="372"/>
      <c r="AE505" s="270"/>
      <c r="AF505" s="270"/>
      <c r="AG505" s="270"/>
      <c r="AH505" s="272"/>
      <c r="AI505" s="1"/>
      <c r="AJ505" s="21"/>
      <c r="AK505" s="21"/>
      <c r="AL505" s="21"/>
      <c r="AM505" s="21"/>
      <c r="AN505" s="21"/>
      <c r="AO505" s="21"/>
      <c r="AP505" s="21"/>
    </row>
    <row r="506" spans="1:42" s="53" customFormat="1" x14ac:dyDescent="0.2">
      <c r="A506" s="48"/>
      <c r="B506" s="306"/>
      <c r="C506" s="233"/>
      <c r="D506" s="233"/>
      <c r="F506" s="13"/>
      <c r="G506" s="13"/>
      <c r="I506" s="298"/>
      <c r="J506" s="21"/>
      <c r="K506" s="21"/>
      <c r="L506" s="13"/>
      <c r="M506" s="50"/>
      <c r="N506" s="97"/>
      <c r="O506" s="50"/>
      <c r="P506" s="97"/>
      <c r="Q506" s="316"/>
      <c r="R506" s="383"/>
      <c r="S506" s="21"/>
      <c r="T506" s="13"/>
      <c r="U506" s="381"/>
      <c r="V506" s="375"/>
      <c r="W506" s="374"/>
      <c r="X506" s="370"/>
      <c r="Y506" s="376"/>
      <c r="Z506" s="371"/>
      <c r="AA506" s="371"/>
      <c r="AB506" s="745"/>
      <c r="AC506" s="372"/>
      <c r="AD506" s="270"/>
      <c r="AE506" s="270"/>
      <c r="AF506" s="270"/>
      <c r="AG506" s="376"/>
      <c r="AH506" s="272"/>
      <c r="AI506" s="1"/>
      <c r="AJ506" s="21"/>
      <c r="AK506" s="21"/>
      <c r="AL506" s="21"/>
      <c r="AM506" s="21"/>
      <c r="AN506" s="21"/>
      <c r="AO506" s="21"/>
      <c r="AP506" s="21"/>
    </row>
    <row r="507" spans="1:42" s="53" customFormat="1" x14ac:dyDescent="0.2">
      <c r="A507" s="48"/>
      <c r="B507" s="306"/>
      <c r="C507" s="233"/>
      <c r="D507" s="233"/>
      <c r="F507" s="13"/>
      <c r="G507" s="13"/>
      <c r="I507" s="298"/>
      <c r="J507" s="21"/>
      <c r="K507" s="21"/>
      <c r="L507" s="13"/>
      <c r="M507" s="50"/>
      <c r="N507" s="97"/>
      <c r="O507" s="50"/>
      <c r="P507" s="97"/>
      <c r="Q507" s="316"/>
      <c r="R507" s="383"/>
      <c r="S507" s="21"/>
      <c r="T507" s="13"/>
      <c r="U507" s="381"/>
      <c r="V507" s="375"/>
      <c r="W507" s="374"/>
      <c r="X507" s="370"/>
      <c r="Y507" s="376"/>
      <c r="Z507" s="371"/>
      <c r="AA507" s="371"/>
      <c r="AB507" s="745"/>
      <c r="AC507" s="372"/>
      <c r="AD507" s="270"/>
      <c r="AE507" s="270"/>
      <c r="AF507" s="270"/>
      <c r="AG507" s="376"/>
      <c r="AH507" s="272"/>
      <c r="AI507" s="1"/>
      <c r="AJ507" s="21"/>
      <c r="AK507" s="21"/>
      <c r="AL507" s="21"/>
      <c r="AM507" s="21"/>
      <c r="AN507" s="21"/>
      <c r="AO507" s="21"/>
      <c r="AP507" s="21"/>
    </row>
    <row r="508" spans="1:42" s="53" customFormat="1" x14ac:dyDescent="0.2">
      <c r="A508" s="48"/>
      <c r="B508" s="306"/>
      <c r="C508" s="233"/>
      <c r="D508" s="233"/>
      <c r="F508" s="13"/>
      <c r="G508" s="13"/>
      <c r="I508" s="298"/>
      <c r="J508" s="21"/>
      <c r="K508" s="21"/>
      <c r="L508" s="13"/>
      <c r="M508" s="50"/>
      <c r="N508" s="97"/>
      <c r="O508" s="50"/>
      <c r="P508" s="97"/>
      <c r="Q508" s="316"/>
      <c r="R508" s="383"/>
      <c r="S508" s="21"/>
      <c r="T508" s="13"/>
      <c r="U508" s="381"/>
      <c r="V508" s="375"/>
      <c r="W508" s="374"/>
      <c r="X508" s="370"/>
      <c r="Y508" s="376"/>
      <c r="Z508" s="371"/>
      <c r="AA508" s="371"/>
      <c r="AB508" s="745"/>
      <c r="AC508" s="372"/>
      <c r="AD508" s="270"/>
      <c r="AE508" s="270"/>
      <c r="AF508" s="270"/>
      <c r="AG508" s="376"/>
      <c r="AH508" s="272"/>
      <c r="AI508" s="1"/>
      <c r="AJ508" s="21"/>
      <c r="AK508" s="21"/>
      <c r="AL508" s="21"/>
      <c r="AM508" s="21"/>
      <c r="AN508" s="21"/>
      <c r="AO508" s="21"/>
      <c r="AP508" s="21"/>
    </row>
    <row r="509" spans="1:42" s="53" customFormat="1" x14ac:dyDescent="0.2">
      <c r="A509" s="48"/>
      <c r="B509" s="306"/>
      <c r="C509" s="233"/>
      <c r="D509" s="233"/>
      <c r="F509" s="13"/>
      <c r="G509" s="13"/>
      <c r="I509" s="298"/>
      <c r="J509" s="21"/>
      <c r="K509" s="21"/>
      <c r="L509" s="13"/>
      <c r="M509" s="50"/>
      <c r="N509" s="97"/>
      <c r="O509" s="50"/>
      <c r="P509" s="97"/>
      <c r="Q509" s="316"/>
      <c r="R509" s="383"/>
      <c r="S509" s="21"/>
      <c r="T509" s="13"/>
      <c r="U509" s="381"/>
      <c r="V509" s="375"/>
      <c r="W509" s="374"/>
      <c r="X509" s="370"/>
      <c r="Y509" s="376"/>
      <c r="Z509" s="371"/>
      <c r="AA509" s="371"/>
      <c r="AB509" s="745"/>
      <c r="AC509" s="372"/>
      <c r="AD509" s="270"/>
      <c r="AE509" s="270"/>
      <c r="AF509" s="270"/>
      <c r="AG509" s="376"/>
      <c r="AH509" s="272"/>
      <c r="AI509" s="1"/>
      <c r="AJ509" s="21"/>
      <c r="AK509" s="21"/>
      <c r="AL509" s="21"/>
      <c r="AM509" s="21"/>
      <c r="AN509" s="21"/>
      <c r="AO509" s="21"/>
      <c r="AP509" s="21"/>
    </row>
    <row r="510" spans="1:42" s="53" customFormat="1" x14ac:dyDescent="0.2">
      <c r="A510" s="48"/>
      <c r="B510" s="306"/>
      <c r="C510" s="233"/>
      <c r="D510" s="233"/>
      <c r="F510" s="13"/>
      <c r="G510" s="13"/>
      <c r="I510" s="298"/>
      <c r="J510" s="21"/>
      <c r="K510" s="21"/>
      <c r="L510" s="13"/>
      <c r="M510" s="50"/>
      <c r="N510" s="97"/>
      <c r="O510" s="50"/>
      <c r="P510" s="97"/>
      <c r="Q510" s="316"/>
      <c r="R510" s="383"/>
      <c r="S510" s="21"/>
      <c r="T510" s="13"/>
      <c r="U510" s="381"/>
      <c r="V510" s="375"/>
      <c r="W510" s="374"/>
      <c r="X510" s="370"/>
      <c r="Y510" s="376"/>
      <c r="Z510" s="371"/>
      <c r="AA510" s="371"/>
      <c r="AB510" s="745"/>
      <c r="AC510" s="372"/>
      <c r="AD510" s="270"/>
      <c r="AE510" s="270"/>
      <c r="AF510" s="270"/>
      <c r="AG510" s="376"/>
      <c r="AH510" s="272"/>
      <c r="AI510" s="1"/>
      <c r="AJ510" s="21"/>
      <c r="AK510" s="21"/>
      <c r="AL510" s="21"/>
      <c r="AM510" s="21"/>
      <c r="AN510" s="21"/>
      <c r="AO510" s="21"/>
      <c r="AP510" s="21"/>
    </row>
    <row r="511" spans="1:42" s="53" customFormat="1" x14ac:dyDescent="0.2">
      <c r="A511" s="48"/>
      <c r="B511" s="306"/>
      <c r="C511" s="233"/>
      <c r="D511" s="233"/>
      <c r="F511" s="13"/>
      <c r="G511" s="13"/>
      <c r="I511" s="298"/>
      <c r="J511" s="21"/>
      <c r="K511" s="21"/>
      <c r="L511" s="13"/>
      <c r="M511" s="50"/>
      <c r="N511" s="97"/>
      <c r="O511" s="50"/>
      <c r="P511" s="97"/>
      <c r="Q511" s="316"/>
      <c r="R511" s="383"/>
      <c r="S511" s="21"/>
      <c r="T511" s="13"/>
      <c r="U511" s="381"/>
      <c r="V511" s="375"/>
      <c r="W511" s="374"/>
      <c r="X511" s="370"/>
      <c r="Y511" s="376"/>
      <c r="Z511" s="371"/>
      <c r="AA511" s="371"/>
      <c r="AB511" s="745"/>
      <c r="AC511" s="372"/>
      <c r="AD511" s="270"/>
      <c r="AE511" s="270"/>
      <c r="AF511" s="270"/>
      <c r="AG511" s="376"/>
      <c r="AH511" s="272"/>
      <c r="AI511" s="1"/>
      <c r="AJ511" s="21"/>
      <c r="AK511" s="21"/>
      <c r="AL511" s="21"/>
      <c r="AM511" s="21"/>
      <c r="AN511" s="21"/>
      <c r="AO511" s="21"/>
      <c r="AP511" s="21"/>
    </row>
    <row r="512" spans="1:42" s="53" customFormat="1" x14ac:dyDescent="0.2">
      <c r="A512" s="48"/>
      <c r="B512" s="306"/>
      <c r="C512" s="233"/>
      <c r="D512" s="233"/>
      <c r="F512" s="13"/>
      <c r="G512" s="13"/>
      <c r="I512" s="298"/>
      <c r="J512" s="21"/>
      <c r="K512" s="21"/>
      <c r="L512" s="13"/>
      <c r="M512" s="50"/>
      <c r="N512" s="97"/>
      <c r="O512" s="50"/>
      <c r="P512" s="97"/>
      <c r="Q512" s="362"/>
      <c r="R512" s="383"/>
      <c r="S512" s="21"/>
      <c r="T512" s="13"/>
      <c r="U512" s="381"/>
      <c r="V512" s="375"/>
      <c r="W512" s="374"/>
      <c r="X512" s="370"/>
      <c r="Y512" s="376"/>
      <c r="Z512" s="371"/>
      <c r="AA512" s="371"/>
      <c r="AB512" s="745"/>
      <c r="AC512" s="372"/>
      <c r="AD512" s="270"/>
      <c r="AE512" s="270"/>
      <c r="AF512" s="270"/>
      <c r="AG512" s="376"/>
      <c r="AH512" s="272"/>
      <c r="AI512" s="1"/>
      <c r="AJ512" s="21"/>
      <c r="AK512" s="21"/>
      <c r="AL512" s="21"/>
      <c r="AM512" s="21"/>
      <c r="AN512" s="21"/>
      <c r="AO512" s="21"/>
    </row>
    <row r="513" spans="1:41" s="53" customFormat="1" x14ac:dyDescent="0.2">
      <c r="A513" s="48"/>
      <c r="B513" s="306"/>
      <c r="C513" s="233"/>
      <c r="D513" s="233"/>
      <c r="F513" s="13"/>
      <c r="G513" s="13"/>
      <c r="I513" s="298"/>
      <c r="J513" s="21"/>
      <c r="K513" s="21"/>
      <c r="L513" s="13"/>
      <c r="M513" s="50"/>
      <c r="N513" s="97"/>
      <c r="O513" s="50"/>
      <c r="P513" s="97"/>
      <c r="R513" s="285"/>
      <c r="S513" s="21"/>
      <c r="T513" s="13"/>
      <c r="U513" s="381"/>
      <c r="V513" s="375"/>
      <c r="W513" s="374"/>
      <c r="X513" s="370"/>
      <c r="Y513" s="376"/>
      <c r="Z513" s="371"/>
      <c r="AA513" s="371"/>
      <c r="AB513" s="745"/>
      <c r="AC513" s="372"/>
      <c r="AD513" s="270"/>
      <c r="AE513" s="270"/>
      <c r="AF513" s="270"/>
      <c r="AG513" s="376"/>
      <c r="AH513" s="272"/>
      <c r="AI513" s="1"/>
      <c r="AJ513" s="21"/>
      <c r="AK513" s="21"/>
      <c r="AL513" s="21"/>
      <c r="AM513" s="21"/>
      <c r="AN513" s="21"/>
      <c r="AO513" s="21"/>
    </row>
    <row r="514" spans="1:41" s="53" customFormat="1" x14ac:dyDescent="0.2">
      <c r="A514" s="48"/>
      <c r="B514" s="306"/>
      <c r="C514" s="233"/>
      <c r="D514" s="233"/>
      <c r="F514" s="13"/>
      <c r="G514" s="13"/>
      <c r="I514" s="298"/>
      <c r="J514" s="21"/>
      <c r="K514" s="21"/>
      <c r="L514" s="13"/>
      <c r="M514" s="50"/>
      <c r="N514" s="97"/>
      <c r="O514" s="50"/>
      <c r="P514" s="97"/>
      <c r="R514" s="285"/>
      <c r="S514" s="21"/>
      <c r="T514" s="13"/>
      <c r="U514" s="381"/>
      <c r="V514" s="375"/>
      <c r="W514" s="374"/>
      <c r="X514" s="370"/>
      <c r="Y514" s="376"/>
      <c r="Z514" s="371"/>
      <c r="AA514" s="371"/>
      <c r="AB514" s="745"/>
      <c r="AC514" s="372"/>
      <c r="AD514" s="270"/>
      <c r="AE514" s="270"/>
      <c r="AF514" s="270"/>
      <c r="AG514" s="376"/>
      <c r="AH514" s="272"/>
      <c r="AI514" s="1"/>
      <c r="AJ514" s="21"/>
      <c r="AK514" s="21"/>
      <c r="AL514" s="21"/>
      <c r="AM514" s="21"/>
      <c r="AN514" s="21"/>
      <c r="AO514" s="21"/>
    </row>
    <row r="515" spans="1:41" s="53" customFormat="1" x14ac:dyDescent="0.2">
      <c r="A515" s="48"/>
      <c r="B515" s="306"/>
      <c r="C515" s="233"/>
      <c r="D515" s="233"/>
      <c r="F515" s="13"/>
      <c r="G515" s="13"/>
      <c r="I515" s="298"/>
      <c r="J515" s="21"/>
      <c r="K515" s="21"/>
      <c r="L515" s="13"/>
      <c r="M515" s="50"/>
      <c r="N515" s="97"/>
      <c r="O515" s="50"/>
      <c r="P515" s="97"/>
      <c r="R515" s="285"/>
      <c r="S515" s="21"/>
      <c r="T515" s="13"/>
      <c r="U515" s="381"/>
      <c r="V515" s="375"/>
      <c r="W515" s="374"/>
      <c r="X515" s="370"/>
      <c r="Y515" s="376"/>
      <c r="Z515" s="371"/>
      <c r="AA515" s="371"/>
      <c r="AB515" s="745"/>
      <c r="AC515" s="372"/>
      <c r="AD515" s="270"/>
      <c r="AE515" s="270"/>
      <c r="AF515" s="270"/>
      <c r="AG515" s="376"/>
      <c r="AH515" s="272"/>
      <c r="AI515" s="1"/>
      <c r="AJ515" s="21"/>
      <c r="AK515" s="21"/>
      <c r="AL515" s="21"/>
      <c r="AM515" s="21"/>
      <c r="AN515" s="21"/>
      <c r="AO515" s="21"/>
    </row>
    <row r="516" spans="1:41" s="53" customFormat="1" x14ac:dyDescent="0.2">
      <c r="A516" s="48"/>
      <c r="B516" s="306"/>
      <c r="C516" s="233"/>
      <c r="D516" s="233"/>
      <c r="F516" s="13"/>
      <c r="G516" s="13"/>
      <c r="I516" s="298"/>
      <c r="J516" s="21"/>
      <c r="K516" s="21"/>
      <c r="L516" s="13"/>
      <c r="M516" s="50"/>
      <c r="N516" s="97"/>
      <c r="O516" s="50"/>
      <c r="P516" s="97"/>
      <c r="R516" s="285"/>
      <c r="S516" s="21"/>
      <c r="T516" s="13"/>
      <c r="U516" s="381"/>
      <c r="V516" s="375"/>
      <c r="W516" s="374"/>
      <c r="X516" s="370"/>
      <c r="Y516" s="376"/>
      <c r="Z516" s="371"/>
      <c r="AA516" s="371"/>
      <c r="AB516" s="745"/>
      <c r="AC516" s="372"/>
      <c r="AD516" s="270"/>
      <c r="AE516" s="270"/>
      <c r="AF516" s="270"/>
      <c r="AG516" s="376"/>
      <c r="AH516" s="272"/>
      <c r="AI516" s="1"/>
      <c r="AJ516" s="21"/>
      <c r="AK516" s="21"/>
      <c r="AL516" s="21"/>
      <c r="AM516" s="21"/>
      <c r="AN516" s="21"/>
      <c r="AO516" s="21"/>
    </row>
    <row r="517" spans="1:41" s="53" customFormat="1" x14ac:dyDescent="0.2">
      <c r="A517" s="48"/>
      <c r="B517" s="306"/>
      <c r="C517" s="233"/>
      <c r="D517" s="233"/>
      <c r="F517" s="13"/>
      <c r="G517" s="13"/>
      <c r="I517" s="298"/>
      <c r="J517" s="21"/>
      <c r="K517" s="21"/>
      <c r="L517" s="13"/>
      <c r="M517" s="50"/>
      <c r="N517" s="97"/>
      <c r="O517" s="50"/>
      <c r="P517" s="97"/>
      <c r="R517" s="285"/>
      <c r="S517" s="21"/>
      <c r="T517" s="13"/>
      <c r="U517" s="381"/>
      <c r="V517" s="375"/>
      <c r="W517" s="374"/>
      <c r="X517" s="370"/>
      <c r="Y517" s="376"/>
      <c r="Z517" s="371"/>
      <c r="AA517" s="371"/>
      <c r="AB517" s="745"/>
      <c r="AC517" s="372"/>
      <c r="AD517" s="270"/>
      <c r="AE517" s="270"/>
      <c r="AF517" s="270"/>
      <c r="AG517" s="376"/>
      <c r="AH517" s="272"/>
      <c r="AI517" s="1"/>
      <c r="AJ517" s="21"/>
      <c r="AK517" s="21"/>
      <c r="AL517" s="21"/>
      <c r="AM517" s="21"/>
      <c r="AN517" s="21"/>
      <c r="AO517" s="21"/>
    </row>
    <row r="518" spans="1:41" s="53" customFormat="1" x14ac:dyDescent="0.2">
      <c r="A518" s="48"/>
      <c r="B518" s="306"/>
      <c r="C518" s="233"/>
      <c r="D518" s="233"/>
      <c r="F518" s="13"/>
      <c r="G518" s="13"/>
      <c r="I518" s="298"/>
      <c r="J518" s="21"/>
      <c r="K518" s="21"/>
      <c r="L518" s="13"/>
      <c r="M518" s="50"/>
      <c r="N518" s="97"/>
      <c r="O518" s="50"/>
      <c r="P518" s="97"/>
      <c r="R518" s="285"/>
      <c r="S518" s="21"/>
      <c r="T518" s="13"/>
      <c r="U518" s="381"/>
      <c r="V518" s="375"/>
      <c r="W518" s="374"/>
      <c r="X518" s="370"/>
      <c r="Y518" s="376"/>
      <c r="Z518" s="371"/>
      <c r="AA518" s="371"/>
      <c r="AB518" s="745"/>
      <c r="AC518" s="372"/>
      <c r="AD518" s="270"/>
      <c r="AE518" s="270"/>
      <c r="AF518" s="270"/>
      <c r="AG518" s="376"/>
      <c r="AH518" s="272"/>
      <c r="AI518" s="1"/>
      <c r="AJ518" s="21"/>
      <c r="AK518" s="21"/>
      <c r="AL518" s="21"/>
      <c r="AM518" s="21"/>
      <c r="AN518" s="21"/>
      <c r="AO518" s="21"/>
    </row>
    <row r="519" spans="1:41" s="53" customFormat="1" x14ac:dyDescent="0.2">
      <c r="A519" s="48"/>
      <c r="B519" s="306"/>
      <c r="C519" s="233"/>
      <c r="D519" s="233"/>
      <c r="F519" s="13"/>
      <c r="G519" s="13"/>
      <c r="I519" s="298"/>
      <c r="J519" s="21"/>
      <c r="K519" s="21"/>
      <c r="L519" s="13"/>
      <c r="M519" s="50"/>
      <c r="N519" s="97"/>
      <c r="O519" s="50"/>
      <c r="P519" s="97"/>
      <c r="R519" s="285"/>
      <c r="S519" s="21"/>
      <c r="T519" s="13"/>
      <c r="U519" s="381"/>
      <c r="V519" s="375"/>
      <c r="W519" s="374"/>
      <c r="X519" s="370"/>
      <c r="Y519" s="376"/>
      <c r="Z519" s="371"/>
      <c r="AA519" s="371"/>
      <c r="AB519" s="745"/>
      <c r="AC519" s="372"/>
      <c r="AD519" s="270"/>
      <c r="AE519" s="270"/>
      <c r="AF519" s="270"/>
      <c r="AG519" s="376"/>
      <c r="AH519" s="272"/>
      <c r="AI519" s="1"/>
      <c r="AJ519" s="21"/>
      <c r="AK519" s="21"/>
      <c r="AL519" s="21"/>
      <c r="AM519" s="21"/>
      <c r="AN519" s="21"/>
      <c r="AO519" s="21"/>
    </row>
    <row r="520" spans="1:41" s="53" customFormat="1" x14ac:dyDescent="0.2">
      <c r="A520" s="48"/>
      <c r="B520" s="306"/>
      <c r="C520" s="233"/>
      <c r="D520" s="233"/>
      <c r="F520" s="13"/>
      <c r="G520" s="1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381"/>
      <c r="V520" s="375"/>
      <c r="W520" s="374"/>
      <c r="X520" s="370"/>
      <c r="Y520" s="376"/>
      <c r="Z520" s="371"/>
      <c r="AA520" s="371"/>
      <c r="AB520" s="745"/>
      <c r="AC520" s="372"/>
      <c r="AD520" s="270"/>
      <c r="AE520" s="270"/>
      <c r="AF520" s="270"/>
      <c r="AG520" s="376"/>
      <c r="AH520" s="272"/>
      <c r="AI520" s="1"/>
      <c r="AJ520" s="21"/>
      <c r="AK520" s="21"/>
      <c r="AL520" s="21"/>
      <c r="AM520" s="21"/>
      <c r="AN520" s="21"/>
      <c r="AO520" s="21"/>
    </row>
    <row r="521" spans="1:41" s="53" customFormat="1" x14ac:dyDescent="0.2">
      <c r="A521" s="48"/>
      <c r="B521" s="306"/>
      <c r="C521" s="233"/>
      <c r="D521" s="233"/>
      <c r="F521" s="13"/>
      <c r="G521" s="1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381"/>
      <c r="V521" s="375"/>
      <c r="W521" s="374"/>
      <c r="X521" s="370"/>
      <c r="Y521" s="376"/>
      <c r="Z521" s="371"/>
      <c r="AA521" s="371"/>
      <c r="AB521" s="745"/>
      <c r="AC521" s="372"/>
      <c r="AD521" s="270"/>
      <c r="AE521" s="270"/>
      <c r="AF521" s="270"/>
      <c r="AG521" s="376"/>
      <c r="AH521" s="272"/>
      <c r="AI521" s="1"/>
      <c r="AJ521" s="21"/>
      <c r="AK521" s="21"/>
      <c r="AL521" s="21"/>
      <c r="AM521" s="21"/>
      <c r="AN521" s="21"/>
      <c r="AO521" s="21"/>
    </row>
    <row r="522" spans="1:41" s="53" customFormat="1" x14ac:dyDescent="0.2">
      <c r="A522" s="48"/>
      <c r="B522" s="306"/>
      <c r="C522" s="233"/>
      <c r="D522" s="233"/>
      <c r="F522" s="13"/>
      <c r="G522" s="1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381"/>
      <c r="V522" s="375"/>
      <c r="W522" s="374"/>
      <c r="X522" s="370"/>
      <c r="Y522" s="376"/>
      <c r="Z522" s="371"/>
      <c r="AA522" s="371"/>
      <c r="AB522" s="745"/>
      <c r="AC522" s="372"/>
      <c r="AD522" s="270"/>
      <c r="AE522" s="270"/>
      <c r="AF522" s="270"/>
      <c r="AG522" s="376"/>
      <c r="AH522" s="272"/>
      <c r="AI522" s="1"/>
      <c r="AJ522" s="21"/>
      <c r="AK522" s="21"/>
      <c r="AL522" s="21"/>
      <c r="AM522" s="21"/>
      <c r="AN522" s="21"/>
      <c r="AO522" s="21"/>
    </row>
    <row r="523" spans="1:41" s="53" customFormat="1" x14ac:dyDescent="0.2">
      <c r="A523" s="48"/>
      <c r="B523" s="306"/>
      <c r="C523" s="233"/>
      <c r="D523" s="233"/>
      <c r="F523" s="13"/>
      <c r="G523" s="1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381"/>
      <c r="V523" s="375"/>
      <c r="W523" s="374"/>
      <c r="X523" s="370"/>
      <c r="Y523" s="376"/>
      <c r="Z523" s="371"/>
      <c r="AA523" s="371"/>
      <c r="AB523" s="745"/>
      <c r="AC523" s="372"/>
      <c r="AD523" s="270"/>
      <c r="AE523" s="270"/>
      <c r="AF523" s="270"/>
      <c r="AG523" s="376"/>
      <c r="AH523" s="272"/>
      <c r="AI523" s="1"/>
      <c r="AJ523" s="21"/>
      <c r="AK523" s="21"/>
      <c r="AL523" s="21"/>
      <c r="AM523" s="21"/>
      <c r="AN523" s="21"/>
      <c r="AO523" s="21"/>
    </row>
    <row r="524" spans="1:41" s="53" customFormat="1" x14ac:dyDescent="0.2">
      <c r="A524" s="48"/>
      <c r="B524" s="306"/>
      <c r="C524" s="233"/>
      <c r="D524" s="233"/>
      <c r="F524" s="13"/>
      <c r="G524" s="1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381"/>
      <c r="V524" s="375"/>
      <c r="W524" s="374"/>
      <c r="X524" s="370"/>
      <c r="Y524" s="376"/>
      <c r="Z524" s="371"/>
      <c r="AA524" s="371"/>
      <c r="AB524" s="745"/>
      <c r="AC524" s="372"/>
      <c r="AD524" s="270"/>
      <c r="AE524" s="270"/>
      <c r="AF524" s="270"/>
      <c r="AG524" s="376"/>
      <c r="AH524" s="272"/>
      <c r="AI524" s="1"/>
      <c r="AJ524" s="21"/>
      <c r="AK524" s="21"/>
      <c r="AL524" s="21"/>
      <c r="AM524" s="21"/>
      <c r="AN524" s="21"/>
      <c r="AO524" s="21"/>
    </row>
    <row r="525" spans="1:41" s="53" customFormat="1" x14ac:dyDescent="0.2">
      <c r="A525" s="48"/>
      <c r="B525" s="306"/>
      <c r="C525" s="233"/>
      <c r="D525" s="233"/>
      <c r="F525" s="13"/>
      <c r="G525" s="1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370"/>
      <c r="V525" s="375"/>
      <c r="W525" s="374"/>
      <c r="X525" s="370"/>
      <c r="Y525" s="376"/>
      <c r="Z525" s="371"/>
      <c r="AA525" s="371"/>
      <c r="AB525" s="745"/>
      <c r="AC525" s="372"/>
      <c r="AD525" s="270"/>
      <c r="AE525" s="270"/>
      <c r="AF525" s="270"/>
      <c r="AG525" s="376"/>
      <c r="AH525" s="272"/>
      <c r="AI525" s="1"/>
      <c r="AJ525" s="21"/>
      <c r="AK525" s="21"/>
      <c r="AL525" s="21"/>
      <c r="AM525" s="21"/>
      <c r="AN525" s="21"/>
      <c r="AO525" s="21"/>
    </row>
    <row r="526" spans="1:41" s="53" customFormat="1" x14ac:dyDescent="0.2">
      <c r="A526" s="48"/>
      <c r="B526" s="306"/>
      <c r="C526" s="233"/>
      <c r="D526" s="233"/>
      <c r="F526" s="13"/>
      <c r="G526" s="1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370"/>
      <c r="V526" s="375"/>
      <c r="W526" s="374"/>
      <c r="X526" s="370"/>
      <c r="Y526" s="376"/>
      <c r="Z526" s="371"/>
      <c r="AA526" s="371"/>
      <c r="AB526" s="745"/>
      <c r="AC526" s="372"/>
      <c r="AD526" s="270"/>
      <c r="AE526" s="270"/>
      <c r="AF526" s="270"/>
      <c r="AG526" s="376"/>
      <c r="AH526" s="272"/>
      <c r="AI526" s="1"/>
      <c r="AJ526" s="21"/>
      <c r="AK526" s="21"/>
      <c r="AL526" s="21"/>
      <c r="AM526" s="21"/>
      <c r="AN526" s="21"/>
      <c r="AO526" s="21"/>
    </row>
    <row r="527" spans="1:41" s="53" customFormat="1" x14ac:dyDescent="0.2">
      <c r="A527" s="48"/>
      <c r="B527" s="306"/>
      <c r="C527" s="233"/>
      <c r="D527" s="233"/>
      <c r="F527" s="13"/>
      <c r="G527" s="1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370"/>
      <c r="V527" s="375"/>
      <c r="W527" s="374"/>
      <c r="X527" s="370"/>
      <c r="Y527" s="376"/>
      <c r="Z527" s="371"/>
      <c r="AA527" s="371"/>
      <c r="AB527" s="745"/>
      <c r="AC527" s="372"/>
      <c r="AD527" s="270"/>
      <c r="AE527" s="270"/>
      <c r="AF527" s="270"/>
      <c r="AG527" s="376"/>
      <c r="AH527" s="272"/>
      <c r="AI527" s="1"/>
      <c r="AJ527" s="21"/>
      <c r="AK527" s="21"/>
      <c r="AL527" s="21"/>
      <c r="AM527" s="21"/>
      <c r="AN527" s="21"/>
      <c r="AO527" s="21"/>
    </row>
    <row r="528" spans="1:41" s="53" customFormat="1" x14ac:dyDescent="0.2">
      <c r="A528" s="48"/>
      <c r="B528" s="306"/>
      <c r="C528" s="233"/>
      <c r="D528" s="233"/>
      <c r="F528" s="13"/>
      <c r="G528" s="1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370"/>
      <c r="V528" s="375"/>
      <c r="W528" s="374"/>
      <c r="X528" s="370"/>
      <c r="Y528" s="376"/>
      <c r="Z528" s="371"/>
      <c r="AA528" s="371"/>
      <c r="AB528" s="745"/>
      <c r="AC528" s="372"/>
      <c r="AD528" s="270"/>
      <c r="AE528" s="270"/>
      <c r="AF528" s="270"/>
      <c r="AG528" s="376"/>
      <c r="AH528" s="272"/>
      <c r="AI528" s="1"/>
      <c r="AJ528" s="21"/>
      <c r="AK528" s="21"/>
      <c r="AL528" s="21"/>
      <c r="AM528" s="21"/>
      <c r="AN528" s="21"/>
      <c r="AO528" s="21"/>
    </row>
    <row r="529" spans="1:44" s="53" customFormat="1" x14ac:dyDescent="0.2">
      <c r="A529" s="48"/>
      <c r="B529" s="306"/>
      <c r="C529" s="233"/>
      <c r="D529" s="233"/>
      <c r="F529" s="13"/>
      <c r="G529" s="1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370"/>
      <c r="V529" s="375"/>
      <c r="W529" s="374"/>
      <c r="X529" s="370"/>
      <c r="Y529" s="376"/>
      <c r="Z529" s="371"/>
      <c r="AA529" s="371"/>
      <c r="AB529" s="745"/>
      <c r="AC529" s="372"/>
      <c r="AD529" s="270"/>
      <c r="AE529" s="270"/>
      <c r="AF529" s="270"/>
      <c r="AG529" s="376"/>
      <c r="AH529" s="272"/>
      <c r="AI529" s="1"/>
      <c r="AJ529" s="21"/>
      <c r="AK529" s="21"/>
      <c r="AL529" s="21"/>
      <c r="AM529" s="21"/>
      <c r="AN529" s="21"/>
      <c r="AO529" s="21"/>
    </row>
    <row r="530" spans="1:44" s="53" customFormat="1" x14ac:dyDescent="0.2">
      <c r="A530" s="48"/>
      <c r="B530" s="306"/>
      <c r="C530" s="233"/>
      <c r="D530" s="233"/>
      <c r="F530" s="13"/>
      <c r="G530" s="1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370"/>
      <c r="V530" s="375"/>
      <c r="W530" s="374"/>
      <c r="X530" s="370"/>
      <c r="Y530" s="376"/>
      <c r="Z530" s="371"/>
      <c r="AA530" s="371"/>
      <c r="AB530" s="745"/>
      <c r="AC530" s="372"/>
      <c r="AD530" s="270"/>
      <c r="AE530" s="270"/>
      <c r="AF530" s="270"/>
      <c r="AG530" s="376"/>
      <c r="AH530" s="272"/>
      <c r="AI530" s="1"/>
      <c r="AJ530" s="21"/>
      <c r="AK530" s="21"/>
      <c r="AL530" s="21"/>
      <c r="AM530" s="21"/>
      <c r="AN530" s="21"/>
      <c r="AO530" s="21"/>
    </row>
    <row r="531" spans="1:44" s="53" customFormat="1" x14ac:dyDescent="0.2">
      <c r="A531" s="48"/>
      <c r="B531" s="306"/>
      <c r="C531" s="233"/>
      <c r="D531" s="233"/>
      <c r="F531" s="13"/>
      <c r="G531" s="1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422"/>
      <c r="V531" s="375"/>
      <c r="W531" s="374"/>
      <c r="X531" s="370"/>
      <c r="Y531" s="376"/>
      <c r="Z531" s="371"/>
      <c r="AA531" s="371"/>
      <c r="AB531" s="745"/>
      <c r="AC531" s="372"/>
      <c r="AD531" s="270"/>
      <c r="AE531" s="270"/>
      <c r="AF531" s="270"/>
      <c r="AG531" s="376"/>
      <c r="AH531" s="272"/>
      <c r="AI531" s="1"/>
      <c r="AJ531" s="21"/>
      <c r="AK531" s="21"/>
      <c r="AL531" s="21"/>
      <c r="AM531" s="21"/>
      <c r="AN531" s="21"/>
      <c r="AO531" s="21"/>
    </row>
    <row r="532" spans="1:44" s="53" customFormat="1" x14ac:dyDescent="0.2">
      <c r="A532" s="48"/>
      <c r="B532" s="306"/>
      <c r="C532" s="233"/>
      <c r="D532" s="233"/>
      <c r="F532" s="13"/>
      <c r="G532" s="1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422"/>
      <c r="V532" s="375"/>
      <c r="W532" s="374"/>
      <c r="X532" s="370"/>
      <c r="Y532" s="376"/>
      <c r="Z532" s="371"/>
      <c r="AA532" s="371"/>
      <c r="AB532" s="745"/>
      <c r="AC532" s="372"/>
      <c r="AD532" s="270"/>
      <c r="AE532" s="270"/>
      <c r="AF532" s="270"/>
      <c r="AG532" s="376"/>
      <c r="AH532" s="272"/>
      <c r="AI532" s="1"/>
      <c r="AJ532" s="21"/>
      <c r="AK532" s="21"/>
      <c r="AL532" s="21"/>
      <c r="AM532" s="21"/>
      <c r="AN532" s="21"/>
      <c r="AO532" s="21"/>
    </row>
    <row r="533" spans="1:44" s="53" customFormat="1" x14ac:dyDescent="0.2">
      <c r="A533" s="48"/>
      <c r="B533" s="306"/>
      <c r="C533" s="233"/>
      <c r="D533" s="233"/>
      <c r="F533" s="13"/>
      <c r="G533" s="1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422"/>
      <c r="V533" s="375"/>
      <c r="W533" s="374"/>
      <c r="X533" s="370"/>
      <c r="Y533" s="376"/>
      <c r="Z533" s="371"/>
      <c r="AA533" s="371"/>
      <c r="AB533" s="745"/>
      <c r="AC533" s="372"/>
      <c r="AD533" s="270"/>
      <c r="AE533" s="270"/>
      <c r="AF533" s="270"/>
      <c r="AG533" s="376"/>
      <c r="AH533" s="272"/>
      <c r="AI533" s="1"/>
      <c r="AJ533" s="21"/>
      <c r="AK533" s="21"/>
      <c r="AL533" s="21"/>
      <c r="AM533" s="21"/>
      <c r="AN533" s="21"/>
      <c r="AO533" s="21"/>
    </row>
    <row r="534" spans="1:44" s="53" customFormat="1" x14ac:dyDescent="0.2">
      <c r="A534" s="48"/>
      <c r="B534" s="306"/>
      <c r="C534" s="233"/>
      <c r="D534" s="233"/>
      <c r="F534" s="13"/>
      <c r="G534" s="1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422"/>
      <c r="V534" s="375"/>
      <c r="W534" s="374"/>
      <c r="X534" s="370"/>
      <c r="Y534" s="376"/>
      <c r="Z534" s="371"/>
      <c r="AA534" s="371"/>
      <c r="AB534" s="745"/>
      <c r="AC534" s="372"/>
      <c r="AD534" s="270"/>
      <c r="AE534" s="270"/>
      <c r="AF534" s="270"/>
      <c r="AG534" s="376"/>
      <c r="AH534" s="272"/>
      <c r="AI534" s="1"/>
      <c r="AJ534" s="21"/>
      <c r="AK534" s="21"/>
      <c r="AL534" s="21"/>
      <c r="AM534" s="21"/>
      <c r="AN534" s="21"/>
      <c r="AO534" s="21"/>
    </row>
    <row r="535" spans="1:44" s="53" customFormat="1" x14ac:dyDescent="0.2">
      <c r="A535" s="48"/>
      <c r="B535" s="306"/>
      <c r="C535" s="233"/>
      <c r="D535" s="233"/>
      <c r="F535" s="13"/>
      <c r="G535" s="1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422"/>
      <c r="V535" s="375"/>
      <c r="W535" s="374"/>
      <c r="X535" s="370"/>
      <c r="Y535" s="376"/>
      <c r="Z535" s="371"/>
      <c r="AA535" s="371"/>
      <c r="AB535" s="745"/>
      <c r="AC535" s="372"/>
      <c r="AD535" s="270"/>
      <c r="AE535" s="270"/>
      <c r="AF535" s="270"/>
      <c r="AG535" s="376"/>
      <c r="AH535" s="272"/>
      <c r="AI535" s="1"/>
      <c r="AJ535" s="21"/>
      <c r="AK535" s="21"/>
      <c r="AL535" s="21"/>
      <c r="AM535" s="21"/>
      <c r="AN535" s="21"/>
      <c r="AO535" s="21"/>
    </row>
    <row r="536" spans="1:44" s="53" customFormat="1" x14ac:dyDescent="0.2">
      <c r="A536" s="48"/>
      <c r="B536" s="306"/>
      <c r="C536" s="233"/>
      <c r="D536" s="233"/>
      <c r="F536" s="13"/>
      <c r="G536" s="1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422"/>
      <c r="V536" s="375"/>
      <c r="W536" s="374"/>
      <c r="X536" s="370"/>
      <c r="Y536" s="376"/>
      <c r="Z536" s="371"/>
      <c r="AA536" s="371"/>
      <c r="AB536" s="745"/>
      <c r="AC536" s="372"/>
      <c r="AD536" s="270"/>
      <c r="AE536" s="270"/>
      <c r="AF536" s="270"/>
      <c r="AG536" s="376"/>
      <c r="AH536" s="272"/>
      <c r="AI536" s="1"/>
      <c r="AJ536" s="21"/>
      <c r="AK536" s="21"/>
      <c r="AL536" s="21"/>
      <c r="AM536" s="21"/>
      <c r="AN536" s="21"/>
      <c r="AO536" s="21"/>
    </row>
    <row r="537" spans="1:44" s="53" customFormat="1" x14ac:dyDescent="0.2">
      <c r="A537" s="48"/>
      <c r="B537" s="306"/>
      <c r="C537" s="233"/>
      <c r="D537" s="233"/>
      <c r="F537" s="13"/>
      <c r="G537" s="1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422"/>
      <c r="V537" s="375"/>
      <c r="W537" s="374"/>
      <c r="X537" s="370"/>
      <c r="Y537" s="376"/>
      <c r="Z537" s="371"/>
      <c r="AA537" s="371"/>
      <c r="AB537" s="745"/>
      <c r="AC537" s="372"/>
      <c r="AD537" s="270"/>
      <c r="AE537" s="270"/>
      <c r="AF537" s="270"/>
      <c r="AG537" s="376"/>
      <c r="AH537" s="272"/>
      <c r="AI537" s="1"/>
      <c r="AJ537" s="21"/>
      <c r="AK537" s="21"/>
      <c r="AL537" s="21"/>
      <c r="AM537" s="21"/>
      <c r="AN537" s="21"/>
      <c r="AO537" s="21"/>
    </row>
    <row r="538" spans="1:44" s="53" customFormat="1" x14ac:dyDescent="0.2">
      <c r="A538" s="48"/>
      <c r="B538" s="306"/>
      <c r="C538" s="233"/>
      <c r="D538" s="233"/>
      <c r="F538" s="13"/>
      <c r="G538" s="1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422"/>
      <c r="V538" s="375"/>
      <c r="W538" s="374"/>
      <c r="X538" s="370"/>
      <c r="Y538" s="376"/>
      <c r="Z538" s="371"/>
      <c r="AA538" s="371"/>
      <c r="AB538" s="745"/>
      <c r="AC538" s="372"/>
      <c r="AD538" s="270"/>
      <c r="AE538" s="270"/>
      <c r="AF538" s="270"/>
      <c r="AG538" s="376"/>
      <c r="AH538" s="272"/>
      <c r="AI538" s="1"/>
      <c r="AJ538" s="21"/>
      <c r="AK538" s="21"/>
      <c r="AL538" s="21"/>
      <c r="AM538" s="21"/>
      <c r="AN538" s="21"/>
      <c r="AO538" s="21"/>
    </row>
    <row r="539" spans="1:44" s="53" customFormat="1" x14ac:dyDescent="0.2">
      <c r="A539" s="48"/>
      <c r="B539" s="306"/>
      <c r="C539" s="233"/>
      <c r="D539" s="233"/>
      <c r="F539" s="13"/>
      <c r="G539" s="1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422"/>
      <c r="V539" s="375"/>
      <c r="W539" s="374"/>
      <c r="X539" s="370"/>
      <c r="Y539" s="376"/>
      <c r="Z539" s="371"/>
      <c r="AA539" s="371"/>
      <c r="AB539" s="745"/>
      <c r="AC539" s="372"/>
      <c r="AD539" s="270"/>
      <c r="AE539" s="270"/>
      <c r="AF539" s="270"/>
      <c r="AG539" s="376"/>
      <c r="AH539" s="272"/>
      <c r="AI539" s="1"/>
      <c r="AJ539" s="21"/>
      <c r="AK539" s="21"/>
      <c r="AL539" s="21"/>
      <c r="AM539" s="21"/>
      <c r="AN539" s="21"/>
      <c r="AO539" s="21"/>
    </row>
    <row r="540" spans="1:44" s="53" customFormat="1" x14ac:dyDescent="0.2">
      <c r="A540" s="48"/>
      <c r="B540" s="306"/>
      <c r="C540" s="233"/>
      <c r="D540" s="233"/>
      <c r="F540" s="13"/>
      <c r="G540" s="1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422"/>
      <c r="V540" s="375"/>
      <c r="W540" s="374"/>
      <c r="X540" s="370"/>
      <c r="Y540" s="376"/>
      <c r="Z540" s="371"/>
      <c r="AA540" s="371"/>
      <c r="AB540" s="745"/>
      <c r="AC540" s="372"/>
      <c r="AD540" s="270"/>
      <c r="AE540" s="270"/>
      <c r="AF540" s="270"/>
      <c r="AG540" s="376"/>
      <c r="AH540" s="272"/>
      <c r="AI540" s="1"/>
      <c r="AJ540" s="21"/>
      <c r="AK540" s="21"/>
      <c r="AL540" s="21"/>
      <c r="AM540" s="21"/>
      <c r="AN540" s="21"/>
      <c r="AO540" s="21"/>
    </row>
    <row r="541" spans="1:44" s="53" customFormat="1" x14ac:dyDescent="0.2">
      <c r="A541" s="48"/>
      <c r="B541" s="306"/>
      <c r="C541" s="233"/>
      <c r="D541" s="233"/>
      <c r="F541" s="13"/>
      <c r="G541" s="1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376"/>
      <c r="AH541" s="272"/>
      <c r="AI541" s="1"/>
      <c r="AJ541" s="21"/>
      <c r="AK541" s="21"/>
      <c r="AL541" s="21"/>
      <c r="AM541" s="21"/>
      <c r="AN541" s="21"/>
      <c r="AO541" s="21"/>
    </row>
    <row r="542" spans="1:44" s="53" customFormat="1" x14ac:dyDescent="0.2">
      <c r="A542" s="48"/>
      <c r="B542" s="306"/>
      <c r="C542" s="233"/>
      <c r="D542" s="233"/>
      <c r="F542" s="13"/>
      <c r="G542" s="1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376"/>
      <c r="AH542" s="272"/>
      <c r="AI542" s="1"/>
      <c r="AJ542" s="21"/>
      <c r="AK542" s="21"/>
      <c r="AL542" s="21"/>
      <c r="AM542" s="21"/>
      <c r="AN542" s="21"/>
      <c r="AO542" s="21"/>
    </row>
    <row r="543" spans="1:44" s="53" customFormat="1" x14ac:dyDescent="0.2">
      <c r="A543" s="48"/>
      <c r="B543" s="306"/>
      <c r="C543" s="233"/>
      <c r="D543" s="233"/>
      <c r="F543" s="13"/>
      <c r="G543" s="1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376"/>
      <c r="AH543" s="272"/>
      <c r="AI543" s="1"/>
      <c r="AJ543" s="21"/>
      <c r="AK543" s="21"/>
      <c r="AL543" s="21"/>
      <c r="AM543" s="21"/>
      <c r="AN543" s="21"/>
      <c r="AO543" s="21"/>
    </row>
    <row r="544" spans="1:44" s="53" customFormat="1" x14ac:dyDescent="0.2">
      <c r="A544" s="48"/>
      <c r="B544" s="306"/>
      <c r="C544" s="233"/>
      <c r="D544" s="233"/>
      <c r="F544" s="13"/>
      <c r="G544" s="1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376"/>
      <c r="AH544" s="272"/>
      <c r="AI544" s="1"/>
      <c r="AJ544" s="21"/>
      <c r="AK544" s="21"/>
      <c r="AL544" s="21"/>
      <c r="AM544" s="21"/>
      <c r="AN544" s="21"/>
      <c r="AO544" s="21"/>
      <c r="AQ544" s="308"/>
      <c r="AR544" s="308"/>
    </row>
    <row r="545" spans="1:44" s="53" customFormat="1" x14ac:dyDescent="0.2">
      <c r="A545" s="48"/>
      <c r="B545" s="306"/>
      <c r="C545" s="233"/>
      <c r="D545" s="233"/>
      <c r="F545" s="13"/>
      <c r="G545" s="1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376"/>
      <c r="AH545" s="272"/>
      <c r="AI545" s="1"/>
      <c r="AJ545" s="21"/>
      <c r="AK545" s="21"/>
      <c r="AL545" s="21"/>
      <c r="AM545" s="21"/>
      <c r="AN545" s="21"/>
      <c r="AO545" s="21"/>
      <c r="AQ545" s="308"/>
      <c r="AR545" s="308"/>
    </row>
    <row r="546" spans="1:44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376"/>
      <c r="AH546" s="272"/>
      <c r="AI546" s="1"/>
      <c r="AJ546" s="21"/>
      <c r="AK546" s="21"/>
      <c r="AL546" s="21"/>
      <c r="AM546" s="21"/>
      <c r="AN546" s="21"/>
      <c r="AO546" s="21"/>
      <c r="AP546" s="53"/>
    </row>
    <row r="547" spans="1:44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376"/>
      <c r="AH547" s="272"/>
      <c r="AI547" s="1"/>
      <c r="AJ547" s="21"/>
      <c r="AK547" s="21"/>
      <c r="AL547" s="21"/>
      <c r="AM547" s="21"/>
      <c r="AN547" s="21"/>
      <c r="AO547" s="21"/>
      <c r="AP547" s="53"/>
    </row>
    <row r="548" spans="1:44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272"/>
      <c r="AI548" s="1"/>
      <c r="AJ548" s="21"/>
      <c r="AK548" s="21"/>
      <c r="AL548" s="21"/>
      <c r="AM548" s="21"/>
      <c r="AN548" s="21"/>
      <c r="AO548" s="21"/>
      <c r="AP548" s="53"/>
    </row>
    <row r="549" spans="1:44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  <c r="AP549" s="53"/>
    </row>
    <row r="550" spans="1:44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  <c r="AP550" s="53"/>
    </row>
    <row r="551" spans="1:44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  <c r="AP551" s="53"/>
    </row>
    <row r="552" spans="1:44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  <c r="AP552" s="53"/>
    </row>
    <row r="553" spans="1:44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  <c r="AP553" s="53"/>
    </row>
    <row r="554" spans="1:44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  <c r="AP554" s="53"/>
    </row>
    <row r="555" spans="1:44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  <c r="AP555" s="53"/>
    </row>
    <row r="556" spans="1:44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  <c r="AP556" s="53"/>
    </row>
    <row r="557" spans="1:44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  <c r="AP557" s="53"/>
    </row>
    <row r="558" spans="1:44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  <c r="AP558" s="53"/>
    </row>
    <row r="559" spans="1:44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  <c r="AP559" s="53"/>
    </row>
    <row r="560" spans="1:44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  <c r="AP560" s="53"/>
    </row>
    <row r="561" spans="1:42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  <c r="AP561" s="53"/>
    </row>
    <row r="562" spans="1:42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  <c r="AP562" s="53"/>
    </row>
    <row r="563" spans="1:42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  <c r="AP563" s="53"/>
    </row>
    <row r="564" spans="1:42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  <c r="AP564" s="53"/>
    </row>
    <row r="565" spans="1:42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  <c r="AP565" s="53"/>
    </row>
    <row r="566" spans="1:42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  <c r="AP566" s="53"/>
    </row>
    <row r="567" spans="1:42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  <c r="AP567" s="53"/>
    </row>
    <row r="568" spans="1:42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  <c r="AP568" s="53"/>
    </row>
    <row r="569" spans="1:42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  <c r="AP569" s="53"/>
    </row>
    <row r="570" spans="1:42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  <c r="AP570" s="53"/>
    </row>
    <row r="571" spans="1:42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  <c r="AP571" s="53"/>
    </row>
    <row r="572" spans="1:42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  <c r="AP572" s="53"/>
    </row>
    <row r="573" spans="1:42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  <c r="AP573" s="53"/>
    </row>
    <row r="574" spans="1:42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  <c r="AP574" s="53"/>
    </row>
    <row r="575" spans="1:42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  <c r="AP575" s="53"/>
    </row>
    <row r="576" spans="1:42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  <c r="AP576" s="53"/>
    </row>
    <row r="577" spans="1:42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  <c r="AP577" s="53"/>
    </row>
    <row r="578" spans="1:42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  <c r="AP578" s="53"/>
    </row>
    <row r="579" spans="1:42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  <c r="AP579" s="53"/>
    </row>
    <row r="580" spans="1:42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  <c r="AP580" s="53"/>
    </row>
    <row r="581" spans="1:42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  <c r="AP581" s="53"/>
    </row>
    <row r="582" spans="1:42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  <c r="AP582" s="53"/>
    </row>
    <row r="583" spans="1:42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  <c r="AP583" s="53"/>
    </row>
    <row r="584" spans="1:42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  <c r="AP584" s="53"/>
    </row>
    <row r="585" spans="1:42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  <c r="AP585" s="53"/>
    </row>
    <row r="586" spans="1:42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  <c r="AP586" s="53"/>
    </row>
    <row r="587" spans="1:42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  <c r="AP587" s="53"/>
    </row>
    <row r="588" spans="1:42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  <c r="AP588" s="53"/>
    </row>
    <row r="589" spans="1:42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  <c r="AP589" s="53"/>
    </row>
    <row r="590" spans="1:42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  <c r="AP590" s="53"/>
    </row>
    <row r="591" spans="1:42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  <c r="AP591" s="53"/>
    </row>
    <row r="592" spans="1:42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3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B640" s="306"/>
      <c r="C640" s="233"/>
      <c r="D640" s="23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B641" s="306"/>
      <c r="C641" s="233"/>
      <c r="D641" s="23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B642" s="306"/>
      <c r="C642" s="233"/>
      <c r="D642" s="23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B643" s="306"/>
      <c r="C643" s="233"/>
      <c r="D643" s="23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B644" s="306"/>
      <c r="C644" s="233"/>
      <c r="D644" s="23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B645" s="306"/>
      <c r="C645" s="233"/>
      <c r="D645" s="23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B646" s="306"/>
      <c r="C646" s="233"/>
      <c r="D646" s="23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B647" s="306"/>
      <c r="C647" s="233"/>
      <c r="D647" s="23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B648" s="306"/>
      <c r="C648" s="233"/>
      <c r="D648" s="23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B649" s="306"/>
      <c r="C649" s="233"/>
      <c r="D649" s="23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B650" s="306"/>
      <c r="C650" s="233"/>
      <c r="D650" s="23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B651" s="306"/>
      <c r="C651" s="233"/>
      <c r="D651" s="23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B652" s="306"/>
      <c r="C652" s="233"/>
      <c r="D652" s="23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B653" s="306"/>
      <c r="C653" s="233"/>
      <c r="D653" s="23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B654" s="306"/>
      <c r="C654" s="233"/>
      <c r="D654" s="23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B655" s="306"/>
      <c r="C655" s="233"/>
      <c r="D655" s="23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B656" s="306"/>
      <c r="C656" s="233"/>
      <c r="D656" s="23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B657" s="306"/>
      <c r="C657" s="233"/>
      <c r="D657" s="23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B658" s="306"/>
      <c r="C658" s="233"/>
      <c r="D658" s="23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B659" s="306"/>
      <c r="C659" s="233"/>
      <c r="D659" s="23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B660" s="306"/>
      <c r="C660" s="233"/>
      <c r="D660" s="23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B661" s="306"/>
      <c r="C661" s="233"/>
      <c r="D661" s="23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B662" s="306"/>
      <c r="C662" s="233"/>
      <c r="D662" s="23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B663" s="306"/>
      <c r="C663" s="233"/>
      <c r="D663" s="23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B664" s="306"/>
      <c r="C664" s="233"/>
      <c r="D664" s="23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B665" s="306"/>
      <c r="C665" s="233"/>
      <c r="D665" s="23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B666" s="306"/>
      <c r="C666" s="233"/>
      <c r="D666" s="23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23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B667" s="306"/>
      <c r="C667" s="233"/>
      <c r="D667" s="23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B668" s="306"/>
      <c r="C668" s="233"/>
      <c r="D668" s="23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1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B669" s="306"/>
      <c r="C669" s="233"/>
      <c r="D669" s="23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1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B670" s="306"/>
      <c r="C670" s="233"/>
      <c r="D670" s="23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1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B671" s="306"/>
      <c r="C671" s="233"/>
      <c r="D671" s="23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1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B672" s="306"/>
      <c r="C672" s="233"/>
      <c r="D672" s="23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1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1" s="308" customFormat="1" x14ac:dyDescent="0.2">
      <c r="A673" s="48"/>
      <c r="B673" s="306"/>
      <c r="C673" s="233"/>
      <c r="D673" s="23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1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1" s="308" customFormat="1" x14ac:dyDescent="0.2">
      <c r="A674" s="48"/>
      <c r="B674" s="306"/>
      <c r="C674" s="233"/>
      <c r="D674" s="23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1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1" s="308" customFormat="1" x14ac:dyDescent="0.2">
      <c r="A675" s="48"/>
      <c r="B675" s="306"/>
      <c r="C675" s="233"/>
      <c r="D675" s="23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1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1" s="308" customFormat="1" x14ac:dyDescent="0.2">
      <c r="A676" s="48"/>
      <c r="B676" s="306"/>
      <c r="C676" s="233"/>
      <c r="D676" s="23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1" s="308" customFormat="1" x14ac:dyDescent="0.2">
      <c r="A677" s="48"/>
      <c r="B677" s="306"/>
      <c r="C677" s="233"/>
      <c r="D677" s="23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1" s="308" customFormat="1" x14ac:dyDescent="0.2">
      <c r="A678" s="48"/>
      <c r="B678" s="306"/>
      <c r="C678" s="233"/>
      <c r="D678" s="23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1" s="308" customFormat="1" x14ac:dyDescent="0.2">
      <c r="A679" s="48"/>
      <c r="B679" s="306"/>
      <c r="C679" s="233"/>
      <c r="D679" s="23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1" s="308" customFormat="1" x14ac:dyDescent="0.2">
      <c r="A680" s="48"/>
      <c r="B680" s="306"/>
      <c r="C680" s="233"/>
      <c r="D680" s="23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1" s="308" customFormat="1" x14ac:dyDescent="0.2">
      <c r="A681" s="48"/>
      <c r="B681" s="306"/>
      <c r="C681" s="233"/>
      <c r="D681" s="23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1" s="308" customFormat="1" x14ac:dyDescent="0.2">
      <c r="A682" s="48"/>
      <c r="B682" s="306"/>
      <c r="C682" s="233"/>
      <c r="D682" s="23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1" s="308" customFormat="1" x14ac:dyDescent="0.2">
      <c r="A683" s="48"/>
      <c r="B683" s="306"/>
      <c r="C683" s="233"/>
      <c r="D683" s="23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1" s="308" customFormat="1" x14ac:dyDescent="0.2">
      <c r="A684" s="48"/>
      <c r="B684" s="306"/>
      <c r="C684" s="233"/>
      <c r="D684" s="23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1" s="308" customFormat="1" x14ac:dyDescent="0.2">
      <c r="A685" s="48"/>
      <c r="B685" s="306"/>
      <c r="C685" s="233"/>
      <c r="D685" s="23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1" s="308" customFormat="1" x14ac:dyDescent="0.2">
      <c r="A686" s="48"/>
      <c r="B686" s="306"/>
      <c r="C686" s="233"/>
      <c r="D686" s="23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1" s="308" customFormat="1" x14ac:dyDescent="0.2">
      <c r="A687" s="48"/>
      <c r="B687" s="306"/>
      <c r="C687" s="233"/>
      <c r="D687" s="23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1" s="308" customFormat="1" x14ac:dyDescent="0.2">
      <c r="A688" s="48"/>
      <c r="B688" s="306"/>
      <c r="C688" s="233"/>
      <c r="D688" s="23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B689" s="306"/>
      <c r="C689" s="233"/>
      <c r="D689" s="23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1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1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1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6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1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1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6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1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1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6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1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1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6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1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1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6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1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</row>
    <row r="710" spans="1:41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6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1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</row>
    <row r="711" spans="1:41" s="308" customFormat="1" x14ac:dyDescent="0.2">
      <c r="A711" s="48"/>
      <c r="C711" s="263"/>
      <c r="D711" s="26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316"/>
      <c r="R711" s="285"/>
      <c r="S711" s="21"/>
      <c r="T711" s="13"/>
      <c r="U711" s="13"/>
      <c r="V711" s="21"/>
      <c r="W711" s="21"/>
      <c r="X711" s="21"/>
      <c r="Y711" s="260"/>
      <c r="Z711" s="177"/>
      <c r="AA711" s="177"/>
      <c r="AB711" s="61"/>
      <c r="AC711" s="64"/>
      <c r="AD711" s="50"/>
      <c r="AE711" s="50"/>
      <c r="AF711" s="19"/>
      <c r="AG711" s="120"/>
      <c r="AH711" s="119"/>
      <c r="AI711" s="1"/>
      <c r="AJ711" s="21"/>
      <c r="AK711" s="21"/>
      <c r="AL711" s="21"/>
      <c r="AM711" s="21"/>
      <c r="AN711" s="21"/>
      <c r="AO711" s="21"/>
    </row>
    <row r="712" spans="1:41" s="308" customFormat="1" x14ac:dyDescent="0.2">
      <c r="A712" s="48"/>
      <c r="C712" s="263"/>
      <c r="D712" s="26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316"/>
      <c r="R712" s="285"/>
      <c r="S712" s="21"/>
      <c r="T712" s="13"/>
      <c r="U712" s="13"/>
      <c r="V712" s="21"/>
      <c r="W712" s="21"/>
      <c r="X712" s="21"/>
      <c r="Y712" s="260"/>
      <c r="Z712" s="177"/>
      <c r="AA712" s="177"/>
      <c r="AB712" s="61"/>
      <c r="AC712" s="64"/>
      <c r="AD712" s="50"/>
      <c r="AE712" s="50"/>
      <c r="AF712" s="19"/>
      <c r="AG712" s="120"/>
      <c r="AH712" s="119"/>
      <c r="AI712" s="1"/>
      <c r="AJ712" s="21"/>
      <c r="AK712" s="21"/>
      <c r="AL712" s="21"/>
      <c r="AM712" s="21"/>
      <c r="AN712" s="21"/>
      <c r="AO712" s="21"/>
    </row>
    <row r="713" spans="1:41" s="308" customFormat="1" x14ac:dyDescent="0.2">
      <c r="A713" s="48"/>
      <c r="C713" s="263"/>
      <c r="D713" s="26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316"/>
      <c r="R713" s="285"/>
      <c r="S713" s="21"/>
      <c r="T713" s="13"/>
      <c r="U713" s="13"/>
      <c r="V713" s="21"/>
      <c r="W713" s="21"/>
      <c r="X713" s="21"/>
      <c r="Y713" s="260"/>
      <c r="Z713" s="177"/>
      <c r="AA713" s="177"/>
      <c r="AB713" s="61"/>
      <c r="AC713" s="64"/>
      <c r="AD713" s="50"/>
      <c r="AE713" s="50"/>
      <c r="AF713" s="19"/>
      <c r="AG713" s="120"/>
      <c r="AH713" s="119"/>
      <c r="AI713" s="1"/>
      <c r="AJ713" s="21"/>
      <c r="AK713" s="21"/>
      <c r="AL713" s="21"/>
      <c r="AM713" s="21"/>
      <c r="AN713" s="21"/>
      <c r="AO713" s="21"/>
    </row>
    <row r="714" spans="1:41" s="308" customFormat="1" x14ac:dyDescent="0.2">
      <c r="A714" s="48"/>
      <c r="C714" s="263"/>
      <c r="D714" s="26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316"/>
      <c r="R714" s="285"/>
      <c r="S714" s="21"/>
      <c r="T714" s="13"/>
      <c r="U714" s="13"/>
      <c r="V714" s="21"/>
      <c r="W714" s="21"/>
      <c r="X714" s="21"/>
      <c r="Y714" s="260"/>
      <c r="Z714" s="177"/>
      <c r="AA714" s="177"/>
      <c r="AB714" s="61"/>
      <c r="AC714" s="64"/>
      <c r="AD714" s="50"/>
      <c r="AE714" s="50"/>
      <c r="AF714" s="19"/>
      <c r="AG714" s="120"/>
      <c r="AH714" s="119"/>
      <c r="AI714" s="1"/>
      <c r="AJ714" s="21"/>
      <c r="AK714" s="21"/>
      <c r="AL714" s="21"/>
      <c r="AM714" s="21"/>
      <c r="AN714" s="21"/>
      <c r="AO714" s="21"/>
    </row>
    <row r="715" spans="1:41" s="308" customFormat="1" x14ac:dyDescent="0.2">
      <c r="A715" s="48"/>
      <c r="C715" s="263"/>
      <c r="D715" s="26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316"/>
      <c r="R715" s="285"/>
      <c r="S715" s="21"/>
      <c r="T715" s="13"/>
      <c r="U715" s="13"/>
      <c r="V715" s="21"/>
      <c r="W715" s="21"/>
      <c r="X715" s="21"/>
      <c r="Y715" s="260"/>
      <c r="Z715" s="177"/>
      <c r="AA715" s="177"/>
      <c r="AB715" s="61"/>
      <c r="AC715" s="64"/>
      <c r="AD715" s="50"/>
      <c r="AE715" s="50"/>
      <c r="AF715" s="19"/>
      <c r="AG715" s="120"/>
      <c r="AH715" s="119"/>
      <c r="AI715" s="1"/>
      <c r="AJ715" s="21"/>
      <c r="AK715" s="21"/>
      <c r="AL715" s="21"/>
      <c r="AM715" s="21"/>
      <c r="AN715" s="21"/>
      <c r="AO715" s="21"/>
    </row>
    <row r="716" spans="1:41" s="308" customFormat="1" x14ac:dyDescent="0.2">
      <c r="A716" s="48"/>
      <c r="C716" s="263"/>
      <c r="D716" s="26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316"/>
      <c r="R716" s="285"/>
      <c r="S716" s="21"/>
      <c r="T716" s="13"/>
      <c r="U716" s="13"/>
      <c r="V716" s="21"/>
      <c r="W716" s="21"/>
      <c r="X716" s="21"/>
      <c r="Y716" s="260"/>
      <c r="Z716" s="177"/>
      <c r="AA716" s="177"/>
      <c r="AB716" s="61"/>
      <c r="AC716" s="64"/>
      <c r="AD716" s="50"/>
      <c r="AE716" s="50"/>
      <c r="AF716" s="19"/>
      <c r="AG716" s="120"/>
      <c r="AH716" s="119"/>
      <c r="AI716" s="1"/>
      <c r="AJ716" s="21"/>
      <c r="AK716" s="21"/>
      <c r="AL716" s="21"/>
      <c r="AM716" s="21"/>
      <c r="AN716" s="21"/>
      <c r="AO716" s="21"/>
    </row>
    <row r="717" spans="1:41" s="308" customFormat="1" x14ac:dyDescent="0.2">
      <c r="A717" s="48"/>
      <c r="C717" s="263"/>
      <c r="D717" s="26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316"/>
      <c r="R717" s="285"/>
      <c r="S717" s="21"/>
      <c r="T717" s="13"/>
      <c r="U717" s="13"/>
      <c r="V717" s="21"/>
      <c r="W717" s="21"/>
      <c r="X717" s="21"/>
      <c r="Y717" s="260"/>
      <c r="Z717" s="177"/>
      <c r="AA717" s="177"/>
      <c r="AB717" s="61"/>
      <c r="AC717" s="64"/>
      <c r="AD717" s="50"/>
      <c r="AE717" s="50"/>
      <c r="AF717" s="19"/>
      <c r="AG717" s="120"/>
      <c r="AH717" s="119"/>
      <c r="AI717" s="1"/>
      <c r="AJ717" s="21"/>
      <c r="AK717" s="21"/>
      <c r="AL717" s="21"/>
      <c r="AM717" s="21"/>
      <c r="AN717" s="21"/>
      <c r="AO717" s="21"/>
    </row>
    <row r="718" spans="1:41" s="308" customFormat="1" x14ac:dyDescent="0.2">
      <c r="A718" s="48"/>
      <c r="C718" s="263"/>
      <c r="D718" s="263"/>
      <c r="E718" s="53"/>
      <c r="F718" s="13"/>
      <c r="G718" s="13"/>
      <c r="H718" s="53"/>
      <c r="I718" s="298"/>
      <c r="J718" s="21"/>
      <c r="K718" s="21"/>
      <c r="L718" s="13"/>
      <c r="M718" s="50"/>
      <c r="N718" s="97"/>
      <c r="O718" s="50"/>
      <c r="P718" s="50"/>
      <c r="Q718" s="316"/>
      <c r="R718" s="285"/>
      <c r="S718" s="21"/>
      <c r="T718" s="13"/>
      <c r="U718" s="13"/>
      <c r="V718" s="21"/>
      <c r="W718" s="21"/>
      <c r="X718" s="21"/>
      <c r="Y718" s="260"/>
      <c r="Z718" s="177"/>
      <c r="AA718" s="177"/>
      <c r="AB718" s="61"/>
      <c r="AC718" s="64"/>
      <c r="AD718" s="50"/>
      <c r="AE718" s="50"/>
      <c r="AF718" s="19"/>
      <c r="AG718" s="120"/>
      <c r="AH718" s="119"/>
      <c r="AI718" s="1"/>
      <c r="AJ718" s="21"/>
      <c r="AK718" s="21"/>
      <c r="AL718" s="21"/>
      <c r="AM718" s="21"/>
      <c r="AN718" s="21"/>
      <c r="AO718" s="21"/>
    </row>
    <row r="719" spans="1:41" s="308" customFormat="1" x14ac:dyDescent="0.2">
      <c r="A719" s="48"/>
      <c r="C719" s="263"/>
      <c r="D719" s="263"/>
      <c r="E719" s="53"/>
      <c r="F719" s="13"/>
      <c r="G719" s="13"/>
      <c r="H719" s="53"/>
      <c r="I719" s="298"/>
      <c r="J719" s="21"/>
      <c r="K719" s="21"/>
      <c r="L719" s="13"/>
      <c r="M719" s="50"/>
      <c r="N719" s="97"/>
      <c r="O719" s="50"/>
      <c r="P719" s="50"/>
      <c r="Q719" s="316"/>
      <c r="R719" s="285"/>
      <c r="S719" s="21"/>
      <c r="T719" s="13"/>
      <c r="U719" s="13"/>
      <c r="V719" s="21"/>
      <c r="W719" s="21"/>
      <c r="X719" s="21"/>
      <c r="Y719" s="260"/>
      <c r="Z719" s="177"/>
      <c r="AA719" s="177"/>
      <c r="AB719" s="61"/>
      <c r="AC719" s="64"/>
      <c r="AD719" s="50"/>
      <c r="AE719" s="50"/>
      <c r="AF719" s="19"/>
      <c r="AG719" s="120"/>
      <c r="AH719" s="119"/>
      <c r="AI719" s="1"/>
      <c r="AJ719" s="21"/>
      <c r="AK719" s="21"/>
      <c r="AL719" s="21"/>
      <c r="AM719" s="21"/>
      <c r="AN719" s="21"/>
      <c r="AO719" s="21"/>
    </row>
    <row r="720" spans="1:41" s="308" customFormat="1" x14ac:dyDescent="0.2">
      <c r="A720" s="48"/>
      <c r="C720" s="263"/>
      <c r="D720" s="263"/>
      <c r="E720" s="53"/>
      <c r="F720" s="13"/>
      <c r="G720" s="13"/>
      <c r="H720" s="53"/>
      <c r="I720" s="298"/>
      <c r="J720" s="21"/>
      <c r="K720" s="21"/>
      <c r="L720" s="13"/>
      <c r="M720" s="50"/>
      <c r="N720" s="97"/>
      <c r="O720" s="50"/>
      <c r="P720" s="50"/>
      <c r="Q720" s="316"/>
      <c r="R720" s="285"/>
      <c r="S720" s="21"/>
      <c r="T720" s="13"/>
      <c r="U720" s="13"/>
      <c r="V720" s="21"/>
      <c r="W720" s="21"/>
      <c r="X720" s="21"/>
      <c r="Y720" s="260"/>
      <c r="Z720" s="177"/>
      <c r="AA720" s="177"/>
      <c r="AB720" s="61"/>
      <c r="AC720" s="64"/>
      <c r="AD720" s="50"/>
      <c r="AE720" s="50"/>
      <c r="AF720" s="19"/>
      <c r="AG720" s="120"/>
      <c r="AH720" s="119"/>
      <c r="AI720" s="1"/>
      <c r="AJ720" s="21"/>
      <c r="AK720" s="21"/>
      <c r="AL720" s="21"/>
      <c r="AM720" s="21"/>
      <c r="AN720" s="21"/>
      <c r="AO720" s="21"/>
    </row>
    <row r="721" spans="1:44" s="308" customFormat="1" x14ac:dyDescent="0.2">
      <c r="A721" s="48"/>
      <c r="C721" s="263"/>
      <c r="D721" s="263"/>
      <c r="E721" s="53"/>
      <c r="F721" s="13"/>
      <c r="G721" s="13"/>
      <c r="H721" s="53"/>
      <c r="I721" s="298"/>
      <c r="J721" s="21"/>
      <c r="K721" s="21"/>
      <c r="L721" s="13"/>
      <c r="M721" s="50"/>
      <c r="N721" s="97"/>
      <c r="O721" s="50"/>
      <c r="P721" s="50"/>
      <c r="Q721" s="316"/>
      <c r="R721" s="285"/>
      <c r="S721" s="21"/>
      <c r="T721" s="13"/>
      <c r="U721" s="13"/>
      <c r="V721" s="21"/>
      <c r="W721" s="21"/>
      <c r="X721" s="21"/>
      <c r="Y721" s="260"/>
      <c r="Z721" s="177"/>
      <c r="AA721" s="177"/>
      <c r="AB721" s="61"/>
      <c r="AC721" s="64"/>
      <c r="AD721" s="50"/>
      <c r="AE721" s="50"/>
      <c r="AF721" s="19"/>
      <c r="AG721" s="120"/>
      <c r="AH721" s="119"/>
      <c r="AI721" s="1"/>
      <c r="AJ721" s="21"/>
      <c r="AK721" s="21"/>
      <c r="AL721" s="21"/>
      <c r="AM721" s="21"/>
      <c r="AN721" s="21"/>
      <c r="AO721" s="21"/>
    </row>
    <row r="722" spans="1:44" s="308" customFormat="1" x14ac:dyDescent="0.2">
      <c r="A722" s="48"/>
      <c r="C722" s="263"/>
      <c r="D722" s="263"/>
      <c r="E722" s="53"/>
      <c r="F722" s="13"/>
      <c r="G722" s="13"/>
      <c r="H722" s="53"/>
      <c r="I722" s="298"/>
      <c r="J722" s="21"/>
      <c r="K722" s="21"/>
      <c r="L722" s="13"/>
      <c r="M722" s="50"/>
      <c r="N722" s="97"/>
      <c r="O722" s="50"/>
      <c r="P722" s="50"/>
      <c r="Q722" s="316"/>
      <c r="R722" s="285"/>
      <c r="S722" s="21"/>
      <c r="T722" s="13"/>
      <c r="U722" s="13"/>
      <c r="V722" s="21"/>
      <c r="W722" s="21"/>
      <c r="X722" s="21"/>
      <c r="Y722" s="260"/>
      <c r="Z722" s="177"/>
      <c r="AA722" s="177"/>
      <c r="AB722" s="61"/>
      <c r="AC722" s="64"/>
      <c r="AD722" s="50"/>
      <c r="AE722" s="50"/>
      <c r="AF722" s="19"/>
      <c r="AG722" s="120"/>
      <c r="AH722" s="119"/>
      <c r="AI722" s="1"/>
      <c r="AJ722" s="21"/>
      <c r="AK722" s="21"/>
      <c r="AL722" s="21"/>
      <c r="AM722" s="21"/>
      <c r="AN722" s="21"/>
      <c r="AO722" s="21"/>
    </row>
    <row r="723" spans="1:44" s="308" customFormat="1" x14ac:dyDescent="0.2">
      <c r="A723" s="48"/>
      <c r="C723" s="263"/>
      <c r="D723" s="263"/>
      <c r="E723" s="53"/>
      <c r="F723" s="13"/>
      <c r="G723" s="13"/>
      <c r="H723" s="53"/>
      <c r="I723" s="298"/>
      <c r="J723" s="21"/>
      <c r="K723" s="21"/>
      <c r="L723" s="13"/>
      <c r="M723" s="50"/>
      <c r="N723" s="97"/>
      <c r="O723" s="50"/>
      <c r="P723" s="50"/>
      <c r="Q723" s="316"/>
      <c r="R723" s="285"/>
      <c r="S723" s="21"/>
      <c r="T723" s="13"/>
      <c r="U723" s="13"/>
      <c r="V723" s="21"/>
      <c r="W723" s="21"/>
      <c r="X723" s="21"/>
      <c r="Y723" s="260"/>
      <c r="Z723" s="177"/>
      <c r="AA723" s="177"/>
      <c r="AB723" s="61"/>
      <c r="AC723" s="64"/>
      <c r="AD723" s="50"/>
      <c r="AE723" s="50"/>
      <c r="AF723" s="19"/>
      <c r="AG723" s="120"/>
      <c r="AH723" s="119"/>
      <c r="AI723" s="1"/>
      <c r="AJ723" s="21"/>
      <c r="AK723" s="21"/>
      <c r="AL723" s="21"/>
      <c r="AM723" s="21"/>
      <c r="AN723" s="21"/>
      <c r="AO723" s="21"/>
    </row>
    <row r="724" spans="1:44" s="308" customFormat="1" x14ac:dyDescent="0.2">
      <c r="A724" s="48"/>
      <c r="C724" s="263"/>
      <c r="D724" s="263"/>
      <c r="E724" s="53"/>
      <c r="F724" s="13"/>
      <c r="G724" s="13"/>
      <c r="H724" s="53"/>
      <c r="I724" s="298"/>
      <c r="J724" s="21"/>
      <c r="K724" s="21"/>
      <c r="L724" s="13"/>
      <c r="M724" s="50"/>
      <c r="N724" s="97"/>
      <c r="O724" s="50"/>
      <c r="P724" s="50"/>
      <c r="Q724" s="316"/>
      <c r="R724" s="285"/>
      <c r="S724" s="21"/>
      <c r="T724" s="13"/>
      <c r="U724" s="13"/>
      <c r="V724" s="21"/>
      <c r="W724" s="21"/>
      <c r="X724" s="21"/>
      <c r="Y724" s="260"/>
      <c r="Z724" s="177"/>
      <c r="AA724" s="177"/>
      <c r="AB724" s="61"/>
      <c r="AC724" s="64"/>
      <c r="AD724" s="50"/>
      <c r="AE724" s="50"/>
      <c r="AF724" s="19"/>
      <c r="AG724" s="120"/>
      <c r="AH724" s="119"/>
      <c r="AI724" s="1"/>
      <c r="AJ724" s="21"/>
      <c r="AK724" s="21"/>
      <c r="AL724" s="21"/>
      <c r="AM724" s="21"/>
      <c r="AN724" s="21"/>
      <c r="AO724" s="21"/>
    </row>
    <row r="725" spans="1:44" s="308" customFormat="1" x14ac:dyDescent="0.2">
      <c r="A725" s="48"/>
      <c r="C725" s="263"/>
      <c r="D725" s="263"/>
      <c r="E725" s="53"/>
      <c r="F725" s="13"/>
      <c r="G725" s="13"/>
      <c r="H725" s="53"/>
      <c r="I725" s="298"/>
      <c r="J725" s="21"/>
      <c r="K725" s="21"/>
      <c r="L725" s="13"/>
      <c r="M725" s="50"/>
      <c r="N725" s="97"/>
      <c r="O725" s="50"/>
      <c r="P725" s="50"/>
      <c r="Q725" s="316"/>
      <c r="R725" s="285"/>
      <c r="S725" s="21"/>
      <c r="T725" s="13"/>
      <c r="U725" s="13"/>
      <c r="V725" s="21"/>
      <c r="W725" s="21"/>
      <c r="X725" s="21"/>
      <c r="Y725" s="260"/>
      <c r="Z725" s="177"/>
      <c r="AA725" s="177"/>
      <c r="AB725" s="61"/>
      <c r="AC725" s="64"/>
      <c r="AD725" s="50"/>
      <c r="AE725" s="50"/>
      <c r="AF725" s="19"/>
      <c r="AG725" s="120"/>
      <c r="AH725" s="119"/>
      <c r="AI725" s="1"/>
      <c r="AJ725" s="21"/>
      <c r="AK725" s="21"/>
      <c r="AL725" s="21"/>
      <c r="AM725" s="21"/>
      <c r="AN725" s="21"/>
      <c r="AO725" s="21"/>
    </row>
    <row r="726" spans="1:44" s="308" customFormat="1" x14ac:dyDescent="0.2">
      <c r="A726" s="48"/>
      <c r="C726" s="263"/>
      <c r="D726" s="263"/>
      <c r="E726" s="53"/>
      <c r="F726" s="13"/>
      <c r="G726" s="13"/>
      <c r="H726" s="53"/>
      <c r="I726" s="298"/>
      <c r="J726" s="21"/>
      <c r="K726" s="21"/>
      <c r="L726" s="13"/>
      <c r="M726" s="50"/>
      <c r="N726" s="97"/>
      <c r="O726" s="50"/>
      <c r="P726" s="50"/>
      <c r="Q726" s="316"/>
      <c r="R726" s="285"/>
      <c r="S726" s="21"/>
      <c r="T726" s="13"/>
      <c r="U726" s="13"/>
      <c r="V726" s="21"/>
      <c r="W726" s="21"/>
      <c r="X726" s="21"/>
      <c r="Y726" s="260"/>
      <c r="Z726" s="177"/>
      <c r="AA726" s="177"/>
      <c r="AB726" s="61"/>
      <c r="AC726" s="64"/>
      <c r="AD726" s="50"/>
      <c r="AE726" s="50"/>
      <c r="AF726" s="19"/>
      <c r="AG726" s="120"/>
      <c r="AH726" s="119"/>
      <c r="AI726" s="1"/>
      <c r="AJ726" s="21"/>
      <c r="AK726" s="21"/>
      <c r="AL726" s="21"/>
      <c r="AM726" s="21"/>
      <c r="AN726" s="21"/>
      <c r="AO726" s="21"/>
    </row>
    <row r="727" spans="1:44" s="308" customFormat="1" x14ac:dyDescent="0.2">
      <c r="A727" s="48"/>
      <c r="C727" s="263"/>
      <c r="D727" s="26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316"/>
      <c r="R727" s="285"/>
      <c r="S727" s="21"/>
      <c r="T727" s="13"/>
      <c r="U727" s="13"/>
      <c r="V727" s="21"/>
      <c r="W727" s="21"/>
      <c r="X727" s="21"/>
      <c r="Y727" s="260"/>
      <c r="Z727" s="177"/>
      <c r="AA727" s="177"/>
      <c r="AB727" s="61"/>
      <c r="AC727" s="64"/>
      <c r="AD727" s="50"/>
      <c r="AE727" s="50"/>
      <c r="AF727" s="19"/>
      <c r="AG727" s="120"/>
      <c r="AH727" s="119"/>
      <c r="AI727" s="1"/>
      <c r="AJ727" s="21"/>
      <c r="AK727" s="21"/>
      <c r="AL727" s="21"/>
      <c r="AM727" s="21"/>
      <c r="AN727" s="21"/>
      <c r="AO727" s="21"/>
    </row>
    <row r="728" spans="1:44" s="308" customFormat="1" x14ac:dyDescent="0.2">
      <c r="A728" s="48"/>
      <c r="C728" s="263"/>
      <c r="D728" s="26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316"/>
      <c r="R728" s="285"/>
      <c r="S728" s="21"/>
      <c r="T728" s="13"/>
      <c r="U728" s="13"/>
      <c r="V728" s="21"/>
      <c r="W728" s="21"/>
      <c r="X728" s="21"/>
      <c r="Y728" s="260"/>
      <c r="Z728" s="177"/>
      <c r="AA728" s="177"/>
      <c r="AB728" s="61"/>
      <c r="AC728" s="64"/>
      <c r="AD728" s="50"/>
      <c r="AE728" s="50"/>
      <c r="AF728" s="19"/>
      <c r="AG728" s="120"/>
      <c r="AH728" s="119"/>
      <c r="AI728" s="1"/>
      <c r="AJ728" s="21"/>
      <c r="AK728" s="21"/>
      <c r="AL728" s="21"/>
      <c r="AM728" s="21"/>
      <c r="AN728" s="21"/>
      <c r="AO728" s="21"/>
    </row>
    <row r="729" spans="1:44" s="308" customFormat="1" x14ac:dyDescent="0.2">
      <c r="A729" s="48"/>
      <c r="C729" s="263"/>
      <c r="D729" s="263"/>
      <c r="E729" s="53"/>
      <c r="F729" s="13"/>
      <c r="G729" s="13"/>
      <c r="H729" s="53"/>
      <c r="I729" s="298"/>
      <c r="J729" s="21"/>
      <c r="K729" s="21"/>
      <c r="L729" s="13"/>
      <c r="M729" s="50"/>
      <c r="N729" s="97"/>
      <c r="O729" s="50"/>
      <c r="P729" s="50"/>
      <c r="Q729" s="316"/>
      <c r="R729" s="285"/>
      <c r="S729" s="21"/>
      <c r="T729" s="13"/>
      <c r="U729" s="13"/>
      <c r="V729" s="21"/>
      <c r="W729" s="21"/>
      <c r="X729" s="21"/>
      <c r="Y729" s="260"/>
      <c r="Z729" s="177"/>
      <c r="AA729" s="177"/>
      <c r="AB729" s="61"/>
      <c r="AC729" s="64"/>
      <c r="AD729" s="50"/>
      <c r="AE729" s="50"/>
      <c r="AF729" s="19"/>
      <c r="AG729" s="120"/>
      <c r="AH729" s="119"/>
      <c r="AI729" s="1"/>
      <c r="AJ729" s="21"/>
      <c r="AK729" s="21"/>
      <c r="AL729" s="21"/>
      <c r="AM729" s="21"/>
      <c r="AN729" s="21"/>
      <c r="AO729" s="21"/>
    </row>
    <row r="730" spans="1:44" s="308" customFormat="1" x14ac:dyDescent="0.2">
      <c r="A730" s="48"/>
      <c r="C730" s="263"/>
      <c r="D730" s="263"/>
      <c r="E730" s="53"/>
      <c r="F730" s="13"/>
      <c r="G730" s="13"/>
      <c r="H730" s="53"/>
      <c r="I730" s="298"/>
      <c r="J730" s="21"/>
      <c r="K730" s="21"/>
      <c r="L730" s="13"/>
      <c r="M730" s="50"/>
      <c r="N730" s="97"/>
      <c r="O730" s="50"/>
      <c r="P730" s="50"/>
      <c r="Q730" s="316"/>
      <c r="R730" s="285"/>
      <c r="S730" s="21"/>
      <c r="T730" s="13"/>
      <c r="U730" s="13"/>
      <c r="V730" s="21"/>
      <c r="W730" s="21"/>
      <c r="X730" s="21"/>
      <c r="Y730" s="260"/>
      <c r="Z730" s="177"/>
      <c r="AA730" s="177"/>
      <c r="AB730" s="61"/>
      <c r="AC730" s="64"/>
      <c r="AD730" s="50"/>
      <c r="AE730" s="50"/>
      <c r="AF730" s="19"/>
      <c r="AG730" s="120"/>
      <c r="AH730" s="119"/>
      <c r="AI730" s="1"/>
      <c r="AJ730" s="21"/>
      <c r="AK730" s="21"/>
      <c r="AL730" s="21"/>
      <c r="AM730" s="21"/>
      <c r="AN730" s="21"/>
      <c r="AO730" s="21"/>
    </row>
    <row r="731" spans="1:44" s="308" customFormat="1" x14ac:dyDescent="0.2">
      <c r="A731" s="48"/>
      <c r="C731" s="263"/>
      <c r="D731" s="263"/>
      <c r="E731" s="53"/>
      <c r="F731" s="13"/>
      <c r="G731" s="13"/>
      <c r="H731" s="53"/>
      <c r="I731" s="298"/>
      <c r="J731" s="21"/>
      <c r="K731" s="21"/>
      <c r="L731" s="13"/>
      <c r="M731" s="50"/>
      <c r="N731" s="97"/>
      <c r="O731" s="50"/>
      <c r="P731" s="50"/>
      <c r="Q731" s="316"/>
      <c r="R731" s="285"/>
      <c r="S731" s="21"/>
      <c r="T731" s="13"/>
      <c r="U731" s="13"/>
      <c r="V731" s="21"/>
      <c r="W731" s="21"/>
      <c r="X731" s="21"/>
      <c r="Y731" s="260"/>
      <c r="Z731" s="177"/>
      <c r="AA731" s="177"/>
      <c r="AB731" s="61"/>
      <c r="AC731" s="64"/>
      <c r="AD731" s="50"/>
      <c r="AE731" s="50"/>
      <c r="AF731" s="19"/>
      <c r="AG731" s="120"/>
      <c r="AH731" s="119"/>
      <c r="AI731" s="1"/>
      <c r="AJ731" s="21"/>
      <c r="AK731" s="21"/>
      <c r="AL731" s="21"/>
      <c r="AM731" s="21"/>
      <c r="AN731" s="21"/>
      <c r="AO731" s="21"/>
      <c r="AQ731" s="21"/>
      <c r="AR731" s="21"/>
    </row>
    <row r="732" spans="1:44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316"/>
      <c r="R732" s="285"/>
      <c r="S732" s="21"/>
      <c r="T732" s="13"/>
      <c r="U732" s="13"/>
      <c r="V732" s="21"/>
      <c r="W732" s="21"/>
      <c r="X732" s="21"/>
      <c r="Y732" s="260"/>
      <c r="Z732" s="177"/>
      <c r="AA732" s="177"/>
      <c r="AB732" s="61"/>
      <c r="AC732" s="64"/>
      <c r="AD732" s="50"/>
      <c r="AE732" s="50"/>
      <c r="AF732" s="19"/>
      <c r="AG732" s="120"/>
      <c r="AH732" s="119"/>
      <c r="AI732" s="1"/>
      <c r="AJ732" s="21"/>
      <c r="AK732" s="21"/>
      <c r="AL732" s="21"/>
      <c r="AM732" s="21"/>
      <c r="AN732" s="21"/>
      <c r="AO732" s="21"/>
      <c r="AQ732" s="21"/>
      <c r="AR732" s="21"/>
    </row>
    <row r="733" spans="1:44" x14ac:dyDescent="0.2">
      <c r="A733" s="48"/>
      <c r="AP733" s="308"/>
    </row>
    <row r="734" spans="1:44" x14ac:dyDescent="0.2">
      <c r="A734" s="48"/>
      <c r="AP734" s="308"/>
    </row>
    <row r="735" spans="1:44" x14ac:dyDescent="0.2">
      <c r="A735" s="48"/>
      <c r="AP735" s="308"/>
    </row>
    <row r="736" spans="1:44" x14ac:dyDescent="0.2">
      <c r="A736" s="48"/>
      <c r="AP736" s="308"/>
    </row>
    <row r="737" spans="1:44" x14ac:dyDescent="0.2">
      <c r="A737" s="48"/>
      <c r="AP737" s="308"/>
    </row>
    <row r="738" spans="1:44" x14ac:dyDescent="0.2">
      <c r="A738" s="48"/>
      <c r="AP738" s="308"/>
    </row>
    <row r="739" spans="1:44" x14ac:dyDescent="0.2">
      <c r="A739" s="48"/>
      <c r="AP739" s="308"/>
      <c r="AQ739" s="308"/>
      <c r="AR739" s="308"/>
    </row>
    <row r="740" spans="1:44" x14ac:dyDescent="0.2">
      <c r="A740" s="48"/>
      <c r="AP740" s="308"/>
      <c r="AQ740" s="308"/>
      <c r="AR740" s="308"/>
    </row>
    <row r="741" spans="1:44" s="308" customFormat="1" x14ac:dyDescent="0.2">
      <c r="A741" s="48"/>
      <c r="C741" s="263"/>
      <c r="D741" s="263"/>
      <c r="E741" s="53"/>
      <c r="F741" s="13"/>
      <c r="G741" s="13"/>
      <c r="H741" s="53"/>
      <c r="I741" s="298"/>
      <c r="J741" s="21"/>
      <c r="K741" s="21"/>
      <c r="L741" s="13"/>
      <c r="M741" s="50"/>
      <c r="N741" s="97"/>
      <c r="O741" s="50"/>
      <c r="P741" s="50"/>
      <c r="Q741" s="316"/>
      <c r="R741" s="285"/>
      <c r="S741" s="21"/>
      <c r="T741" s="13"/>
      <c r="U741" s="13"/>
      <c r="V741" s="21"/>
      <c r="W741" s="21"/>
      <c r="X741" s="21"/>
      <c r="Y741" s="260"/>
      <c r="Z741" s="177"/>
      <c r="AA741" s="177"/>
      <c r="AB741" s="61"/>
      <c r="AC741" s="64"/>
      <c r="AD741" s="50"/>
      <c r="AE741" s="50"/>
      <c r="AF741" s="19"/>
      <c r="AG741" s="120"/>
      <c r="AH741" s="119"/>
      <c r="AI741" s="1"/>
      <c r="AJ741" s="21"/>
      <c r="AK741" s="21"/>
      <c r="AL741" s="21"/>
      <c r="AM741" s="21"/>
      <c r="AN741" s="21"/>
      <c r="AO741" s="21"/>
    </row>
    <row r="742" spans="1:44" s="308" customFormat="1" x14ac:dyDescent="0.2">
      <c r="A742" s="48"/>
      <c r="C742" s="263"/>
      <c r="D742" s="263"/>
      <c r="E742" s="53"/>
      <c r="F742" s="13"/>
      <c r="G742" s="13"/>
      <c r="H742" s="53"/>
      <c r="I742" s="298"/>
      <c r="J742" s="21"/>
      <c r="K742" s="21"/>
      <c r="L742" s="13"/>
      <c r="M742" s="50"/>
      <c r="N742" s="97"/>
      <c r="O742" s="50"/>
      <c r="P742" s="50"/>
      <c r="Q742" s="316"/>
      <c r="R742" s="285"/>
      <c r="S742" s="21"/>
      <c r="T742" s="13"/>
      <c r="U742" s="13"/>
      <c r="V742" s="21"/>
      <c r="W742" s="21"/>
      <c r="X742" s="21"/>
      <c r="Y742" s="260"/>
      <c r="Z742" s="177"/>
      <c r="AA742" s="177"/>
      <c r="AB742" s="61"/>
      <c r="AC742" s="64"/>
      <c r="AD742" s="50"/>
      <c r="AE742" s="50"/>
      <c r="AF742" s="19"/>
      <c r="AG742" s="120"/>
      <c r="AH742" s="119"/>
      <c r="AI742" s="1"/>
      <c r="AJ742" s="21"/>
      <c r="AK742" s="21"/>
      <c r="AL742" s="21"/>
      <c r="AM742" s="21"/>
      <c r="AN742" s="21"/>
      <c r="AO742" s="21"/>
    </row>
    <row r="743" spans="1:44" s="308" customFormat="1" x14ac:dyDescent="0.2">
      <c r="A743" s="48"/>
      <c r="C743" s="263"/>
      <c r="D743" s="263"/>
      <c r="E743" s="53"/>
      <c r="F743" s="13"/>
      <c r="G743" s="13"/>
      <c r="H743" s="53"/>
      <c r="I743" s="298"/>
      <c r="J743" s="21"/>
      <c r="K743" s="21"/>
      <c r="L743" s="13"/>
      <c r="M743" s="50"/>
      <c r="N743" s="97"/>
      <c r="O743" s="50"/>
      <c r="P743" s="50"/>
      <c r="Q743" s="316"/>
      <c r="R743" s="285"/>
      <c r="S743" s="21"/>
      <c r="T743" s="13"/>
      <c r="U743" s="13"/>
      <c r="V743" s="21"/>
      <c r="W743" s="21"/>
      <c r="X743" s="21"/>
      <c r="Y743" s="260"/>
      <c r="Z743" s="177"/>
      <c r="AA743" s="177"/>
      <c r="AB743" s="61"/>
      <c r="AC743" s="64"/>
      <c r="AD743" s="50"/>
      <c r="AE743" s="50"/>
      <c r="AF743" s="19"/>
      <c r="AG743" s="120"/>
      <c r="AH743" s="119"/>
      <c r="AI743" s="1"/>
      <c r="AJ743" s="21"/>
      <c r="AK743" s="21"/>
      <c r="AL743" s="21"/>
      <c r="AM743" s="21"/>
      <c r="AN743" s="21"/>
      <c r="AO743" s="21"/>
    </row>
    <row r="744" spans="1:44" s="308" customFormat="1" x14ac:dyDescent="0.2">
      <c r="A744" s="48"/>
      <c r="C744" s="263"/>
      <c r="D744" s="263"/>
      <c r="E744" s="53"/>
      <c r="F744" s="13"/>
      <c r="G744" s="13"/>
      <c r="H744" s="53"/>
      <c r="I744" s="298"/>
      <c r="J744" s="21"/>
      <c r="K744" s="21"/>
      <c r="L744" s="13"/>
      <c r="M744" s="50"/>
      <c r="N744" s="97"/>
      <c r="O744" s="50"/>
      <c r="P744" s="50"/>
      <c r="Q744" s="316"/>
      <c r="R744" s="285"/>
      <c r="S744" s="21"/>
      <c r="T744" s="13"/>
      <c r="U744" s="13"/>
      <c r="V744" s="21"/>
      <c r="W744" s="21"/>
      <c r="X744" s="21"/>
      <c r="Y744" s="260"/>
      <c r="Z744" s="177"/>
      <c r="AA744" s="177"/>
      <c r="AB744" s="61"/>
      <c r="AC744" s="64"/>
      <c r="AD744" s="50"/>
      <c r="AE744" s="50"/>
      <c r="AF744" s="19"/>
      <c r="AG744" s="120"/>
      <c r="AH744" s="119"/>
      <c r="AI744" s="1"/>
      <c r="AJ744" s="21"/>
      <c r="AK744" s="21"/>
      <c r="AL744" s="21"/>
      <c r="AM744" s="21"/>
      <c r="AN744" s="21"/>
      <c r="AO744" s="21"/>
    </row>
    <row r="745" spans="1:44" s="308" customFormat="1" x14ac:dyDescent="0.2">
      <c r="A745" s="48"/>
      <c r="C745" s="263"/>
      <c r="D745" s="263"/>
      <c r="E745" s="53"/>
      <c r="F745" s="13"/>
      <c r="G745" s="13"/>
      <c r="H745" s="53"/>
      <c r="I745" s="298"/>
      <c r="J745" s="21"/>
      <c r="K745" s="21"/>
      <c r="L745" s="13"/>
      <c r="M745" s="50"/>
      <c r="N745" s="97"/>
      <c r="O745" s="50"/>
      <c r="P745" s="50"/>
      <c r="Q745" s="316"/>
      <c r="R745" s="285"/>
      <c r="S745" s="21"/>
      <c r="T745" s="13"/>
      <c r="U745" s="13"/>
      <c r="V745" s="21"/>
      <c r="W745" s="21"/>
      <c r="X745" s="21"/>
      <c r="Y745" s="260"/>
      <c r="Z745" s="177"/>
      <c r="AA745" s="177"/>
      <c r="AB745" s="61"/>
      <c r="AC745" s="64"/>
      <c r="AD745" s="50"/>
      <c r="AE745" s="50"/>
      <c r="AF745" s="19"/>
      <c r="AG745" s="120"/>
      <c r="AH745" s="119"/>
      <c r="AI745" s="1"/>
      <c r="AJ745" s="21"/>
      <c r="AK745" s="21"/>
      <c r="AL745" s="21"/>
      <c r="AM745" s="21"/>
      <c r="AN745" s="21"/>
      <c r="AO745" s="21"/>
    </row>
    <row r="746" spans="1:44" s="308" customFormat="1" x14ac:dyDescent="0.2">
      <c r="A746" s="48"/>
      <c r="C746" s="263"/>
      <c r="D746" s="263"/>
      <c r="E746" s="53"/>
      <c r="F746" s="13"/>
      <c r="G746" s="13"/>
      <c r="H746" s="53"/>
      <c r="I746" s="298"/>
      <c r="J746" s="21"/>
      <c r="K746" s="21"/>
      <c r="L746" s="13"/>
      <c r="M746" s="50"/>
      <c r="N746" s="97"/>
      <c r="O746" s="50"/>
      <c r="P746" s="50"/>
      <c r="Q746" s="316"/>
      <c r="R746" s="285"/>
      <c r="S746" s="21"/>
      <c r="T746" s="13"/>
      <c r="U746" s="13"/>
      <c r="V746" s="21"/>
      <c r="W746" s="21"/>
      <c r="X746" s="21"/>
      <c r="Y746" s="260"/>
      <c r="Z746" s="177"/>
      <c r="AA746" s="177"/>
      <c r="AB746" s="61"/>
      <c r="AC746" s="64"/>
      <c r="AD746" s="50"/>
      <c r="AE746" s="50"/>
      <c r="AF746" s="19"/>
      <c r="AG746" s="120"/>
      <c r="AH746" s="119"/>
      <c r="AI746" s="1"/>
      <c r="AJ746" s="21"/>
      <c r="AK746" s="21"/>
      <c r="AL746" s="21"/>
      <c r="AM746" s="21"/>
      <c r="AN746" s="21"/>
      <c r="AO746" s="21"/>
    </row>
    <row r="747" spans="1:44" s="308" customFormat="1" x14ac:dyDescent="0.2">
      <c r="A747" s="48"/>
      <c r="C747" s="263"/>
      <c r="D747" s="263"/>
      <c r="E747" s="53"/>
      <c r="F747" s="13"/>
      <c r="G747" s="13"/>
      <c r="H747" s="53"/>
      <c r="I747" s="298"/>
      <c r="J747" s="21"/>
      <c r="K747" s="21"/>
      <c r="L747" s="13"/>
      <c r="M747" s="50"/>
      <c r="N747" s="97"/>
      <c r="O747" s="50"/>
      <c r="P747" s="50"/>
      <c r="Q747" s="316"/>
      <c r="R747" s="285"/>
      <c r="S747" s="21"/>
      <c r="T747" s="13"/>
      <c r="U747" s="13"/>
      <c r="V747" s="21"/>
      <c r="W747" s="21"/>
      <c r="X747" s="21"/>
      <c r="Y747" s="260"/>
      <c r="Z747" s="177"/>
      <c r="AA747" s="177"/>
      <c r="AB747" s="61"/>
      <c r="AC747" s="64"/>
      <c r="AD747" s="50"/>
      <c r="AE747" s="50"/>
      <c r="AF747" s="19"/>
      <c r="AG747" s="120"/>
      <c r="AH747" s="119"/>
      <c r="AI747" s="1"/>
      <c r="AJ747" s="21"/>
      <c r="AK747" s="21"/>
      <c r="AL747" s="21"/>
      <c r="AM747" s="21"/>
      <c r="AN747" s="21"/>
      <c r="AO747" s="21"/>
    </row>
    <row r="748" spans="1:44" s="308" customFormat="1" x14ac:dyDescent="0.2">
      <c r="A748" s="48"/>
      <c r="C748" s="263"/>
      <c r="D748" s="263"/>
      <c r="E748" s="53"/>
      <c r="F748" s="13"/>
      <c r="G748" s="13"/>
      <c r="H748" s="53"/>
      <c r="I748" s="298"/>
      <c r="J748" s="21"/>
      <c r="K748" s="21"/>
      <c r="L748" s="13"/>
      <c r="M748" s="50"/>
      <c r="N748" s="97"/>
      <c r="O748" s="50"/>
      <c r="P748" s="50"/>
      <c r="Q748" s="316"/>
      <c r="R748" s="285"/>
      <c r="S748" s="21"/>
      <c r="T748" s="13"/>
      <c r="U748" s="13"/>
      <c r="V748" s="21"/>
      <c r="W748" s="21"/>
      <c r="X748" s="21"/>
      <c r="Y748" s="260"/>
      <c r="Z748" s="177"/>
      <c r="AA748" s="177"/>
      <c r="AB748" s="61"/>
      <c r="AC748" s="64"/>
      <c r="AD748" s="50"/>
      <c r="AE748" s="50"/>
      <c r="AF748" s="19"/>
      <c r="AG748" s="120"/>
      <c r="AH748" s="119"/>
      <c r="AI748" s="1"/>
      <c r="AJ748" s="21"/>
      <c r="AK748" s="21"/>
      <c r="AL748" s="21"/>
      <c r="AM748" s="21"/>
      <c r="AN748" s="21"/>
      <c r="AO748" s="21"/>
    </row>
    <row r="749" spans="1:44" s="308" customFormat="1" x14ac:dyDescent="0.2">
      <c r="A749" s="48"/>
      <c r="C749" s="263"/>
      <c r="D749" s="263"/>
      <c r="E749" s="53"/>
      <c r="F749" s="13"/>
      <c r="G749" s="13"/>
      <c r="H749" s="53"/>
      <c r="I749" s="298"/>
      <c r="J749" s="21"/>
      <c r="K749" s="21"/>
      <c r="L749" s="13"/>
      <c r="M749" s="50"/>
      <c r="N749" s="97"/>
      <c r="O749" s="50"/>
      <c r="P749" s="50"/>
      <c r="Q749" s="316"/>
      <c r="R749" s="285"/>
      <c r="S749" s="21"/>
      <c r="T749" s="13"/>
      <c r="U749" s="13"/>
      <c r="V749" s="21"/>
      <c r="W749" s="21"/>
      <c r="X749" s="21"/>
      <c r="Y749" s="260"/>
      <c r="Z749" s="177"/>
      <c r="AA749" s="177"/>
      <c r="AB749" s="61"/>
      <c r="AC749" s="64"/>
      <c r="AD749" s="50"/>
      <c r="AE749" s="50"/>
      <c r="AF749" s="19"/>
      <c r="AG749" s="120"/>
      <c r="AH749" s="119"/>
      <c r="AI749" s="1"/>
      <c r="AJ749" s="21"/>
      <c r="AK749" s="21"/>
      <c r="AL749" s="21"/>
      <c r="AM749" s="21"/>
      <c r="AN749" s="21"/>
      <c r="AO749" s="21"/>
    </row>
    <row r="750" spans="1:44" s="308" customFormat="1" x14ac:dyDescent="0.2">
      <c r="A750" s="48"/>
      <c r="C750" s="263"/>
      <c r="D750" s="263"/>
      <c r="E750" s="53"/>
      <c r="F750" s="13"/>
      <c r="G750" s="13"/>
      <c r="H750" s="53"/>
      <c r="I750" s="298"/>
      <c r="J750" s="21"/>
      <c r="K750" s="21"/>
      <c r="L750" s="13"/>
      <c r="M750" s="50"/>
      <c r="N750" s="97"/>
      <c r="O750" s="50"/>
      <c r="P750" s="50"/>
      <c r="Q750" s="316"/>
      <c r="R750" s="285"/>
      <c r="S750" s="21"/>
      <c r="T750" s="13"/>
      <c r="U750" s="13"/>
      <c r="V750" s="21"/>
      <c r="W750" s="21"/>
      <c r="X750" s="21"/>
      <c r="Y750" s="260"/>
      <c r="Z750" s="177"/>
      <c r="AA750" s="177"/>
      <c r="AB750" s="61"/>
      <c r="AC750" s="64"/>
      <c r="AD750" s="50"/>
      <c r="AE750" s="50"/>
      <c r="AF750" s="19"/>
      <c r="AG750" s="120"/>
      <c r="AH750" s="119"/>
      <c r="AI750" s="1"/>
      <c r="AJ750" s="21"/>
      <c r="AK750" s="21"/>
      <c r="AL750" s="21"/>
      <c r="AM750" s="21"/>
      <c r="AN750" s="21"/>
      <c r="AO750" s="21"/>
    </row>
    <row r="751" spans="1:44" s="308" customFormat="1" x14ac:dyDescent="0.2">
      <c r="A751" s="48"/>
      <c r="C751" s="263"/>
      <c r="D751" s="263"/>
      <c r="E751" s="53"/>
      <c r="F751" s="13"/>
      <c r="G751" s="13"/>
      <c r="H751" s="53"/>
      <c r="I751" s="298"/>
      <c r="J751" s="21"/>
      <c r="K751" s="21"/>
      <c r="L751" s="13"/>
      <c r="M751" s="50"/>
      <c r="N751" s="97"/>
      <c r="O751" s="50"/>
      <c r="P751" s="50"/>
      <c r="Q751" s="316"/>
      <c r="R751" s="285"/>
      <c r="S751" s="21"/>
      <c r="T751" s="13"/>
      <c r="U751" s="13"/>
      <c r="V751" s="21"/>
      <c r="W751" s="21"/>
      <c r="X751" s="21"/>
      <c r="Y751" s="260"/>
      <c r="Z751" s="177"/>
      <c r="AA751" s="177"/>
      <c r="AB751" s="61"/>
      <c r="AC751" s="64"/>
      <c r="AD751" s="50"/>
      <c r="AE751" s="50"/>
      <c r="AF751" s="19"/>
      <c r="AG751" s="120"/>
      <c r="AH751" s="119"/>
      <c r="AI751" s="1"/>
      <c r="AJ751" s="21"/>
      <c r="AK751" s="21"/>
      <c r="AL751" s="21"/>
      <c r="AM751" s="21"/>
      <c r="AN751" s="21"/>
      <c r="AO751" s="21"/>
    </row>
    <row r="752" spans="1:44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316"/>
      <c r="R752" s="285"/>
      <c r="S752" s="21"/>
      <c r="T752" s="13"/>
      <c r="U752" s="13"/>
      <c r="V752" s="21"/>
      <c r="W752" s="21"/>
      <c r="X752" s="21"/>
      <c r="Y752" s="260"/>
      <c r="Z752" s="177"/>
      <c r="AA752" s="177"/>
      <c r="AB752" s="61"/>
      <c r="AC752" s="64"/>
      <c r="AD752" s="50"/>
      <c r="AE752" s="50"/>
      <c r="AF752" s="19"/>
      <c r="AG752" s="120"/>
      <c r="AH752" s="119"/>
      <c r="AI752" s="1"/>
      <c r="AJ752" s="21"/>
      <c r="AK752" s="21"/>
      <c r="AL752" s="21"/>
      <c r="AM752" s="21"/>
      <c r="AN752" s="21"/>
      <c r="AO752" s="21"/>
    </row>
    <row r="753" spans="1:44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316"/>
      <c r="R753" s="285"/>
      <c r="S753" s="21"/>
      <c r="T753" s="13"/>
      <c r="U753" s="13"/>
      <c r="V753" s="21"/>
      <c r="W753" s="21"/>
      <c r="X753" s="21"/>
      <c r="Y753" s="260"/>
      <c r="Z753" s="177"/>
      <c r="AA753" s="177"/>
      <c r="AB753" s="61"/>
      <c r="AC753" s="64"/>
      <c r="AD753" s="50"/>
      <c r="AE753" s="50"/>
      <c r="AF753" s="19"/>
      <c r="AG753" s="120"/>
      <c r="AH753" s="119"/>
      <c r="AI753" s="1"/>
      <c r="AJ753" s="21"/>
      <c r="AK753" s="21"/>
      <c r="AL753" s="21"/>
      <c r="AM753" s="21"/>
      <c r="AN753" s="21"/>
      <c r="AO753" s="21"/>
    </row>
    <row r="754" spans="1:44" s="308" customFormat="1" x14ac:dyDescent="0.2">
      <c r="A754" s="48"/>
      <c r="C754" s="263"/>
      <c r="D754" s="263"/>
      <c r="E754" s="53"/>
      <c r="F754" s="13"/>
      <c r="G754" s="13"/>
      <c r="H754" s="53"/>
      <c r="I754" s="298"/>
      <c r="J754" s="21"/>
      <c r="K754" s="21"/>
      <c r="L754" s="13"/>
      <c r="M754" s="50"/>
      <c r="N754" s="97"/>
      <c r="O754" s="50"/>
      <c r="P754" s="50"/>
      <c r="Q754" s="316"/>
      <c r="R754" s="285"/>
      <c r="S754" s="21"/>
      <c r="T754" s="13"/>
      <c r="U754" s="13"/>
      <c r="V754" s="21"/>
      <c r="W754" s="21"/>
      <c r="X754" s="21"/>
      <c r="Y754" s="260"/>
      <c r="Z754" s="177"/>
      <c r="AA754" s="177"/>
      <c r="AB754" s="61"/>
      <c r="AC754" s="64"/>
      <c r="AD754" s="50"/>
      <c r="AE754" s="50"/>
      <c r="AF754" s="19"/>
      <c r="AG754" s="120"/>
      <c r="AH754" s="119"/>
      <c r="AI754" s="1"/>
      <c r="AJ754" s="21"/>
      <c r="AK754" s="21"/>
      <c r="AL754" s="21"/>
      <c r="AM754" s="21"/>
      <c r="AN754" s="21"/>
      <c r="AO754" s="21"/>
    </row>
    <row r="755" spans="1:44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6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61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</row>
    <row r="756" spans="1:44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316"/>
      <c r="R756" s="285"/>
      <c r="S756" s="21"/>
      <c r="T756" s="13"/>
      <c r="U756" s="13"/>
      <c r="V756" s="21"/>
      <c r="W756" s="21"/>
      <c r="X756" s="21"/>
      <c r="Y756" s="260"/>
      <c r="Z756" s="177"/>
      <c r="AA756" s="177"/>
      <c r="AB756" s="61"/>
      <c r="AC756" s="64"/>
      <c r="AD756" s="50"/>
      <c r="AE756" s="50"/>
      <c r="AF756" s="19"/>
      <c r="AG756" s="120"/>
      <c r="AH756" s="119"/>
      <c r="AI756" s="1"/>
      <c r="AJ756" s="21"/>
      <c r="AK756" s="21"/>
      <c r="AL756" s="21"/>
      <c r="AM756" s="21"/>
      <c r="AN756" s="21"/>
      <c r="AO756" s="21"/>
    </row>
    <row r="757" spans="1:44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316"/>
      <c r="R757" s="285"/>
      <c r="S757" s="21"/>
      <c r="T757" s="13"/>
      <c r="U757" s="13"/>
      <c r="V757" s="21"/>
      <c r="W757" s="21"/>
      <c r="X757" s="21"/>
      <c r="Y757" s="260"/>
      <c r="Z757" s="177"/>
      <c r="AA757" s="177"/>
      <c r="AB757" s="61"/>
      <c r="AC757" s="64"/>
      <c r="AD757" s="50"/>
      <c r="AE757" s="50"/>
      <c r="AF757" s="19"/>
      <c r="AG757" s="120"/>
      <c r="AH757" s="119"/>
      <c r="AI757" s="1"/>
      <c r="AJ757" s="21"/>
      <c r="AK757" s="21"/>
      <c r="AL757" s="21"/>
      <c r="AM757" s="21"/>
      <c r="AN757" s="21"/>
      <c r="AO757" s="21"/>
    </row>
    <row r="758" spans="1:44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316"/>
      <c r="R758" s="285"/>
      <c r="S758" s="21"/>
      <c r="T758" s="13"/>
      <c r="U758" s="13"/>
      <c r="V758" s="21"/>
      <c r="W758" s="21"/>
      <c r="X758" s="21"/>
      <c r="Y758" s="260"/>
      <c r="Z758" s="177"/>
      <c r="AA758" s="177"/>
      <c r="AB758" s="61"/>
      <c r="AC758" s="64"/>
      <c r="AD758" s="50"/>
      <c r="AE758" s="50"/>
      <c r="AF758" s="19"/>
      <c r="AG758" s="120"/>
      <c r="AH758" s="119"/>
      <c r="AI758" s="1"/>
      <c r="AJ758" s="21"/>
      <c r="AK758" s="21"/>
      <c r="AL758" s="21"/>
      <c r="AM758" s="21"/>
      <c r="AN758" s="21"/>
      <c r="AO758" s="21"/>
    </row>
    <row r="759" spans="1:44" s="308" customFormat="1" x14ac:dyDescent="0.2">
      <c r="A759" s="48"/>
      <c r="C759" s="263"/>
      <c r="D759" s="263"/>
      <c r="E759" s="53"/>
      <c r="F759" s="13"/>
      <c r="G759" s="13"/>
      <c r="H759" s="53"/>
      <c r="I759" s="298"/>
      <c r="J759" s="21"/>
      <c r="K759" s="21"/>
      <c r="L759" s="13"/>
      <c r="M759" s="50"/>
      <c r="N759" s="97"/>
      <c r="O759" s="50"/>
      <c r="P759" s="50"/>
      <c r="Q759" s="316"/>
      <c r="R759" s="285"/>
      <c r="S759" s="21"/>
      <c r="T759" s="13"/>
      <c r="U759" s="13"/>
      <c r="V759" s="21"/>
      <c r="W759" s="21"/>
      <c r="X759" s="21"/>
      <c r="Y759" s="260"/>
      <c r="Z759" s="177"/>
      <c r="AA759" s="177"/>
      <c r="AB759" s="61"/>
      <c r="AC759" s="64"/>
      <c r="AD759" s="50"/>
      <c r="AE759" s="50"/>
      <c r="AF759" s="19"/>
      <c r="AG759" s="120"/>
      <c r="AH759" s="119"/>
      <c r="AI759" s="1"/>
      <c r="AJ759" s="21"/>
      <c r="AK759" s="21"/>
      <c r="AL759" s="21"/>
      <c r="AM759" s="21"/>
      <c r="AN759" s="21"/>
      <c r="AO759" s="21"/>
    </row>
    <row r="760" spans="1:44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316"/>
      <c r="R760" s="285"/>
      <c r="S760" s="21"/>
      <c r="T760" s="13"/>
      <c r="U760" s="13"/>
      <c r="V760" s="21"/>
      <c r="W760" s="21"/>
      <c r="X760" s="21"/>
      <c r="Y760" s="260"/>
      <c r="Z760" s="177"/>
      <c r="AA760" s="177"/>
      <c r="AB760" s="61"/>
      <c r="AC760" s="64"/>
      <c r="AD760" s="50"/>
      <c r="AE760" s="50"/>
      <c r="AF760" s="19"/>
      <c r="AG760" s="120"/>
      <c r="AH760" s="119"/>
      <c r="AI760" s="1"/>
      <c r="AJ760" s="21"/>
      <c r="AK760" s="21"/>
      <c r="AL760" s="21"/>
      <c r="AM760" s="21"/>
      <c r="AN760" s="21"/>
      <c r="AO760" s="21"/>
    </row>
    <row r="761" spans="1:44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316"/>
      <c r="R761" s="285"/>
      <c r="S761" s="21"/>
      <c r="T761" s="13"/>
      <c r="U761" s="13"/>
      <c r="V761" s="21"/>
      <c r="W761" s="21"/>
      <c r="X761" s="21"/>
      <c r="Y761" s="260"/>
      <c r="Z761" s="177"/>
      <c r="AA761" s="177"/>
      <c r="AB761" s="61"/>
      <c r="AC761" s="64"/>
      <c r="AD761" s="50"/>
      <c r="AE761" s="50"/>
      <c r="AF761" s="19"/>
      <c r="AG761" s="120"/>
      <c r="AH761" s="119"/>
      <c r="AI761" s="1"/>
      <c r="AJ761" s="21"/>
      <c r="AK761" s="21"/>
      <c r="AL761" s="21"/>
      <c r="AM761" s="21"/>
      <c r="AN761" s="21"/>
      <c r="AO761" s="21"/>
    </row>
    <row r="762" spans="1:44" s="308" customFormat="1" x14ac:dyDescent="0.2">
      <c r="A762" s="48"/>
      <c r="C762" s="263"/>
      <c r="D762" s="263"/>
      <c r="E762" s="53"/>
      <c r="F762" s="13"/>
      <c r="G762" s="13"/>
      <c r="H762" s="53"/>
      <c r="I762" s="298"/>
      <c r="J762" s="21"/>
      <c r="K762" s="21"/>
      <c r="L762" s="13"/>
      <c r="M762" s="50"/>
      <c r="N762" s="97"/>
      <c r="O762" s="50"/>
      <c r="P762" s="50"/>
      <c r="Q762" s="316"/>
      <c r="R762" s="285"/>
      <c r="S762" s="21"/>
      <c r="T762" s="13"/>
      <c r="U762" s="13"/>
      <c r="V762" s="21"/>
      <c r="W762" s="21"/>
      <c r="X762" s="21"/>
      <c r="Y762" s="260"/>
      <c r="Z762" s="177"/>
      <c r="AA762" s="177"/>
      <c r="AB762" s="61"/>
      <c r="AC762" s="64"/>
      <c r="AD762" s="50"/>
      <c r="AE762" s="50"/>
      <c r="AF762" s="19"/>
      <c r="AG762" s="120"/>
      <c r="AH762" s="119"/>
      <c r="AI762" s="1"/>
      <c r="AJ762" s="21"/>
      <c r="AK762" s="21"/>
      <c r="AL762" s="21"/>
      <c r="AM762" s="21"/>
      <c r="AN762" s="21"/>
      <c r="AO762" s="21"/>
    </row>
    <row r="763" spans="1:44" s="308" customFormat="1" x14ac:dyDescent="0.2">
      <c r="A763" s="48"/>
      <c r="C763" s="263"/>
      <c r="D763" s="263"/>
      <c r="E763" s="53"/>
      <c r="F763" s="13"/>
      <c r="G763" s="13"/>
      <c r="H763" s="53"/>
      <c r="I763" s="298"/>
      <c r="J763" s="21"/>
      <c r="K763" s="21"/>
      <c r="L763" s="13"/>
      <c r="M763" s="50"/>
      <c r="N763" s="97"/>
      <c r="O763" s="50"/>
      <c r="P763" s="50"/>
      <c r="Q763" s="316"/>
      <c r="R763" s="285"/>
      <c r="S763" s="21"/>
      <c r="T763" s="13"/>
      <c r="U763" s="13"/>
      <c r="V763" s="21"/>
      <c r="W763" s="21"/>
      <c r="X763" s="21"/>
      <c r="Y763" s="260"/>
      <c r="Z763" s="177"/>
      <c r="AA763" s="177"/>
      <c r="AB763" s="61"/>
      <c r="AC763" s="64"/>
      <c r="AD763" s="50"/>
      <c r="AE763" s="50"/>
      <c r="AF763" s="19"/>
      <c r="AG763" s="120"/>
      <c r="AH763" s="119"/>
      <c r="AI763" s="1"/>
      <c r="AJ763" s="21"/>
      <c r="AK763" s="21"/>
      <c r="AL763" s="21"/>
      <c r="AM763" s="21"/>
      <c r="AN763" s="21"/>
      <c r="AO763" s="21"/>
    </row>
    <row r="764" spans="1:44" s="308" customFormat="1" x14ac:dyDescent="0.2">
      <c r="A764" s="48"/>
      <c r="C764" s="263"/>
      <c r="D764" s="263"/>
      <c r="E764" s="53"/>
      <c r="F764" s="13"/>
      <c r="G764" s="13"/>
      <c r="H764" s="53"/>
      <c r="I764" s="298"/>
      <c r="J764" s="21"/>
      <c r="K764" s="21"/>
      <c r="L764" s="13"/>
      <c r="M764" s="50"/>
      <c r="N764" s="97"/>
      <c r="O764" s="50"/>
      <c r="P764" s="50"/>
      <c r="Q764" s="316"/>
      <c r="R764" s="285"/>
      <c r="S764" s="21"/>
      <c r="T764" s="13"/>
      <c r="U764" s="13"/>
      <c r="V764" s="21"/>
      <c r="W764" s="21"/>
      <c r="X764" s="21"/>
      <c r="Y764" s="260"/>
      <c r="Z764" s="177"/>
      <c r="AA764" s="177"/>
      <c r="AB764" s="61"/>
      <c r="AC764" s="64"/>
      <c r="AD764" s="50"/>
      <c r="AE764" s="50"/>
      <c r="AF764" s="19"/>
      <c r="AG764" s="120"/>
      <c r="AH764" s="119"/>
      <c r="AI764" s="1"/>
      <c r="AJ764" s="21"/>
      <c r="AK764" s="21"/>
      <c r="AL764" s="21"/>
      <c r="AM764" s="21"/>
      <c r="AN764" s="21"/>
      <c r="AO764" s="21"/>
    </row>
    <row r="765" spans="1:44" s="308" customFormat="1" x14ac:dyDescent="0.2">
      <c r="A765" s="48"/>
      <c r="C765" s="263"/>
      <c r="D765" s="263"/>
      <c r="E765" s="53"/>
      <c r="F765" s="13"/>
      <c r="G765" s="13"/>
      <c r="H765" s="53"/>
      <c r="I765" s="298"/>
      <c r="J765" s="21"/>
      <c r="K765" s="21"/>
      <c r="L765" s="13"/>
      <c r="M765" s="50"/>
      <c r="N765" s="97"/>
      <c r="O765" s="50"/>
      <c r="P765" s="50"/>
      <c r="Q765" s="316"/>
      <c r="R765" s="285"/>
      <c r="S765" s="21"/>
      <c r="T765" s="13"/>
      <c r="U765" s="13"/>
      <c r="V765" s="21"/>
      <c r="W765" s="21"/>
      <c r="X765" s="21"/>
      <c r="Y765" s="260"/>
      <c r="Z765" s="177"/>
      <c r="AA765" s="177"/>
      <c r="AB765" s="61"/>
      <c r="AC765" s="64"/>
      <c r="AD765" s="50"/>
      <c r="AE765" s="50"/>
      <c r="AF765" s="19"/>
      <c r="AG765" s="120"/>
      <c r="AH765" s="119"/>
      <c r="AI765" s="1"/>
      <c r="AJ765" s="21"/>
      <c r="AK765" s="21"/>
      <c r="AL765" s="21"/>
      <c r="AM765" s="21"/>
      <c r="AN765" s="21"/>
      <c r="AO765" s="21"/>
    </row>
    <row r="766" spans="1:44" s="308" customFormat="1" x14ac:dyDescent="0.2">
      <c r="A766" s="48"/>
      <c r="C766" s="263"/>
      <c r="D766" s="263"/>
      <c r="E766" s="53"/>
      <c r="F766" s="13"/>
      <c r="G766" s="13"/>
      <c r="H766" s="53"/>
      <c r="I766" s="298"/>
      <c r="J766" s="21"/>
      <c r="K766" s="21"/>
      <c r="L766" s="13"/>
      <c r="M766" s="50"/>
      <c r="N766" s="97"/>
      <c r="O766" s="50"/>
      <c r="P766" s="50"/>
      <c r="Q766" s="316"/>
      <c r="R766" s="285"/>
      <c r="S766" s="21"/>
      <c r="T766" s="13"/>
      <c r="U766" s="13"/>
      <c r="V766" s="21"/>
      <c r="W766" s="21"/>
      <c r="X766" s="21"/>
      <c r="Y766" s="260"/>
      <c r="Z766" s="177"/>
      <c r="AA766" s="177"/>
      <c r="AB766" s="61"/>
      <c r="AC766" s="64"/>
      <c r="AD766" s="50"/>
      <c r="AE766" s="50"/>
      <c r="AF766" s="19"/>
      <c r="AG766" s="120"/>
      <c r="AH766" s="119"/>
      <c r="AI766" s="1"/>
      <c r="AJ766" s="21"/>
      <c r="AK766" s="21"/>
      <c r="AL766" s="21"/>
      <c r="AM766" s="21"/>
      <c r="AN766" s="21"/>
      <c r="AO766" s="21"/>
      <c r="AQ766" s="21"/>
      <c r="AR766" s="21"/>
    </row>
    <row r="767" spans="1:44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316"/>
      <c r="R767" s="285"/>
      <c r="S767" s="21"/>
      <c r="T767" s="13"/>
      <c r="U767" s="13"/>
      <c r="V767" s="21"/>
      <c r="W767" s="21"/>
      <c r="X767" s="21"/>
      <c r="Y767" s="260"/>
      <c r="Z767" s="177"/>
      <c r="AA767" s="177"/>
      <c r="AB767" s="61"/>
      <c r="AC767" s="64"/>
      <c r="AD767" s="50"/>
      <c r="AE767" s="50"/>
      <c r="AF767" s="19"/>
      <c r="AG767" s="120"/>
      <c r="AH767" s="119"/>
      <c r="AI767" s="1"/>
      <c r="AJ767" s="21"/>
      <c r="AK767" s="21"/>
      <c r="AL767" s="21"/>
      <c r="AM767" s="21"/>
      <c r="AN767" s="21"/>
      <c r="AO767" s="21"/>
      <c r="AQ767" s="21"/>
      <c r="AR767" s="21"/>
    </row>
    <row r="768" spans="1:44" x14ac:dyDescent="0.2">
      <c r="A768" s="48"/>
      <c r="AP768" s="308"/>
    </row>
    <row r="769" spans="1:42" x14ac:dyDescent="0.2">
      <c r="A769" s="48"/>
      <c r="AP769" s="308"/>
    </row>
    <row r="770" spans="1:42" x14ac:dyDescent="0.2">
      <c r="A770" s="48"/>
      <c r="AP770" s="308"/>
    </row>
    <row r="771" spans="1:42" x14ac:dyDescent="0.2">
      <c r="A771" s="48"/>
      <c r="AP771" s="308"/>
    </row>
    <row r="772" spans="1:42" x14ac:dyDescent="0.2">
      <c r="A772" s="48"/>
      <c r="AP772" s="308"/>
    </row>
    <row r="773" spans="1:42" x14ac:dyDescent="0.2">
      <c r="A773" s="48"/>
      <c r="AP773" s="308"/>
    </row>
    <row r="774" spans="1:42" x14ac:dyDescent="0.2">
      <c r="A774" s="48"/>
      <c r="AP774" s="308"/>
    </row>
    <row r="775" spans="1:42" x14ac:dyDescent="0.2">
      <c r="A775" s="48"/>
      <c r="AP775" s="308"/>
    </row>
    <row r="776" spans="1:42" x14ac:dyDescent="0.2">
      <c r="A776" s="48"/>
      <c r="AP776" s="308"/>
    </row>
    <row r="777" spans="1:42" x14ac:dyDescent="0.2">
      <c r="A777" s="48"/>
      <c r="AP777" s="308"/>
    </row>
    <row r="778" spans="1:42" x14ac:dyDescent="0.2">
      <c r="A778" s="48"/>
      <c r="AP778" s="308"/>
    </row>
    <row r="779" spans="1:42" x14ac:dyDescent="0.2">
      <c r="A779" s="48"/>
    </row>
    <row r="780" spans="1:42" x14ac:dyDescent="0.2">
      <c r="A780" s="48"/>
    </row>
    <row r="781" spans="1:42" x14ac:dyDescent="0.2">
      <c r="A781" s="48"/>
    </row>
    <row r="782" spans="1:42" x14ac:dyDescent="0.2">
      <c r="A782" s="48"/>
    </row>
    <row r="783" spans="1:42" x14ac:dyDescent="0.2">
      <c r="A783" s="48"/>
    </row>
    <row r="784" spans="1:42" x14ac:dyDescent="0.2">
      <c r="A784" s="48"/>
    </row>
    <row r="785" spans="1:42" x14ac:dyDescent="0.2">
      <c r="A785" s="48"/>
    </row>
    <row r="786" spans="1:42" x14ac:dyDescent="0.2">
      <c r="A786" s="48"/>
    </row>
    <row r="787" spans="1:42" x14ac:dyDescent="0.2">
      <c r="A787" s="48"/>
      <c r="AP787" s="308"/>
    </row>
    <row r="788" spans="1:42" x14ac:dyDescent="0.2">
      <c r="A788" s="48"/>
      <c r="AP788" s="308"/>
    </row>
    <row r="789" spans="1:42" x14ac:dyDescent="0.2">
      <c r="A789" s="48"/>
      <c r="AP789" s="308"/>
    </row>
    <row r="790" spans="1:42" x14ac:dyDescent="0.2">
      <c r="A790" s="48"/>
      <c r="AP790" s="308"/>
    </row>
    <row r="791" spans="1:42" x14ac:dyDescent="0.2">
      <c r="A791" s="48"/>
      <c r="AP791" s="308"/>
    </row>
    <row r="792" spans="1:42" x14ac:dyDescent="0.2">
      <c r="A792" s="48"/>
      <c r="AP792" s="308"/>
    </row>
    <row r="793" spans="1:42" x14ac:dyDescent="0.2">
      <c r="A793" s="48"/>
      <c r="AP793" s="308"/>
    </row>
    <row r="794" spans="1:42" x14ac:dyDescent="0.2">
      <c r="A794" s="48"/>
      <c r="AP794" s="308"/>
    </row>
    <row r="795" spans="1:42" x14ac:dyDescent="0.2">
      <c r="A795" s="48"/>
      <c r="AP795" s="308"/>
    </row>
    <row r="796" spans="1:42" x14ac:dyDescent="0.2">
      <c r="A796" s="48"/>
      <c r="AP796" s="308"/>
    </row>
    <row r="797" spans="1:42" x14ac:dyDescent="0.2">
      <c r="A797" s="48"/>
      <c r="AP797" s="308"/>
    </row>
    <row r="798" spans="1:42" x14ac:dyDescent="0.2">
      <c r="A798" s="48"/>
      <c r="AP798" s="308"/>
    </row>
    <row r="799" spans="1:42" x14ac:dyDescent="0.2">
      <c r="A799" s="48"/>
      <c r="AP799" s="308"/>
    </row>
    <row r="800" spans="1:42" x14ac:dyDescent="0.2">
      <c r="A800" s="48"/>
      <c r="AP800" s="308"/>
    </row>
    <row r="801" spans="1:42" x14ac:dyDescent="0.2">
      <c r="A801" s="48"/>
      <c r="AP801" s="308"/>
    </row>
    <row r="802" spans="1:42" x14ac:dyDescent="0.2">
      <c r="A802" s="48"/>
      <c r="AP802" s="308"/>
    </row>
    <row r="803" spans="1:42" x14ac:dyDescent="0.2">
      <c r="A803" s="48"/>
      <c r="AP803" s="308"/>
    </row>
    <row r="804" spans="1:42" x14ac:dyDescent="0.2">
      <c r="A804" s="48"/>
      <c r="AP804" s="308"/>
    </row>
    <row r="805" spans="1:42" x14ac:dyDescent="0.2">
      <c r="A805" s="48"/>
      <c r="AP805" s="308"/>
    </row>
    <row r="806" spans="1:42" x14ac:dyDescent="0.2">
      <c r="A806" s="48"/>
      <c r="AP806" s="308"/>
    </row>
    <row r="807" spans="1:42" x14ac:dyDescent="0.2">
      <c r="A807" s="48"/>
      <c r="AP807" s="308"/>
    </row>
    <row r="808" spans="1:42" x14ac:dyDescent="0.2">
      <c r="A808" s="48"/>
      <c r="AP808" s="308"/>
    </row>
    <row r="809" spans="1:42" x14ac:dyDescent="0.2">
      <c r="A809" s="48"/>
      <c r="AP809" s="308"/>
    </row>
    <row r="810" spans="1:42" x14ac:dyDescent="0.2">
      <c r="A810" s="48"/>
      <c r="AP810" s="308"/>
    </row>
    <row r="811" spans="1:42" x14ac:dyDescent="0.2">
      <c r="A811" s="48"/>
      <c r="AP811" s="308"/>
    </row>
    <row r="812" spans="1:42" x14ac:dyDescent="0.2">
      <c r="A812" s="48"/>
      <c r="AP812" s="308"/>
    </row>
    <row r="813" spans="1:42" x14ac:dyDescent="0.2">
      <c r="A813" s="48"/>
      <c r="AP813" s="308"/>
    </row>
    <row r="814" spans="1:42" x14ac:dyDescent="0.2">
      <c r="A814" s="48"/>
    </row>
    <row r="815" spans="1:42" x14ac:dyDescent="0.2">
      <c r="A815" s="48"/>
    </row>
    <row r="816" spans="1:42" x14ac:dyDescent="0.2">
      <c r="A816" s="48"/>
    </row>
    <row r="817" spans="1:45" s="308" customFormat="1" x14ac:dyDescent="0.2">
      <c r="A817" s="48"/>
      <c r="C817" s="263"/>
      <c r="D817" s="263"/>
      <c r="E817" s="53"/>
      <c r="F817" s="13"/>
      <c r="G817" s="13"/>
      <c r="H817" s="53"/>
      <c r="I817" s="298"/>
      <c r="J817" s="21"/>
      <c r="K817" s="21"/>
      <c r="L817" s="13"/>
      <c r="M817" s="50"/>
      <c r="N817" s="97"/>
      <c r="O817" s="50"/>
      <c r="P817" s="50"/>
      <c r="Q817" s="316"/>
      <c r="R817" s="285"/>
      <c r="S817" s="21"/>
      <c r="T817" s="13"/>
      <c r="U817" s="13"/>
      <c r="V817" s="21"/>
      <c r="W817" s="21"/>
      <c r="X817" s="21"/>
      <c r="Y817" s="260"/>
      <c r="Z817" s="177"/>
      <c r="AA817" s="177"/>
      <c r="AB817" s="61"/>
      <c r="AC817" s="64"/>
      <c r="AD817" s="50"/>
      <c r="AE817" s="50"/>
      <c r="AF817" s="19"/>
      <c r="AG817" s="120"/>
      <c r="AH817" s="119"/>
      <c r="AI817" s="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1:45" s="308" customFormat="1" x14ac:dyDescent="0.2">
      <c r="A818" s="48"/>
      <c r="C818" s="263"/>
      <c r="D818" s="263"/>
      <c r="E818" s="53"/>
      <c r="F818" s="13"/>
      <c r="G818" s="13"/>
      <c r="H818" s="53"/>
      <c r="I818" s="298"/>
      <c r="J818" s="21"/>
      <c r="K818" s="21"/>
      <c r="L818" s="13"/>
      <c r="M818" s="50"/>
      <c r="N818" s="97"/>
      <c r="O818" s="50"/>
      <c r="P818" s="50"/>
      <c r="Q818" s="316"/>
      <c r="R818" s="285"/>
      <c r="S818" s="21"/>
      <c r="T818" s="13"/>
      <c r="U818" s="13"/>
      <c r="V818" s="21"/>
      <c r="W818" s="21"/>
      <c r="X818" s="21"/>
      <c r="Y818" s="260"/>
      <c r="Z818" s="177"/>
      <c r="AA818" s="177"/>
      <c r="AB818" s="61"/>
      <c r="AC818" s="64"/>
      <c r="AD818" s="50"/>
      <c r="AE818" s="50"/>
      <c r="AF818" s="19"/>
      <c r="AG818" s="120"/>
      <c r="AH818" s="119"/>
      <c r="AI818" s="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</sheetData>
  <autoFilter ref="A5:T339">
    <filterColumn colId="3" showButton="0"/>
  </autoFilter>
  <sortState ref="B8:T308">
    <sortCondition ref="C8:C308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21"/>
  <sheetViews>
    <sheetView tabSelected="1" topLeftCell="T109" workbookViewId="0">
      <selection activeCell="W125" sqref="W125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8" style="53" bestFit="1" customWidth="1"/>
    <col min="6" max="6" width="6.28515625" style="13" customWidth="1" outlineLevel="1"/>
    <col min="7" max="7" width="8.7109375" style="13" bestFit="1" customWidth="1"/>
    <col min="8" max="8" width="28.5703125" style="53" bestFit="1" customWidth="1" outlineLevel="1"/>
    <col min="9" max="9" width="9.5703125" style="298" bestFit="1" customWidth="1"/>
    <col min="10" max="10" width="2.28515625" style="21" hidden="1" customWidth="1" outlineLevel="1"/>
    <col min="11" max="11" width="20.5703125" style="21" bestFit="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" style="50" bestFit="1" customWidth="1"/>
    <col min="17" max="17" width="17.28515625" style="316" hidden="1" customWidth="1" outlineLevel="1" collapsed="1"/>
    <col min="18" max="18" width="12" style="285" bestFit="1" customWidth="1" outlineLevel="1" collapsed="1"/>
    <col min="19" max="19" width="13.5703125" style="21" bestFit="1" customWidth="1" outlineLevel="1" collapsed="1"/>
    <col min="20" max="20" width="21" style="13" bestFit="1" customWidth="1" outlineLevel="1"/>
    <col min="21" max="21" width="11.28515625" style="13" customWidth="1"/>
    <col min="22" max="22" width="10.710937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9.85546875" style="177" bestFit="1" customWidth="1" outlineLevel="1"/>
    <col min="27" max="27" width="12" style="177" bestFit="1" customWidth="1" outlineLevel="1"/>
    <col min="28" max="28" width="4.42578125" style="676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9041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9040</v>
      </c>
      <c r="V4" s="67"/>
      <c r="W4" s="67"/>
      <c r="Y4" s="21"/>
      <c r="Z4" s="260"/>
      <c r="AB4" s="63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720" t="s">
        <v>8247</v>
      </c>
      <c r="C6" s="771">
        <v>520217</v>
      </c>
      <c r="D6" s="771">
        <v>1796</v>
      </c>
      <c r="E6" s="771" t="s">
        <v>689</v>
      </c>
      <c r="F6" s="539">
        <v>2018</v>
      </c>
      <c r="G6" s="659">
        <v>43085</v>
      </c>
      <c r="H6" s="655" t="s">
        <v>2215</v>
      </c>
      <c r="I6" s="655" t="s">
        <v>8566</v>
      </c>
      <c r="J6" s="712"/>
      <c r="K6" s="655" t="s">
        <v>8743</v>
      </c>
      <c r="L6" s="655" t="s">
        <v>8869</v>
      </c>
      <c r="M6" s="660">
        <v>253732.39</v>
      </c>
      <c r="N6" s="660">
        <v>2646.92</v>
      </c>
      <c r="O6" s="660">
        <v>41020.69</v>
      </c>
      <c r="P6" s="660">
        <v>297400</v>
      </c>
      <c r="Q6" s="541"/>
      <c r="R6" s="660">
        <v>223247.04</v>
      </c>
      <c r="S6" s="542">
        <f t="shared" ref="S6:S37" si="0">+P6-R6</f>
        <v>74152.959999999992</v>
      </c>
      <c r="T6" s="267" t="s">
        <v>1932</v>
      </c>
      <c r="U6" s="621" t="str">
        <f>+B6</f>
        <v>AA12574</v>
      </c>
      <c r="V6" s="622" t="str">
        <f>+I6</f>
        <v>0064-TCN18</v>
      </c>
      <c r="W6" s="621">
        <f>+C6</f>
        <v>520217</v>
      </c>
      <c r="X6" s="621" t="str">
        <f>+E6</f>
        <v>COROLLA BASE AT</v>
      </c>
      <c r="Y6" s="622">
        <f>+F6</f>
        <v>2018</v>
      </c>
      <c r="Z6" s="623">
        <f>+M6</f>
        <v>253732.39</v>
      </c>
      <c r="AA6" s="624">
        <f>+Z6</f>
        <v>253732.39</v>
      </c>
      <c r="AB6" s="807">
        <v>1</v>
      </c>
      <c r="AC6" s="624">
        <v>0</v>
      </c>
      <c r="AD6" s="625">
        <v>0</v>
      </c>
      <c r="AE6" s="632">
        <v>0</v>
      </c>
      <c r="AF6" s="632">
        <f>+N6</f>
        <v>2646.92</v>
      </c>
      <c r="AG6" s="632">
        <f>+N6-AF6</f>
        <v>0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721" t="s">
        <v>8251</v>
      </c>
      <c r="C7" s="771">
        <v>520223</v>
      </c>
      <c r="D7" s="771">
        <v>1796</v>
      </c>
      <c r="E7" s="771" t="s">
        <v>689</v>
      </c>
      <c r="F7" s="546">
        <v>2018</v>
      </c>
      <c r="G7" s="659">
        <v>43099</v>
      </c>
      <c r="H7" s="655" t="s">
        <v>8842</v>
      </c>
      <c r="I7" s="655" t="s">
        <v>8568</v>
      </c>
      <c r="J7" s="712"/>
      <c r="K7" s="655" t="s">
        <v>8745</v>
      </c>
      <c r="L7" s="655" t="s">
        <v>8871</v>
      </c>
      <c r="M7" s="660">
        <v>253732.39</v>
      </c>
      <c r="N7" s="660">
        <v>2646.92</v>
      </c>
      <c r="O7" s="660">
        <v>41020.69</v>
      </c>
      <c r="P7" s="660">
        <v>297400</v>
      </c>
      <c r="Q7" s="548"/>
      <c r="R7" s="660">
        <v>223247.04</v>
      </c>
      <c r="S7" s="549">
        <f t="shared" si="0"/>
        <v>74152.959999999992</v>
      </c>
      <c r="T7" s="113" t="s">
        <v>1932</v>
      </c>
      <c r="U7" s="626" t="str">
        <f t="shared" ref="U7:U70" si="1">+B7</f>
        <v>AA12731</v>
      </c>
      <c r="V7" s="627" t="str">
        <f t="shared" ref="V7:V70" si="2">+I7</f>
        <v>0125-TCN18</v>
      </c>
      <c r="W7" s="626">
        <f t="shared" ref="W7:W70" si="3">+C7</f>
        <v>520223</v>
      </c>
      <c r="X7" s="626" t="str">
        <f t="shared" ref="X7:Y70" si="4">+E7</f>
        <v>COROLLA BASE AT</v>
      </c>
      <c r="Y7" s="627">
        <f t="shared" si="4"/>
        <v>2018</v>
      </c>
      <c r="Z7" s="628">
        <f t="shared" ref="Z7:Z70" si="5">+M7</f>
        <v>253732.39</v>
      </c>
      <c r="AA7" s="725">
        <f>+Z7</f>
        <v>253732.39</v>
      </c>
      <c r="AB7" s="808">
        <v>1</v>
      </c>
      <c r="AC7" s="629">
        <f t="shared" ref="AC7:AC70" si="6">VLOOKUP(Z7,TARIFA,1)</f>
        <v>246423.66</v>
      </c>
      <c r="AD7" s="630">
        <f t="shared" ref="AD7:AD70" si="7">VLOOKUP(Z7,TARIFA,4)</f>
        <v>0.05</v>
      </c>
      <c r="AE7" s="555">
        <f t="shared" ref="AE7:AE70" si="8">VLOOKUP(Z7,TARIFA,3)</f>
        <v>4928.3900000000003</v>
      </c>
      <c r="AF7" s="555">
        <f t="shared" ref="AF7:AF16" si="9">IF(Z7&lt;281240.78,(((Z7-AC7)*AD7+AE7)/2),(Z7-AC7)*AD7+AE7)</f>
        <v>2646.9132500000005</v>
      </c>
      <c r="AG7" s="555">
        <f t="shared" ref="AG7:AG70" si="10">+N7-AF7</f>
        <v>6.7499999995561666E-3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721" t="s">
        <v>8248</v>
      </c>
      <c r="C8" s="771">
        <v>520230</v>
      </c>
      <c r="D8" s="771">
        <v>1796</v>
      </c>
      <c r="E8" s="771" t="s">
        <v>689</v>
      </c>
      <c r="F8" s="546">
        <v>2018</v>
      </c>
      <c r="G8" s="659">
        <v>43095</v>
      </c>
      <c r="H8" s="655" t="s">
        <v>6880</v>
      </c>
      <c r="I8" s="655" t="s">
        <v>8567</v>
      </c>
      <c r="J8" s="712"/>
      <c r="K8" s="655" t="s">
        <v>8744</v>
      </c>
      <c r="L8" s="655" t="s">
        <v>8870</v>
      </c>
      <c r="M8" s="660">
        <v>253732.39</v>
      </c>
      <c r="N8" s="660">
        <v>2646.92</v>
      </c>
      <c r="O8" s="660">
        <v>41020.69</v>
      </c>
      <c r="P8" s="660">
        <v>297400</v>
      </c>
      <c r="Q8" s="548"/>
      <c r="R8" s="660">
        <v>223247.04</v>
      </c>
      <c r="S8" s="549">
        <f t="shared" si="0"/>
        <v>74152.959999999992</v>
      </c>
      <c r="T8" s="113" t="s">
        <v>1932</v>
      </c>
      <c r="U8" s="626" t="str">
        <f t="shared" si="1"/>
        <v>AA12671</v>
      </c>
      <c r="V8" s="627" t="str">
        <f t="shared" si="2"/>
        <v>0078-TCN18</v>
      </c>
      <c r="W8" s="626">
        <f t="shared" si="3"/>
        <v>520230</v>
      </c>
      <c r="X8" s="626" t="str">
        <f t="shared" si="4"/>
        <v>COROLLA BASE AT</v>
      </c>
      <c r="Y8" s="627">
        <f t="shared" si="4"/>
        <v>2018</v>
      </c>
      <c r="Z8" s="628">
        <f t="shared" si="5"/>
        <v>253732.39</v>
      </c>
      <c r="AA8" s="629"/>
      <c r="AB8" s="793"/>
      <c r="AC8" s="780">
        <f t="shared" si="6"/>
        <v>246423.66</v>
      </c>
      <c r="AD8" s="630">
        <f t="shared" si="7"/>
        <v>0.05</v>
      </c>
      <c r="AE8" s="555">
        <f t="shared" si="8"/>
        <v>4928.3900000000003</v>
      </c>
      <c r="AF8" s="629">
        <f t="shared" si="9"/>
        <v>2646.9132500000005</v>
      </c>
      <c r="AG8" s="555">
        <f t="shared" si="10"/>
        <v>6.7499999995561666E-3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721" t="s">
        <v>8246</v>
      </c>
      <c r="C9" s="771">
        <v>520230</v>
      </c>
      <c r="D9" s="771">
        <v>1796</v>
      </c>
      <c r="E9" s="771" t="s">
        <v>689</v>
      </c>
      <c r="F9" s="546">
        <v>2018</v>
      </c>
      <c r="G9" s="659">
        <v>43074</v>
      </c>
      <c r="H9" s="655" t="s">
        <v>2216</v>
      </c>
      <c r="I9" s="655" t="s">
        <v>8565</v>
      </c>
      <c r="J9" s="712"/>
      <c r="K9" s="655" t="s">
        <v>8132</v>
      </c>
      <c r="L9" s="655" t="s">
        <v>8868</v>
      </c>
      <c r="M9" s="660">
        <v>253732.39</v>
      </c>
      <c r="N9" s="660">
        <v>2646.92</v>
      </c>
      <c r="O9" s="660">
        <v>41020.69</v>
      </c>
      <c r="P9" s="660">
        <v>297400</v>
      </c>
      <c r="Q9" s="548"/>
      <c r="R9" s="660">
        <v>223247.04</v>
      </c>
      <c r="S9" s="549">
        <f t="shared" si="0"/>
        <v>74152.959999999992</v>
      </c>
      <c r="T9" s="113" t="s">
        <v>1932</v>
      </c>
      <c r="U9" s="626" t="str">
        <f t="shared" si="1"/>
        <v>AA12487</v>
      </c>
      <c r="V9" s="627" t="str">
        <f t="shared" si="2"/>
        <v>0087-TCN18</v>
      </c>
      <c r="W9" s="626">
        <f t="shared" si="3"/>
        <v>520230</v>
      </c>
      <c r="X9" s="626" t="str">
        <f t="shared" si="4"/>
        <v>COROLLA BASE AT</v>
      </c>
      <c r="Y9" s="627">
        <f t="shared" si="4"/>
        <v>2018</v>
      </c>
      <c r="Z9" s="628">
        <f t="shared" si="5"/>
        <v>253732.39</v>
      </c>
      <c r="AA9" s="629">
        <f>+Z9+Z8</f>
        <v>507464.78</v>
      </c>
      <c r="AB9" s="793">
        <v>2</v>
      </c>
      <c r="AC9" s="780">
        <f t="shared" si="6"/>
        <v>246423.66</v>
      </c>
      <c r="AD9" s="630">
        <f t="shared" si="7"/>
        <v>0.05</v>
      </c>
      <c r="AE9" s="555">
        <f t="shared" si="8"/>
        <v>4928.3900000000003</v>
      </c>
      <c r="AF9" s="629">
        <f t="shared" si="9"/>
        <v>2646.9132500000005</v>
      </c>
      <c r="AG9" s="555">
        <f t="shared" si="10"/>
        <v>6.7499999995561666E-3</v>
      </c>
      <c r="AH9" s="361"/>
      <c r="AI9" s="313"/>
    </row>
    <row r="10" spans="1:45" s="291" customFormat="1" x14ac:dyDescent="0.2">
      <c r="A10" s="423">
        <f t="shared" si="11"/>
        <v>5</v>
      </c>
      <c r="B10" s="721" t="s">
        <v>8245</v>
      </c>
      <c r="C10" s="771">
        <v>520231</v>
      </c>
      <c r="D10" s="771">
        <v>1794</v>
      </c>
      <c r="E10" s="771" t="s">
        <v>687</v>
      </c>
      <c r="F10" s="546">
        <v>2018</v>
      </c>
      <c r="G10" s="659">
        <v>43096</v>
      </c>
      <c r="H10" s="655" t="s">
        <v>727</v>
      </c>
      <c r="I10" s="655" t="s">
        <v>8564</v>
      </c>
      <c r="J10" s="712"/>
      <c r="K10" s="655" t="s">
        <v>8742</v>
      </c>
      <c r="L10" s="655" t="s">
        <v>8867</v>
      </c>
      <c r="M10" s="660">
        <v>276440.55</v>
      </c>
      <c r="N10" s="660">
        <v>3214.62</v>
      </c>
      <c r="O10" s="660">
        <v>44744.83</v>
      </c>
      <c r="P10" s="660">
        <v>324400</v>
      </c>
      <c r="Q10" s="548"/>
      <c r="R10" s="660">
        <v>243116.68</v>
      </c>
      <c r="S10" s="549">
        <f t="shared" si="0"/>
        <v>81283.320000000007</v>
      </c>
      <c r="T10" s="113" t="s">
        <v>1932</v>
      </c>
      <c r="U10" s="626" t="str">
        <f t="shared" si="1"/>
        <v>AA12685</v>
      </c>
      <c r="V10" s="627" t="str">
        <f t="shared" si="2"/>
        <v>0130-TCN18</v>
      </c>
      <c r="W10" s="626">
        <f t="shared" si="3"/>
        <v>520231</v>
      </c>
      <c r="X10" s="626" t="str">
        <f t="shared" si="4"/>
        <v>COROLLA LE AT</v>
      </c>
      <c r="Y10" s="627">
        <f t="shared" si="4"/>
        <v>2018</v>
      </c>
      <c r="Z10" s="628">
        <f t="shared" si="5"/>
        <v>276440.55</v>
      </c>
      <c r="AA10" s="629">
        <f>+Z10</f>
        <v>276440.55</v>
      </c>
      <c r="AB10" s="793">
        <v>1</v>
      </c>
      <c r="AC10" s="780">
        <f t="shared" si="6"/>
        <v>246423.66</v>
      </c>
      <c r="AD10" s="630">
        <f t="shared" si="7"/>
        <v>0.05</v>
      </c>
      <c r="AE10" s="555">
        <f t="shared" si="8"/>
        <v>4928.3900000000003</v>
      </c>
      <c r="AF10" s="629">
        <f t="shared" si="9"/>
        <v>3214.6172499999998</v>
      </c>
      <c r="AG10" s="555">
        <f t="shared" si="10"/>
        <v>2.7500000001055014E-3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721" t="s">
        <v>8228</v>
      </c>
      <c r="C11" s="771">
        <v>520232</v>
      </c>
      <c r="D11" s="771">
        <v>1781</v>
      </c>
      <c r="E11" s="771" t="s">
        <v>690</v>
      </c>
      <c r="F11" s="546">
        <v>2018</v>
      </c>
      <c r="G11" s="659">
        <v>43084</v>
      </c>
      <c r="H11" s="655" t="s">
        <v>774</v>
      </c>
      <c r="I11" s="655" t="s">
        <v>8558</v>
      </c>
      <c r="J11" s="712"/>
      <c r="K11" s="655" t="s">
        <v>8740</v>
      </c>
      <c r="L11" s="655" t="s">
        <v>8861</v>
      </c>
      <c r="M11" s="660">
        <v>284682.77</v>
      </c>
      <c r="N11" s="660">
        <v>3420.68</v>
      </c>
      <c r="O11" s="660">
        <v>46096.55</v>
      </c>
      <c r="P11" s="660">
        <v>334200</v>
      </c>
      <c r="Q11" s="548"/>
      <c r="R11" s="660">
        <v>250683.1</v>
      </c>
      <c r="S11" s="549">
        <f t="shared" si="0"/>
        <v>83516.899999999994</v>
      </c>
      <c r="T11" s="113" t="s">
        <v>1932</v>
      </c>
      <c r="U11" s="626" t="str">
        <f t="shared" si="1"/>
        <v>AA12565</v>
      </c>
      <c r="V11" s="627" t="str">
        <f t="shared" si="2"/>
        <v>0317-TCN18</v>
      </c>
      <c r="W11" s="626">
        <f t="shared" si="3"/>
        <v>520232</v>
      </c>
      <c r="X11" s="626" t="str">
        <f t="shared" si="4"/>
        <v>COROLLA SE MT</v>
      </c>
      <c r="Y11" s="627">
        <f t="shared" si="4"/>
        <v>2018</v>
      </c>
      <c r="Z11" s="628">
        <f t="shared" si="5"/>
        <v>284682.77</v>
      </c>
      <c r="AA11" s="624">
        <f>+Z11</f>
        <v>284682.77</v>
      </c>
      <c r="AB11" s="807">
        <v>1</v>
      </c>
      <c r="AC11" s="629">
        <f t="shared" si="6"/>
        <v>246423.66</v>
      </c>
      <c r="AD11" s="630">
        <f t="shared" si="7"/>
        <v>0.05</v>
      </c>
      <c r="AE11" s="555">
        <f t="shared" si="8"/>
        <v>4928.3900000000003</v>
      </c>
      <c r="AF11" s="555">
        <f>+N11</f>
        <v>3420.68</v>
      </c>
      <c r="AG11" s="555">
        <f t="shared" si="10"/>
        <v>0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721" t="s">
        <v>8235</v>
      </c>
      <c r="C12" s="771">
        <v>520233</v>
      </c>
      <c r="D12" s="771">
        <v>1782</v>
      </c>
      <c r="E12" s="771" t="s">
        <v>691</v>
      </c>
      <c r="F12" s="546">
        <v>2018</v>
      </c>
      <c r="G12" s="659">
        <v>43097</v>
      </c>
      <c r="H12" s="655" t="s">
        <v>2213</v>
      </c>
      <c r="I12" s="655" t="s">
        <v>8559</v>
      </c>
      <c r="J12" s="712"/>
      <c r="K12" s="655" t="s">
        <v>8741</v>
      </c>
      <c r="L12" s="655" t="s">
        <v>8862</v>
      </c>
      <c r="M12" s="660">
        <v>299864.09000000003</v>
      </c>
      <c r="N12" s="660">
        <v>7808.32</v>
      </c>
      <c r="O12" s="660">
        <v>49227.59</v>
      </c>
      <c r="P12" s="660">
        <v>356900</v>
      </c>
      <c r="Q12" s="548"/>
      <c r="R12" s="660">
        <v>263612.28000000003</v>
      </c>
      <c r="S12" s="549">
        <f t="shared" si="0"/>
        <v>93287.719999999972</v>
      </c>
      <c r="T12" s="113" t="s">
        <v>1932</v>
      </c>
      <c r="U12" s="626" t="str">
        <f t="shared" si="1"/>
        <v>AA12701</v>
      </c>
      <c r="V12" s="627" t="str">
        <f t="shared" si="2"/>
        <v>0133-TCN18</v>
      </c>
      <c r="W12" s="626">
        <f t="shared" si="3"/>
        <v>520233</v>
      </c>
      <c r="X12" s="626" t="str">
        <f t="shared" si="4"/>
        <v>COROLLA SE CVT</v>
      </c>
      <c r="Y12" s="627">
        <f t="shared" si="4"/>
        <v>2018</v>
      </c>
      <c r="Z12" s="628">
        <f t="shared" si="5"/>
        <v>299864.09000000003</v>
      </c>
      <c r="AA12" s="629">
        <f>+Z12</f>
        <v>299864.09000000003</v>
      </c>
      <c r="AB12" s="793">
        <v>1</v>
      </c>
      <c r="AC12" s="629">
        <f t="shared" si="6"/>
        <v>295708.34000000003</v>
      </c>
      <c r="AD12" s="630">
        <f t="shared" si="7"/>
        <v>0.1</v>
      </c>
      <c r="AE12" s="555">
        <f t="shared" si="8"/>
        <v>7392.74</v>
      </c>
      <c r="AF12" s="555">
        <f t="shared" si="9"/>
        <v>7808.3149999999996</v>
      </c>
      <c r="AG12" s="555">
        <f t="shared" si="10"/>
        <v>5.0000000001091394E-3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721" t="s">
        <v>8428</v>
      </c>
      <c r="C13" s="771">
        <v>520508</v>
      </c>
      <c r="D13" s="771">
        <v>7440</v>
      </c>
      <c r="E13" s="771" t="s">
        <v>1520</v>
      </c>
      <c r="F13" s="546">
        <v>2017</v>
      </c>
      <c r="G13" s="659">
        <v>43075</v>
      </c>
      <c r="H13" s="655" t="s">
        <v>751</v>
      </c>
      <c r="I13" s="655" t="s">
        <v>7697</v>
      </c>
      <c r="J13" s="712"/>
      <c r="K13" s="655" t="s">
        <v>7064</v>
      </c>
      <c r="L13" s="655" t="s">
        <v>7505</v>
      </c>
      <c r="M13" s="660">
        <v>-586781.61</v>
      </c>
      <c r="N13" s="660">
        <v>-29339.08</v>
      </c>
      <c r="O13" s="660">
        <v>-98579.31</v>
      </c>
      <c r="P13" s="660">
        <v>-714700</v>
      </c>
      <c r="Q13" s="548"/>
      <c r="R13" s="660">
        <v>-519067.76</v>
      </c>
      <c r="S13" s="549">
        <f t="shared" si="0"/>
        <v>-195632.24</v>
      </c>
      <c r="T13" s="113" t="s">
        <v>1266</v>
      </c>
      <c r="U13" s="626" t="str">
        <f t="shared" si="1"/>
        <v>ZA04492</v>
      </c>
      <c r="V13" s="627" t="str">
        <f t="shared" si="2"/>
        <v>1951-TCN17</v>
      </c>
      <c r="W13" s="626">
        <f t="shared" si="3"/>
        <v>520508</v>
      </c>
      <c r="X13" s="626" t="str">
        <f t="shared" si="4"/>
        <v>TACOMA EDICION ESPECIAL</v>
      </c>
      <c r="Y13" s="627">
        <f t="shared" si="4"/>
        <v>2017</v>
      </c>
      <c r="Z13" s="628">
        <f t="shared" si="5"/>
        <v>-586781.61</v>
      </c>
      <c r="AA13" s="629"/>
      <c r="AB13" s="793"/>
      <c r="AC13" s="629"/>
      <c r="AD13" s="630"/>
      <c r="AE13" s="555"/>
      <c r="AF13" s="555">
        <f>+N13</f>
        <v>-29339.08</v>
      </c>
      <c r="AG13" s="555">
        <f t="shared" si="10"/>
        <v>0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721" t="s">
        <v>8430</v>
      </c>
      <c r="C14" s="771">
        <v>520508</v>
      </c>
      <c r="D14" s="771">
        <v>7440</v>
      </c>
      <c r="E14" s="771" t="s">
        <v>1520</v>
      </c>
      <c r="F14" s="546">
        <v>2017</v>
      </c>
      <c r="G14" s="659">
        <v>43089</v>
      </c>
      <c r="H14" s="655" t="s">
        <v>2213</v>
      </c>
      <c r="I14" s="655" t="s">
        <v>7697</v>
      </c>
      <c r="J14" s="712"/>
      <c r="K14" s="655" t="s">
        <v>8791</v>
      </c>
      <c r="L14" s="655" t="s">
        <v>7505</v>
      </c>
      <c r="M14" s="660">
        <v>586781.61</v>
      </c>
      <c r="N14" s="660">
        <v>29339.08</v>
      </c>
      <c r="O14" s="660">
        <v>98579.31</v>
      </c>
      <c r="P14" s="660">
        <v>714700</v>
      </c>
      <c r="Q14" s="548"/>
      <c r="R14" s="660">
        <v>519067.76</v>
      </c>
      <c r="S14" s="549">
        <f t="shared" si="0"/>
        <v>195632.24</v>
      </c>
      <c r="T14" s="445" t="s">
        <v>1932</v>
      </c>
      <c r="U14" s="626" t="str">
        <f t="shared" si="1"/>
        <v>AA12608</v>
      </c>
      <c r="V14" s="627" t="str">
        <f t="shared" si="2"/>
        <v>1951-TCN17</v>
      </c>
      <c r="W14" s="626">
        <f t="shared" si="3"/>
        <v>520508</v>
      </c>
      <c r="X14" s="626" t="str">
        <f t="shared" si="4"/>
        <v>TACOMA EDICION ESPECIAL</v>
      </c>
      <c r="Y14" s="627">
        <f t="shared" si="4"/>
        <v>2017</v>
      </c>
      <c r="Z14" s="628">
        <f t="shared" si="5"/>
        <v>586781.61</v>
      </c>
      <c r="AA14" s="629"/>
      <c r="AB14" s="793"/>
      <c r="AC14" s="780">
        <f t="shared" ref="AC14" si="12">VLOOKUP(Z14,TARIFA,1)</f>
        <v>443562.4</v>
      </c>
      <c r="AD14" s="630">
        <f t="shared" ref="AD14" si="13">VLOOKUP(Z14,TARIFA,4)</f>
        <v>0.17</v>
      </c>
      <c r="AE14" s="555">
        <f t="shared" ref="AE14" si="14">VLOOKUP(Z14,TARIFA,3)</f>
        <v>27106.55</v>
      </c>
      <c r="AF14" s="629">
        <f>+N14</f>
        <v>29339.08</v>
      </c>
      <c r="AG14" s="555">
        <f t="shared" si="10"/>
        <v>0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721" t="s">
        <v>8374</v>
      </c>
      <c r="C15" s="771">
        <v>520512</v>
      </c>
      <c r="D15" s="771">
        <v>5394</v>
      </c>
      <c r="E15" s="771" t="s">
        <v>223</v>
      </c>
      <c r="F15" s="546">
        <v>2018</v>
      </c>
      <c r="G15" s="659">
        <v>43091</v>
      </c>
      <c r="H15" s="655" t="s">
        <v>727</v>
      </c>
      <c r="I15" s="655" t="s">
        <v>8637</v>
      </c>
      <c r="J15" s="712"/>
      <c r="K15" s="655" t="s">
        <v>8776</v>
      </c>
      <c r="L15" s="655" t="s">
        <v>8940</v>
      </c>
      <c r="M15" s="660">
        <v>443505.42</v>
      </c>
      <c r="N15" s="660">
        <v>27098.03</v>
      </c>
      <c r="O15" s="660">
        <v>75296.55</v>
      </c>
      <c r="P15" s="660">
        <v>545900</v>
      </c>
      <c r="Q15" s="548"/>
      <c r="R15" s="660">
        <v>393340.28</v>
      </c>
      <c r="S15" s="549">
        <f t="shared" si="0"/>
        <v>152559.71999999997</v>
      </c>
      <c r="T15" s="113" t="s">
        <v>1932</v>
      </c>
      <c r="U15" s="626" t="str">
        <f t="shared" si="1"/>
        <v>AA12642</v>
      </c>
      <c r="V15" s="627" t="str">
        <f t="shared" si="2"/>
        <v>0356-TCN18</v>
      </c>
      <c r="W15" s="626">
        <f t="shared" si="3"/>
        <v>520512</v>
      </c>
      <c r="X15" s="626" t="str">
        <f t="shared" si="4"/>
        <v>SIENNA LE</v>
      </c>
      <c r="Y15" s="627">
        <f t="shared" si="4"/>
        <v>2018</v>
      </c>
      <c r="Z15" s="628">
        <f t="shared" si="5"/>
        <v>443505.42</v>
      </c>
      <c r="AA15" s="555"/>
      <c r="AB15" s="793"/>
      <c r="AC15" s="629">
        <f t="shared" ref="AC15" si="15">VLOOKUP(Z15,TARIFA,1)</f>
        <v>344993.21</v>
      </c>
      <c r="AD15" s="630">
        <f t="shared" ref="AD15" si="16">VLOOKUP(Z15,TARIFA,4)</f>
        <v>0.15</v>
      </c>
      <c r="AE15" s="555">
        <f t="shared" ref="AE15" si="17">VLOOKUP(Z15,TARIFA,3)</f>
        <v>12321.2</v>
      </c>
      <c r="AF15" s="555">
        <f t="shared" ref="AF15" si="18">IF(Z15&lt;281240.78,(((Z15-AC15)*AD15+AE15)/2),(Z15-AC15)*AD15+AE15)</f>
        <v>27098.031499999994</v>
      </c>
      <c r="AG15" s="555">
        <f t="shared" si="10"/>
        <v>-1.499999994848622E-3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721" t="s">
        <v>8377</v>
      </c>
      <c r="C16" s="771">
        <v>520512</v>
      </c>
      <c r="D16" s="771">
        <v>5394</v>
      </c>
      <c r="E16" s="771" t="s">
        <v>223</v>
      </c>
      <c r="F16" s="546">
        <v>2018</v>
      </c>
      <c r="G16" s="659">
        <v>43097</v>
      </c>
      <c r="H16" s="655" t="s">
        <v>4285</v>
      </c>
      <c r="I16" s="655" t="s">
        <v>8638</v>
      </c>
      <c r="J16" s="712"/>
      <c r="K16" s="655" t="s">
        <v>8777</v>
      </c>
      <c r="L16" s="655" t="s">
        <v>8941</v>
      </c>
      <c r="M16" s="660">
        <v>443505.42</v>
      </c>
      <c r="N16" s="660">
        <v>27098.03</v>
      </c>
      <c r="O16" s="660">
        <v>75296.55</v>
      </c>
      <c r="P16" s="660">
        <v>545900</v>
      </c>
      <c r="Q16" s="548"/>
      <c r="R16" s="660">
        <v>393340.28</v>
      </c>
      <c r="S16" s="549">
        <f t="shared" si="0"/>
        <v>152559.71999999997</v>
      </c>
      <c r="T16" s="113" t="s">
        <v>1932</v>
      </c>
      <c r="U16" s="626" t="str">
        <f t="shared" si="1"/>
        <v>AA12714</v>
      </c>
      <c r="V16" s="627" t="str">
        <f t="shared" si="2"/>
        <v>0381-TCN18</v>
      </c>
      <c r="W16" s="626">
        <f t="shared" si="3"/>
        <v>520512</v>
      </c>
      <c r="X16" s="626" t="str">
        <f t="shared" si="4"/>
        <v>SIENNA LE</v>
      </c>
      <c r="Y16" s="627">
        <f t="shared" si="4"/>
        <v>2018</v>
      </c>
      <c r="Z16" s="628">
        <f t="shared" si="5"/>
        <v>443505.42</v>
      </c>
      <c r="AA16" s="629">
        <f>+Z16+Z15</f>
        <v>887010.84</v>
      </c>
      <c r="AB16" s="793">
        <v>2</v>
      </c>
      <c r="AC16" s="629">
        <f t="shared" si="6"/>
        <v>344993.21</v>
      </c>
      <c r="AD16" s="630">
        <f t="shared" si="7"/>
        <v>0.15</v>
      </c>
      <c r="AE16" s="555">
        <f t="shared" si="8"/>
        <v>12321.2</v>
      </c>
      <c r="AF16" s="555">
        <f t="shared" si="9"/>
        <v>27098.031499999994</v>
      </c>
      <c r="AG16" s="555">
        <f t="shared" si="10"/>
        <v>-1.499999994848622E-3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721" t="s">
        <v>8378</v>
      </c>
      <c r="C17" s="771">
        <v>520513</v>
      </c>
      <c r="D17" s="771">
        <v>5396</v>
      </c>
      <c r="E17" s="771" t="s">
        <v>132</v>
      </c>
      <c r="F17" s="546">
        <v>2017</v>
      </c>
      <c r="G17" s="659">
        <v>43075</v>
      </c>
      <c r="H17" s="655" t="s">
        <v>8844</v>
      </c>
      <c r="I17" s="655" t="s">
        <v>8639</v>
      </c>
      <c r="J17" s="712"/>
      <c r="K17" s="655" t="s">
        <v>6857</v>
      </c>
      <c r="L17" s="655" t="s">
        <v>8942</v>
      </c>
      <c r="M17" s="660">
        <v>459200.49</v>
      </c>
      <c r="N17" s="660">
        <v>29765.03</v>
      </c>
      <c r="O17" s="660">
        <v>78234.48</v>
      </c>
      <c r="P17" s="660">
        <v>567200</v>
      </c>
      <c r="Q17" s="548"/>
      <c r="R17" s="660">
        <v>426602.67</v>
      </c>
      <c r="S17" s="549">
        <f t="shared" si="0"/>
        <v>140597.33000000002</v>
      </c>
      <c r="T17" s="113" t="s">
        <v>1932</v>
      </c>
      <c r="U17" s="626" t="str">
        <f t="shared" si="1"/>
        <v>AA12495</v>
      </c>
      <c r="V17" s="627" t="str">
        <f t="shared" si="2"/>
        <v>1982-TCN17</v>
      </c>
      <c r="W17" s="626">
        <f t="shared" si="3"/>
        <v>520513</v>
      </c>
      <c r="X17" s="626" t="str">
        <f t="shared" si="4"/>
        <v>SIENNA XLE</v>
      </c>
      <c r="Y17" s="627">
        <f t="shared" si="4"/>
        <v>2017</v>
      </c>
      <c r="Z17" s="628">
        <f t="shared" si="5"/>
        <v>459200.49</v>
      </c>
      <c r="AA17" s="629">
        <f>+Z17</f>
        <v>459200.49</v>
      </c>
      <c r="AB17" s="793">
        <v>1</v>
      </c>
      <c r="AC17" s="629">
        <f t="shared" si="6"/>
        <v>443562.4</v>
      </c>
      <c r="AD17" s="630">
        <f t="shared" si="7"/>
        <v>0.17</v>
      </c>
      <c r="AE17" s="555">
        <f t="shared" si="8"/>
        <v>27106.55</v>
      </c>
      <c r="AF17" s="555">
        <f>+N17</f>
        <v>29765.03</v>
      </c>
      <c r="AG17" s="555">
        <f t="shared" si="10"/>
        <v>0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721" t="s">
        <v>8382</v>
      </c>
      <c r="C18" s="771">
        <v>520514</v>
      </c>
      <c r="D18" s="771">
        <v>5398</v>
      </c>
      <c r="E18" s="771" t="s">
        <v>117</v>
      </c>
      <c r="F18" s="546">
        <v>2018</v>
      </c>
      <c r="G18" s="659">
        <v>43082</v>
      </c>
      <c r="H18" s="655" t="s">
        <v>2215</v>
      </c>
      <c r="I18" s="655" t="s">
        <v>8641</v>
      </c>
      <c r="J18" s="712"/>
      <c r="K18" s="655" t="s">
        <v>8778</v>
      </c>
      <c r="L18" s="655" t="s">
        <v>8944</v>
      </c>
      <c r="M18" s="660">
        <v>534870.99</v>
      </c>
      <c r="N18" s="660">
        <v>42629.01</v>
      </c>
      <c r="O18" s="660">
        <v>92400</v>
      </c>
      <c r="P18" s="660">
        <v>669900</v>
      </c>
      <c r="Q18" s="548"/>
      <c r="R18" s="660">
        <v>688352.41</v>
      </c>
      <c r="S18" s="549">
        <f t="shared" si="0"/>
        <v>-18452.410000000033</v>
      </c>
      <c r="T18" s="113" t="s">
        <v>1932</v>
      </c>
      <c r="U18" s="626" t="str">
        <f t="shared" si="1"/>
        <v>AA12544</v>
      </c>
      <c r="V18" s="627" t="str">
        <f t="shared" si="2"/>
        <v>0313-TCN18</v>
      </c>
      <c r="W18" s="626">
        <f t="shared" si="3"/>
        <v>520514</v>
      </c>
      <c r="X18" s="626" t="str">
        <f t="shared" si="4"/>
        <v>SIENNA XLE PIEL</v>
      </c>
      <c r="Y18" s="627">
        <f t="shared" si="4"/>
        <v>2018</v>
      </c>
      <c r="Z18" s="628">
        <f t="shared" si="5"/>
        <v>534870.99</v>
      </c>
      <c r="AA18" s="629"/>
      <c r="AB18" s="793"/>
      <c r="AC18" s="629">
        <f t="shared" si="6"/>
        <v>443562.4</v>
      </c>
      <c r="AD18" s="630">
        <f t="shared" si="7"/>
        <v>0.17</v>
      </c>
      <c r="AE18" s="555">
        <f t="shared" si="8"/>
        <v>27106.55</v>
      </c>
      <c r="AF18" s="555">
        <f t="shared" ref="AF18:AF20" si="19">IF(Z18&lt;281240.78,(((Z18-AC18)*AD18+AE18)/2),(Z18-AC18)*AD18+AE18)</f>
        <v>42629.010299999994</v>
      </c>
      <c r="AG18" s="555">
        <f t="shared" si="10"/>
        <v>-2.9999999242136255E-4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721" t="s">
        <v>8385</v>
      </c>
      <c r="C19" s="771">
        <v>520514</v>
      </c>
      <c r="D19" s="771">
        <v>5398</v>
      </c>
      <c r="E19" s="771" t="s">
        <v>117</v>
      </c>
      <c r="F19" s="546">
        <v>2018</v>
      </c>
      <c r="G19" s="659">
        <v>43095</v>
      </c>
      <c r="H19" s="655" t="s">
        <v>2214</v>
      </c>
      <c r="I19" s="655" t="s">
        <v>8642</v>
      </c>
      <c r="J19" s="712"/>
      <c r="K19" s="655" t="s">
        <v>8779</v>
      </c>
      <c r="L19" s="655" t="s">
        <v>8945</v>
      </c>
      <c r="M19" s="660">
        <v>510261.5</v>
      </c>
      <c r="N19" s="660">
        <v>38445.4</v>
      </c>
      <c r="O19" s="660">
        <v>87793.1</v>
      </c>
      <c r="P19" s="660">
        <v>636500</v>
      </c>
      <c r="Q19" s="548"/>
      <c r="R19" s="660">
        <v>688352.41</v>
      </c>
      <c r="S19" s="549">
        <f t="shared" si="0"/>
        <v>-51852.410000000033</v>
      </c>
      <c r="T19" s="113" t="s">
        <v>1932</v>
      </c>
      <c r="U19" s="626" t="str">
        <f t="shared" si="1"/>
        <v>AA12679</v>
      </c>
      <c r="V19" s="627" t="str">
        <f t="shared" si="2"/>
        <v>0380-TCN18</v>
      </c>
      <c r="W19" s="626">
        <f t="shared" si="3"/>
        <v>520514</v>
      </c>
      <c r="X19" s="626" t="str">
        <f t="shared" si="4"/>
        <v>SIENNA XLE PIEL</v>
      </c>
      <c r="Y19" s="627">
        <f t="shared" si="4"/>
        <v>2018</v>
      </c>
      <c r="Z19" s="628">
        <f t="shared" si="5"/>
        <v>510261.5</v>
      </c>
      <c r="AA19" s="629">
        <f>+Z18+Z19</f>
        <v>1045132.49</v>
      </c>
      <c r="AB19" s="793">
        <v>2</v>
      </c>
      <c r="AC19" s="629">
        <f t="shared" si="6"/>
        <v>443562.4</v>
      </c>
      <c r="AD19" s="630">
        <f t="shared" si="7"/>
        <v>0.17</v>
      </c>
      <c r="AE19" s="555">
        <f t="shared" si="8"/>
        <v>27106.55</v>
      </c>
      <c r="AF19" s="555">
        <f t="shared" si="19"/>
        <v>38445.396999999997</v>
      </c>
      <c r="AG19" s="555">
        <f t="shared" si="10"/>
        <v>3.0000000042491592E-3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721" t="s">
        <v>8387</v>
      </c>
      <c r="C20" s="771">
        <v>520515</v>
      </c>
      <c r="D20" s="771">
        <v>5399</v>
      </c>
      <c r="E20" s="771" t="s">
        <v>267</v>
      </c>
      <c r="F20" s="546">
        <v>2018</v>
      </c>
      <c r="G20" s="659">
        <v>43099</v>
      </c>
      <c r="H20" s="655" t="s">
        <v>2213</v>
      </c>
      <c r="I20" s="655" t="s">
        <v>8644</v>
      </c>
      <c r="J20" s="712"/>
      <c r="K20" s="655" t="s">
        <v>8780</v>
      </c>
      <c r="L20" s="655" t="s">
        <v>8947</v>
      </c>
      <c r="M20" s="660">
        <v>629919.62</v>
      </c>
      <c r="N20" s="660">
        <v>58787.28</v>
      </c>
      <c r="O20" s="660">
        <v>110193.1</v>
      </c>
      <c r="P20" s="660">
        <v>798900</v>
      </c>
      <c r="Q20" s="548"/>
      <c r="R20" s="660">
        <v>557029.21</v>
      </c>
      <c r="S20" s="549">
        <f t="shared" si="0"/>
        <v>241870.79000000004</v>
      </c>
      <c r="T20" s="113" t="s">
        <v>1932</v>
      </c>
      <c r="U20" s="626" t="str">
        <f t="shared" si="1"/>
        <v>AA12734</v>
      </c>
      <c r="V20" s="627" t="str">
        <f t="shared" si="2"/>
        <v>0346-TCN18</v>
      </c>
      <c r="W20" s="626">
        <f t="shared" si="3"/>
        <v>520515</v>
      </c>
      <c r="X20" s="626" t="str">
        <f t="shared" si="4"/>
        <v>SIENNA LIMITED</v>
      </c>
      <c r="Y20" s="627">
        <f t="shared" si="4"/>
        <v>2018</v>
      </c>
      <c r="Z20" s="628">
        <f t="shared" si="5"/>
        <v>629919.62</v>
      </c>
      <c r="AA20" s="725">
        <f>+Z20</f>
        <v>629919.62</v>
      </c>
      <c r="AB20" s="808">
        <v>1</v>
      </c>
      <c r="AC20" s="629">
        <f t="shared" si="6"/>
        <v>443562.4</v>
      </c>
      <c r="AD20" s="630">
        <f t="shared" si="7"/>
        <v>0.17</v>
      </c>
      <c r="AE20" s="555">
        <f t="shared" si="8"/>
        <v>27106.55</v>
      </c>
      <c r="AF20" s="555">
        <f t="shared" si="19"/>
        <v>58787.277399999992</v>
      </c>
      <c r="AG20" s="555">
        <f t="shared" si="10"/>
        <v>2.6000000070780516E-3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721" t="s">
        <v>8274</v>
      </c>
      <c r="C21" s="771">
        <v>520707</v>
      </c>
      <c r="D21" s="771">
        <v>2006</v>
      </c>
      <c r="E21" s="771" t="s">
        <v>702</v>
      </c>
      <c r="F21" s="546">
        <v>2017</v>
      </c>
      <c r="G21" s="659">
        <v>43088</v>
      </c>
      <c r="H21" s="655" t="s">
        <v>8843</v>
      </c>
      <c r="I21" s="655" t="s">
        <v>8584</v>
      </c>
      <c r="J21" s="712"/>
      <c r="K21" s="655" t="s">
        <v>6857</v>
      </c>
      <c r="L21" s="655" t="s">
        <v>8887</v>
      </c>
      <c r="M21" s="660">
        <v>193965.52</v>
      </c>
      <c r="N21" s="660">
        <v>0</v>
      </c>
      <c r="O21" s="660">
        <v>31034.48</v>
      </c>
      <c r="P21" s="660">
        <v>225000</v>
      </c>
      <c r="Q21" s="548"/>
      <c r="R21" s="660">
        <v>183052.26</v>
      </c>
      <c r="S21" s="549">
        <f t="shared" si="0"/>
        <v>41947.739999999991</v>
      </c>
      <c r="T21" s="113" t="s">
        <v>1932</v>
      </c>
      <c r="U21" s="626" t="str">
        <f t="shared" si="1"/>
        <v>AA12594</v>
      </c>
      <c r="V21" s="627" t="str">
        <f t="shared" si="2"/>
        <v>1755-TCN17</v>
      </c>
      <c r="W21" s="626">
        <f t="shared" si="3"/>
        <v>520707</v>
      </c>
      <c r="X21" s="626" t="str">
        <f t="shared" si="4"/>
        <v>YARIS CORE,SEDAN CVT.</v>
      </c>
      <c r="Y21" s="627">
        <f t="shared" si="4"/>
        <v>2017</v>
      </c>
      <c r="Z21" s="628">
        <f t="shared" si="5"/>
        <v>193965.52</v>
      </c>
      <c r="AA21" s="629">
        <f>+Z21</f>
        <v>193965.52</v>
      </c>
      <c r="AB21" s="800">
        <v>1</v>
      </c>
      <c r="AC21" s="629">
        <f t="shared" ref="AC21" si="20">VLOOKUP(Z21,TARIFA,1)</f>
        <v>0.01</v>
      </c>
      <c r="AD21" s="630">
        <f t="shared" ref="AD21" si="21">VLOOKUP(Z21,TARIFA,4)</f>
        <v>0.02</v>
      </c>
      <c r="AE21" s="555">
        <f t="shared" ref="AE21" si="22">VLOOKUP(Z21,TARIFA,3)</f>
        <v>0</v>
      </c>
      <c r="AF21" s="555">
        <v>0</v>
      </c>
      <c r="AG21" s="555">
        <f t="shared" si="10"/>
        <v>0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721" t="s">
        <v>8366</v>
      </c>
      <c r="C22" s="771">
        <v>520809</v>
      </c>
      <c r="D22" s="771">
        <v>4493</v>
      </c>
      <c r="E22" s="771" t="s">
        <v>693</v>
      </c>
      <c r="F22" s="546">
        <v>2018</v>
      </c>
      <c r="G22" s="659">
        <v>43092</v>
      </c>
      <c r="H22" s="655" t="s">
        <v>8842</v>
      </c>
      <c r="I22" s="655" t="s">
        <v>8633</v>
      </c>
      <c r="J22" s="712"/>
      <c r="K22" s="655" t="s">
        <v>8774</v>
      </c>
      <c r="L22" s="655" t="s">
        <v>8936</v>
      </c>
      <c r="M22" s="801">
        <v>319534.94</v>
      </c>
      <c r="N22" s="660">
        <v>9775.4</v>
      </c>
      <c r="O22" s="660">
        <v>52689.66</v>
      </c>
      <c r="P22" s="660">
        <v>382000</v>
      </c>
      <c r="Q22" s="548"/>
      <c r="R22" s="660">
        <v>279903.34999999998</v>
      </c>
      <c r="S22" s="549">
        <f t="shared" si="0"/>
        <v>102096.65000000002</v>
      </c>
      <c r="T22" s="113" t="s">
        <v>1932</v>
      </c>
      <c r="U22" s="626" t="str">
        <f t="shared" si="1"/>
        <v>AA12663</v>
      </c>
      <c r="V22" s="627" t="str">
        <f t="shared" si="2"/>
        <v>0359-TCN18</v>
      </c>
      <c r="W22" s="626">
        <f t="shared" si="3"/>
        <v>520809</v>
      </c>
      <c r="X22" s="626" t="str">
        <f t="shared" si="4"/>
        <v>RAV4 4X2  SUV  LE</v>
      </c>
      <c r="Y22" s="627">
        <f t="shared" si="4"/>
        <v>2018</v>
      </c>
      <c r="Z22" s="628">
        <f t="shared" si="5"/>
        <v>319534.94</v>
      </c>
      <c r="AA22" s="624">
        <f>+Z22</f>
        <v>319534.94</v>
      </c>
      <c r="AB22" s="807">
        <v>1</v>
      </c>
      <c r="AC22" s="629">
        <f t="shared" si="6"/>
        <v>295708.34000000003</v>
      </c>
      <c r="AD22" s="630">
        <f t="shared" si="7"/>
        <v>0.1</v>
      </c>
      <c r="AE22" s="555">
        <f t="shared" si="8"/>
        <v>7392.74</v>
      </c>
      <c r="AF22" s="555">
        <f>IF(Z22&lt;281240.78,(((Z22-AC22)*AD22+AE22)/2),(Z22-AC22)*AD22+AE22)</f>
        <v>9775.3999999999978</v>
      </c>
      <c r="AG22" s="555">
        <f t="shared" si="10"/>
        <v>0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721" t="s">
        <v>8365</v>
      </c>
      <c r="C23" s="771">
        <v>520814</v>
      </c>
      <c r="D23" s="771">
        <v>4493</v>
      </c>
      <c r="E23" s="771" t="s">
        <v>693</v>
      </c>
      <c r="F23" s="546">
        <v>2018</v>
      </c>
      <c r="G23" s="659">
        <v>43075</v>
      </c>
      <c r="H23" s="655" t="s">
        <v>2216</v>
      </c>
      <c r="I23" s="655" t="s">
        <v>8632</v>
      </c>
      <c r="J23" s="712"/>
      <c r="K23" s="655" t="s">
        <v>8773</v>
      </c>
      <c r="L23" s="655" t="s">
        <v>8935</v>
      </c>
      <c r="M23" s="660">
        <v>319534.94</v>
      </c>
      <c r="N23" s="660">
        <v>9775.4</v>
      </c>
      <c r="O23" s="660">
        <v>52689.66</v>
      </c>
      <c r="P23" s="660">
        <v>382000</v>
      </c>
      <c r="Q23" s="548"/>
      <c r="R23" s="660">
        <v>280613.32</v>
      </c>
      <c r="S23" s="549">
        <f t="shared" si="0"/>
        <v>101386.68</v>
      </c>
      <c r="T23" s="113" t="s">
        <v>1932</v>
      </c>
      <c r="U23" s="626" t="str">
        <f t="shared" si="1"/>
        <v>AA12505</v>
      </c>
      <c r="V23" s="627" t="str">
        <f t="shared" si="2"/>
        <v>0199-TCN18</v>
      </c>
      <c r="W23" s="626">
        <f t="shared" si="3"/>
        <v>520814</v>
      </c>
      <c r="X23" s="626" t="str">
        <f t="shared" si="4"/>
        <v>RAV4 4X2  SUV  LE</v>
      </c>
      <c r="Y23" s="627">
        <f t="shared" si="4"/>
        <v>2018</v>
      </c>
      <c r="Z23" s="628">
        <f t="shared" si="5"/>
        <v>319534.94</v>
      </c>
      <c r="AA23" s="629">
        <f>+Z23</f>
        <v>319534.94</v>
      </c>
      <c r="AB23" s="793">
        <v>1</v>
      </c>
      <c r="AC23" s="629">
        <f t="shared" si="6"/>
        <v>295708.34000000003</v>
      </c>
      <c r="AD23" s="630">
        <f t="shared" si="7"/>
        <v>0.1</v>
      </c>
      <c r="AE23" s="555">
        <f t="shared" si="8"/>
        <v>7392.74</v>
      </c>
      <c r="AF23" s="555">
        <f>IF(Z23&lt;281240.78,(((Z23-AC23)*AD23+AE23)/2),(Z23-AC23)*AD23+AE23)</f>
        <v>9775.3999999999978</v>
      </c>
      <c r="AG23" s="555">
        <f t="shared" si="10"/>
        <v>0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721" t="s">
        <v>8353</v>
      </c>
      <c r="C24" s="771">
        <v>520815</v>
      </c>
      <c r="D24" s="771">
        <v>4492</v>
      </c>
      <c r="E24" s="771" t="s">
        <v>694</v>
      </c>
      <c r="F24" s="546">
        <v>2018</v>
      </c>
      <c r="G24" s="659">
        <v>43073</v>
      </c>
      <c r="H24" s="655" t="s">
        <v>819</v>
      </c>
      <c r="I24" s="655" t="s">
        <v>7652</v>
      </c>
      <c r="J24" s="712"/>
      <c r="K24" s="655" t="s">
        <v>830</v>
      </c>
      <c r="L24" s="655" t="s">
        <v>7460</v>
      </c>
      <c r="M24" s="660">
        <v>-360072.13</v>
      </c>
      <c r="N24" s="660">
        <v>-14583.04</v>
      </c>
      <c r="O24" s="660">
        <v>-59944.83</v>
      </c>
      <c r="P24" s="660">
        <v>-434600</v>
      </c>
      <c r="Q24" s="548"/>
      <c r="R24" s="660">
        <v>-315880.53000000003</v>
      </c>
      <c r="S24" s="549">
        <f t="shared" si="0"/>
        <v>-118719.46999999997</v>
      </c>
      <c r="T24" s="113" t="s">
        <v>1266</v>
      </c>
      <c r="U24" s="626" t="str">
        <f t="shared" si="1"/>
        <v>ZA04483</v>
      </c>
      <c r="V24" s="627" t="str">
        <f t="shared" si="2"/>
        <v>0216-TCN18</v>
      </c>
      <c r="W24" s="626">
        <f t="shared" si="3"/>
        <v>520815</v>
      </c>
      <c r="X24" s="626" t="str">
        <f t="shared" si="4"/>
        <v>RAV4 L4 AWD XLE</v>
      </c>
      <c r="Y24" s="627">
        <f t="shared" si="4"/>
        <v>2018</v>
      </c>
      <c r="Z24" s="628">
        <f t="shared" si="5"/>
        <v>-360072.13</v>
      </c>
      <c r="AA24" s="629"/>
      <c r="AB24" s="793"/>
      <c r="AC24" s="629"/>
      <c r="AD24" s="630"/>
      <c r="AE24" s="555"/>
      <c r="AF24" s="555">
        <f>+N24</f>
        <v>-14583.04</v>
      </c>
      <c r="AG24" s="555">
        <f t="shared" si="10"/>
        <v>0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721" t="s">
        <v>8361</v>
      </c>
      <c r="C25" s="771">
        <v>520815</v>
      </c>
      <c r="D25" s="771">
        <v>4492</v>
      </c>
      <c r="E25" s="771" t="s">
        <v>694</v>
      </c>
      <c r="F25" s="546">
        <v>2018</v>
      </c>
      <c r="G25" s="659">
        <v>43091</v>
      </c>
      <c r="H25" s="655" t="s">
        <v>8842</v>
      </c>
      <c r="I25" s="655" t="s">
        <v>8631</v>
      </c>
      <c r="J25" s="712"/>
      <c r="K25" s="655" t="s">
        <v>8771</v>
      </c>
      <c r="L25" s="655" t="s">
        <v>8934</v>
      </c>
      <c r="M25" s="660">
        <v>360072.13</v>
      </c>
      <c r="N25" s="660">
        <v>14583.04</v>
      </c>
      <c r="O25" s="660">
        <v>59944.83</v>
      </c>
      <c r="P25" s="660">
        <v>434600</v>
      </c>
      <c r="Q25" s="548"/>
      <c r="R25" s="660">
        <v>315880.67</v>
      </c>
      <c r="S25" s="549">
        <f t="shared" si="0"/>
        <v>118719.33000000002</v>
      </c>
      <c r="T25" s="113" t="s">
        <v>1932</v>
      </c>
      <c r="U25" s="626" t="str">
        <f t="shared" si="1"/>
        <v>AA12640</v>
      </c>
      <c r="V25" s="627" t="str">
        <f t="shared" si="2"/>
        <v>0229-TCN18</v>
      </c>
      <c r="W25" s="626">
        <f t="shared" si="3"/>
        <v>520815</v>
      </c>
      <c r="X25" s="626" t="str">
        <f t="shared" si="4"/>
        <v>RAV4 L4 AWD XLE</v>
      </c>
      <c r="Y25" s="627">
        <f t="shared" si="4"/>
        <v>2018</v>
      </c>
      <c r="Z25" s="628">
        <f t="shared" si="5"/>
        <v>360072.13</v>
      </c>
      <c r="AA25" s="629"/>
      <c r="AB25" s="793"/>
      <c r="AC25" s="629">
        <f>VLOOKUP(Z25,TARIFA,1)</f>
        <v>344993.21</v>
      </c>
      <c r="AD25" s="630">
        <f>VLOOKUP(Z25,TARIFA,4)</f>
        <v>0.15</v>
      </c>
      <c r="AE25" s="555">
        <f>VLOOKUP(Z25,TARIFA,3)</f>
        <v>12321.2</v>
      </c>
      <c r="AF25" s="555">
        <f>IF(Z25&lt;281240.78,(((Z25-AC25)*AD25+AE25)/2),(Z25-AC25)*AD25+AE25)</f>
        <v>14583.037999999999</v>
      </c>
      <c r="AG25" s="555">
        <f>+N25-AF25</f>
        <v>2.000000002226443E-3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721" t="s">
        <v>8356</v>
      </c>
      <c r="C26" s="771">
        <v>520815</v>
      </c>
      <c r="D26" s="771">
        <v>4492</v>
      </c>
      <c r="E26" s="771" t="s">
        <v>694</v>
      </c>
      <c r="F26" s="546">
        <v>2018</v>
      </c>
      <c r="G26" s="659">
        <v>43074</v>
      </c>
      <c r="H26" s="655" t="s">
        <v>2216</v>
      </c>
      <c r="I26" s="655" t="s">
        <v>8628</v>
      </c>
      <c r="J26" s="712"/>
      <c r="K26" s="655" t="s">
        <v>8139</v>
      </c>
      <c r="L26" s="655" t="s">
        <v>8931</v>
      </c>
      <c r="M26" s="660">
        <v>360072.13</v>
      </c>
      <c r="N26" s="660">
        <v>14583.04</v>
      </c>
      <c r="O26" s="660">
        <v>59944.83</v>
      </c>
      <c r="P26" s="660">
        <v>434600</v>
      </c>
      <c r="Q26" s="548"/>
      <c r="R26" s="660">
        <v>315880.53000000003</v>
      </c>
      <c r="S26" s="549">
        <f t="shared" si="0"/>
        <v>118719.46999999997</v>
      </c>
      <c r="T26" s="267" t="s">
        <v>1932</v>
      </c>
      <c r="U26" s="626" t="str">
        <f t="shared" si="1"/>
        <v>AA12490</v>
      </c>
      <c r="V26" s="627" t="str">
        <f t="shared" si="2"/>
        <v>0258-TCN18</v>
      </c>
      <c r="W26" s="626">
        <f t="shared" si="3"/>
        <v>520815</v>
      </c>
      <c r="X26" s="626" t="str">
        <f t="shared" si="4"/>
        <v>RAV4 L4 AWD XLE</v>
      </c>
      <c r="Y26" s="627">
        <f t="shared" si="4"/>
        <v>2018</v>
      </c>
      <c r="Z26" s="628">
        <f t="shared" si="5"/>
        <v>360072.13</v>
      </c>
      <c r="AA26" s="629"/>
      <c r="AB26" s="793"/>
      <c r="AC26" s="629">
        <f t="shared" ref="AC26:AC41" si="23">VLOOKUP(Z26,TARIFA,1)</f>
        <v>344993.21</v>
      </c>
      <c r="AD26" s="630">
        <f t="shared" ref="AD26:AD41" si="24">VLOOKUP(Z26,TARIFA,4)</f>
        <v>0.15</v>
      </c>
      <c r="AE26" s="555">
        <f t="shared" ref="AE26:AE41" si="25">VLOOKUP(Z26,TARIFA,3)</f>
        <v>12321.2</v>
      </c>
      <c r="AF26" s="555">
        <f t="shared" ref="AF26:AF27" si="26">IF(Z26&lt;281240.78,(((Z26-AC26)*AD26+AE26)/2),(Z26-AC26)*AD26+AE26)</f>
        <v>14583.037999999999</v>
      </c>
      <c r="AG26" s="555">
        <f t="shared" ref="AG26:AG29" si="27">+N26-AF26</f>
        <v>2.000000002226443E-3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721" t="s">
        <v>8357</v>
      </c>
      <c r="C27" s="771">
        <v>520815</v>
      </c>
      <c r="D27" s="771">
        <v>4492</v>
      </c>
      <c r="E27" s="771" t="s">
        <v>694</v>
      </c>
      <c r="F27" s="546">
        <v>2018</v>
      </c>
      <c r="G27" s="659">
        <v>43075</v>
      </c>
      <c r="H27" s="655" t="s">
        <v>8844</v>
      </c>
      <c r="I27" s="655" t="s">
        <v>8629</v>
      </c>
      <c r="J27" s="712"/>
      <c r="K27" s="655" t="s">
        <v>8140</v>
      </c>
      <c r="L27" s="655" t="s">
        <v>8932</v>
      </c>
      <c r="M27" s="660">
        <v>360072.13</v>
      </c>
      <c r="N27" s="660">
        <v>14583.04</v>
      </c>
      <c r="O27" s="660">
        <v>59944.83</v>
      </c>
      <c r="P27" s="660">
        <v>434600</v>
      </c>
      <c r="Q27" s="548"/>
      <c r="R27" s="660">
        <v>315880.67</v>
      </c>
      <c r="S27" s="549">
        <f t="shared" si="0"/>
        <v>118719.33000000002</v>
      </c>
      <c r="T27" s="113" t="s">
        <v>1932</v>
      </c>
      <c r="U27" s="626" t="str">
        <f t="shared" si="1"/>
        <v>AA12504</v>
      </c>
      <c r="V27" s="627" t="str">
        <f t="shared" si="2"/>
        <v>0259-TCN18</v>
      </c>
      <c r="W27" s="626">
        <f t="shared" si="3"/>
        <v>520815</v>
      </c>
      <c r="X27" s="626" t="str">
        <f t="shared" si="4"/>
        <v>RAV4 L4 AWD XLE</v>
      </c>
      <c r="Y27" s="627">
        <f t="shared" si="4"/>
        <v>2018</v>
      </c>
      <c r="Z27" s="628">
        <f t="shared" si="5"/>
        <v>360072.13</v>
      </c>
      <c r="AA27" s="629"/>
      <c r="AB27" s="793"/>
      <c r="AC27" s="629">
        <f t="shared" si="23"/>
        <v>344993.21</v>
      </c>
      <c r="AD27" s="630">
        <f t="shared" si="24"/>
        <v>0.15</v>
      </c>
      <c r="AE27" s="555">
        <f t="shared" si="25"/>
        <v>12321.2</v>
      </c>
      <c r="AF27" s="555">
        <f t="shared" si="26"/>
        <v>14583.037999999999</v>
      </c>
      <c r="AG27" s="555">
        <f t="shared" si="27"/>
        <v>2.000000002226443E-3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721" t="s">
        <v>8354</v>
      </c>
      <c r="C28" s="771">
        <v>520815</v>
      </c>
      <c r="D28" s="771">
        <v>4492</v>
      </c>
      <c r="E28" s="771" t="s">
        <v>694</v>
      </c>
      <c r="F28" s="546">
        <v>2018</v>
      </c>
      <c r="G28" s="659">
        <v>43073</v>
      </c>
      <c r="H28" s="655" t="s">
        <v>819</v>
      </c>
      <c r="I28" s="655" t="s">
        <v>7652</v>
      </c>
      <c r="J28" s="712"/>
      <c r="K28" s="655" t="s">
        <v>830</v>
      </c>
      <c r="L28" s="655" t="s">
        <v>7460</v>
      </c>
      <c r="M28" s="660">
        <v>343727.73</v>
      </c>
      <c r="N28" s="660">
        <v>12194.68</v>
      </c>
      <c r="O28" s="660">
        <v>56947.59</v>
      </c>
      <c r="P28" s="660">
        <v>412870</v>
      </c>
      <c r="Q28" s="548"/>
      <c r="R28" s="660">
        <v>315880.53000000003</v>
      </c>
      <c r="S28" s="549">
        <f t="shared" si="0"/>
        <v>96989.469999999972</v>
      </c>
      <c r="T28" s="113" t="s">
        <v>1932</v>
      </c>
      <c r="U28" s="626" t="str">
        <f t="shared" si="1"/>
        <v>AA12480</v>
      </c>
      <c r="V28" s="627" t="str">
        <f t="shared" si="2"/>
        <v>0216-TCN18</v>
      </c>
      <c r="W28" s="626">
        <f t="shared" si="3"/>
        <v>520815</v>
      </c>
      <c r="X28" s="626" t="str">
        <f t="shared" si="4"/>
        <v>RAV4 L4 AWD XLE</v>
      </c>
      <c r="Y28" s="627">
        <f t="shared" si="4"/>
        <v>2018</v>
      </c>
      <c r="Z28" s="628">
        <f t="shared" si="5"/>
        <v>343727.73</v>
      </c>
      <c r="AA28" s="629">
        <f>+SUM(Z24:Z28)</f>
        <v>1063871.99</v>
      </c>
      <c r="AB28" s="793">
        <v>3</v>
      </c>
      <c r="AC28" s="629">
        <f>VLOOKUP(Z28,TARIFA,1)</f>
        <v>295708.34000000003</v>
      </c>
      <c r="AD28" s="630">
        <f>VLOOKUP(Z28,TARIFA,4)</f>
        <v>0.1</v>
      </c>
      <c r="AE28" s="629">
        <f>VLOOKUP(Z28,TARIFA,3)</f>
        <v>7392.74</v>
      </c>
      <c r="AF28" s="629">
        <f t="shared" ref="AF28:AF40" si="28">+N28</f>
        <v>12194.68</v>
      </c>
      <c r="AG28" s="555">
        <f t="shared" si="27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721" t="s">
        <v>8367</v>
      </c>
      <c r="C29" s="771">
        <v>520818</v>
      </c>
      <c r="D29" s="771">
        <v>4495</v>
      </c>
      <c r="E29" s="771" t="s">
        <v>1519</v>
      </c>
      <c r="F29" s="546">
        <v>2018</v>
      </c>
      <c r="G29" s="659">
        <v>43090</v>
      </c>
      <c r="H29" s="655" t="s">
        <v>3694</v>
      </c>
      <c r="I29" s="655" t="s">
        <v>8634</v>
      </c>
      <c r="J29" s="712"/>
      <c r="K29" s="655" t="s">
        <v>8764</v>
      </c>
      <c r="L29" s="655" t="s">
        <v>8937</v>
      </c>
      <c r="M29" s="660">
        <v>423865.24</v>
      </c>
      <c r="N29" s="660">
        <v>24152</v>
      </c>
      <c r="O29" s="660">
        <v>71682.759999999995</v>
      </c>
      <c r="P29" s="660">
        <v>519700</v>
      </c>
      <c r="Q29" s="548"/>
      <c r="R29" s="660">
        <v>371025.19</v>
      </c>
      <c r="S29" s="549">
        <f t="shared" si="0"/>
        <v>148674.81</v>
      </c>
      <c r="T29" s="113" t="s">
        <v>1932</v>
      </c>
      <c r="U29" s="626" t="str">
        <f t="shared" si="1"/>
        <v>AA12622</v>
      </c>
      <c r="V29" s="627" t="str">
        <f t="shared" si="2"/>
        <v>0326-TCN18</v>
      </c>
      <c r="W29" s="626">
        <f t="shared" si="3"/>
        <v>520818</v>
      </c>
      <c r="X29" s="626" t="str">
        <f t="shared" si="4"/>
        <v>RAV4 SE 4WD 2.5L</v>
      </c>
      <c r="Y29" s="627">
        <f t="shared" si="4"/>
        <v>2018</v>
      </c>
      <c r="Z29" s="628">
        <f t="shared" si="5"/>
        <v>423865.24</v>
      </c>
      <c r="AA29" s="629">
        <f>+Z29</f>
        <v>423865.24</v>
      </c>
      <c r="AB29" s="793">
        <v>1</v>
      </c>
      <c r="AC29" s="629">
        <f>VLOOKUP(Z29,TARIFA,1)</f>
        <v>344993.21</v>
      </c>
      <c r="AD29" s="630">
        <f>VLOOKUP(Z29,TARIFA,4)</f>
        <v>0.15</v>
      </c>
      <c r="AE29" s="629">
        <f>VLOOKUP(Z29,TARIFA,3)</f>
        <v>12321.2</v>
      </c>
      <c r="AF29" s="629">
        <f t="shared" si="28"/>
        <v>24152</v>
      </c>
      <c r="AG29" s="555">
        <f t="shared" si="27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721" t="s">
        <v>8373</v>
      </c>
      <c r="C30" s="771">
        <v>520819</v>
      </c>
      <c r="D30" s="771">
        <v>4498</v>
      </c>
      <c r="E30" s="771" t="s">
        <v>696</v>
      </c>
      <c r="F30" s="546">
        <v>2018</v>
      </c>
      <c r="G30" s="659">
        <v>43084</v>
      </c>
      <c r="H30" s="655" t="s">
        <v>817</v>
      </c>
      <c r="I30" s="655" t="s">
        <v>8636</v>
      </c>
      <c r="J30" s="712"/>
      <c r="K30" s="655" t="s">
        <v>8775</v>
      </c>
      <c r="L30" s="655" t="s">
        <v>8939</v>
      </c>
      <c r="M30" s="660">
        <v>388632.85</v>
      </c>
      <c r="N30" s="660">
        <v>18867.150000000001</v>
      </c>
      <c r="O30" s="660">
        <v>65200</v>
      </c>
      <c r="P30" s="660">
        <v>472700</v>
      </c>
      <c r="Q30" s="548"/>
      <c r="R30" s="660">
        <v>340373.02</v>
      </c>
      <c r="S30" s="549">
        <f t="shared" si="0"/>
        <v>132326.97999999998</v>
      </c>
      <c r="T30" s="113" t="s">
        <v>1932</v>
      </c>
      <c r="U30" s="626" t="str">
        <f t="shared" si="1"/>
        <v>AA12567</v>
      </c>
      <c r="V30" s="627" t="str">
        <f t="shared" si="2"/>
        <v>0103-TCN18</v>
      </c>
      <c r="W30" s="626">
        <f t="shared" si="3"/>
        <v>520819</v>
      </c>
      <c r="X30" s="626" t="str">
        <f t="shared" si="4"/>
        <v>RAV4 XLE PLUS</v>
      </c>
      <c r="Y30" s="627">
        <f t="shared" si="4"/>
        <v>2018</v>
      </c>
      <c r="Z30" s="628">
        <f t="shared" si="5"/>
        <v>388632.85</v>
      </c>
      <c r="AA30" s="629">
        <f>+Z30</f>
        <v>388632.85</v>
      </c>
      <c r="AB30" s="794">
        <v>1</v>
      </c>
      <c r="AC30" s="629">
        <f>VLOOKUP(Z30,TARIFA,1)</f>
        <v>344993.21</v>
      </c>
      <c r="AD30" s="630">
        <f>VLOOKUP(Z30,TARIFA,4)</f>
        <v>0.15</v>
      </c>
      <c r="AE30" s="629">
        <f>VLOOKUP(Z30,TARIFA,3)</f>
        <v>12321.2</v>
      </c>
      <c r="AF30" s="629">
        <f t="shared" si="28"/>
        <v>18867.150000000001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721" t="s">
        <v>8309</v>
      </c>
      <c r="C31" s="771">
        <v>520905</v>
      </c>
      <c r="D31" s="771">
        <v>2009</v>
      </c>
      <c r="E31" s="771" t="s">
        <v>698</v>
      </c>
      <c r="F31" s="546">
        <v>2017</v>
      </c>
      <c r="G31" s="659">
        <v>43096</v>
      </c>
      <c r="H31" s="655" t="s">
        <v>764</v>
      </c>
      <c r="I31" s="655" t="s">
        <v>8603</v>
      </c>
      <c r="J31" s="712"/>
      <c r="K31" s="655" t="s">
        <v>830</v>
      </c>
      <c r="L31" s="655" t="s">
        <v>8906</v>
      </c>
      <c r="M31" s="660">
        <v>213275.86</v>
      </c>
      <c r="N31" s="660">
        <v>0</v>
      </c>
      <c r="O31" s="660">
        <v>34124.14</v>
      </c>
      <c r="P31" s="660">
        <v>247400</v>
      </c>
      <c r="Q31" s="548"/>
      <c r="R31" s="660">
        <v>202383.93</v>
      </c>
      <c r="S31" s="549">
        <f t="shared" si="0"/>
        <v>45016.070000000007</v>
      </c>
      <c r="T31" s="113" t="s">
        <v>1932</v>
      </c>
      <c r="U31" s="626" t="str">
        <f t="shared" si="1"/>
        <v>AA12693</v>
      </c>
      <c r="V31" s="627" t="str">
        <f t="shared" si="2"/>
        <v>2004-TCN17</v>
      </c>
      <c r="W31" s="626">
        <f t="shared" si="3"/>
        <v>520905</v>
      </c>
      <c r="X31" s="626" t="str">
        <f t="shared" si="4"/>
        <v>YARIS HB S CVT</v>
      </c>
      <c r="Y31" s="627">
        <f t="shared" si="4"/>
        <v>2017</v>
      </c>
      <c r="Z31" s="628">
        <f t="shared" si="5"/>
        <v>213275.86</v>
      </c>
      <c r="AA31" s="629"/>
      <c r="AB31" s="794"/>
      <c r="AC31" s="629">
        <f>VLOOKUP(Z31,TARIFA,1)</f>
        <v>0.01</v>
      </c>
      <c r="AD31" s="630">
        <f>VLOOKUP(Z31,TARIFA,4)</f>
        <v>0.02</v>
      </c>
      <c r="AE31" s="629">
        <f>VLOOKUP(Z31,TARIFA,3)</f>
        <v>0</v>
      </c>
      <c r="AF31" s="629">
        <f t="shared" si="28"/>
        <v>0</v>
      </c>
      <c r="AG31" s="555">
        <f>+N31-AF31</f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721" t="s">
        <v>8304</v>
      </c>
      <c r="C32" s="771">
        <v>520905</v>
      </c>
      <c r="D32" s="771">
        <v>2009</v>
      </c>
      <c r="E32" s="771" t="s">
        <v>698</v>
      </c>
      <c r="F32" s="546">
        <v>2017</v>
      </c>
      <c r="G32" s="659">
        <v>43075</v>
      </c>
      <c r="H32" s="655" t="s">
        <v>2215</v>
      </c>
      <c r="I32" s="655" t="s">
        <v>7619</v>
      </c>
      <c r="J32" s="712"/>
      <c r="K32" s="655" t="s">
        <v>8121</v>
      </c>
      <c r="L32" s="655" t="s">
        <v>7427</v>
      </c>
      <c r="M32" s="660">
        <v>-213275.86</v>
      </c>
      <c r="N32" s="660">
        <v>0</v>
      </c>
      <c r="O32" s="660">
        <v>-34124.14</v>
      </c>
      <c r="P32" s="660">
        <v>-247400</v>
      </c>
      <c r="Q32" s="548"/>
      <c r="R32" s="660">
        <v>-201677.49</v>
      </c>
      <c r="S32" s="549">
        <f t="shared" si="0"/>
        <v>-45722.510000000009</v>
      </c>
      <c r="T32" s="267" t="s">
        <v>1266</v>
      </c>
      <c r="U32" s="626" t="str">
        <f t="shared" si="1"/>
        <v>ZA04489</v>
      </c>
      <c r="V32" s="627" t="str">
        <f t="shared" si="2"/>
        <v>1909-TCN17</v>
      </c>
      <c r="W32" s="626">
        <f t="shared" si="3"/>
        <v>520905</v>
      </c>
      <c r="X32" s="626" t="str">
        <f t="shared" si="4"/>
        <v>YARIS HB S CVT</v>
      </c>
      <c r="Y32" s="627">
        <f t="shared" si="4"/>
        <v>2017</v>
      </c>
      <c r="Z32" s="628">
        <f t="shared" si="5"/>
        <v>-213275.86</v>
      </c>
      <c r="AA32" s="629"/>
      <c r="AB32" s="794"/>
      <c r="AC32" s="629"/>
      <c r="AD32" s="630"/>
      <c r="AE32" s="629"/>
      <c r="AF32" s="629">
        <f>+N32</f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721" t="s">
        <v>8300</v>
      </c>
      <c r="C33" s="771">
        <v>520908</v>
      </c>
      <c r="D33" s="771">
        <v>2008</v>
      </c>
      <c r="E33" s="771" t="s">
        <v>697</v>
      </c>
      <c r="F33" s="546">
        <v>2017</v>
      </c>
      <c r="G33" s="659">
        <v>43097</v>
      </c>
      <c r="H33" s="655" t="s">
        <v>2215</v>
      </c>
      <c r="I33" s="655" t="s">
        <v>8596</v>
      </c>
      <c r="J33" s="712"/>
      <c r="K33" s="655" t="s">
        <v>8757</v>
      </c>
      <c r="L33" s="655" t="s">
        <v>8899</v>
      </c>
      <c r="M33" s="660">
        <v>203534.48</v>
      </c>
      <c r="N33" s="660">
        <v>0</v>
      </c>
      <c r="O33" s="660">
        <v>32565.52</v>
      </c>
      <c r="P33" s="660">
        <v>236100</v>
      </c>
      <c r="Q33" s="548"/>
      <c r="R33" s="660">
        <v>190091.9</v>
      </c>
      <c r="S33" s="549">
        <f t="shared" si="0"/>
        <v>46008.100000000006</v>
      </c>
      <c r="T33" s="113" t="s">
        <v>1932</v>
      </c>
      <c r="U33" s="626" t="str">
        <f t="shared" si="1"/>
        <v>AA12698</v>
      </c>
      <c r="V33" s="627" t="str">
        <f t="shared" si="2"/>
        <v>2008-TCN17</v>
      </c>
      <c r="W33" s="626">
        <f t="shared" si="3"/>
        <v>520908</v>
      </c>
      <c r="X33" s="626" t="str">
        <f t="shared" si="4"/>
        <v>YARIS HB S MT</v>
      </c>
      <c r="Y33" s="627">
        <f t="shared" si="4"/>
        <v>2017</v>
      </c>
      <c r="Z33" s="628">
        <f t="shared" si="5"/>
        <v>203534.48</v>
      </c>
      <c r="AA33" s="629">
        <f>+Z33</f>
        <v>203534.48</v>
      </c>
      <c r="AB33" s="814">
        <v>1</v>
      </c>
      <c r="AC33" s="629">
        <f t="shared" si="23"/>
        <v>0.01</v>
      </c>
      <c r="AD33" s="630">
        <f t="shared" si="24"/>
        <v>0.02</v>
      </c>
      <c r="AE33" s="555">
        <f t="shared" si="25"/>
        <v>0</v>
      </c>
      <c r="AF33" s="555">
        <f t="shared" si="28"/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721" t="s">
        <v>8505</v>
      </c>
      <c r="C34" s="771">
        <v>521006</v>
      </c>
      <c r="D34" s="771">
        <v>7983</v>
      </c>
      <c r="E34" s="771" t="s">
        <v>699</v>
      </c>
      <c r="F34" s="546">
        <v>2018</v>
      </c>
      <c r="G34" s="659">
        <v>43075</v>
      </c>
      <c r="H34" s="655" t="s">
        <v>764</v>
      </c>
      <c r="I34" s="655" t="s">
        <v>7735</v>
      </c>
      <c r="J34" s="712"/>
      <c r="K34" s="655" t="s">
        <v>8180</v>
      </c>
      <c r="L34" s="655" t="s">
        <v>7543</v>
      </c>
      <c r="M34" s="660">
        <v>-809775.55</v>
      </c>
      <c r="N34" s="660">
        <v>-80310.66</v>
      </c>
      <c r="O34" s="660">
        <v>-142413.79</v>
      </c>
      <c r="P34" s="660">
        <v>-1032500</v>
      </c>
      <c r="Q34" s="548"/>
      <c r="R34" s="660">
        <v>-715302.42</v>
      </c>
      <c r="S34" s="549">
        <f t="shared" si="0"/>
        <v>-317197.57999999996</v>
      </c>
      <c r="T34" s="113" t="s">
        <v>1266</v>
      </c>
      <c r="U34" s="626" t="str">
        <f t="shared" si="1"/>
        <v>ZA04491</v>
      </c>
      <c r="V34" s="627" t="str">
        <f t="shared" si="2"/>
        <v>0093-TCN18</v>
      </c>
      <c r="W34" s="626">
        <f t="shared" si="3"/>
        <v>521006</v>
      </c>
      <c r="X34" s="626" t="str">
        <f t="shared" si="4"/>
        <v>SEQUOIA 4 DOOR PLATINUM SUV</v>
      </c>
      <c r="Y34" s="627">
        <f t="shared" si="4"/>
        <v>2018</v>
      </c>
      <c r="Z34" s="628">
        <f t="shared" si="5"/>
        <v>-809775.55</v>
      </c>
      <c r="AA34" s="629">
        <f>+Z34</f>
        <v>-809775.55</v>
      </c>
      <c r="AB34" s="794"/>
      <c r="AC34" s="629"/>
      <c r="AD34" s="630"/>
      <c r="AE34" s="555"/>
      <c r="AF34" s="555">
        <f t="shared" si="28"/>
        <v>-80310.66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721" t="s">
        <v>8224</v>
      </c>
      <c r="C35" s="771">
        <v>521101</v>
      </c>
      <c r="D35" s="771">
        <v>1253</v>
      </c>
      <c r="E35" s="771" t="s">
        <v>30</v>
      </c>
      <c r="F35" s="546">
        <v>2017</v>
      </c>
      <c r="G35" s="659">
        <v>43082</v>
      </c>
      <c r="H35" s="655" t="s">
        <v>2215</v>
      </c>
      <c r="I35" s="655" t="s">
        <v>1541</v>
      </c>
      <c r="J35" s="712"/>
      <c r="K35" s="655" t="s">
        <v>8738</v>
      </c>
      <c r="L35" s="655" t="s">
        <v>1803</v>
      </c>
      <c r="M35" s="660">
        <v>334482.76</v>
      </c>
      <c r="N35" s="660">
        <v>0</v>
      </c>
      <c r="O35" s="660">
        <v>53517.24</v>
      </c>
      <c r="P35" s="660">
        <v>388000</v>
      </c>
      <c r="Q35" s="548"/>
      <c r="R35" s="660">
        <v>326020.56</v>
      </c>
      <c r="S35" s="549">
        <f t="shared" si="0"/>
        <v>61979.44</v>
      </c>
      <c r="T35" s="113" t="s">
        <v>1932</v>
      </c>
      <c r="U35" s="626" t="str">
        <f t="shared" si="1"/>
        <v>AA12543</v>
      </c>
      <c r="V35" s="627" t="str">
        <f t="shared" si="2"/>
        <v>0887-TCN17</v>
      </c>
      <c r="W35" s="626">
        <f t="shared" si="3"/>
        <v>521101</v>
      </c>
      <c r="X35" s="626" t="str">
        <f t="shared" si="4"/>
        <v>PRIUS</v>
      </c>
      <c r="Y35" s="627">
        <f t="shared" si="4"/>
        <v>2017</v>
      </c>
      <c r="Z35" s="628">
        <f t="shared" si="5"/>
        <v>334482.76</v>
      </c>
      <c r="AA35" s="629"/>
      <c r="AB35" s="794"/>
      <c r="AC35" s="629">
        <f t="shared" ref="AC35:AC39" si="29">VLOOKUP(Z35,TARIFA,1)</f>
        <v>295708.34000000003</v>
      </c>
      <c r="AD35" s="630">
        <f t="shared" ref="AD35:AD39" si="30">VLOOKUP(Z35,TARIFA,4)</f>
        <v>0.1</v>
      </c>
      <c r="AE35" s="555">
        <f t="shared" ref="AE35:AE39" si="31">VLOOKUP(Z35,TARIFA,3)</f>
        <v>7392.74</v>
      </c>
      <c r="AF35" s="555">
        <f t="shared" si="28"/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721" t="s">
        <v>8222</v>
      </c>
      <c r="C36" s="771">
        <v>521101</v>
      </c>
      <c r="D36" s="771">
        <v>1253</v>
      </c>
      <c r="E36" s="771" t="s">
        <v>30</v>
      </c>
      <c r="F36" s="546">
        <v>2017</v>
      </c>
      <c r="G36" s="659">
        <v>43075</v>
      </c>
      <c r="H36" s="655" t="s">
        <v>788</v>
      </c>
      <c r="I36" s="655" t="s">
        <v>8553</v>
      </c>
      <c r="J36" s="712"/>
      <c r="K36" s="655" t="s">
        <v>8097</v>
      </c>
      <c r="L36" s="655" t="s">
        <v>8856</v>
      </c>
      <c r="M36" s="660">
        <v>354310.34</v>
      </c>
      <c r="N36" s="660">
        <v>0</v>
      </c>
      <c r="O36" s="660">
        <v>56689.66</v>
      </c>
      <c r="P36" s="660">
        <v>411000</v>
      </c>
      <c r="Q36" s="548"/>
      <c r="R36" s="660">
        <v>344834.35</v>
      </c>
      <c r="S36" s="549">
        <f t="shared" si="0"/>
        <v>66165.650000000023</v>
      </c>
      <c r="T36" s="113" t="s">
        <v>1932</v>
      </c>
      <c r="U36" s="626" t="str">
        <f t="shared" si="1"/>
        <v>AA12506</v>
      </c>
      <c r="V36" s="627" t="str">
        <f t="shared" si="2"/>
        <v>1269-TCN17</v>
      </c>
      <c r="W36" s="626">
        <f t="shared" si="3"/>
        <v>521101</v>
      </c>
      <c r="X36" s="626" t="str">
        <f t="shared" si="4"/>
        <v>PRIUS</v>
      </c>
      <c r="Y36" s="627">
        <f t="shared" si="4"/>
        <v>2017</v>
      </c>
      <c r="Z36" s="628">
        <f t="shared" si="5"/>
        <v>354310.34</v>
      </c>
      <c r="AA36" s="629"/>
      <c r="AB36" s="794"/>
      <c r="AC36" s="629">
        <f t="shared" si="29"/>
        <v>344993.21</v>
      </c>
      <c r="AD36" s="630">
        <f t="shared" si="30"/>
        <v>0.15</v>
      </c>
      <c r="AE36" s="555">
        <f t="shared" si="31"/>
        <v>12321.2</v>
      </c>
      <c r="AF36" s="555">
        <f t="shared" si="28"/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721" t="s">
        <v>8226</v>
      </c>
      <c r="C37" s="771">
        <v>521101</v>
      </c>
      <c r="D37" s="771">
        <v>1253</v>
      </c>
      <c r="E37" s="771" t="s">
        <v>30</v>
      </c>
      <c r="F37" s="546">
        <v>2017</v>
      </c>
      <c r="G37" s="659">
        <v>43084</v>
      </c>
      <c r="H37" s="655" t="s">
        <v>4285</v>
      </c>
      <c r="I37" s="655" t="s">
        <v>8556</v>
      </c>
      <c r="J37" s="712"/>
      <c r="K37" s="655" t="s">
        <v>8739</v>
      </c>
      <c r="L37" s="655" t="s">
        <v>8859</v>
      </c>
      <c r="M37" s="660">
        <v>354310.34</v>
      </c>
      <c r="N37" s="660">
        <v>0</v>
      </c>
      <c r="O37" s="660">
        <v>56689.66</v>
      </c>
      <c r="P37" s="660">
        <v>411000</v>
      </c>
      <c r="Q37" s="548"/>
      <c r="R37" s="660">
        <v>344903.7</v>
      </c>
      <c r="S37" s="549">
        <f t="shared" si="0"/>
        <v>66096.299999999988</v>
      </c>
      <c r="T37" s="267" t="s">
        <v>1932</v>
      </c>
      <c r="U37" s="626" t="str">
        <f t="shared" si="1"/>
        <v>AA12568</v>
      </c>
      <c r="V37" s="627" t="str">
        <f t="shared" si="2"/>
        <v>1987-TCN17</v>
      </c>
      <c r="W37" s="626">
        <f t="shared" si="3"/>
        <v>521101</v>
      </c>
      <c r="X37" s="626" t="str">
        <f t="shared" si="4"/>
        <v>PRIUS</v>
      </c>
      <c r="Y37" s="627">
        <f t="shared" si="4"/>
        <v>2017</v>
      </c>
      <c r="Z37" s="628">
        <f t="shared" si="5"/>
        <v>354310.34</v>
      </c>
      <c r="AA37" s="629">
        <f>+Z37+Z36+Z35</f>
        <v>1043103.4400000001</v>
      </c>
      <c r="AB37" s="815">
        <v>3</v>
      </c>
      <c r="AC37" s="629">
        <f t="shared" si="29"/>
        <v>344993.21</v>
      </c>
      <c r="AD37" s="630">
        <f t="shared" si="30"/>
        <v>0.15</v>
      </c>
      <c r="AE37" s="555">
        <f t="shared" si="31"/>
        <v>12321.2</v>
      </c>
      <c r="AF37" s="555">
        <f t="shared" si="28"/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721" t="s">
        <v>8400</v>
      </c>
      <c r="C38" s="771">
        <v>521502</v>
      </c>
      <c r="D38" s="771">
        <v>5611</v>
      </c>
      <c r="E38" s="771" t="s">
        <v>225</v>
      </c>
      <c r="F38" s="546">
        <v>2018</v>
      </c>
      <c r="G38" s="659">
        <v>43089</v>
      </c>
      <c r="H38" s="655" t="s">
        <v>2216</v>
      </c>
      <c r="I38" s="655" t="s">
        <v>8649</v>
      </c>
      <c r="J38" s="712"/>
      <c r="K38" s="655" t="s">
        <v>783</v>
      </c>
      <c r="L38" s="655" t="s">
        <v>8952</v>
      </c>
      <c r="M38" s="753">
        <v>394255.04</v>
      </c>
      <c r="N38" s="660">
        <v>19710.48</v>
      </c>
      <c r="O38" s="660">
        <v>66234.48</v>
      </c>
      <c r="P38" s="660">
        <v>480200</v>
      </c>
      <c r="Q38" s="548"/>
      <c r="R38" s="660">
        <v>349193.41</v>
      </c>
      <c r="S38" s="549">
        <f t="shared" ref="S38:S69" si="32">+P38-R38</f>
        <v>131006.59000000003</v>
      </c>
      <c r="T38" s="113" t="s">
        <v>1932</v>
      </c>
      <c r="U38" s="626" t="str">
        <f t="shared" si="1"/>
        <v>AA12606</v>
      </c>
      <c r="V38" s="627" t="str">
        <f t="shared" si="2"/>
        <v>0256-TCN18</v>
      </c>
      <c r="W38" s="626">
        <f t="shared" si="3"/>
        <v>521502</v>
      </c>
      <c r="X38" s="626" t="str">
        <f t="shared" si="4"/>
        <v>HIACE PANEL 15 PASAJ AC</v>
      </c>
      <c r="Y38" s="627">
        <f t="shared" si="4"/>
        <v>2018</v>
      </c>
      <c r="Z38" s="628">
        <f t="shared" si="5"/>
        <v>394255.04</v>
      </c>
      <c r="AA38" s="629"/>
      <c r="AB38" s="794"/>
      <c r="AC38" s="629">
        <f t="shared" si="29"/>
        <v>344993.21</v>
      </c>
      <c r="AD38" s="630">
        <f t="shared" si="30"/>
        <v>0.15</v>
      </c>
      <c r="AE38" s="555">
        <f t="shared" si="31"/>
        <v>12321.2</v>
      </c>
      <c r="AF38" s="555">
        <f t="shared" si="28"/>
        <v>19710.48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721" t="s">
        <v>8404</v>
      </c>
      <c r="C39" s="771">
        <v>521502</v>
      </c>
      <c r="D39" s="771">
        <v>5611</v>
      </c>
      <c r="E39" s="771" t="s">
        <v>225</v>
      </c>
      <c r="F39" s="546">
        <v>2018</v>
      </c>
      <c r="G39" s="659">
        <v>43090</v>
      </c>
      <c r="H39" s="655" t="s">
        <v>788</v>
      </c>
      <c r="I39" s="655" t="s">
        <v>8653</v>
      </c>
      <c r="J39" s="712"/>
      <c r="K39" s="655" t="s">
        <v>923</v>
      </c>
      <c r="L39" s="655" t="s">
        <v>8956</v>
      </c>
      <c r="M39" s="753">
        <v>394255.04</v>
      </c>
      <c r="N39" s="660">
        <v>19710.48</v>
      </c>
      <c r="O39" s="660">
        <v>66234.48</v>
      </c>
      <c r="P39" s="660">
        <v>480200</v>
      </c>
      <c r="Q39" s="548"/>
      <c r="R39" s="660">
        <v>349547.9</v>
      </c>
      <c r="S39" s="549">
        <f t="shared" si="32"/>
        <v>130652.09999999998</v>
      </c>
      <c r="T39" s="113" t="s">
        <v>1932</v>
      </c>
      <c r="U39" s="626" t="str">
        <f t="shared" si="1"/>
        <v>AA12613</v>
      </c>
      <c r="V39" s="627" t="str">
        <f t="shared" si="2"/>
        <v>0292-TCN18</v>
      </c>
      <c r="W39" s="626">
        <f t="shared" si="3"/>
        <v>521502</v>
      </c>
      <c r="X39" s="626" t="str">
        <f t="shared" si="4"/>
        <v>HIACE PANEL 15 PASAJ AC</v>
      </c>
      <c r="Y39" s="627">
        <f t="shared" si="4"/>
        <v>2018</v>
      </c>
      <c r="Z39" s="628">
        <f t="shared" si="5"/>
        <v>394255.04</v>
      </c>
      <c r="AA39" s="629"/>
      <c r="AB39" s="794"/>
      <c r="AC39" s="629">
        <f t="shared" si="29"/>
        <v>344993.21</v>
      </c>
      <c r="AD39" s="630">
        <f t="shared" si="30"/>
        <v>0.15</v>
      </c>
      <c r="AE39" s="555">
        <f t="shared" si="31"/>
        <v>12321.2</v>
      </c>
      <c r="AF39" s="555">
        <f t="shared" si="28"/>
        <v>19710.48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721" t="s">
        <v>8407</v>
      </c>
      <c r="C40" s="771">
        <v>521502</v>
      </c>
      <c r="D40" s="771">
        <v>5611</v>
      </c>
      <c r="E40" s="771" t="s">
        <v>225</v>
      </c>
      <c r="F40" s="546">
        <v>2018</v>
      </c>
      <c r="G40" s="659">
        <v>43097</v>
      </c>
      <c r="H40" s="655" t="s">
        <v>6880</v>
      </c>
      <c r="I40" s="655" t="s">
        <v>8654</v>
      </c>
      <c r="J40" s="712"/>
      <c r="K40" s="655" t="s">
        <v>8741</v>
      </c>
      <c r="L40" s="655" t="s">
        <v>8957</v>
      </c>
      <c r="M40" s="753">
        <v>394255.04</v>
      </c>
      <c r="N40" s="660">
        <v>19710.48</v>
      </c>
      <c r="O40" s="660">
        <v>66234.48</v>
      </c>
      <c r="P40" s="660">
        <v>480200</v>
      </c>
      <c r="Q40" s="548"/>
      <c r="R40" s="660">
        <v>349193.41</v>
      </c>
      <c r="S40" s="549">
        <f t="shared" si="32"/>
        <v>131006.59000000003</v>
      </c>
      <c r="T40" s="113" t="s">
        <v>1932</v>
      </c>
      <c r="U40" s="626" t="str">
        <f t="shared" si="1"/>
        <v>AA12699</v>
      </c>
      <c r="V40" s="627" t="str">
        <f t="shared" si="2"/>
        <v>0360-TCN18</v>
      </c>
      <c r="W40" s="626">
        <f t="shared" si="3"/>
        <v>521502</v>
      </c>
      <c r="X40" s="626" t="str">
        <f t="shared" si="4"/>
        <v>HIACE PANEL 15 PASAJ AC</v>
      </c>
      <c r="Y40" s="627">
        <f t="shared" si="4"/>
        <v>2018</v>
      </c>
      <c r="Z40" s="628">
        <f t="shared" si="5"/>
        <v>394255.04</v>
      </c>
      <c r="AA40" s="629">
        <f>+Z40+Z39+Z38</f>
        <v>1182765.1199999999</v>
      </c>
      <c r="AB40" s="794">
        <v>3</v>
      </c>
      <c r="AC40" s="629">
        <f t="shared" si="23"/>
        <v>344993.21</v>
      </c>
      <c r="AD40" s="630">
        <f t="shared" si="24"/>
        <v>0.15</v>
      </c>
      <c r="AE40" s="555">
        <f t="shared" si="25"/>
        <v>12321.2</v>
      </c>
      <c r="AF40" s="555">
        <f t="shared" si="28"/>
        <v>19710.48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721" t="s">
        <v>8286</v>
      </c>
      <c r="C41" s="771">
        <v>521703</v>
      </c>
      <c r="D41" s="771">
        <v>2006</v>
      </c>
      <c r="E41" s="771" t="s">
        <v>702</v>
      </c>
      <c r="F41" s="546">
        <v>2017</v>
      </c>
      <c r="G41" s="659">
        <v>43097</v>
      </c>
      <c r="H41" s="655" t="s">
        <v>8845</v>
      </c>
      <c r="I41" s="655" t="s">
        <v>8592</v>
      </c>
      <c r="J41" s="712"/>
      <c r="K41" s="655" t="s">
        <v>8755</v>
      </c>
      <c r="L41" s="655" t="s">
        <v>8895</v>
      </c>
      <c r="M41" s="660">
        <v>193965.52</v>
      </c>
      <c r="N41" s="660">
        <v>0</v>
      </c>
      <c r="O41" s="660">
        <v>31034.48</v>
      </c>
      <c r="P41" s="660">
        <v>225000</v>
      </c>
      <c r="Q41" s="548"/>
      <c r="R41" s="660">
        <v>183052.26</v>
      </c>
      <c r="S41" s="549">
        <f t="shared" si="32"/>
        <v>41947.739999999991</v>
      </c>
      <c r="T41" s="113" t="s">
        <v>1932</v>
      </c>
      <c r="U41" s="626" t="str">
        <f t="shared" si="1"/>
        <v>AA12708</v>
      </c>
      <c r="V41" s="627" t="str">
        <f t="shared" si="2"/>
        <v>1549-TCN17</v>
      </c>
      <c r="W41" s="626">
        <f t="shared" si="3"/>
        <v>521703</v>
      </c>
      <c r="X41" s="626" t="str">
        <f t="shared" si="4"/>
        <v>YARIS CORE,SEDAN CVT.</v>
      </c>
      <c r="Y41" s="627">
        <f t="shared" si="4"/>
        <v>2017</v>
      </c>
      <c r="Z41" s="628">
        <f t="shared" si="5"/>
        <v>193965.52</v>
      </c>
      <c r="AA41" s="629">
        <f>+Z41</f>
        <v>193965.52</v>
      </c>
      <c r="AB41" s="814">
        <v>1</v>
      </c>
      <c r="AC41" s="629">
        <f t="shared" si="23"/>
        <v>0.01</v>
      </c>
      <c r="AD41" s="630">
        <f t="shared" si="24"/>
        <v>0.02</v>
      </c>
      <c r="AE41" s="629">
        <f t="shared" si="25"/>
        <v>0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721" t="s">
        <v>8279</v>
      </c>
      <c r="C42" s="771">
        <v>521707</v>
      </c>
      <c r="D42" s="771">
        <v>2006</v>
      </c>
      <c r="E42" s="771" t="s">
        <v>702</v>
      </c>
      <c r="F42" s="546">
        <v>2017</v>
      </c>
      <c r="G42" s="659">
        <v>43091</v>
      </c>
      <c r="H42" s="655" t="s">
        <v>774</v>
      </c>
      <c r="I42" s="655" t="s">
        <v>8572</v>
      </c>
      <c r="J42" s="712"/>
      <c r="K42" s="655" t="s">
        <v>8753</v>
      </c>
      <c r="L42" s="655" t="s">
        <v>8875</v>
      </c>
      <c r="M42" s="660">
        <v>193965.52</v>
      </c>
      <c r="N42" s="660">
        <v>0</v>
      </c>
      <c r="O42" s="660">
        <v>31034.48</v>
      </c>
      <c r="P42" s="660">
        <v>225000</v>
      </c>
      <c r="Q42" s="548"/>
      <c r="R42" s="660">
        <v>183052.26</v>
      </c>
      <c r="S42" s="549">
        <f t="shared" si="32"/>
        <v>41947.739999999991</v>
      </c>
      <c r="T42" s="267" t="s">
        <v>1932</v>
      </c>
      <c r="U42" s="626" t="str">
        <f t="shared" si="1"/>
        <v>AA12643</v>
      </c>
      <c r="V42" s="627" t="str">
        <f t="shared" si="2"/>
        <v>1334-TCN17</v>
      </c>
      <c r="W42" s="626">
        <f t="shared" si="3"/>
        <v>521707</v>
      </c>
      <c r="X42" s="626" t="str">
        <f t="shared" si="4"/>
        <v>YARIS CORE,SEDAN CVT.</v>
      </c>
      <c r="Y42" s="627">
        <f t="shared" si="4"/>
        <v>2017</v>
      </c>
      <c r="Z42" s="628">
        <f t="shared" si="5"/>
        <v>193965.52</v>
      </c>
      <c r="AA42" s="629"/>
      <c r="AB42" s="794"/>
      <c r="AC42" s="629">
        <f t="shared" si="6"/>
        <v>0.01</v>
      </c>
      <c r="AD42" s="630">
        <f t="shared" si="7"/>
        <v>0.02</v>
      </c>
      <c r="AE42" s="555">
        <f t="shared" si="8"/>
        <v>0</v>
      </c>
      <c r="AF42" s="555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721" t="s">
        <v>8280</v>
      </c>
      <c r="C43" s="771">
        <v>521707</v>
      </c>
      <c r="D43" s="771">
        <v>2006</v>
      </c>
      <c r="E43" s="771" t="s">
        <v>702</v>
      </c>
      <c r="F43" s="546">
        <v>2017</v>
      </c>
      <c r="G43" s="659">
        <v>43091</v>
      </c>
      <c r="H43" s="655" t="s">
        <v>2215</v>
      </c>
      <c r="I43" s="655" t="s">
        <v>8589</v>
      </c>
      <c r="J43" s="712"/>
      <c r="K43" s="655" t="s">
        <v>8754</v>
      </c>
      <c r="L43" s="655" t="s">
        <v>8892</v>
      </c>
      <c r="M43" s="660">
        <v>193965.52</v>
      </c>
      <c r="N43" s="660">
        <v>0</v>
      </c>
      <c r="O43" s="660">
        <v>31034.48</v>
      </c>
      <c r="P43" s="660">
        <v>225000</v>
      </c>
      <c r="Q43" s="548"/>
      <c r="R43" s="660">
        <v>183052.26</v>
      </c>
      <c r="S43" s="549">
        <f t="shared" si="32"/>
        <v>41947.739999999991</v>
      </c>
      <c r="T43" s="267" t="s">
        <v>1932</v>
      </c>
      <c r="U43" s="626" t="str">
        <f t="shared" si="1"/>
        <v>AA12651</v>
      </c>
      <c r="V43" s="627" t="str">
        <f t="shared" si="2"/>
        <v>1506-TCN17</v>
      </c>
      <c r="W43" s="626">
        <f t="shared" si="3"/>
        <v>521707</v>
      </c>
      <c r="X43" s="626" t="str">
        <f t="shared" si="4"/>
        <v>YARIS CORE,SEDAN CVT.</v>
      </c>
      <c r="Y43" s="627">
        <f t="shared" si="4"/>
        <v>2017</v>
      </c>
      <c r="Z43" s="628">
        <f t="shared" si="5"/>
        <v>193965.52</v>
      </c>
      <c r="AA43" s="629"/>
      <c r="AB43" s="794"/>
      <c r="AC43" s="629">
        <f t="shared" si="6"/>
        <v>0.01</v>
      </c>
      <c r="AD43" s="630">
        <f t="shared" si="7"/>
        <v>0.02</v>
      </c>
      <c r="AE43" s="555">
        <f t="shared" si="8"/>
        <v>0</v>
      </c>
      <c r="AF43" s="555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721" t="s">
        <v>8266</v>
      </c>
      <c r="C44" s="771">
        <v>521707</v>
      </c>
      <c r="D44" s="771">
        <v>2006</v>
      </c>
      <c r="E44" s="771" t="s">
        <v>702</v>
      </c>
      <c r="F44" s="546">
        <v>2017</v>
      </c>
      <c r="G44" s="659">
        <v>43080</v>
      </c>
      <c r="H44" s="655" t="s">
        <v>2213</v>
      </c>
      <c r="I44" s="655" t="s">
        <v>8573</v>
      </c>
      <c r="J44" s="712"/>
      <c r="K44" s="655" t="s">
        <v>8749</v>
      </c>
      <c r="L44" s="655" t="s">
        <v>8876</v>
      </c>
      <c r="M44" s="660">
        <v>193965.52</v>
      </c>
      <c r="N44" s="660">
        <v>0</v>
      </c>
      <c r="O44" s="660">
        <v>31034.48</v>
      </c>
      <c r="P44" s="660">
        <v>225000</v>
      </c>
      <c r="Q44" s="548"/>
      <c r="R44" s="660">
        <v>183052.26</v>
      </c>
      <c r="S44" s="549">
        <f t="shared" si="32"/>
        <v>41947.739999999991</v>
      </c>
      <c r="T44" s="113" t="s">
        <v>1932</v>
      </c>
      <c r="U44" s="626" t="str">
        <f t="shared" si="1"/>
        <v>AA12530</v>
      </c>
      <c r="V44" s="627" t="str">
        <f t="shared" si="2"/>
        <v>1592-TCN17</v>
      </c>
      <c r="W44" s="626">
        <f t="shared" si="3"/>
        <v>521707</v>
      </c>
      <c r="X44" s="626" t="str">
        <f t="shared" si="4"/>
        <v>YARIS CORE,SEDAN CVT.</v>
      </c>
      <c r="Y44" s="627">
        <f t="shared" si="4"/>
        <v>2017</v>
      </c>
      <c r="Z44" s="628">
        <f t="shared" si="5"/>
        <v>193965.52</v>
      </c>
      <c r="AA44" s="725"/>
      <c r="AB44" s="802"/>
      <c r="AC44" s="629">
        <f t="shared" si="6"/>
        <v>0.01</v>
      </c>
      <c r="AD44" s="630">
        <f t="shared" si="7"/>
        <v>0.02</v>
      </c>
      <c r="AE44" s="629">
        <f t="shared" si="8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721" t="s">
        <v>8268</v>
      </c>
      <c r="C45" s="771">
        <v>521707</v>
      </c>
      <c r="D45" s="771">
        <v>2006</v>
      </c>
      <c r="E45" s="771" t="s">
        <v>702</v>
      </c>
      <c r="F45" s="546">
        <v>2017</v>
      </c>
      <c r="G45" s="659">
        <v>43088</v>
      </c>
      <c r="H45" s="655" t="s">
        <v>788</v>
      </c>
      <c r="I45" s="655" t="s">
        <v>8578</v>
      </c>
      <c r="J45" s="712"/>
      <c r="K45" s="655" t="s">
        <v>8751</v>
      </c>
      <c r="L45" s="655" t="s">
        <v>8881</v>
      </c>
      <c r="M45" s="660">
        <v>193965.52</v>
      </c>
      <c r="N45" s="660">
        <v>0</v>
      </c>
      <c r="O45" s="660">
        <v>31034.48</v>
      </c>
      <c r="P45" s="660">
        <v>225000</v>
      </c>
      <c r="Q45" s="548"/>
      <c r="R45" s="660">
        <v>183052.26</v>
      </c>
      <c r="S45" s="549">
        <f t="shared" si="32"/>
        <v>41947.739999999991</v>
      </c>
      <c r="T45" s="113" t="s">
        <v>1932</v>
      </c>
      <c r="U45" s="626" t="str">
        <f t="shared" si="1"/>
        <v>AA12586</v>
      </c>
      <c r="V45" s="627" t="str">
        <f t="shared" si="2"/>
        <v>1662-TCN17</v>
      </c>
      <c r="W45" s="626">
        <f t="shared" si="3"/>
        <v>521707</v>
      </c>
      <c r="X45" s="626" t="str">
        <f t="shared" si="4"/>
        <v>YARIS CORE,SEDAN CVT.</v>
      </c>
      <c r="Y45" s="627">
        <f t="shared" si="4"/>
        <v>2017</v>
      </c>
      <c r="Z45" s="628">
        <f t="shared" si="5"/>
        <v>193965.52</v>
      </c>
      <c r="AA45" s="629"/>
      <c r="AB45" s="794"/>
      <c r="AC45" s="780">
        <f t="shared" si="6"/>
        <v>0.01</v>
      </c>
      <c r="AD45" s="630">
        <f t="shared" si="7"/>
        <v>0.02</v>
      </c>
      <c r="AE45" s="555">
        <f t="shared" si="8"/>
        <v>0</v>
      </c>
      <c r="AF45" s="555">
        <f t="shared" ref="AF45" si="33">+N45</f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721" t="s">
        <v>8269</v>
      </c>
      <c r="C46" s="771">
        <v>521707</v>
      </c>
      <c r="D46" s="771">
        <v>2006</v>
      </c>
      <c r="E46" s="771" t="s">
        <v>702</v>
      </c>
      <c r="F46" s="546">
        <v>2017</v>
      </c>
      <c r="G46" s="659">
        <v>43088</v>
      </c>
      <c r="H46" s="655" t="s">
        <v>2214</v>
      </c>
      <c r="I46" s="655" t="s">
        <v>8579</v>
      </c>
      <c r="J46" s="712"/>
      <c r="K46" s="655" t="s">
        <v>6857</v>
      </c>
      <c r="L46" s="655" t="s">
        <v>8882</v>
      </c>
      <c r="M46" s="660">
        <v>193965.52</v>
      </c>
      <c r="N46" s="660">
        <v>0</v>
      </c>
      <c r="O46" s="660">
        <v>31034.48</v>
      </c>
      <c r="P46" s="660">
        <v>225000</v>
      </c>
      <c r="Q46" s="548"/>
      <c r="R46" s="660">
        <v>183052.26</v>
      </c>
      <c r="S46" s="549">
        <f t="shared" si="32"/>
        <v>41947.739999999991</v>
      </c>
      <c r="T46" s="267" t="s">
        <v>1932</v>
      </c>
      <c r="U46" s="626" t="str">
        <f t="shared" si="1"/>
        <v>AA12590</v>
      </c>
      <c r="V46" s="627" t="str">
        <f t="shared" si="2"/>
        <v>1729-TCN17</v>
      </c>
      <c r="W46" s="626">
        <f t="shared" si="3"/>
        <v>521707</v>
      </c>
      <c r="X46" s="626" t="str">
        <f t="shared" si="4"/>
        <v>YARIS CORE,SEDAN CVT.</v>
      </c>
      <c r="Y46" s="627">
        <f t="shared" si="4"/>
        <v>2017</v>
      </c>
      <c r="Z46" s="628">
        <f t="shared" si="5"/>
        <v>193965.52</v>
      </c>
      <c r="AA46" s="624"/>
      <c r="AB46" s="809"/>
      <c r="AC46" s="629">
        <f t="shared" si="6"/>
        <v>0.01</v>
      </c>
      <c r="AD46" s="630">
        <f t="shared" si="7"/>
        <v>0.02</v>
      </c>
      <c r="AE46" s="629">
        <f t="shared" si="8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721" t="s">
        <v>8270</v>
      </c>
      <c r="C47" s="771">
        <v>521707</v>
      </c>
      <c r="D47" s="771">
        <v>2006</v>
      </c>
      <c r="E47" s="771" t="s">
        <v>702</v>
      </c>
      <c r="F47" s="546">
        <v>2017</v>
      </c>
      <c r="G47" s="659">
        <v>43088</v>
      </c>
      <c r="H47" s="655" t="s">
        <v>5129</v>
      </c>
      <c r="I47" s="655" t="s">
        <v>8580</v>
      </c>
      <c r="J47" s="712"/>
      <c r="K47" s="655" t="s">
        <v>6857</v>
      </c>
      <c r="L47" s="655" t="s">
        <v>8883</v>
      </c>
      <c r="M47" s="660">
        <v>193965.52</v>
      </c>
      <c r="N47" s="660">
        <v>0</v>
      </c>
      <c r="O47" s="660">
        <v>31034.48</v>
      </c>
      <c r="P47" s="660">
        <v>225000</v>
      </c>
      <c r="Q47" s="548"/>
      <c r="R47" s="660">
        <v>183052.26</v>
      </c>
      <c r="S47" s="549">
        <f t="shared" si="32"/>
        <v>41947.739999999991</v>
      </c>
      <c r="T47" s="113" t="s">
        <v>1932</v>
      </c>
      <c r="U47" s="626" t="str">
        <f t="shared" si="1"/>
        <v>AA12589</v>
      </c>
      <c r="V47" s="627" t="str">
        <f t="shared" si="2"/>
        <v>1737-TCN17</v>
      </c>
      <c r="W47" s="626">
        <f t="shared" si="3"/>
        <v>521707</v>
      </c>
      <c r="X47" s="626" t="str">
        <f t="shared" si="4"/>
        <v>YARIS CORE,SEDAN CVT.</v>
      </c>
      <c r="Y47" s="627">
        <f t="shared" si="4"/>
        <v>2017</v>
      </c>
      <c r="Z47" s="628">
        <f t="shared" si="5"/>
        <v>193965.52</v>
      </c>
      <c r="AA47" s="629"/>
      <c r="AB47" s="794"/>
      <c r="AC47" s="629">
        <f t="shared" si="6"/>
        <v>0.01</v>
      </c>
      <c r="AD47" s="630">
        <f t="shared" si="7"/>
        <v>0.02</v>
      </c>
      <c r="AE47" s="629">
        <f t="shared" si="8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721" t="s">
        <v>8271</v>
      </c>
      <c r="C48" s="771">
        <v>521707</v>
      </c>
      <c r="D48" s="771">
        <v>2006</v>
      </c>
      <c r="E48" s="771" t="s">
        <v>702</v>
      </c>
      <c r="F48" s="546">
        <v>2017</v>
      </c>
      <c r="G48" s="659">
        <v>43088</v>
      </c>
      <c r="H48" s="655" t="s">
        <v>817</v>
      </c>
      <c r="I48" s="655" t="s">
        <v>8581</v>
      </c>
      <c r="J48" s="712"/>
      <c r="K48" s="655" t="s">
        <v>6857</v>
      </c>
      <c r="L48" s="655" t="s">
        <v>8884</v>
      </c>
      <c r="M48" s="660">
        <v>193965.52</v>
      </c>
      <c r="N48" s="660">
        <v>0</v>
      </c>
      <c r="O48" s="660">
        <v>31034.48</v>
      </c>
      <c r="P48" s="660">
        <v>225000</v>
      </c>
      <c r="Q48" s="548"/>
      <c r="R48" s="660">
        <v>183052.26</v>
      </c>
      <c r="S48" s="549">
        <f t="shared" si="32"/>
        <v>41947.739999999991</v>
      </c>
      <c r="T48" s="113" t="s">
        <v>1932</v>
      </c>
      <c r="U48" s="626" t="str">
        <f t="shared" si="1"/>
        <v>AA12593</v>
      </c>
      <c r="V48" s="627" t="str">
        <f t="shared" si="2"/>
        <v>1738-TCN17</v>
      </c>
      <c r="W48" s="626">
        <f t="shared" si="3"/>
        <v>521707</v>
      </c>
      <c r="X48" s="626" t="str">
        <f t="shared" si="4"/>
        <v>YARIS CORE,SEDAN CVT.</v>
      </c>
      <c r="Y48" s="627">
        <f t="shared" si="4"/>
        <v>2017</v>
      </c>
      <c r="Z48" s="628">
        <f t="shared" si="5"/>
        <v>193965.52</v>
      </c>
      <c r="AA48" s="629"/>
      <c r="AB48" s="794"/>
      <c r="AC48" s="629">
        <f t="shared" si="6"/>
        <v>0.01</v>
      </c>
      <c r="AD48" s="630">
        <f t="shared" si="7"/>
        <v>0.02</v>
      </c>
      <c r="AE48" s="629">
        <f t="shared" si="8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721" t="s">
        <v>8258</v>
      </c>
      <c r="C49" s="771">
        <v>521707</v>
      </c>
      <c r="D49" s="771">
        <v>2006</v>
      </c>
      <c r="E49" s="771" t="s">
        <v>702</v>
      </c>
      <c r="F49" s="546">
        <v>2017</v>
      </c>
      <c r="G49" s="659">
        <v>43076</v>
      </c>
      <c r="H49" s="655" t="s">
        <v>5621</v>
      </c>
      <c r="I49" s="655" t="s">
        <v>8571</v>
      </c>
      <c r="J49" s="712"/>
      <c r="K49" s="655" t="s">
        <v>8748</v>
      </c>
      <c r="L49" s="655" t="s">
        <v>8874</v>
      </c>
      <c r="M49" s="660">
        <v>193965.52</v>
      </c>
      <c r="N49" s="660">
        <v>0</v>
      </c>
      <c r="O49" s="660">
        <v>31034.48</v>
      </c>
      <c r="P49" s="660">
        <v>225000</v>
      </c>
      <c r="Q49" s="548"/>
      <c r="R49" s="660">
        <v>183052.26</v>
      </c>
      <c r="S49" s="549">
        <f t="shared" si="32"/>
        <v>41947.739999999991</v>
      </c>
      <c r="T49" s="113" t="s">
        <v>1932</v>
      </c>
      <c r="U49" s="626" t="str">
        <f t="shared" si="1"/>
        <v>AA12512</v>
      </c>
      <c r="V49" s="627" t="str">
        <f t="shared" si="2"/>
        <v>1739-TCN17</v>
      </c>
      <c r="W49" s="626">
        <f t="shared" si="3"/>
        <v>521707</v>
      </c>
      <c r="X49" s="626" t="str">
        <f t="shared" si="4"/>
        <v>YARIS CORE,SEDAN CVT.</v>
      </c>
      <c r="Y49" s="627">
        <f t="shared" si="4"/>
        <v>2017</v>
      </c>
      <c r="Z49" s="628">
        <f t="shared" si="5"/>
        <v>193965.52</v>
      </c>
      <c r="AA49" s="725"/>
      <c r="AB49" s="802"/>
      <c r="AC49" s="629">
        <f t="shared" si="6"/>
        <v>0.01</v>
      </c>
      <c r="AD49" s="630">
        <f t="shared" si="7"/>
        <v>0.02</v>
      </c>
      <c r="AE49" s="629">
        <f t="shared" si="8"/>
        <v>0</v>
      </c>
      <c r="AF49" s="629">
        <f t="shared" ref="AF49:AF52" si="34">+N49</f>
        <v>0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721" t="s">
        <v>8272</v>
      </c>
      <c r="C50" s="771">
        <v>521707</v>
      </c>
      <c r="D50" s="771">
        <v>2006</v>
      </c>
      <c r="E50" s="771" t="s">
        <v>702</v>
      </c>
      <c r="F50" s="546">
        <v>2017</v>
      </c>
      <c r="G50" s="659">
        <v>43088</v>
      </c>
      <c r="H50" s="655" t="s">
        <v>8844</v>
      </c>
      <c r="I50" s="655" t="s">
        <v>8582</v>
      </c>
      <c r="J50" s="712"/>
      <c r="K50" s="655" t="s">
        <v>6857</v>
      </c>
      <c r="L50" s="655" t="s">
        <v>8885</v>
      </c>
      <c r="M50" s="660">
        <v>193965.52</v>
      </c>
      <c r="N50" s="660">
        <v>0</v>
      </c>
      <c r="O50" s="660">
        <v>31034.48</v>
      </c>
      <c r="P50" s="660">
        <v>225000</v>
      </c>
      <c r="Q50" s="548"/>
      <c r="R50" s="660">
        <v>183052.26</v>
      </c>
      <c r="S50" s="549">
        <f t="shared" si="32"/>
        <v>41947.739999999991</v>
      </c>
      <c r="T50" s="113" t="s">
        <v>1932</v>
      </c>
      <c r="U50" s="626" t="str">
        <f t="shared" si="1"/>
        <v>AA12592</v>
      </c>
      <c r="V50" s="627" t="str">
        <f t="shared" si="2"/>
        <v>1740-TCN17</v>
      </c>
      <c r="W50" s="626">
        <f t="shared" si="3"/>
        <v>521707</v>
      </c>
      <c r="X50" s="626" t="str">
        <f t="shared" si="4"/>
        <v>YARIS CORE,SEDAN CVT.</v>
      </c>
      <c r="Y50" s="627">
        <f t="shared" si="4"/>
        <v>2017</v>
      </c>
      <c r="Z50" s="628">
        <f t="shared" si="5"/>
        <v>193965.52</v>
      </c>
      <c r="AA50" s="629"/>
      <c r="AB50" s="794"/>
      <c r="AC50" s="780">
        <f t="shared" si="6"/>
        <v>0.01</v>
      </c>
      <c r="AD50" s="630">
        <f t="shared" si="7"/>
        <v>0.02</v>
      </c>
      <c r="AE50" s="555">
        <f t="shared" si="8"/>
        <v>0</v>
      </c>
      <c r="AF50" s="555">
        <f t="shared" si="34"/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721" t="s">
        <v>8263</v>
      </c>
      <c r="C51" s="771">
        <v>521707</v>
      </c>
      <c r="D51" s="771">
        <v>2006</v>
      </c>
      <c r="E51" s="771" t="s">
        <v>702</v>
      </c>
      <c r="F51" s="546">
        <v>2017</v>
      </c>
      <c r="G51" s="659">
        <v>43077</v>
      </c>
      <c r="H51" s="655" t="s">
        <v>2213</v>
      </c>
      <c r="I51" s="655" t="s">
        <v>8575</v>
      </c>
      <c r="J51" s="712"/>
      <c r="K51" s="655" t="s">
        <v>8750</v>
      </c>
      <c r="L51" s="655" t="s">
        <v>8878</v>
      </c>
      <c r="M51" s="660">
        <v>193965.52</v>
      </c>
      <c r="N51" s="660">
        <v>0</v>
      </c>
      <c r="O51" s="660">
        <v>31034.48</v>
      </c>
      <c r="P51" s="660">
        <v>225000</v>
      </c>
      <c r="Q51" s="548"/>
      <c r="R51" s="660">
        <v>183052.26</v>
      </c>
      <c r="S51" s="549">
        <f t="shared" si="32"/>
        <v>41947.739999999991</v>
      </c>
      <c r="T51" s="113" t="s">
        <v>1932</v>
      </c>
      <c r="U51" s="626" t="str">
        <f t="shared" si="1"/>
        <v>AA12521</v>
      </c>
      <c r="V51" s="627" t="str">
        <f t="shared" si="2"/>
        <v>1741-TCN17</v>
      </c>
      <c r="W51" s="626">
        <f t="shared" si="3"/>
        <v>521707</v>
      </c>
      <c r="X51" s="626" t="str">
        <f t="shared" si="4"/>
        <v>YARIS CORE,SEDAN CVT.</v>
      </c>
      <c r="Y51" s="627">
        <f t="shared" si="4"/>
        <v>2017</v>
      </c>
      <c r="Z51" s="628">
        <f t="shared" si="5"/>
        <v>193965.52</v>
      </c>
      <c r="AA51" s="789"/>
      <c r="AB51" s="810"/>
      <c r="AC51" s="629">
        <f t="shared" si="6"/>
        <v>0.01</v>
      </c>
      <c r="AD51" s="630">
        <f t="shared" si="7"/>
        <v>0.02</v>
      </c>
      <c r="AE51" s="555">
        <f t="shared" si="8"/>
        <v>0</v>
      </c>
      <c r="AF51" s="555">
        <f t="shared" si="34"/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721" t="s">
        <v>8273</v>
      </c>
      <c r="C52" s="771">
        <v>521707</v>
      </c>
      <c r="D52" s="771">
        <v>2006</v>
      </c>
      <c r="E52" s="771" t="s">
        <v>702</v>
      </c>
      <c r="F52" s="546">
        <v>2017</v>
      </c>
      <c r="G52" s="659">
        <v>43088</v>
      </c>
      <c r="H52" s="655" t="s">
        <v>2214</v>
      </c>
      <c r="I52" s="655" t="s">
        <v>8583</v>
      </c>
      <c r="J52" s="712"/>
      <c r="K52" s="655" t="s">
        <v>6857</v>
      </c>
      <c r="L52" s="655" t="s">
        <v>8886</v>
      </c>
      <c r="M52" s="660">
        <v>193965.52</v>
      </c>
      <c r="N52" s="660">
        <v>0</v>
      </c>
      <c r="O52" s="660">
        <v>31034.48</v>
      </c>
      <c r="P52" s="660">
        <v>225000</v>
      </c>
      <c r="Q52" s="548"/>
      <c r="R52" s="660">
        <v>183052.26</v>
      </c>
      <c r="S52" s="549">
        <f t="shared" si="32"/>
        <v>41947.739999999991</v>
      </c>
      <c r="T52" s="113" t="s">
        <v>1932</v>
      </c>
      <c r="U52" s="626" t="str">
        <f t="shared" si="1"/>
        <v>AA12591</v>
      </c>
      <c r="V52" s="627" t="str">
        <f t="shared" si="2"/>
        <v>1747-TCN17</v>
      </c>
      <c r="W52" s="626">
        <f t="shared" si="3"/>
        <v>521707</v>
      </c>
      <c r="X52" s="626" t="str">
        <f t="shared" si="4"/>
        <v>YARIS CORE,SEDAN CVT.</v>
      </c>
      <c r="Y52" s="627">
        <f t="shared" si="4"/>
        <v>2017</v>
      </c>
      <c r="Z52" s="628">
        <f t="shared" si="5"/>
        <v>193965.52</v>
      </c>
      <c r="AA52" s="629"/>
      <c r="AB52" s="794"/>
      <c r="AC52" s="780">
        <f t="shared" si="6"/>
        <v>0.01</v>
      </c>
      <c r="AD52" s="630">
        <f t="shared" si="7"/>
        <v>0.02</v>
      </c>
      <c r="AE52" s="555">
        <f t="shared" si="8"/>
        <v>0</v>
      </c>
      <c r="AF52" s="555">
        <f t="shared" si="34"/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721" t="s">
        <v>8264</v>
      </c>
      <c r="C53" s="771">
        <v>521707</v>
      </c>
      <c r="D53" s="771">
        <v>2006</v>
      </c>
      <c r="E53" s="771" t="s">
        <v>702</v>
      </c>
      <c r="F53" s="546">
        <v>2017</v>
      </c>
      <c r="G53" s="659">
        <v>43078</v>
      </c>
      <c r="H53" s="655" t="s">
        <v>8843</v>
      </c>
      <c r="I53" s="655" t="s">
        <v>8576</v>
      </c>
      <c r="J53" s="712"/>
      <c r="K53" s="655" t="s">
        <v>6782</v>
      </c>
      <c r="L53" s="655" t="s">
        <v>8879</v>
      </c>
      <c r="M53" s="660">
        <v>193965.52</v>
      </c>
      <c r="N53" s="660">
        <v>0</v>
      </c>
      <c r="O53" s="660">
        <v>31034.48</v>
      </c>
      <c r="P53" s="660">
        <v>225000</v>
      </c>
      <c r="Q53" s="548"/>
      <c r="R53" s="660">
        <v>183052.26</v>
      </c>
      <c r="S53" s="549">
        <f t="shared" si="32"/>
        <v>41947.739999999991</v>
      </c>
      <c r="T53" s="113" t="s">
        <v>1932</v>
      </c>
      <c r="U53" s="626" t="str">
        <f t="shared" si="1"/>
        <v>AA12529</v>
      </c>
      <c r="V53" s="627" t="str">
        <f t="shared" si="2"/>
        <v>1748-TCN17</v>
      </c>
      <c r="W53" s="626">
        <f t="shared" si="3"/>
        <v>521707</v>
      </c>
      <c r="X53" s="626" t="str">
        <f t="shared" si="4"/>
        <v>YARIS CORE,SEDAN CVT.</v>
      </c>
      <c r="Y53" s="627">
        <f t="shared" si="4"/>
        <v>2017</v>
      </c>
      <c r="Z53" s="628">
        <f t="shared" si="5"/>
        <v>193965.52</v>
      </c>
      <c r="AA53" s="629"/>
      <c r="AB53" s="793"/>
      <c r="AC53" s="779">
        <f t="shared" si="6"/>
        <v>0.01</v>
      </c>
      <c r="AD53" s="726">
        <f t="shared" si="7"/>
        <v>0.02</v>
      </c>
      <c r="AE53" s="727">
        <f t="shared" si="8"/>
        <v>0</v>
      </c>
      <c r="AF53" s="725">
        <f t="shared" ref="AF53:AF56" si="35">+N53</f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721" t="s">
        <v>8255</v>
      </c>
      <c r="C54" s="771">
        <v>521707</v>
      </c>
      <c r="D54" s="771">
        <v>2006</v>
      </c>
      <c r="E54" s="771" t="s">
        <v>702</v>
      </c>
      <c r="F54" s="546">
        <v>2017</v>
      </c>
      <c r="G54" s="659">
        <v>43074</v>
      </c>
      <c r="H54" s="655" t="s">
        <v>817</v>
      </c>
      <c r="I54" s="655" t="s">
        <v>8570</v>
      </c>
      <c r="J54" s="712"/>
      <c r="K54" s="655" t="s">
        <v>8747</v>
      </c>
      <c r="L54" s="655" t="s">
        <v>8873</v>
      </c>
      <c r="M54" s="660">
        <v>193965.52</v>
      </c>
      <c r="N54" s="660">
        <v>0</v>
      </c>
      <c r="O54" s="660">
        <v>31034.48</v>
      </c>
      <c r="P54" s="660">
        <v>225000</v>
      </c>
      <c r="Q54" s="548"/>
      <c r="R54" s="660">
        <v>183052.26</v>
      </c>
      <c r="S54" s="549">
        <f t="shared" si="32"/>
        <v>41947.739999999991</v>
      </c>
      <c r="T54" s="113" t="s">
        <v>1932</v>
      </c>
      <c r="U54" s="626" t="str">
        <f t="shared" si="1"/>
        <v>AA12491</v>
      </c>
      <c r="V54" s="627" t="str">
        <f t="shared" si="2"/>
        <v>1749-TCN17</v>
      </c>
      <c r="W54" s="626">
        <f t="shared" si="3"/>
        <v>521707</v>
      </c>
      <c r="X54" s="626" t="str">
        <f t="shared" si="4"/>
        <v>YARIS CORE,SEDAN CVT.</v>
      </c>
      <c r="Y54" s="627">
        <f t="shared" si="4"/>
        <v>2017</v>
      </c>
      <c r="Z54" s="628">
        <f t="shared" si="5"/>
        <v>193965.52</v>
      </c>
      <c r="AA54" s="624"/>
      <c r="AB54" s="809"/>
      <c r="AC54" s="629">
        <f t="shared" si="6"/>
        <v>0.01</v>
      </c>
      <c r="AD54" s="630">
        <f t="shared" si="7"/>
        <v>0.02</v>
      </c>
      <c r="AE54" s="555">
        <f t="shared" si="8"/>
        <v>0</v>
      </c>
      <c r="AF54" s="629">
        <f t="shared" si="35"/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721" t="s">
        <v>8275</v>
      </c>
      <c r="C55" s="771">
        <v>521707</v>
      </c>
      <c r="D55" s="771">
        <v>2006</v>
      </c>
      <c r="E55" s="771" t="s">
        <v>702</v>
      </c>
      <c r="F55" s="546">
        <v>2017</v>
      </c>
      <c r="G55" s="659">
        <v>43088</v>
      </c>
      <c r="H55" s="655" t="s">
        <v>5621</v>
      </c>
      <c r="I55" s="655" t="s">
        <v>8585</v>
      </c>
      <c r="J55" s="712"/>
      <c r="K55" s="655" t="s">
        <v>6857</v>
      </c>
      <c r="L55" s="655" t="s">
        <v>8888</v>
      </c>
      <c r="M55" s="660">
        <v>193965.52</v>
      </c>
      <c r="N55" s="660">
        <v>0</v>
      </c>
      <c r="O55" s="660">
        <v>31034.48</v>
      </c>
      <c r="P55" s="660">
        <v>225000</v>
      </c>
      <c r="Q55" s="548"/>
      <c r="R55" s="660">
        <v>183052.26</v>
      </c>
      <c r="S55" s="549">
        <f t="shared" si="32"/>
        <v>41947.739999999991</v>
      </c>
      <c r="T55" s="113" t="s">
        <v>1932</v>
      </c>
      <c r="U55" s="626" t="str">
        <f t="shared" si="1"/>
        <v>AA12588</v>
      </c>
      <c r="V55" s="627" t="str">
        <f t="shared" si="2"/>
        <v>1757-TCN17</v>
      </c>
      <c r="W55" s="626">
        <f t="shared" si="3"/>
        <v>521707</v>
      </c>
      <c r="X55" s="626" t="str">
        <f t="shared" si="4"/>
        <v>YARIS CORE,SEDAN CVT.</v>
      </c>
      <c r="Y55" s="627">
        <f t="shared" si="4"/>
        <v>2017</v>
      </c>
      <c r="Z55" s="628">
        <f t="shared" si="5"/>
        <v>193965.52</v>
      </c>
      <c r="AA55" s="725"/>
      <c r="AB55" s="802"/>
      <c r="AC55" s="629">
        <f t="shared" si="6"/>
        <v>0.01</v>
      </c>
      <c r="AD55" s="630">
        <f t="shared" si="7"/>
        <v>0.02</v>
      </c>
      <c r="AE55" s="555">
        <f t="shared" si="8"/>
        <v>0</v>
      </c>
      <c r="AF55" s="555">
        <f t="shared" si="35"/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721" t="s">
        <v>8289</v>
      </c>
      <c r="C56" s="771">
        <v>521707</v>
      </c>
      <c r="D56" s="771">
        <v>2006</v>
      </c>
      <c r="E56" s="771" t="s">
        <v>702</v>
      </c>
      <c r="F56" s="546">
        <v>2017</v>
      </c>
      <c r="G56" s="659">
        <v>43097</v>
      </c>
      <c r="H56" s="655" t="s">
        <v>4285</v>
      </c>
      <c r="I56" s="655" t="s">
        <v>8591</v>
      </c>
      <c r="J56" s="712"/>
      <c r="K56" s="655" t="s">
        <v>8756</v>
      </c>
      <c r="L56" s="655" t="s">
        <v>8894</v>
      </c>
      <c r="M56" s="660">
        <v>193965.52</v>
      </c>
      <c r="N56" s="660">
        <v>0</v>
      </c>
      <c r="O56" s="660">
        <v>31034.48</v>
      </c>
      <c r="P56" s="660">
        <v>225000</v>
      </c>
      <c r="Q56" s="548"/>
      <c r="R56" s="660">
        <v>183052.26</v>
      </c>
      <c r="S56" s="549">
        <f t="shared" si="32"/>
        <v>41947.739999999991</v>
      </c>
      <c r="T56" s="267" t="s">
        <v>1932</v>
      </c>
      <c r="U56" s="626" t="str">
        <f t="shared" si="1"/>
        <v>AA12703</v>
      </c>
      <c r="V56" s="627" t="str">
        <f t="shared" si="2"/>
        <v>1759-TCN17</v>
      </c>
      <c r="W56" s="626">
        <f t="shared" si="3"/>
        <v>521707</v>
      </c>
      <c r="X56" s="626" t="str">
        <f t="shared" si="4"/>
        <v>YARIS CORE,SEDAN CVT.</v>
      </c>
      <c r="Y56" s="627">
        <f t="shared" si="4"/>
        <v>2017</v>
      </c>
      <c r="Z56" s="628">
        <f t="shared" si="5"/>
        <v>193965.52</v>
      </c>
      <c r="AA56" s="629"/>
      <c r="AB56" s="794"/>
      <c r="AC56" s="780">
        <f t="shared" si="6"/>
        <v>0.01</v>
      </c>
      <c r="AD56" s="630">
        <f t="shared" si="7"/>
        <v>0.02</v>
      </c>
      <c r="AE56" s="555">
        <f t="shared" si="8"/>
        <v>0</v>
      </c>
      <c r="AF56" s="555">
        <f t="shared" si="35"/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721" t="s">
        <v>8282</v>
      </c>
      <c r="C57" s="771">
        <v>521707</v>
      </c>
      <c r="D57" s="771">
        <v>2006</v>
      </c>
      <c r="E57" s="771" t="s">
        <v>702</v>
      </c>
      <c r="F57" s="546">
        <v>2017</v>
      </c>
      <c r="G57" s="659">
        <v>43091</v>
      </c>
      <c r="H57" s="655" t="s">
        <v>2216</v>
      </c>
      <c r="I57" s="655" t="s">
        <v>8588</v>
      </c>
      <c r="J57" s="712"/>
      <c r="K57" s="655" t="s">
        <v>8752</v>
      </c>
      <c r="L57" s="655" t="s">
        <v>8891</v>
      </c>
      <c r="M57" s="660">
        <v>193965.52</v>
      </c>
      <c r="N57" s="660">
        <v>0</v>
      </c>
      <c r="O57" s="660">
        <v>31034.48</v>
      </c>
      <c r="P57" s="660">
        <v>225000</v>
      </c>
      <c r="Q57" s="548"/>
      <c r="R57" s="660">
        <v>184004.21</v>
      </c>
      <c r="S57" s="549">
        <f t="shared" si="32"/>
        <v>40995.790000000008</v>
      </c>
      <c r="T57" s="113" t="s">
        <v>1932</v>
      </c>
      <c r="U57" s="626" t="str">
        <f t="shared" si="1"/>
        <v>AA12641</v>
      </c>
      <c r="V57" s="627" t="str">
        <f t="shared" si="2"/>
        <v>2013-TCN17</v>
      </c>
      <c r="W57" s="626">
        <f t="shared" si="3"/>
        <v>521707</v>
      </c>
      <c r="X57" s="626" t="str">
        <f t="shared" si="4"/>
        <v>YARIS CORE,SEDAN CVT.</v>
      </c>
      <c r="Y57" s="627">
        <f t="shared" si="4"/>
        <v>2017</v>
      </c>
      <c r="Z57" s="628">
        <f t="shared" si="5"/>
        <v>193965.52</v>
      </c>
      <c r="AA57" s="632">
        <f>+SUM(Z42:Z57)</f>
        <v>3103448.32</v>
      </c>
      <c r="AB57" s="813">
        <v>16</v>
      </c>
      <c r="AC57" s="780">
        <f t="shared" ref="AC57" si="36">VLOOKUP(Z57,TARIFA,1)</f>
        <v>0.01</v>
      </c>
      <c r="AD57" s="630">
        <f t="shared" ref="AD57" si="37">VLOOKUP(Z57,TARIFA,4)</f>
        <v>0.02</v>
      </c>
      <c r="AE57" s="555">
        <f t="shared" ref="AE57" si="38">VLOOKUP(Z57,TARIFA,3)</f>
        <v>0</v>
      </c>
      <c r="AF57" s="555">
        <f t="shared" ref="AF57" si="39">+N57</f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721" t="s">
        <v>8314</v>
      </c>
      <c r="C58" s="771">
        <v>521801</v>
      </c>
      <c r="D58" s="771">
        <v>2201</v>
      </c>
      <c r="E58" s="771" t="s">
        <v>704</v>
      </c>
      <c r="F58" s="546">
        <v>2018</v>
      </c>
      <c r="G58" s="659">
        <v>43082</v>
      </c>
      <c r="H58" s="655" t="s">
        <v>8843</v>
      </c>
      <c r="I58" s="655" t="s">
        <v>8606</v>
      </c>
      <c r="J58" s="712"/>
      <c r="K58" s="655" t="s">
        <v>8128</v>
      </c>
      <c r="L58" s="655" t="s">
        <v>8909</v>
      </c>
      <c r="M58" s="660">
        <v>205000</v>
      </c>
      <c r="N58" s="660">
        <v>0</v>
      </c>
      <c r="O58" s="660">
        <v>32800</v>
      </c>
      <c r="P58" s="660">
        <v>237800</v>
      </c>
      <c r="Q58" s="548"/>
      <c r="R58" s="660">
        <v>185625.31</v>
      </c>
      <c r="S58" s="549">
        <f t="shared" si="32"/>
        <v>52174.69</v>
      </c>
      <c r="T58" s="113" t="s">
        <v>1932</v>
      </c>
      <c r="U58" s="626" t="str">
        <f t="shared" si="1"/>
        <v>AA12538</v>
      </c>
      <c r="V58" s="627" t="str">
        <f t="shared" si="2"/>
        <v>0266-TCN18</v>
      </c>
      <c r="W58" s="626">
        <f t="shared" si="3"/>
        <v>521801</v>
      </c>
      <c r="X58" s="626" t="str">
        <f t="shared" si="4"/>
        <v>AVANZA HI 5MT</v>
      </c>
      <c r="Y58" s="627">
        <f t="shared" si="4"/>
        <v>2018</v>
      </c>
      <c r="Z58" s="628">
        <f t="shared" si="5"/>
        <v>205000</v>
      </c>
      <c r="AA58" s="629"/>
      <c r="AB58" s="794"/>
      <c r="AC58" s="629">
        <f t="shared" si="6"/>
        <v>0.01</v>
      </c>
      <c r="AD58" s="630">
        <f t="shared" si="7"/>
        <v>0.02</v>
      </c>
      <c r="AE58" s="555">
        <f t="shared" si="8"/>
        <v>0</v>
      </c>
      <c r="AF58" s="629">
        <f t="shared" ref="AF58:AF93" si="40">+N58</f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721" t="s">
        <v>8315</v>
      </c>
      <c r="C59" s="771">
        <v>521801</v>
      </c>
      <c r="D59" s="771">
        <v>2201</v>
      </c>
      <c r="E59" s="771" t="s">
        <v>704</v>
      </c>
      <c r="F59" s="546">
        <v>2017</v>
      </c>
      <c r="G59" s="659">
        <v>43095</v>
      </c>
      <c r="H59" s="655" t="s">
        <v>6820</v>
      </c>
      <c r="I59" s="655" t="s">
        <v>8607</v>
      </c>
      <c r="J59" s="712"/>
      <c r="K59" s="655" t="s">
        <v>8759</v>
      </c>
      <c r="L59" s="655" t="s">
        <v>8910</v>
      </c>
      <c r="M59" s="660">
        <v>195948.28</v>
      </c>
      <c r="N59" s="660">
        <v>0</v>
      </c>
      <c r="O59" s="660">
        <v>31351.72</v>
      </c>
      <c r="P59" s="660">
        <v>227300</v>
      </c>
      <c r="Q59" s="548"/>
      <c r="R59" s="660">
        <v>185980.79</v>
      </c>
      <c r="S59" s="549">
        <f t="shared" si="32"/>
        <v>41319.209999999992</v>
      </c>
      <c r="T59" s="113" t="s">
        <v>1932</v>
      </c>
      <c r="U59" s="626" t="str">
        <f t="shared" si="1"/>
        <v>AA12665</v>
      </c>
      <c r="V59" s="627" t="str">
        <f t="shared" si="2"/>
        <v>2011-TCN17</v>
      </c>
      <c r="W59" s="626">
        <f t="shared" si="3"/>
        <v>521801</v>
      </c>
      <c r="X59" s="626" t="str">
        <f t="shared" si="4"/>
        <v>AVANZA HI 5MT</v>
      </c>
      <c r="Y59" s="627">
        <f t="shared" si="4"/>
        <v>2017</v>
      </c>
      <c r="Z59" s="628">
        <f t="shared" si="5"/>
        <v>195948.28</v>
      </c>
      <c r="AA59" s="725">
        <f>+Z59+Z58</f>
        <v>400948.28</v>
      </c>
      <c r="AB59" s="816">
        <v>2</v>
      </c>
      <c r="AC59" s="629">
        <f t="shared" si="6"/>
        <v>0.01</v>
      </c>
      <c r="AD59" s="630">
        <f t="shared" si="7"/>
        <v>0.02</v>
      </c>
      <c r="AE59" s="629">
        <f t="shared" si="8"/>
        <v>0</v>
      </c>
      <c r="AF59" s="629">
        <f t="shared" si="40"/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721" t="s">
        <v>8346</v>
      </c>
      <c r="C60" s="771">
        <v>521802</v>
      </c>
      <c r="D60" s="771">
        <v>2204</v>
      </c>
      <c r="E60" s="771" t="s">
        <v>705</v>
      </c>
      <c r="F60" s="546">
        <v>2018</v>
      </c>
      <c r="G60" s="659">
        <v>43097</v>
      </c>
      <c r="H60" s="655" t="s">
        <v>6277</v>
      </c>
      <c r="I60" s="655" t="s">
        <v>8619</v>
      </c>
      <c r="J60" s="712"/>
      <c r="K60" s="655" t="s">
        <v>8765</v>
      </c>
      <c r="L60" s="655" t="s">
        <v>8922</v>
      </c>
      <c r="M60" s="660">
        <v>232417.21</v>
      </c>
      <c r="N60" s="660">
        <v>2324.17</v>
      </c>
      <c r="O60" s="660">
        <v>37558.620000000003</v>
      </c>
      <c r="P60" s="660">
        <v>272300</v>
      </c>
      <c r="Q60" s="548"/>
      <c r="R60" s="660">
        <v>210300.79</v>
      </c>
      <c r="S60" s="549">
        <f t="shared" si="32"/>
        <v>61999.209999999992</v>
      </c>
      <c r="T60" s="113" t="s">
        <v>1932</v>
      </c>
      <c r="U60" s="626" t="str">
        <f t="shared" si="1"/>
        <v>AA12705</v>
      </c>
      <c r="V60" s="627" t="str">
        <f t="shared" si="2"/>
        <v>0161-TCN18</v>
      </c>
      <c r="W60" s="626">
        <f t="shared" si="3"/>
        <v>521802</v>
      </c>
      <c r="X60" s="626" t="str">
        <f t="shared" si="4"/>
        <v>AVANZA LIMITED</v>
      </c>
      <c r="Y60" s="627">
        <f t="shared" si="4"/>
        <v>2018</v>
      </c>
      <c r="Z60" s="628">
        <f t="shared" si="5"/>
        <v>232417.21</v>
      </c>
      <c r="AA60" s="629"/>
      <c r="AB60" s="794"/>
      <c r="AC60" s="779">
        <f t="shared" si="6"/>
        <v>0.01</v>
      </c>
      <c r="AD60" s="726">
        <f t="shared" si="7"/>
        <v>0.02</v>
      </c>
      <c r="AE60" s="727">
        <f t="shared" si="8"/>
        <v>0</v>
      </c>
      <c r="AF60" s="725">
        <f t="shared" si="40"/>
        <v>2324.17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721" t="s">
        <v>8341</v>
      </c>
      <c r="C61" s="771">
        <v>521802</v>
      </c>
      <c r="D61" s="771">
        <v>2204</v>
      </c>
      <c r="E61" s="771" t="s">
        <v>705</v>
      </c>
      <c r="F61" s="546">
        <v>2018</v>
      </c>
      <c r="G61" s="659">
        <v>43091</v>
      </c>
      <c r="H61" s="655" t="s">
        <v>8843</v>
      </c>
      <c r="I61" s="655" t="s">
        <v>8621</v>
      </c>
      <c r="J61" s="712"/>
      <c r="K61" s="655" t="s">
        <v>8767</v>
      </c>
      <c r="L61" s="655" t="s">
        <v>8924</v>
      </c>
      <c r="M61" s="660">
        <v>232417.21</v>
      </c>
      <c r="N61" s="660">
        <v>2324.17</v>
      </c>
      <c r="O61" s="660">
        <v>37558.620000000003</v>
      </c>
      <c r="P61" s="660">
        <v>272300</v>
      </c>
      <c r="Q61" s="548"/>
      <c r="R61" s="660">
        <v>210300.79</v>
      </c>
      <c r="S61" s="549">
        <f t="shared" si="32"/>
        <v>61999.209999999992</v>
      </c>
      <c r="T61" s="113" t="s">
        <v>1932</v>
      </c>
      <c r="U61" s="626" t="str">
        <f t="shared" si="1"/>
        <v>AA12652</v>
      </c>
      <c r="V61" s="627" t="str">
        <f t="shared" si="2"/>
        <v>0278-TCN18</v>
      </c>
      <c r="W61" s="626">
        <f t="shared" si="3"/>
        <v>521802</v>
      </c>
      <c r="X61" s="626" t="str">
        <f t="shared" si="4"/>
        <v>AVANZA LIMITED</v>
      </c>
      <c r="Y61" s="627">
        <f t="shared" si="4"/>
        <v>2018</v>
      </c>
      <c r="Z61" s="628">
        <f t="shared" si="5"/>
        <v>232417.21</v>
      </c>
      <c r="AA61" s="624">
        <f>+Z61+Z60</f>
        <v>464834.42</v>
      </c>
      <c r="AB61" s="809">
        <v>2</v>
      </c>
      <c r="AC61" s="629">
        <f t="shared" si="6"/>
        <v>0.01</v>
      </c>
      <c r="AD61" s="630">
        <f t="shared" si="7"/>
        <v>0.02</v>
      </c>
      <c r="AE61" s="629">
        <f t="shared" si="8"/>
        <v>0</v>
      </c>
      <c r="AF61" s="629">
        <f t="shared" si="40"/>
        <v>2324.17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721" t="s">
        <v>8318</v>
      </c>
      <c r="C62" s="771">
        <v>521802</v>
      </c>
      <c r="D62" s="771">
        <v>2202</v>
      </c>
      <c r="E62" s="771" t="s">
        <v>703</v>
      </c>
      <c r="F62" s="546">
        <v>2018</v>
      </c>
      <c r="G62" s="659">
        <v>43077</v>
      </c>
      <c r="H62" s="655" t="s">
        <v>774</v>
      </c>
      <c r="I62" s="655" t="s">
        <v>8610</v>
      </c>
      <c r="J62" s="712"/>
      <c r="K62" s="655" t="s">
        <v>8760</v>
      </c>
      <c r="L62" s="655" t="s">
        <v>8913</v>
      </c>
      <c r="M62" s="660">
        <v>209568.97</v>
      </c>
      <c r="N62" s="660">
        <v>0</v>
      </c>
      <c r="O62" s="660">
        <v>33531.03</v>
      </c>
      <c r="P62" s="660">
        <v>243100</v>
      </c>
      <c r="Q62" s="548"/>
      <c r="R62" s="660">
        <v>190091.86</v>
      </c>
      <c r="S62" s="549">
        <f t="shared" si="32"/>
        <v>53008.140000000014</v>
      </c>
      <c r="T62" s="113" t="s">
        <v>1932</v>
      </c>
      <c r="U62" s="626" t="str">
        <f t="shared" si="1"/>
        <v>AA12518</v>
      </c>
      <c r="V62" s="627" t="str">
        <f t="shared" si="2"/>
        <v>0288-TCN18</v>
      </c>
      <c r="W62" s="626">
        <f t="shared" si="3"/>
        <v>521802</v>
      </c>
      <c r="X62" s="626" t="str">
        <f t="shared" si="4"/>
        <v>AVANZA HI 4AT</v>
      </c>
      <c r="Y62" s="627">
        <f t="shared" si="4"/>
        <v>2018</v>
      </c>
      <c r="Z62" s="777">
        <f t="shared" si="5"/>
        <v>209568.97</v>
      </c>
      <c r="AA62" s="629"/>
      <c r="AB62" s="794"/>
      <c r="AC62" s="779">
        <f t="shared" si="6"/>
        <v>0.01</v>
      </c>
      <c r="AD62" s="726">
        <f t="shared" si="7"/>
        <v>0.02</v>
      </c>
      <c r="AE62" s="727">
        <f t="shared" si="8"/>
        <v>0</v>
      </c>
      <c r="AF62" s="727">
        <f t="shared" si="40"/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721" t="s">
        <v>8323</v>
      </c>
      <c r="C63" s="771">
        <v>521802</v>
      </c>
      <c r="D63" s="771">
        <v>2202</v>
      </c>
      <c r="E63" s="771" t="s">
        <v>703</v>
      </c>
      <c r="F63" s="546">
        <v>2018</v>
      </c>
      <c r="G63" s="659">
        <v>43097</v>
      </c>
      <c r="H63" s="655" t="s">
        <v>2214</v>
      </c>
      <c r="I63" s="655" t="s">
        <v>8612</v>
      </c>
      <c r="J63" s="712"/>
      <c r="K63" s="655" t="s">
        <v>8761</v>
      </c>
      <c r="L63" s="655" t="s">
        <v>8915</v>
      </c>
      <c r="M63" s="660">
        <v>209568.97</v>
      </c>
      <c r="N63" s="660">
        <v>0</v>
      </c>
      <c r="O63" s="660">
        <v>33531.03</v>
      </c>
      <c r="P63" s="660">
        <v>243100</v>
      </c>
      <c r="Q63" s="548"/>
      <c r="R63" s="660">
        <v>189738.38</v>
      </c>
      <c r="S63" s="549">
        <f t="shared" si="32"/>
        <v>53361.619999999995</v>
      </c>
      <c r="T63" s="113" t="s">
        <v>1932</v>
      </c>
      <c r="U63" s="626" t="str">
        <f t="shared" si="1"/>
        <v>AA12704</v>
      </c>
      <c r="V63" s="627" t="str">
        <f t="shared" si="2"/>
        <v>0319-TCN18</v>
      </c>
      <c r="W63" s="626">
        <f t="shared" si="3"/>
        <v>521802</v>
      </c>
      <c r="X63" s="626" t="str">
        <f t="shared" si="4"/>
        <v>AVANZA HI 4AT</v>
      </c>
      <c r="Y63" s="627">
        <f t="shared" si="4"/>
        <v>2018</v>
      </c>
      <c r="Z63" s="777">
        <f t="shared" si="5"/>
        <v>209568.97</v>
      </c>
      <c r="AA63" s="629">
        <f>+Z63+Z62</f>
        <v>419137.94</v>
      </c>
      <c r="AB63" s="814">
        <v>2</v>
      </c>
      <c r="AC63" s="779">
        <f t="shared" si="6"/>
        <v>0.01</v>
      </c>
      <c r="AD63" s="726">
        <f t="shared" si="7"/>
        <v>0.02</v>
      </c>
      <c r="AE63" s="727">
        <f t="shared" si="8"/>
        <v>0</v>
      </c>
      <c r="AF63" s="727">
        <f t="shared" si="40"/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721" t="s">
        <v>8331</v>
      </c>
      <c r="C64" s="771">
        <v>521802</v>
      </c>
      <c r="D64" s="771">
        <v>2204</v>
      </c>
      <c r="E64" s="771" t="s">
        <v>705</v>
      </c>
      <c r="F64" s="546">
        <v>2018</v>
      </c>
      <c r="G64" s="659">
        <v>43085</v>
      </c>
      <c r="H64" s="655" t="s">
        <v>8846</v>
      </c>
      <c r="I64" s="655" t="s">
        <v>8618</v>
      </c>
      <c r="J64" s="712"/>
      <c r="K64" s="655" t="s">
        <v>1137</v>
      </c>
      <c r="L64" s="655" t="s">
        <v>8921</v>
      </c>
      <c r="M64" s="660">
        <v>218189.66</v>
      </c>
      <c r="N64" s="660">
        <v>0</v>
      </c>
      <c r="O64" s="660">
        <v>34910.339999999997</v>
      </c>
      <c r="P64" s="660">
        <v>253100</v>
      </c>
      <c r="Q64" s="548"/>
      <c r="R64" s="660">
        <v>210656.28</v>
      </c>
      <c r="S64" s="549">
        <f t="shared" si="32"/>
        <v>42443.72</v>
      </c>
      <c r="T64" s="113" t="s">
        <v>1932</v>
      </c>
      <c r="U64" s="626" t="str">
        <f t="shared" si="1"/>
        <v>AA12576</v>
      </c>
      <c r="V64" s="627" t="str">
        <f t="shared" si="2"/>
        <v>0321-TCN18</v>
      </c>
      <c r="W64" s="626">
        <f t="shared" si="3"/>
        <v>521802</v>
      </c>
      <c r="X64" s="626" t="str">
        <f t="shared" si="4"/>
        <v>AVANZA LIMITED</v>
      </c>
      <c r="Y64" s="627">
        <f t="shared" si="4"/>
        <v>2018</v>
      </c>
      <c r="Z64" s="777">
        <f t="shared" si="5"/>
        <v>218189.66</v>
      </c>
      <c r="AA64" s="725"/>
      <c r="AB64" s="802"/>
      <c r="AC64" s="779">
        <f t="shared" si="6"/>
        <v>0.01</v>
      </c>
      <c r="AD64" s="726">
        <f t="shared" si="7"/>
        <v>0.02</v>
      </c>
      <c r="AE64" s="727">
        <f t="shared" si="8"/>
        <v>0</v>
      </c>
      <c r="AF64" s="727">
        <f t="shared" si="40"/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721" t="s">
        <v>8335</v>
      </c>
      <c r="C65" s="771">
        <v>521802</v>
      </c>
      <c r="D65" s="771">
        <v>2204</v>
      </c>
      <c r="E65" s="771" t="s">
        <v>705</v>
      </c>
      <c r="F65" s="546">
        <v>2018</v>
      </c>
      <c r="G65" s="659">
        <v>43088</v>
      </c>
      <c r="H65" s="655" t="s">
        <v>810</v>
      </c>
      <c r="I65" s="655" t="s">
        <v>8620</v>
      </c>
      <c r="J65" s="712"/>
      <c r="K65" s="655" t="s">
        <v>8766</v>
      </c>
      <c r="L65" s="655" t="s">
        <v>8923</v>
      </c>
      <c r="M65" s="660">
        <v>232417.21</v>
      </c>
      <c r="N65" s="660">
        <v>2324.17</v>
      </c>
      <c r="O65" s="660">
        <v>37558.620000000003</v>
      </c>
      <c r="P65" s="660">
        <v>272300</v>
      </c>
      <c r="Q65" s="548"/>
      <c r="R65" s="660">
        <v>181600.24</v>
      </c>
      <c r="S65" s="549">
        <f t="shared" si="32"/>
        <v>90699.760000000009</v>
      </c>
      <c r="T65" s="113" t="s">
        <v>1932</v>
      </c>
      <c r="U65" s="626" t="str">
        <f t="shared" si="1"/>
        <v>AA12601</v>
      </c>
      <c r="V65" s="627" t="str">
        <f t="shared" si="2"/>
        <v>0335-TCN18</v>
      </c>
      <c r="W65" s="626">
        <f t="shared" si="3"/>
        <v>521802</v>
      </c>
      <c r="X65" s="626" t="str">
        <f t="shared" si="4"/>
        <v>AVANZA LIMITED</v>
      </c>
      <c r="Y65" s="627">
        <f t="shared" si="4"/>
        <v>2018</v>
      </c>
      <c r="Z65" s="777">
        <f t="shared" si="5"/>
        <v>232417.21</v>
      </c>
      <c r="AA65" s="629"/>
      <c r="AB65" s="794"/>
      <c r="AC65" s="779">
        <f t="shared" si="6"/>
        <v>0.01</v>
      </c>
      <c r="AD65" s="726">
        <f t="shared" si="7"/>
        <v>0.02</v>
      </c>
      <c r="AE65" s="555">
        <f t="shared" si="8"/>
        <v>0</v>
      </c>
      <c r="AF65" s="629">
        <f t="shared" ref="AF65:AF66" si="41">IF(Z65&lt;281240.78,(((Z65-AC65)*AD65+AE65)/2),(Z65-AC65)*AD65+AE65)</f>
        <v>2324.172</v>
      </c>
      <c r="AG65" s="555">
        <f t="shared" si="10"/>
        <v>-1.9999999999527063E-3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721" t="s">
        <v>8344</v>
      </c>
      <c r="C66" s="771">
        <v>521802</v>
      </c>
      <c r="D66" s="771">
        <v>2204</v>
      </c>
      <c r="E66" s="771" t="s">
        <v>705</v>
      </c>
      <c r="F66" s="546">
        <v>2018</v>
      </c>
      <c r="G66" s="659">
        <v>43095</v>
      </c>
      <c r="H66" s="655" t="s">
        <v>1211</v>
      </c>
      <c r="I66" s="655" t="s">
        <v>8623</v>
      </c>
      <c r="J66" s="712"/>
      <c r="K66" s="655" t="s">
        <v>8769</v>
      </c>
      <c r="L66" s="655" t="s">
        <v>8926</v>
      </c>
      <c r="M66" s="660">
        <v>232417.21</v>
      </c>
      <c r="N66" s="660">
        <v>2324.17</v>
      </c>
      <c r="O66" s="660">
        <v>37558.620000000003</v>
      </c>
      <c r="P66" s="660">
        <v>272300</v>
      </c>
      <c r="Q66" s="548"/>
      <c r="R66" s="660">
        <v>210300.79</v>
      </c>
      <c r="S66" s="549">
        <f t="shared" si="32"/>
        <v>61999.209999999992</v>
      </c>
      <c r="T66" s="113" t="s">
        <v>1932</v>
      </c>
      <c r="U66" s="626" t="str">
        <f t="shared" si="1"/>
        <v>AA12677</v>
      </c>
      <c r="V66" s="627" t="str">
        <f t="shared" si="2"/>
        <v>0357-TCN18</v>
      </c>
      <c r="W66" s="626">
        <f t="shared" si="3"/>
        <v>521802</v>
      </c>
      <c r="X66" s="626" t="str">
        <f t="shared" si="4"/>
        <v>AVANZA LIMITED</v>
      </c>
      <c r="Y66" s="627">
        <f t="shared" si="4"/>
        <v>2018</v>
      </c>
      <c r="Z66" s="777">
        <f t="shared" si="5"/>
        <v>232417.21</v>
      </c>
      <c r="AA66" s="629"/>
      <c r="AB66" s="794"/>
      <c r="AC66" s="780">
        <f t="shared" si="6"/>
        <v>0.01</v>
      </c>
      <c r="AD66" s="630">
        <f t="shared" si="7"/>
        <v>0.02</v>
      </c>
      <c r="AE66" s="555">
        <f t="shared" si="8"/>
        <v>0</v>
      </c>
      <c r="AF66" s="629">
        <f t="shared" si="41"/>
        <v>2324.172</v>
      </c>
      <c r="AG66" s="555">
        <f t="shared" si="10"/>
        <v>-1.9999999999527063E-3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721" t="s">
        <v>8324</v>
      </c>
      <c r="C67" s="771">
        <v>521802</v>
      </c>
      <c r="D67" s="771">
        <v>2202</v>
      </c>
      <c r="E67" s="771" t="s">
        <v>703</v>
      </c>
      <c r="F67" s="546">
        <v>2018</v>
      </c>
      <c r="G67" s="659">
        <v>43097</v>
      </c>
      <c r="H67" s="655" t="s">
        <v>7761</v>
      </c>
      <c r="I67" s="655" t="s">
        <v>8613</v>
      </c>
      <c r="J67" s="712"/>
      <c r="K67" s="655" t="s">
        <v>8762</v>
      </c>
      <c r="L67" s="655" t="s">
        <v>8916</v>
      </c>
      <c r="M67" s="660">
        <v>209568.97</v>
      </c>
      <c r="N67" s="660">
        <v>0</v>
      </c>
      <c r="O67" s="660">
        <v>33531.03</v>
      </c>
      <c r="P67" s="660">
        <v>243100</v>
      </c>
      <c r="Q67" s="548"/>
      <c r="R67" s="660">
        <v>189737.38</v>
      </c>
      <c r="S67" s="549">
        <f t="shared" si="32"/>
        <v>53362.619999999995</v>
      </c>
      <c r="T67" s="113" t="s">
        <v>1932</v>
      </c>
      <c r="U67" s="626" t="str">
        <f t="shared" si="1"/>
        <v>AA12711</v>
      </c>
      <c r="V67" s="627" t="str">
        <f t="shared" si="2"/>
        <v>0364-TCN18</v>
      </c>
      <c r="W67" s="626">
        <f t="shared" si="3"/>
        <v>521802</v>
      </c>
      <c r="X67" s="626" t="str">
        <f t="shared" si="4"/>
        <v>AVANZA HI 4AT</v>
      </c>
      <c r="Y67" s="627">
        <f t="shared" si="4"/>
        <v>2018</v>
      </c>
      <c r="Z67" s="777">
        <f t="shared" si="5"/>
        <v>209568.97</v>
      </c>
      <c r="AA67" s="624"/>
      <c r="AB67" s="809"/>
      <c r="AC67" s="780">
        <f t="shared" si="6"/>
        <v>0.01</v>
      </c>
      <c r="AD67" s="630">
        <f t="shared" si="7"/>
        <v>0.02</v>
      </c>
      <c r="AE67" s="555">
        <f t="shared" si="8"/>
        <v>0</v>
      </c>
      <c r="AF67" s="555">
        <f t="shared" si="40"/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721" t="s">
        <v>8337</v>
      </c>
      <c r="C68" s="655">
        <v>521802</v>
      </c>
      <c r="D68" s="771">
        <v>2204</v>
      </c>
      <c r="E68" s="771" t="s">
        <v>705</v>
      </c>
      <c r="F68" s="546">
        <v>2018</v>
      </c>
      <c r="G68" s="659">
        <v>43091</v>
      </c>
      <c r="H68" s="655" t="s">
        <v>6880</v>
      </c>
      <c r="I68" s="655" t="s">
        <v>8622</v>
      </c>
      <c r="J68" s="712"/>
      <c r="K68" s="655" t="s">
        <v>8768</v>
      </c>
      <c r="L68" s="655" t="s">
        <v>8925</v>
      </c>
      <c r="M68" s="660">
        <v>232417.21</v>
      </c>
      <c r="N68" s="660">
        <v>2324.17</v>
      </c>
      <c r="O68" s="660">
        <v>37558.620000000003</v>
      </c>
      <c r="P68" s="660">
        <v>272300</v>
      </c>
      <c r="Q68" s="548"/>
      <c r="R68" s="660">
        <v>210300.79</v>
      </c>
      <c r="S68" s="549">
        <f t="shared" si="32"/>
        <v>61999.209999999992</v>
      </c>
      <c r="T68" s="113" t="s">
        <v>1932</v>
      </c>
      <c r="U68" s="626" t="str">
        <f t="shared" si="1"/>
        <v>AA12653</v>
      </c>
      <c r="V68" s="627" t="str">
        <f t="shared" si="2"/>
        <v>0153-TCN18</v>
      </c>
      <c r="W68" s="626">
        <f t="shared" si="3"/>
        <v>521802</v>
      </c>
      <c r="X68" s="626" t="str">
        <f t="shared" si="4"/>
        <v>AVANZA LIMITED</v>
      </c>
      <c r="Y68" s="627">
        <f t="shared" si="4"/>
        <v>2018</v>
      </c>
      <c r="Z68" s="777">
        <f t="shared" si="5"/>
        <v>232417.21</v>
      </c>
      <c r="AA68" s="725"/>
      <c r="AB68" s="802"/>
      <c r="AC68" s="780">
        <f t="shared" si="6"/>
        <v>0.01</v>
      </c>
      <c r="AD68" s="630">
        <f t="shared" si="7"/>
        <v>0.02</v>
      </c>
      <c r="AE68" s="555">
        <f t="shared" si="8"/>
        <v>0</v>
      </c>
      <c r="AF68" s="555">
        <f t="shared" si="40"/>
        <v>2324.17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721" t="s">
        <v>8328</v>
      </c>
      <c r="C69" s="655">
        <v>521802</v>
      </c>
      <c r="D69" s="771">
        <v>2204</v>
      </c>
      <c r="E69" s="771" t="s">
        <v>705</v>
      </c>
      <c r="F69" s="546">
        <v>2018</v>
      </c>
      <c r="G69" s="659">
        <v>43084</v>
      </c>
      <c r="H69" s="655" t="s">
        <v>3694</v>
      </c>
      <c r="I69" s="655" t="s">
        <v>8617</v>
      </c>
      <c r="J69" s="712"/>
      <c r="K69" s="655" t="s">
        <v>8764</v>
      </c>
      <c r="L69" s="655" t="s">
        <v>8920</v>
      </c>
      <c r="M69" s="660">
        <v>232417.21</v>
      </c>
      <c r="N69" s="660">
        <v>2324.17</v>
      </c>
      <c r="O69" s="660">
        <v>37558.620000000003</v>
      </c>
      <c r="P69" s="660">
        <v>272300</v>
      </c>
      <c r="Q69" s="548"/>
      <c r="R69" s="660">
        <v>210300.79</v>
      </c>
      <c r="S69" s="549">
        <f t="shared" si="32"/>
        <v>61999.209999999992</v>
      </c>
      <c r="T69" s="267" t="s">
        <v>1932</v>
      </c>
      <c r="U69" s="626" t="str">
        <f t="shared" si="1"/>
        <v>AA12562</v>
      </c>
      <c r="V69" s="627" t="str">
        <f t="shared" si="2"/>
        <v>0162-TCN18</v>
      </c>
      <c r="W69" s="626">
        <f t="shared" si="3"/>
        <v>521802</v>
      </c>
      <c r="X69" s="626" t="str">
        <f t="shared" si="4"/>
        <v>AVANZA LIMITED</v>
      </c>
      <c r="Y69" s="627">
        <f t="shared" si="4"/>
        <v>2018</v>
      </c>
      <c r="Z69" s="777">
        <f t="shared" si="5"/>
        <v>232417.21</v>
      </c>
      <c r="AA69" s="629"/>
      <c r="AB69" s="794"/>
      <c r="AC69" s="780">
        <f t="shared" si="6"/>
        <v>0.01</v>
      </c>
      <c r="AD69" s="630">
        <f t="shared" si="7"/>
        <v>0.02</v>
      </c>
      <c r="AE69" s="555">
        <f t="shared" si="8"/>
        <v>0</v>
      </c>
      <c r="AF69" s="629">
        <f t="shared" si="40"/>
        <v>2324.17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721" t="s">
        <v>8327</v>
      </c>
      <c r="C70" s="655">
        <v>521802</v>
      </c>
      <c r="D70" s="771">
        <v>2204</v>
      </c>
      <c r="E70" s="771" t="s">
        <v>705</v>
      </c>
      <c r="F70" s="546">
        <v>2018</v>
      </c>
      <c r="G70" s="659">
        <v>43074</v>
      </c>
      <c r="H70" s="655" t="s">
        <v>8842</v>
      </c>
      <c r="I70" s="655" t="s">
        <v>8616</v>
      </c>
      <c r="J70" s="712"/>
      <c r="K70" s="655" t="s">
        <v>8763</v>
      </c>
      <c r="L70" s="655" t="s">
        <v>8919</v>
      </c>
      <c r="M70" s="660">
        <v>232417.21</v>
      </c>
      <c r="N70" s="660">
        <v>2324.17</v>
      </c>
      <c r="O70" s="660">
        <v>37558.620000000003</v>
      </c>
      <c r="P70" s="660">
        <v>272300</v>
      </c>
      <c r="Q70" s="548"/>
      <c r="R70" s="660">
        <v>210300.79</v>
      </c>
      <c r="S70" s="549">
        <f t="shared" ref="S70:S101" si="42">+P70-R70</f>
        <v>61999.209999999992</v>
      </c>
      <c r="T70" s="113" t="s">
        <v>1932</v>
      </c>
      <c r="U70" s="626" t="str">
        <f t="shared" si="1"/>
        <v>AA12494</v>
      </c>
      <c r="V70" s="627" t="str">
        <f t="shared" si="2"/>
        <v>0270-TCN18</v>
      </c>
      <c r="W70" s="626">
        <f t="shared" si="3"/>
        <v>521802</v>
      </c>
      <c r="X70" s="626" t="str">
        <f t="shared" si="4"/>
        <v>AVANZA LIMITED</v>
      </c>
      <c r="Y70" s="627">
        <f t="shared" si="4"/>
        <v>2018</v>
      </c>
      <c r="Z70" s="777">
        <f t="shared" si="5"/>
        <v>232417.21</v>
      </c>
      <c r="AA70" s="629">
        <f>+SUM(Z64:Z70)</f>
        <v>1589844.68</v>
      </c>
      <c r="AB70" s="794">
        <v>7</v>
      </c>
      <c r="AC70" s="780">
        <f t="shared" si="6"/>
        <v>0.01</v>
      </c>
      <c r="AD70" s="630">
        <f t="shared" si="7"/>
        <v>0.02</v>
      </c>
      <c r="AE70" s="555">
        <f t="shared" si="8"/>
        <v>0</v>
      </c>
      <c r="AF70" s="629">
        <f t="shared" si="40"/>
        <v>2324.17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721" t="s">
        <v>8410</v>
      </c>
      <c r="C71" s="771">
        <v>521907</v>
      </c>
      <c r="D71" s="771">
        <v>6981</v>
      </c>
      <c r="E71" s="771" t="s">
        <v>2952</v>
      </c>
      <c r="F71" s="546">
        <v>2017</v>
      </c>
      <c r="G71" s="659">
        <v>43085</v>
      </c>
      <c r="H71" s="655" t="s">
        <v>2214</v>
      </c>
      <c r="I71" s="655" t="s">
        <v>8657</v>
      </c>
      <c r="J71" s="712"/>
      <c r="K71" s="655" t="s">
        <v>8785</v>
      </c>
      <c r="L71" s="655" t="s">
        <v>8960</v>
      </c>
      <c r="M71" s="660">
        <v>457505.83</v>
      </c>
      <c r="N71" s="660">
        <v>29476.93</v>
      </c>
      <c r="O71" s="660">
        <v>77917.240000000005</v>
      </c>
      <c r="P71" s="660">
        <v>564900</v>
      </c>
      <c r="Q71" s="548"/>
      <c r="R71" s="660">
        <v>405473.37</v>
      </c>
      <c r="S71" s="549">
        <f t="shared" si="42"/>
        <v>159426.63</v>
      </c>
      <c r="T71" s="113" t="s">
        <v>1932</v>
      </c>
      <c r="U71" s="626" t="str">
        <f t="shared" ref="U71:U115" si="43">+B71</f>
        <v>AA12570</v>
      </c>
      <c r="V71" s="627" t="str">
        <f t="shared" ref="V71:V93" si="44">+I71</f>
        <v>2007-TCN17</v>
      </c>
      <c r="W71" s="626">
        <f t="shared" ref="W71:W93" si="45">+C71</f>
        <v>521907</v>
      </c>
      <c r="X71" s="626" t="str">
        <f t="shared" ref="X71:Y85" si="46">+E71</f>
        <v>HIGHLANDER LE</v>
      </c>
      <c r="Y71" s="627">
        <f t="shared" si="46"/>
        <v>2017</v>
      </c>
      <c r="Z71" s="777">
        <f t="shared" ref="Z71:Z93" si="47">+M71</f>
        <v>457505.83</v>
      </c>
      <c r="AA71" s="624">
        <f>+Z71</f>
        <v>457505.83</v>
      </c>
      <c r="AB71" s="809">
        <v>1</v>
      </c>
      <c r="AC71" s="780">
        <f t="shared" ref="AC71:AC93" si="48">VLOOKUP(Z71,TARIFA,1)</f>
        <v>443562.4</v>
      </c>
      <c r="AD71" s="630">
        <f t="shared" ref="AD71:AD93" si="49">VLOOKUP(Z71,TARIFA,4)</f>
        <v>0.17</v>
      </c>
      <c r="AE71" s="555">
        <f t="shared" ref="AE71:AE93" si="50">VLOOKUP(Z71,TARIFA,3)</f>
        <v>27106.55</v>
      </c>
      <c r="AF71" s="555">
        <f t="shared" si="40"/>
        <v>29476.93</v>
      </c>
      <c r="AG71" s="555">
        <f t="shared" ref="AG71:AG93" si="51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52">+A71+1</f>
        <v>67</v>
      </c>
      <c r="B72" s="721" t="s">
        <v>8409</v>
      </c>
      <c r="C72" s="771">
        <v>521908</v>
      </c>
      <c r="D72" s="771">
        <v>6980</v>
      </c>
      <c r="E72" s="771" t="s">
        <v>706</v>
      </c>
      <c r="F72" s="546">
        <v>2018</v>
      </c>
      <c r="G72" s="659">
        <v>43091</v>
      </c>
      <c r="H72" s="655" t="s">
        <v>7763</v>
      </c>
      <c r="I72" s="655" t="s">
        <v>8656</v>
      </c>
      <c r="J72" s="712"/>
      <c r="K72" s="655" t="s">
        <v>8784</v>
      </c>
      <c r="L72" s="655" t="s">
        <v>8959</v>
      </c>
      <c r="M72" s="660">
        <v>520355.81</v>
      </c>
      <c r="N72" s="660">
        <v>40161.43</v>
      </c>
      <c r="O72" s="660">
        <v>89682.76</v>
      </c>
      <c r="P72" s="660">
        <v>650200</v>
      </c>
      <c r="Q72" s="548"/>
      <c r="R72" s="660">
        <v>460968.54</v>
      </c>
      <c r="S72" s="549">
        <f t="shared" si="42"/>
        <v>189231.46000000002</v>
      </c>
      <c r="T72" s="113" t="s">
        <v>1932</v>
      </c>
      <c r="U72" s="626" t="str">
        <f t="shared" si="43"/>
        <v>AA12650</v>
      </c>
      <c r="V72" s="627" t="str">
        <f t="shared" si="44"/>
        <v>0355-TCN18</v>
      </c>
      <c r="W72" s="626">
        <f t="shared" si="45"/>
        <v>521908</v>
      </c>
      <c r="X72" s="626" t="str">
        <f t="shared" si="46"/>
        <v>HIGHLANDER  XLE</v>
      </c>
      <c r="Y72" s="627">
        <f t="shared" si="46"/>
        <v>2018</v>
      </c>
      <c r="Z72" s="777">
        <f t="shared" si="47"/>
        <v>520355.81</v>
      </c>
      <c r="AA72" s="725"/>
      <c r="AB72" s="802"/>
      <c r="AC72" s="779">
        <f t="shared" si="48"/>
        <v>443562.4</v>
      </c>
      <c r="AD72" s="726">
        <f t="shared" si="49"/>
        <v>0.17</v>
      </c>
      <c r="AE72" s="727">
        <f t="shared" si="50"/>
        <v>27106.55</v>
      </c>
      <c r="AF72" s="727">
        <f t="shared" si="40"/>
        <v>40161.43</v>
      </c>
      <c r="AG72" s="555">
        <f t="shared" si="51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52"/>
        <v>68</v>
      </c>
      <c r="B73" s="721" t="s">
        <v>8408</v>
      </c>
      <c r="C73" s="771">
        <v>521908</v>
      </c>
      <c r="D73" s="771">
        <v>6980</v>
      </c>
      <c r="E73" s="771" t="s">
        <v>706</v>
      </c>
      <c r="F73" s="546">
        <v>2017</v>
      </c>
      <c r="G73" s="659">
        <v>43088</v>
      </c>
      <c r="H73" s="655" t="s">
        <v>4285</v>
      </c>
      <c r="I73" s="655" t="s">
        <v>8655</v>
      </c>
      <c r="J73" s="712"/>
      <c r="K73" s="655" t="s">
        <v>8783</v>
      </c>
      <c r="L73" s="655" t="s">
        <v>8958</v>
      </c>
      <c r="M73" s="660">
        <v>487051.95</v>
      </c>
      <c r="N73" s="660">
        <v>34499.769999999997</v>
      </c>
      <c r="O73" s="660">
        <v>83448.28</v>
      </c>
      <c r="P73" s="660">
        <v>605000</v>
      </c>
      <c r="Q73" s="548"/>
      <c r="R73" s="660">
        <v>460548.22</v>
      </c>
      <c r="S73" s="549">
        <f t="shared" si="42"/>
        <v>144451.78000000003</v>
      </c>
      <c r="T73" s="113" t="s">
        <v>1932</v>
      </c>
      <c r="U73" s="626" t="str">
        <f t="shared" si="43"/>
        <v>AA12599</v>
      </c>
      <c r="V73" s="627" t="str">
        <f t="shared" si="44"/>
        <v>1883-TCN17</v>
      </c>
      <c r="W73" s="626">
        <f t="shared" si="45"/>
        <v>521908</v>
      </c>
      <c r="X73" s="626" t="str">
        <f t="shared" si="46"/>
        <v>HIGHLANDER  XLE</v>
      </c>
      <c r="Y73" s="627">
        <f t="shared" si="46"/>
        <v>2017</v>
      </c>
      <c r="Z73" s="777">
        <f t="shared" si="47"/>
        <v>487051.95</v>
      </c>
      <c r="AA73" s="629">
        <f>+Z73+Z72</f>
        <v>1007407.76</v>
      </c>
      <c r="AB73" s="794">
        <v>2</v>
      </c>
      <c r="AC73" s="779">
        <f t="shared" si="48"/>
        <v>443562.4</v>
      </c>
      <c r="AD73" s="726">
        <f t="shared" si="49"/>
        <v>0.17</v>
      </c>
      <c r="AE73" s="727">
        <f t="shared" si="50"/>
        <v>27106.55</v>
      </c>
      <c r="AF73" s="725">
        <f t="shared" si="40"/>
        <v>34499.769999999997</v>
      </c>
      <c r="AG73" s="555">
        <f t="shared" si="51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52"/>
        <v>69</v>
      </c>
      <c r="B74" s="721" t="s">
        <v>8417</v>
      </c>
      <c r="C74" s="771">
        <v>521909</v>
      </c>
      <c r="D74" s="771">
        <v>6987</v>
      </c>
      <c r="E74" s="771" t="s">
        <v>708</v>
      </c>
      <c r="F74" s="546">
        <v>2018</v>
      </c>
      <c r="G74" s="659">
        <v>43074</v>
      </c>
      <c r="H74" s="655" t="s">
        <v>3694</v>
      </c>
      <c r="I74" s="655" t="s">
        <v>8660</v>
      </c>
      <c r="J74" s="712"/>
      <c r="K74" s="655" t="s">
        <v>8788</v>
      </c>
      <c r="L74" s="655" t="s">
        <v>8963</v>
      </c>
      <c r="M74" s="660">
        <v>566627.55000000005</v>
      </c>
      <c r="N74" s="660">
        <v>48027.62</v>
      </c>
      <c r="O74" s="660">
        <v>98344.83</v>
      </c>
      <c r="P74" s="660">
        <v>713000</v>
      </c>
      <c r="Q74" s="548"/>
      <c r="R74" s="660">
        <v>501687.66</v>
      </c>
      <c r="S74" s="549">
        <f t="shared" si="42"/>
        <v>211312.34000000003</v>
      </c>
      <c r="T74" s="267" t="s">
        <v>1932</v>
      </c>
      <c r="U74" s="626" t="str">
        <f t="shared" si="43"/>
        <v>AA12492</v>
      </c>
      <c r="V74" s="627" t="str">
        <f t="shared" si="44"/>
        <v>0286-TCN18</v>
      </c>
      <c r="W74" s="626">
        <f t="shared" si="45"/>
        <v>521909</v>
      </c>
      <c r="X74" s="626" t="str">
        <f t="shared" si="46"/>
        <v>HIGHLANDER LIMITED PANORAMIC ROOF</v>
      </c>
      <c r="Y74" s="627">
        <f t="shared" si="46"/>
        <v>2018</v>
      </c>
      <c r="Z74" s="777">
        <f t="shared" si="47"/>
        <v>566627.55000000005</v>
      </c>
      <c r="AA74" s="624"/>
      <c r="AB74" s="809"/>
      <c r="AC74" s="779">
        <f t="shared" si="48"/>
        <v>443562.4</v>
      </c>
      <c r="AD74" s="726">
        <f t="shared" si="49"/>
        <v>0.17</v>
      </c>
      <c r="AE74" s="727">
        <f t="shared" si="50"/>
        <v>27106.55</v>
      </c>
      <c r="AF74" s="727">
        <f t="shared" si="40"/>
        <v>48027.62</v>
      </c>
      <c r="AG74" s="555">
        <f t="shared" si="51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52"/>
        <v>70</v>
      </c>
      <c r="B75" s="721" t="s">
        <v>8415</v>
      </c>
      <c r="C75" s="771">
        <v>521909</v>
      </c>
      <c r="D75" s="771">
        <v>6986</v>
      </c>
      <c r="E75" s="771" t="s">
        <v>707</v>
      </c>
      <c r="F75" s="546">
        <v>2018</v>
      </c>
      <c r="G75" s="659">
        <v>43097</v>
      </c>
      <c r="H75" s="655" t="s">
        <v>774</v>
      </c>
      <c r="I75" s="655" t="s">
        <v>8658</v>
      </c>
      <c r="J75" s="712"/>
      <c r="K75" s="655" t="s">
        <v>8786</v>
      </c>
      <c r="L75" s="655" t="s">
        <v>8961</v>
      </c>
      <c r="M75" s="660">
        <v>583868.93000000005</v>
      </c>
      <c r="N75" s="660">
        <v>50958.66</v>
      </c>
      <c r="O75" s="660">
        <v>101572.41</v>
      </c>
      <c r="P75" s="660">
        <v>736400</v>
      </c>
      <c r="Q75" s="548"/>
      <c r="R75" s="660">
        <v>516504.6</v>
      </c>
      <c r="S75" s="549">
        <f t="shared" si="42"/>
        <v>219895.40000000002</v>
      </c>
      <c r="T75" s="113" t="s">
        <v>1932</v>
      </c>
      <c r="U75" s="626" t="str">
        <f t="shared" si="43"/>
        <v>AA12709</v>
      </c>
      <c r="V75" s="627" t="str">
        <f t="shared" si="44"/>
        <v>0306-TCN18</v>
      </c>
      <c r="W75" s="626">
        <f t="shared" si="45"/>
        <v>521909</v>
      </c>
      <c r="X75" s="626" t="str">
        <f t="shared" si="46"/>
        <v>HIGHLANDER LIMITED BLUE- RAY</v>
      </c>
      <c r="Y75" s="627">
        <f t="shared" si="46"/>
        <v>2018</v>
      </c>
      <c r="Z75" s="777">
        <f t="shared" si="47"/>
        <v>583868.93000000005</v>
      </c>
      <c r="AA75" s="629"/>
      <c r="AB75" s="794"/>
      <c r="AC75" s="779">
        <f t="shared" si="48"/>
        <v>443562.4</v>
      </c>
      <c r="AD75" s="726">
        <f t="shared" si="49"/>
        <v>0.17</v>
      </c>
      <c r="AE75" s="727">
        <f t="shared" si="50"/>
        <v>27106.55</v>
      </c>
      <c r="AF75" s="727">
        <f t="shared" si="40"/>
        <v>50958.66</v>
      </c>
      <c r="AG75" s="555">
        <f t="shared" si="51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52"/>
        <v>71</v>
      </c>
      <c r="B76" s="721" t="s">
        <v>8416</v>
      </c>
      <c r="C76" s="771">
        <v>521909</v>
      </c>
      <c r="D76" s="771">
        <v>6986</v>
      </c>
      <c r="E76" s="771" t="s">
        <v>707</v>
      </c>
      <c r="F76" s="546">
        <v>2018</v>
      </c>
      <c r="G76" s="659">
        <v>43097</v>
      </c>
      <c r="H76" s="655" t="s">
        <v>2214</v>
      </c>
      <c r="I76" s="655" t="s">
        <v>8659</v>
      </c>
      <c r="J76" s="712"/>
      <c r="K76" s="655" t="s">
        <v>8787</v>
      </c>
      <c r="L76" s="655" t="s">
        <v>8962</v>
      </c>
      <c r="M76" s="660">
        <v>583868.93000000005</v>
      </c>
      <c r="N76" s="660">
        <v>50958.66</v>
      </c>
      <c r="O76" s="660">
        <v>101572.41</v>
      </c>
      <c r="P76" s="660">
        <v>736400</v>
      </c>
      <c r="Q76" s="548"/>
      <c r="R76" s="660">
        <v>516860.1</v>
      </c>
      <c r="S76" s="549">
        <f t="shared" si="42"/>
        <v>219539.90000000002</v>
      </c>
      <c r="T76" s="113" t="s">
        <v>1932</v>
      </c>
      <c r="U76" s="626" t="str">
        <f t="shared" si="43"/>
        <v>AA12712</v>
      </c>
      <c r="V76" s="627" t="str">
        <f t="shared" si="44"/>
        <v>0354-TCN18</v>
      </c>
      <c r="W76" s="626">
        <f t="shared" si="45"/>
        <v>521909</v>
      </c>
      <c r="X76" s="626" t="str">
        <f t="shared" si="46"/>
        <v>HIGHLANDER LIMITED BLUE- RAY</v>
      </c>
      <c r="Y76" s="627">
        <f t="shared" si="46"/>
        <v>2018</v>
      </c>
      <c r="Z76" s="777">
        <f t="shared" si="47"/>
        <v>583868.93000000005</v>
      </c>
      <c r="AA76" s="629"/>
      <c r="AB76" s="794"/>
      <c r="AC76" s="779">
        <f t="shared" si="48"/>
        <v>443562.4</v>
      </c>
      <c r="AD76" s="726">
        <f t="shared" si="49"/>
        <v>0.17</v>
      </c>
      <c r="AE76" s="727">
        <f t="shared" si="50"/>
        <v>27106.55</v>
      </c>
      <c r="AF76" s="727">
        <f t="shared" si="40"/>
        <v>50958.66</v>
      </c>
      <c r="AG76" s="555">
        <f t="shared" si="51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52"/>
        <v>72</v>
      </c>
      <c r="B77" s="721" t="s">
        <v>8422</v>
      </c>
      <c r="C77" s="771">
        <v>521909</v>
      </c>
      <c r="D77" s="771">
        <v>6987</v>
      </c>
      <c r="E77" s="771" t="s">
        <v>708</v>
      </c>
      <c r="F77" s="546">
        <v>2017</v>
      </c>
      <c r="G77" s="659">
        <v>43083</v>
      </c>
      <c r="H77" s="655" t="s">
        <v>8844</v>
      </c>
      <c r="I77" s="655" t="s">
        <v>8662</v>
      </c>
      <c r="J77" s="712"/>
      <c r="K77" s="655" t="s">
        <v>8789</v>
      </c>
      <c r="L77" s="655" t="s">
        <v>8965</v>
      </c>
      <c r="M77" s="660">
        <v>540765.48</v>
      </c>
      <c r="N77" s="660">
        <v>43631.07</v>
      </c>
      <c r="O77" s="660">
        <v>93503.45</v>
      </c>
      <c r="P77" s="660">
        <v>677900</v>
      </c>
      <c r="Q77" s="548"/>
      <c r="R77" s="660">
        <v>501267.34</v>
      </c>
      <c r="S77" s="549">
        <f t="shared" si="42"/>
        <v>176632.65999999997</v>
      </c>
      <c r="T77" s="113" t="s">
        <v>1932</v>
      </c>
      <c r="U77" s="626" t="str">
        <f t="shared" si="43"/>
        <v>AA12551</v>
      </c>
      <c r="V77" s="627" t="str">
        <f t="shared" si="44"/>
        <v>1901-TCN17</v>
      </c>
      <c r="W77" s="626">
        <f t="shared" si="45"/>
        <v>521909</v>
      </c>
      <c r="X77" s="626" t="str">
        <f t="shared" si="46"/>
        <v>HIGHLANDER LIMITED PANORAMIC ROOF</v>
      </c>
      <c r="Y77" s="627">
        <f t="shared" si="46"/>
        <v>2017</v>
      </c>
      <c r="Z77" s="777">
        <f t="shared" si="47"/>
        <v>540765.48</v>
      </c>
      <c r="AA77" s="629">
        <f>+SUM(Z74:Z77)</f>
        <v>2275130.89</v>
      </c>
      <c r="AB77" s="794">
        <v>4</v>
      </c>
      <c r="AC77" s="779">
        <f t="shared" si="48"/>
        <v>443562.4</v>
      </c>
      <c r="AD77" s="726">
        <f t="shared" si="49"/>
        <v>0.17</v>
      </c>
      <c r="AE77" s="727">
        <f t="shared" si="50"/>
        <v>27106.55</v>
      </c>
      <c r="AF77" s="727">
        <f t="shared" si="40"/>
        <v>43631.07</v>
      </c>
      <c r="AG77" s="555">
        <f t="shared" si="51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52"/>
        <v>73</v>
      </c>
      <c r="B78" s="721" t="s">
        <v>8465</v>
      </c>
      <c r="C78" s="771">
        <v>1520104</v>
      </c>
      <c r="D78" s="771">
        <v>7493</v>
      </c>
      <c r="E78" s="771" t="s">
        <v>6945</v>
      </c>
      <c r="F78" s="546">
        <v>2018</v>
      </c>
      <c r="G78" s="659">
        <v>43099</v>
      </c>
      <c r="H78" s="655" t="s">
        <v>2215</v>
      </c>
      <c r="I78" s="655" t="s">
        <v>7711</v>
      </c>
      <c r="J78" s="712"/>
      <c r="K78" s="655" t="s">
        <v>3405</v>
      </c>
      <c r="L78" s="655" t="s">
        <v>7519</v>
      </c>
      <c r="M78" s="660">
        <v>253694.58</v>
      </c>
      <c r="N78" s="660">
        <v>12684.73</v>
      </c>
      <c r="O78" s="660">
        <v>42620.69</v>
      </c>
      <c r="P78" s="660">
        <v>309000</v>
      </c>
      <c r="Q78" s="548"/>
      <c r="R78" s="660">
        <v>232834.08</v>
      </c>
      <c r="S78" s="549">
        <f t="shared" si="42"/>
        <v>76165.920000000013</v>
      </c>
      <c r="T78" s="113" t="s">
        <v>1932</v>
      </c>
      <c r="U78" s="626" t="str">
        <f t="shared" si="43"/>
        <v>AA12738</v>
      </c>
      <c r="V78" s="627" t="str">
        <f t="shared" si="44"/>
        <v>0217-TCN18</v>
      </c>
      <c r="W78" s="626">
        <f t="shared" si="45"/>
        <v>1520104</v>
      </c>
      <c r="X78" s="626" t="str">
        <f t="shared" si="46"/>
        <v>HILUX CABINA SENCILLA 5MT 4X2 AC</v>
      </c>
      <c r="Y78" s="627">
        <f t="shared" si="46"/>
        <v>2018</v>
      </c>
      <c r="Z78" s="777">
        <f t="shared" si="47"/>
        <v>253694.58</v>
      </c>
      <c r="AA78" s="629"/>
      <c r="AB78" s="794"/>
      <c r="AC78" s="779">
        <f t="shared" si="48"/>
        <v>246423.66</v>
      </c>
      <c r="AD78" s="726">
        <f t="shared" si="49"/>
        <v>0.05</v>
      </c>
      <c r="AE78" s="727">
        <f t="shared" si="50"/>
        <v>4928.3900000000003</v>
      </c>
      <c r="AF78" s="727">
        <f t="shared" si="40"/>
        <v>12684.73</v>
      </c>
      <c r="AG78" s="555">
        <f t="shared" si="51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52"/>
        <v>74</v>
      </c>
      <c r="B79" s="721" t="s">
        <v>8476</v>
      </c>
      <c r="C79" s="771">
        <v>1520104</v>
      </c>
      <c r="D79" s="771">
        <v>7495</v>
      </c>
      <c r="E79" s="771" t="s">
        <v>718</v>
      </c>
      <c r="F79" s="546">
        <v>2018</v>
      </c>
      <c r="G79" s="659">
        <v>43071</v>
      </c>
      <c r="H79" s="655" t="s">
        <v>819</v>
      </c>
      <c r="I79" s="655" t="s">
        <v>8688</v>
      </c>
      <c r="J79" s="712"/>
      <c r="K79" s="655" t="s">
        <v>8804</v>
      </c>
      <c r="L79" s="655" t="s">
        <v>8991</v>
      </c>
      <c r="M79" s="660">
        <v>302298.84999999998</v>
      </c>
      <c r="N79" s="660">
        <v>15114.94</v>
      </c>
      <c r="O79" s="660">
        <v>50786.21</v>
      </c>
      <c r="P79" s="660">
        <v>368200</v>
      </c>
      <c r="Q79" s="548"/>
      <c r="R79" s="660">
        <v>267627.44</v>
      </c>
      <c r="S79" s="549">
        <f t="shared" si="42"/>
        <v>100572.56</v>
      </c>
      <c r="T79" s="113" t="s">
        <v>1932</v>
      </c>
      <c r="U79" s="626" t="str">
        <f t="shared" si="43"/>
        <v>AA12479</v>
      </c>
      <c r="V79" s="627" t="str">
        <f t="shared" si="44"/>
        <v>0248-TCN18</v>
      </c>
      <c r="W79" s="626">
        <f t="shared" si="45"/>
        <v>1520104</v>
      </c>
      <c r="X79" s="626" t="str">
        <f t="shared" si="46"/>
        <v>HILUX PICK UP D CAB SR A/C</v>
      </c>
      <c r="Y79" s="627">
        <f t="shared" si="46"/>
        <v>2018</v>
      </c>
      <c r="Z79" s="777">
        <f t="shared" si="47"/>
        <v>302298.84999999998</v>
      </c>
      <c r="AA79" s="629"/>
      <c r="AB79" s="794"/>
      <c r="AC79" s="779">
        <f t="shared" si="48"/>
        <v>295708.34000000003</v>
      </c>
      <c r="AD79" s="726">
        <f t="shared" si="49"/>
        <v>0.1</v>
      </c>
      <c r="AE79" s="727">
        <f t="shared" si="50"/>
        <v>7392.74</v>
      </c>
      <c r="AF79" s="727">
        <f t="shared" si="40"/>
        <v>15114.94</v>
      </c>
      <c r="AG79" s="555">
        <f t="shared" si="51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52"/>
        <v>75</v>
      </c>
      <c r="B80" s="721" t="s">
        <v>8489</v>
      </c>
      <c r="C80" s="771">
        <v>1520104</v>
      </c>
      <c r="D80" s="771">
        <v>7495</v>
      </c>
      <c r="E80" s="771" t="s">
        <v>718</v>
      </c>
      <c r="F80" s="546">
        <v>2018</v>
      </c>
      <c r="G80" s="659">
        <v>43087</v>
      </c>
      <c r="H80" s="655" t="s">
        <v>727</v>
      </c>
      <c r="I80" s="655" t="s">
        <v>8698</v>
      </c>
      <c r="J80" s="712"/>
      <c r="K80" s="655" t="s">
        <v>8811</v>
      </c>
      <c r="L80" s="655" t="s">
        <v>9001</v>
      </c>
      <c r="M80" s="660">
        <v>302298.84999999998</v>
      </c>
      <c r="N80" s="660">
        <v>15114.94</v>
      </c>
      <c r="O80" s="660">
        <v>50786.21</v>
      </c>
      <c r="P80" s="660">
        <v>368200</v>
      </c>
      <c r="Q80" s="548"/>
      <c r="R80" s="660">
        <v>267272.96000000002</v>
      </c>
      <c r="S80" s="549">
        <f t="shared" si="42"/>
        <v>100927.03999999998</v>
      </c>
      <c r="T80" s="113" t="s">
        <v>1932</v>
      </c>
      <c r="U80" s="626" t="str">
        <f t="shared" si="43"/>
        <v>AA12578</v>
      </c>
      <c r="V80" s="627" t="str">
        <f t="shared" si="44"/>
        <v>0257-TCN18</v>
      </c>
      <c r="W80" s="626">
        <f t="shared" si="45"/>
        <v>1520104</v>
      </c>
      <c r="X80" s="626" t="str">
        <f t="shared" si="46"/>
        <v>HILUX PICK UP D CAB SR A/C</v>
      </c>
      <c r="Y80" s="627">
        <f t="shared" si="46"/>
        <v>2018</v>
      </c>
      <c r="Z80" s="777">
        <f t="shared" si="47"/>
        <v>302298.84999999998</v>
      </c>
      <c r="AA80" s="725">
        <f>+Z80+Z79+Z78</f>
        <v>858292.27999999991</v>
      </c>
      <c r="AB80" s="812">
        <v>3</v>
      </c>
      <c r="AC80" s="780">
        <f t="shared" si="48"/>
        <v>295708.34000000003</v>
      </c>
      <c r="AD80" s="630">
        <f t="shared" si="49"/>
        <v>0.1</v>
      </c>
      <c r="AE80" s="555">
        <f t="shared" si="50"/>
        <v>7392.74</v>
      </c>
      <c r="AF80" s="555">
        <f t="shared" si="40"/>
        <v>15114.94</v>
      </c>
      <c r="AG80" s="555">
        <f t="shared" si="51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52"/>
        <v>76</v>
      </c>
      <c r="B81" s="721" t="s">
        <v>8466</v>
      </c>
      <c r="C81" s="771">
        <v>1520105</v>
      </c>
      <c r="D81" s="771">
        <v>7494</v>
      </c>
      <c r="E81" s="771" t="s">
        <v>712</v>
      </c>
      <c r="F81" s="546">
        <v>2018</v>
      </c>
      <c r="G81" s="659">
        <v>43088</v>
      </c>
      <c r="H81" s="655" t="s">
        <v>764</v>
      </c>
      <c r="I81" s="655" t="s">
        <v>7715</v>
      </c>
      <c r="J81" s="712"/>
      <c r="K81" s="655" t="s">
        <v>8802</v>
      </c>
      <c r="L81" s="655" t="s">
        <v>7523</v>
      </c>
      <c r="M81" s="660">
        <v>238587.85</v>
      </c>
      <c r="N81" s="660">
        <v>11929.39</v>
      </c>
      <c r="O81" s="660">
        <v>40082.76</v>
      </c>
      <c r="P81" s="660">
        <v>290600</v>
      </c>
      <c r="Q81" s="548"/>
      <c r="R81" s="660">
        <v>218704.67</v>
      </c>
      <c r="S81" s="549">
        <f t="shared" si="42"/>
        <v>71895.329999999987</v>
      </c>
      <c r="T81" s="113" t="s">
        <v>1932</v>
      </c>
      <c r="U81" s="722" t="str">
        <f t="shared" si="43"/>
        <v>AA12598</v>
      </c>
      <c r="V81" s="723" t="str">
        <f t="shared" si="44"/>
        <v>0240-TCN18</v>
      </c>
      <c r="W81" s="722">
        <f t="shared" si="45"/>
        <v>1520105</v>
      </c>
      <c r="X81" s="722" t="str">
        <f t="shared" si="46"/>
        <v>HILUX PICK UP CHASSIS CAB</v>
      </c>
      <c r="Y81" s="723">
        <f t="shared" si="46"/>
        <v>2018</v>
      </c>
      <c r="Z81" s="778">
        <f t="shared" si="47"/>
        <v>238587.85</v>
      </c>
      <c r="AA81" s="629"/>
      <c r="AB81" s="794"/>
      <c r="AC81" s="779">
        <f t="shared" si="48"/>
        <v>0.01</v>
      </c>
      <c r="AD81" s="726">
        <f t="shared" si="49"/>
        <v>0.02</v>
      </c>
      <c r="AE81" s="727">
        <f t="shared" si="50"/>
        <v>0</v>
      </c>
      <c r="AF81" s="725">
        <f t="shared" si="40"/>
        <v>11929.39</v>
      </c>
      <c r="AG81" s="727">
        <f t="shared" si="51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52"/>
        <v>77</v>
      </c>
      <c r="B82" s="721" t="s">
        <v>8469</v>
      </c>
      <c r="C82" s="771">
        <v>1520105</v>
      </c>
      <c r="D82" s="771">
        <v>7494</v>
      </c>
      <c r="E82" s="771" t="s">
        <v>712</v>
      </c>
      <c r="F82" s="546">
        <v>2018</v>
      </c>
      <c r="G82" s="659">
        <v>43090</v>
      </c>
      <c r="H82" s="655" t="s">
        <v>1211</v>
      </c>
      <c r="I82" s="655" t="s">
        <v>8683</v>
      </c>
      <c r="J82" s="712"/>
      <c r="K82" s="655" t="s">
        <v>8800</v>
      </c>
      <c r="L82" s="655" t="s">
        <v>8986</v>
      </c>
      <c r="M82" s="660">
        <v>238587.85</v>
      </c>
      <c r="N82" s="660">
        <v>11929.39</v>
      </c>
      <c r="O82" s="660">
        <v>40082.76</v>
      </c>
      <c r="P82" s="660">
        <v>290600</v>
      </c>
      <c r="Q82" s="548"/>
      <c r="R82" s="660">
        <v>219060.16</v>
      </c>
      <c r="S82" s="549">
        <f t="shared" si="42"/>
        <v>71539.839999999997</v>
      </c>
      <c r="T82" s="113" t="s">
        <v>1932</v>
      </c>
      <c r="U82" s="722" t="str">
        <f t="shared" si="43"/>
        <v>AA12625</v>
      </c>
      <c r="V82" s="723" t="str">
        <f t="shared" si="44"/>
        <v>0345-TCN18</v>
      </c>
      <c r="W82" s="722">
        <f t="shared" si="45"/>
        <v>1520105</v>
      </c>
      <c r="X82" s="722" t="str">
        <f t="shared" si="46"/>
        <v>HILUX PICK UP CHASSIS CAB</v>
      </c>
      <c r="Y82" s="723">
        <f t="shared" si="46"/>
        <v>2018</v>
      </c>
      <c r="Z82" s="778">
        <f t="shared" si="47"/>
        <v>238587.85</v>
      </c>
      <c r="AA82" s="629"/>
      <c r="AB82" s="794"/>
      <c r="AC82" s="779">
        <f t="shared" si="48"/>
        <v>0.01</v>
      </c>
      <c r="AD82" s="726">
        <f t="shared" si="49"/>
        <v>0.02</v>
      </c>
      <c r="AE82" s="727">
        <f t="shared" si="50"/>
        <v>0</v>
      </c>
      <c r="AF82" s="725">
        <f t="shared" si="40"/>
        <v>11929.39</v>
      </c>
      <c r="AG82" s="727">
        <f t="shared" si="51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351" customFormat="1" x14ac:dyDescent="0.2">
      <c r="A83" s="423">
        <f t="shared" si="52"/>
        <v>78</v>
      </c>
      <c r="B83" s="721" t="s">
        <v>8473</v>
      </c>
      <c r="C83" s="771">
        <v>1520105</v>
      </c>
      <c r="D83" s="771">
        <v>7494</v>
      </c>
      <c r="E83" s="771" t="s">
        <v>712</v>
      </c>
      <c r="F83" s="546">
        <v>2018</v>
      </c>
      <c r="G83" s="659">
        <v>43097</v>
      </c>
      <c r="H83" s="655" t="s">
        <v>727</v>
      </c>
      <c r="I83" s="655" t="s">
        <v>8685</v>
      </c>
      <c r="J83" s="712"/>
      <c r="K83" s="655" t="s">
        <v>8803</v>
      </c>
      <c r="L83" s="655" t="s">
        <v>8988</v>
      </c>
      <c r="M83" s="660">
        <v>238587.85</v>
      </c>
      <c r="N83" s="660">
        <v>11929.39</v>
      </c>
      <c r="O83" s="660">
        <v>40082.76</v>
      </c>
      <c r="P83" s="660">
        <v>290600</v>
      </c>
      <c r="Q83" s="548"/>
      <c r="R83" s="660">
        <v>219060.16</v>
      </c>
      <c r="S83" s="549">
        <f t="shared" si="42"/>
        <v>71539.839999999997</v>
      </c>
      <c r="T83" s="113" t="s">
        <v>1932</v>
      </c>
      <c r="U83" s="722" t="str">
        <f t="shared" si="43"/>
        <v>AA12713</v>
      </c>
      <c r="V83" s="723" t="str">
        <f t="shared" si="44"/>
        <v>0383-TCN18</v>
      </c>
      <c r="W83" s="722">
        <f t="shared" si="45"/>
        <v>1520105</v>
      </c>
      <c r="X83" s="722" t="str">
        <f t="shared" si="46"/>
        <v>HILUX PICK UP CHASSIS CAB</v>
      </c>
      <c r="Y83" s="723">
        <f t="shared" si="46"/>
        <v>2018</v>
      </c>
      <c r="Z83" s="778">
        <f t="shared" si="47"/>
        <v>238587.85</v>
      </c>
      <c r="AA83" s="624"/>
      <c r="AB83" s="809"/>
      <c r="AC83" s="779">
        <f t="shared" si="48"/>
        <v>0.01</v>
      </c>
      <c r="AD83" s="726">
        <f t="shared" si="49"/>
        <v>0.02</v>
      </c>
      <c r="AE83" s="727">
        <f t="shared" si="50"/>
        <v>0</v>
      </c>
      <c r="AF83" s="727">
        <f t="shared" si="40"/>
        <v>11929.39</v>
      </c>
      <c r="AG83" s="727">
        <f t="shared" si="51"/>
        <v>0</v>
      </c>
      <c r="AH83" s="361"/>
      <c r="AI83" s="313"/>
      <c r="AJ83" s="374"/>
      <c r="AK83" s="331"/>
      <c r="AL83" s="331"/>
      <c r="AM83" s="331"/>
      <c r="AN83" s="352"/>
      <c r="AO83" s="352"/>
      <c r="AP83" s="352"/>
      <c r="AQ83" s="352"/>
      <c r="AR83" s="352"/>
      <c r="AS83" s="352"/>
      <c r="AT83" s="352"/>
      <c r="AU83" s="352"/>
    </row>
    <row r="84" spans="1:47" s="351" customFormat="1" x14ac:dyDescent="0.2">
      <c r="A84" s="423">
        <f t="shared" si="52"/>
        <v>79</v>
      </c>
      <c r="B84" s="721" t="s">
        <v>8474</v>
      </c>
      <c r="C84" s="771">
        <v>1520105</v>
      </c>
      <c r="D84" s="771">
        <v>7494</v>
      </c>
      <c r="E84" s="771" t="s">
        <v>712</v>
      </c>
      <c r="F84" s="546">
        <v>2018</v>
      </c>
      <c r="G84" s="659">
        <v>43099</v>
      </c>
      <c r="H84" s="655" t="s">
        <v>8843</v>
      </c>
      <c r="I84" s="655" t="s">
        <v>8686</v>
      </c>
      <c r="J84" s="712"/>
      <c r="K84" s="655" t="s">
        <v>830</v>
      </c>
      <c r="L84" s="655" t="s">
        <v>8989</v>
      </c>
      <c r="M84" s="660">
        <v>238587.85</v>
      </c>
      <c r="N84" s="660">
        <v>11929.39</v>
      </c>
      <c r="O84" s="660">
        <v>40082.76</v>
      </c>
      <c r="P84" s="660">
        <v>290600</v>
      </c>
      <c r="Q84" s="548"/>
      <c r="R84" s="660">
        <v>218705.68</v>
      </c>
      <c r="S84" s="549">
        <f t="shared" si="42"/>
        <v>71894.320000000007</v>
      </c>
      <c r="T84" s="113" t="s">
        <v>1932</v>
      </c>
      <c r="U84" s="722" t="str">
        <f t="shared" si="43"/>
        <v>AA12732</v>
      </c>
      <c r="V84" s="723" t="str">
        <f t="shared" si="44"/>
        <v>0391-TCN18</v>
      </c>
      <c r="W84" s="722">
        <f t="shared" si="45"/>
        <v>1520105</v>
      </c>
      <c r="X84" s="722" t="str">
        <f t="shared" si="46"/>
        <v>HILUX PICK UP CHASSIS CAB</v>
      </c>
      <c r="Y84" s="723">
        <f t="shared" si="46"/>
        <v>2018</v>
      </c>
      <c r="Z84" s="778">
        <f t="shared" si="47"/>
        <v>238587.85</v>
      </c>
      <c r="AA84" s="725"/>
      <c r="AB84" s="802"/>
      <c r="AC84" s="779">
        <f t="shared" si="48"/>
        <v>0.01</v>
      </c>
      <c r="AD84" s="726">
        <f t="shared" si="49"/>
        <v>0.02</v>
      </c>
      <c r="AE84" s="727">
        <f t="shared" si="50"/>
        <v>0</v>
      </c>
      <c r="AF84" s="727">
        <f t="shared" si="40"/>
        <v>11929.39</v>
      </c>
      <c r="AG84" s="727">
        <f t="shared" si="51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x14ac:dyDescent="0.2">
      <c r="A85" s="423">
        <f t="shared" si="52"/>
        <v>80</v>
      </c>
      <c r="B85" s="721" t="s">
        <v>8475</v>
      </c>
      <c r="C85" s="771">
        <v>1520105</v>
      </c>
      <c r="D85" s="771">
        <v>7494</v>
      </c>
      <c r="E85" s="771" t="s">
        <v>712</v>
      </c>
      <c r="F85" s="546">
        <v>2018</v>
      </c>
      <c r="G85" s="659">
        <v>43099</v>
      </c>
      <c r="H85" s="655" t="s">
        <v>8846</v>
      </c>
      <c r="I85" s="655" t="s">
        <v>8687</v>
      </c>
      <c r="J85" s="712"/>
      <c r="K85" s="655" t="s">
        <v>830</v>
      </c>
      <c r="L85" s="655" t="s">
        <v>8990</v>
      </c>
      <c r="M85" s="660">
        <v>238587.85</v>
      </c>
      <c r="N85" s="660">
        <v>11929.39</v>
      </c>
      <c r="O85" s="660">
        <v>40082.76</v>
      </c>
      <c r="P85" s="660">
        <v>290600</v>
      </c>
      <c r="Q85" s="548"/>
      <c r="R85" s="660">
        <v>219060.03</v>
      </c>
      <c r="S85" s="549">
        <f t="shared" si="42"/>
        <v>71539.97</v>
      </c>
      <c r="T85" s="113" t="s">
        <v>1932</v>
      </c>
      <c r="U85" s="722" t="str">
        <f t="shared" si="43"/>
        <v>AA12733</v>
      </c>
      <c r="V85" s="723" t="str">
        <f t="shared" si="44"/>
        <v>0394-TCN18</v>
      </c>
      <c r="W85" s="722">
        <f t="shared" si="45"/>
        <v>1520105</v>
      </c>
      <c r="X85" s="722" t="str">
        <f t="shared" si="46"/>
        <v>HILUX PICK UP CHASSIS CAB</v>
      </c>
      <c r="Y85" s="723">
        <f t="shared" si="46"/>
        <v>2018</v>
      </c>
      <c r="Z85" s="778">
        <f t="shared" si="47"/>
        <v>238587.85</v>
      </c>
      <c r="AA85" s="629">
        <f>+SUM(Z81:Z85)</f>
        <v>1192939.25</v>
      </c>
      <c r="AB85" s="811">
        <v>5</v>
      </c>
      <c r="AC85" s="779">
        <f t="shared" si="48"/>
        <v>0.01</v>
      </c>
      <c r="AD85" s="726">
        <f t="shared" si="49"/>
        <v>0.02</v>
      </c>
      <c r="AE85" s="727">
        <f t="shared" si="50"/>
        <v>0</v>
      </c>
      <c r="AF85" s="725">
        <f t="shared" si="40"/>
        <v>11929.39</v>
      </c>
      <c r="AG85" s="727">
        <f t="shared" si="51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291" customFormat="1" x14ac:dyDescent="0.2">
      <c r="A86" s="423">
        <f t="shared" si="52"/>
        <v>81</v>
      </c>
      <c r="B86" s="721" t="s">
        <v>8488</v>
      </c>
      <c r="C86" s="771">
        <v>1520107</v>
      </c>
      <c r="D86" s="771">
        <v>7495</v>
      </c>
      <c r="E86" s="771" t="s">
        <v>718</v>
      </c>
      <c r="F86" s="546">
        <v>2018</v>
      </c>
      <c r="G86" s="659">
        <v>43087</v>
      </c>
      <c r="H86" s="655" t="s">
        <v>8843</v>
      </c>
      <c r="I86" s="655" t="s">
        <v>8697</v>
      </c>
      <c r="J86" s="712"/>
      <c r="K86" s="655" t="s">
        <v>8810</v>
      </c>
      <c r="L86" s="655" t="s">
        <v>9000</v>
      </c>
      <c r="M86" s="660">
        <v>302298.84999999998</v>
      </c>
      <c r="N86" s="660">
        <v>15114.94</v>
      </c>
      <c r="O86" s="660">
        <v>50786.21</v>
      </c>
      <c r="P86" s="660">
        <v>368200</v>
      </c>
      <c r="Q86" s="548"/>
      <c r="R86" s="660">
        <v>267271.96000000002</v>
      </c>
      <c r="S86" s="549">
        <f t="shared" si="42"/>
        <v>100928.03999999998</v>
      </c>
      <c r="T86" s="113" t="s">
        <v>1932</v>
      </c>
      <c r="U86" s="722" t="str">
        <f t="shared" si="43"/>
        <v>AA12585</v>
      </c>
      <c r="V86" s="723" t="str">
        <f t="shared" si="44"/>
        <v>0254-TCN18</v>
      </c>
      <c r="W86" s="722">
        <f t="shared" si="45"/>
        <v>1520107</v>
      </c>
      <c r="X86" s="722" t="str">
        <f t="shared" ref="X86:Y93" si="53">+E86</f>
        <v>HILUX PICK UP D CAB SR A/C</v>
      </c>
      <c r="Y86" s="723">
        <f t="shared" si="53"/>
        <v>2018</v>
      </c>
      <c r="Z86" s="778">
        <f t="shared" si="47"/>
        <v>302298.84999999998</v>
      </c>
      <c r="AA86" s="624"/>
      <c r="AB86" s="809"/>
      <c r="AC86" s="779">
        <f t="shared" si="48"/>
        <v>295708.34000000003</v>
      </c>
      <c r="AD86" s="726">
        <f t="shared" si="49"/>
        <v>0.1</v>
      </c>
      <c r="AE86" s="727">
        <f t="shared" si="50"/>
        <v>7392.74</v>
      </c>
      <c r="AF86" s="727">
        <f t="shared" si="40"/>
        <v>15114.94</v>
      </c>
      <c r="AG86" s="727">
        <f t="shared" si="51"/>
        <v>0</v>
      </c>
      <c r="AH86" s="361"/>
      <c r="AI86" s="313"/>
      <c r="AJ86" s="374"/>
      <c r="AK86" s="374"/>
      <c r="AL86" s="374"/>
      <c r="AM86" s="374"/>
      <c r="AN86" s="296"/>
      <c r="AO86" s="296"/>
      <c r="AP86" s="296"/>
      <c r="AQ86" s="296"/>
      <c r="AR86" s="296"/>
      <c r="AS86" s="296"/>
      <c r="AT86" s="296"/>
      <c r="AU86" s="296"/>
    </row>
    <row r="87" spans="1:47" s="351" customFormat="1" x14ac:dyDescent="0.2">
      <c r="A87" s="423">
        <f t="shared" si="52"/>
        <v>82</v>
      </c>
      <c r="B87" s="721" t="s">
        <v>8494</v>
      </c>
      <c r="C87" s="771">
        <v>1520107</v>
      </c>
      <c r="D87" s="771">
        <v>7495</v>
      </c>
      <c r="E87" s="771" t="s">
        <v>718</v>
      </c>
      <c r="F87" s="546">
        <v>2018</v>
      </c>
      <c r="G87" s="659">
        <v>43096</v>
      </c>
      <c r="H87" s="655" t="s">
        <v>8843</v>
      </c>
      <c r="I87" s="655" t="s">
        <v>8703</v>
      </c>
      <c r="J87" s="712"/>
      <c r="K87" s="655" t="s">
        <v>8812</v>
      </c>
      <c r="L87" s="655" t="s">
        <v>9006</v>
      </c>
      <c r="M87" s="660">
        <v>302298.84999999998</v>
      </c>
      <c r="N87" s="660">
        <v>15114.94</v>
      </c>
      <c r="O87" s="660">
        <v>50786.21</v>
      </c>
      <c r="P87" s="660">
        <v>368200</v>
      </c>
      <c r="Q87" s="548"/>
      <c r="R87" s="660">
        <v>267271.96000000002</v>
      </c>
      <c r="S87" s="549">
        <f t="shared" si="42"/>
        <v>100928.03999999998</v>
      </c>
      <c r="T87" s="113" t="s">
        <v>1932</v>
      </c>
      <c r="U87" s="722" t="str">
        <f t="shared" si="43"/>
        <v>AA12686</v>
      </c>
      <c r="V87" s="723" t="str">
        <f t="shared" si="44"/>
        <v>0282-TCN18</v>
      </c>
      <c r="W87" s="722">
        <f t="shared" si="45"/>
        <v>1520107</v>
      </c>
      <c r="X87" s="722" t="str">
        <f t="shared" si="53"/>
        <v>HILUX PICK UP D CAB SR A/C</v>
      </c>
      <c r="Y87" s="723">
        <f t="shared" si="53"/>
        <v>2018</v>
      </c>
      <c r="Z87" s="778">
        <f t="shared" si="47"/>
        <v>302298.84999999998</v>
      </c>
      <c r="AA87" s="725"/>
      <c r="AB87" s="802"/>
      <c r="AC87" s="779">
        <f t="shared" si="48"/>
        <v>295708.34000000003</v>
      </c>
      <c r="AD87" s="726">
        <f t="shared" si="49"/>
        <v>0.1</v>
      </c>
      <c r="AE87" s="727">
        <f t="shared" si="50"/>
        <v>7392.74</v>
      </c>
      <c r="AF87" s="727">
        <f t="shared" si="40"/>
        <v>15114.94</v>
      </c>
      <c r="AG87" s="727">
        <f t="shared" si="51"/>
        <v>0</v>
      </c>
      <c r="AH87" s="361"/>
      <c r="AI87" s="313"/>
      <c r="AJ87" s="374"/>
      <c r="AK87" s="331"/>
      <c r="AL87" s="331"/>
      <c r="AM87" s="331"/>
      <c r="AN87" s="352"/>
      <c r="AO87" s="352"/>
      <c r="AP87" s="352"/>
      <c r="AQ87" s="352"/>
      <c r="AR87" s="352"/>
      <c r="AS87" s="352"/>
      <c r="AT87" s="352"/>
      <c r="AU87" s="352"/>
    </row>
    <row r="88" spans="1:47" s="351" customFormat="1" x14ac:dyDescent="0.2">
      <c r="A88" s="423">
        <f t="shared" si="52"/>
        <v>83</v>
      </c>
      <c r="B88" s="721" t="s">
        <v>8484</v>
      </c>
      <c r="C88" s="771">
        <v>1520107</v>
      </c>
      <c r="D88" s="771">
        <v>7495</v>
      </c>
      <c r="E88" s="771" t="s">
        <v>718</v>
      </c>
      <c r="F88" s="546">
        <v>2018</v>
      </c>
      <c r="G88" s="659">
        <v>43081</v>
      </c>
      <c r="H88" s="655" t="s">
        <v>727</v>
      </c>
      <c r="I88" s="655" t="s">
        <v>8695</v>
      </c>
      <c r="J88" s="712"/>
      <c r="K88" s="655" t="s">
        <v>8808</v>
      </c>
      <c r="L88" s="655" t="s">
        <v>8998</v>
      </c>
      <c r="M88" s="660">
        <v>302298.84999999998</v>
      </c>
      <c r="N88" s="660">
        <v>15114.94</v>
      </c>
      <c r="O88" s="660">
        <v>50786.21</v>
      </c>
      <c r="P88" s="660">
        <v>368200</v>
      </c>
      <c r="Q88" s="548"/>
      <c r="R88" s="660">
        <v>267271.96000000002</v>
      </c>
      <c r="S88" s="549">
        <f t="shared" si="42"/>
        <v>100928.03999999998</v>
      </c>
      <c r="T88" s="267" t="s">
        <v>1932</v>
      </c>
      <c r="U88" s="722" t="str">
        <f t="shared" si="43"/>
        <v>AA12537</v>
      </c>
      <c r="V88" s="723" t="str">
        <f t="shared" si="44"/>
        <v>0283-TCN18</v>
      </c>
      <c r="W88" s="722">
        <f t="shared" si="45"/>
        <v>1520107</v>
      </c>
      <c r="X88" s="722" t="str">
        <f t="shared" si="53"/>
        <v>HILUX PICK UP D CAB SR A/C</v>
      </c>
      <c r="Y88" s="723">
        <f t="shared" si="53"/>
        <v>2018</v>
      </c>
      <c r="Z88" s="778">
        <f t="shared" si="47"/>
        <v>302298.84999999998</v>
      </c>
      <c r="AA88" s="629"/>
      <c r="AB88" s="794"/>
      <c r="AC88" s="779">
        <f t="shared" si="48"/>
        <v>295708.34000000003</v>
      </c>
      <c r="AD88" s="726">
        <f t="shared" si="49"/>
        <v>0.1</v>
      </c>
      <c r="AE88" s="727">
        <f t="shared" si="50"/>
        <v>7392.74</v>
      </c>
      <c r="AF88" s="725">
        <f t="shared" si="40"/>
        <v>15114.94</v>
      </c>
      <c r="AG88" s="727">
        <f t="shared" si="51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291" customFormat="1" x14ac:dyDescent="0.2">
      <c r="A89" s="423">
        <f t="shared" si="52"/>
        <v>84</v>
      </c>
      <c r="B89" s="721" t="s">
        <v>8479</v>
      </c>
      <c r="C89" s="771">
        <v>1520107</v>
      </c>
      <c r="D89" s="771">
        <v>7495</v>
      </c>
      <c r="E89" s="771" t="s">
        <v>718</v>
      </c>
      <c r="F89" s="546">
        <v>2018</v>
      </c>
      <c r="G89" s="659">
        <v>43078</v>
      </c>
      <c r="H89" s="655" t="s">
        <v>4285</v>
      </c>
      <c r="I89" s="655" t="s">
        <v>8691</v>
      </c>
      <c r="J89" s="712"/>
      <c r="K89" s="655" t="s">
        <v>8806</v>
      </c>
      <c r="L89" s="655" t="s">
        <v>8994</v>
      </c>
      <c r="M89" s="660">
        <v>302298.84999999998</v>
      </c>
      <c r="N89" s="660">
        <v>15114.94</v>
      </c>
      <c r="O89" s="660">
        <v>50786.21</v>
      </c>
      <c r="P89" s="660">
        <v>368200</v>
      </c>
      <c r="Q89" s="548"/>
      <c r="R89" s="660">
        <v>267271.96000000002</v>
      </c>
      <c r="S89" s="549">
        <f t="shared" si="42"/>
        <v>100928.03999999998</v>
      </c>
      <c r="T89" s="113" t="s">
        <v>1932</v>
      </c>
      <c r="U89" s="722" t="str">
        <f t="shared" si="43"/>
        <v>AA12528</v>
      </c>
      <c r="V89" s="723" t="str">
        <f t="shared" si="44"/>
        <v>0294-TCN18</v>
      </c>
      <c r="W89" s="722">
        <f t="shared" si="45"/>
        <v>1520107</v>
      </c>
      <c r="X89" s="722" t="str">
        <f t="shared" si="53"/>
        <v>HILUX PICK UP D CAB SR A/C</v>
      </c>
      <c r="Y89" s="723">
        <f t="shared" si="53"/>
        <v>2018</v>
      </c>
      <c r="Z89" s="778">
        <f t="shared" si="47"/>
        <v>302298.84999999998</v>
      </c>
      <c r="AA89" s="629"/>
      <c r="AB89" s="794"/>
      <c r="AC89" s="779">
        <f t="shared" si="48"/>
        <v>295708.34000000003</v>
      </c>
      <c r="AD89" s="726">
        <f t="shared" si="49"/>
        <v>0.1</v>
      </c>
      <c r="AE89" s="727">
        <f t="shared" si="50"/>
        <v>7392.74</v>
      </c>
      <c r="AF89" s="725">
        <f t="shared" si="40"/>
        <v>15114.94</v>
      </c>
      <c r="AG89" s="727">
        <f t="shared" si="51"/>
        <v>0</v>
      </c>
      <c r="AH89" s="361"/>
      <c r="AI89" s="313"/>
      <c r="AJ89" s="374"/>
      <c r="AK89" s="374"/>
      <c r="AL89" s="374"/>
      <c r="AM89" s="374"/>
      <c r="AN89" s="296"/>
      <c r="AO89" s="296"/>
      <c r="AP89" s="296"/>
      <c r="AQ89" s="296"/>
      <c r="AR89" s="296"/>
      <c r="AS89" s="296"/>
      <c r="AT89" s="296"/>
      <c r="AU89" s="296"/>
    </row>
    <row r="90" spans="1:47" s="291" customFormat="1" x14ac:dyDescent="0.2">
      <c r="A90" s="423">
        <f t="shared" si="52"/>
        <v>85</v>
      </c>
      <c r="B90" s="721" t="s">
        <v>8481</v>
      </c>
      <c r="C90" s="771">
        <v>1520107</v>
      </c>
      <c r="D90" s="771">
        <v>7495</v>
      </c>
      <c r="E90" s="771" t="s">
        <v>718</v>
      </c>
      <c r="F90" s="546">
        <v>2018</v>
      </c>
      <c r="G90" s="659">
        <v>43080</v>
      </c>
      <c r="H90" s="655" t="s">
        <v>2954</v>
      </c>
      <c r="I90" s="655" t="s">
        <v>8692</v>
      </c>
      <c r="J90" s="712"/>
      <c r="K90" s="655" t="s">
        <v>8805</v>
      </c>
      <c r="L90" s="655" t="s">
        <v>8995</v>
      </c>
      <c r="M90" s="660">
        <v>302298.84999999998</v>
      </c>
      <c r="N90" s="660">
        <v>15114.94</v>
      </c>
      <c r="O90" s="660">
        <v>50786.21</v>
      </c>
      <c r="P90" s="660">
        <v>368200</v>
      </c>
      <c r="Q90" s="548"/>
      <c r="R90" s="660">
        <v>267271.96000000002</v>
      </c>
      <c r="S90" s="549">
        <f t="shared" si="42"/>
        <v>100928.03999999998</v>
      </c>
      <c r="T90" s="113" t="s">
        <v>1932</v>
      </c>
      <c r="U90" s="722" t="str">
        <f t="shared" si="43"/>
        <v>AA12534</v>
      </c>
      <c r="V90" s="723" t="str">
        <f t="shared" si="44"/>
        <v>0295-TCN18</v>
      </c>
      <c r="W90" s="722">
        <f t="shared" si="45"/>
        <v>1520107</v>
      </c>
      <c r="X90" s="722" t="str">
        <f t="shared" si="53"/>
        <v>HILUX PICK UP D CAB SR A/C</v>
      </c>
      <c r="Y90" s="723">
        <f t="shared" si="53"/>
        <v>2018</v>
      </c>
      <c r="Z90" s="778">
        <f t="shared" si="47"/>
        <v>302298.84999999998</v>
      </c>
      <c r="AA90" s="624"/>
      <c r="AB90" s="809"/>
      <c r="AC90" s="779">
        <f t="shared" si="48"/>
        <v>295708.34000000003</v>
      </c>
      <c r="AD90" s="726">
        <f t="shared" si="49"/>
        <v>0.1</v>
      </c>
      <c r="AE90" s="727">
        <f t="shared" si="50"/>
        <v>7392.74</v>
      </c>
      <c r="AF90" s="727">
        <f t="shared" si="40"/>
        <v>15114.94</v>
      </c>
      <c r="AG90" s="727">
        <f t="shared" si="51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52"/>
        <v>86</v>
      </c>
      <c r="B91" s="721" t="s">
        <v>8483</v>
      </c>
      <c r="C91" s="771">
        <v>1520107</v>
      </c>
      <c r="D91" s="771">
        <v>7495</v>
      </c>
      <c r="E91" s="771" t="s">
        <v>718</v>
      </c>
      <c r="F91" s="546">
        <v>2018</v>
      </c>
      <c r="G91" s="659">
        <v>43080</v>
      </c>
      <c r="H91" s="655" t="s">
        <v>727</v>
      </c>
      <c r="I91" s="655" t="s">
        <v>8694</v>
      </c>
      <c r="J91" s="712"/>
      <c r="K91" s="655" t="s">
        <v>8807</v>
      </c>
      <c r="L91" s="655" t="s">
        <v>8997</v>
      </c>
      <c r="M91" s="660">
        <v>302298.84999999998</v>
      </c>
      <c r="N91" s="660">
        <v>15114.94</v>
      </c>
      <c r="O91" s="660">
        <v>50786.21</v>
      </c>
      <c r="P91" s="660">
        <v>368200</v>
      </c>
      <c r="Q91" s="548"/>
      <c r="R91" s="660">
        <v>267271.96000000002</v>
      </c>
      <c r="S91" s="549">
        <f t="shared" si="42"/>
        <v>100928.03999999998</v>
      </c>
      <c r="T91" s="113" t="s">
        <v>1932</v>
      </c>
      <c r="U91" s="722" t="str">
        <f t="shared" si="43"/>
        <v>AA12535</v>
      </c>
      <c r="V91" s="723" t="str">
        <f t="shared" si="44"/>
        <v>0302-TCN18</v>
      </c>
      <c r="W91" s="722">
        <f t="shared" si="45"/>
        <v>1520107</v>
      </c>
      <c r="X91" s="722" t="str">
        <f t="shared" si="53"/>
        <v>HILUX PICK UP D CAB SR A/C</v>
      </c>
      <c r="Y91" s="723">
        <f t="shared" si="53"/>
        <v>2018</v>
      </c>
      <c r="Z91" s="778">
        <f t="shared" si="47"/>
        <v>302298.84999999998</v>
      </c>
      <c r="AA91" s="725"/>
      <c r="AB91" s="802"/>
      <c r="AC91" s="779">
        <f t="shared" si="48"/>
        <v>295708.34000000003</v>
      </c>
      <c r="AD91" s="726">
        <f t="shared" si="49"/>
        <v>0.1</v>
      </c>
      <c r="AE91" s="727">
        <f t="shared" si="50"/>
        <v>7392.74</v>
      </c>
      <c r="AF91" s="727">
        <f t="shared" si="40"/>
        <v>15114.94</v>
      </c>
      <c r="AG91" s="727">
        <f t="shared" si="51"/>
        <v>0</v>
      </c>
      <c r="AH91" s="361"/>
      <c r="AI91" s="740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52"/>
        <v>87</v>
      </c>
      <c r="B92" s="721" t="s">
        <v>8490</v>
      </c>
      <c r="C92" s="771">
        <v>1520107</v>
      </c>
      <c r="D92" s="771">
        <v>7495</v>
      </c>
      <c r="E92" s="771" t="s">
        <v>718</v>
      </c>
      <c r="F92" s="546">
        <v>2018</v>
      </c>
      <c r="G92" s="659">
        <v>43088</v>
      </c>
      <c r="H92" s="655" t="s">
        <v>6277</v>
      </c>
      <c r="I92" s="655" t="s">
        <v>8699</v>
      </c>
      <c r="J92" s="712"/>
      <c r="K92" s="655" t="s">
        <v>8765</v>
      </c>
      <c r="L92" s="655" t="s">
        <v>9002</v>
      </c>
      <c r="M92" s="660">
        <v>302298.84999999998</v>
      </c>
      <c r="N92" s="660">
        <v>15114.94</v>
      </c>
      <c r="O92" s="660">
        <v>50786.21</v>
      </c>
      <c r="P92" s="660">
        <v>368200</v>
      </c>
      <c r="Q92" s="548"/>
      <c r="R92" s="660">
        <v>267271.96000000002</v>
      </c>
      <c r="S92" s="549">
        <f t="shared" si="42"/>
        <v>100928.03999999998</v>
      </c>
      <c r="T92" s="113" t="s">
        <v>1932</v>
      </c>
      <c r="U92" s="722" t="str">
        <f t="shared" si="43"/>
        <v>AA12596</v>
      </c>
      <c r="V92" s="723" t="str">
        <f t="shared" si="44"/>
        <v>0308-TCN18</v>
      </c>
      <c r="W92" s="722">
        <f t="shared" si="45"/>
        <v>1520107</v>
      </c>
      <c r="X92" s="722" t="str">
        <f t="shared" si="53"/>
        <v>HILUX PICK UP D CAB SR A/C</v>
      </c>
      <c r="Y92" s="723">
        <f t="shared" si="53"/>
        <v>2018</v>
      </c>
      <c r="Z92" s="778">
        <f t="shared" si="47"/>
        <v>302298.84999999998</v>
      </c>
      <c r="AA92" s="629"/>
      <c r="AB92" s="794"/>
      <c r="AC92" s="779">
        <f t="shared" si="48"/>
        <v>295708.34000000003</v>
      </c>
      <c r="AD92" s="726">
        <f t="shared" si="49"/>
        <v>0.1</v>
      </c>
      <c r="AE92" s="727">
        <f t="shared" si="50"/>
        <v>7392.74</v>
      </c>
      <c r="AF92" s="725">
        <f t="shared" si="40"/>
        <v>15114.94</v>
      </c>
      <c r="AG92" s="727">
        <f t="shared" si="51"/>
        <v>0</v>
      </c>
      <c r="AH92" s="361"/>
      <c r="AI92" s="313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3">
        <f t="shared" si="52"/>
        <v>88</v>
      </c>
      <c r="B93" s="721" t="s">
        <v>8497</v>
      </c>
      <c r="C93" s="771">
        <v>1520107</v>
      </c>
      <c r="D93" s="771">
        <v>7495</v>
      </c>
      <c r="E93" s="771" t="s">
        <v>718</v>
      </c>
      <c r="F93" s="546">
        <v>2018</v>
      </c>
      <c r="G93" s="659">
        <v>43097</v>
      </c>
      <c r="H93" s="655" t="s">
        <v>8844</v>
      </c>
      <c r="I93" s="655" t="s">
        <v>8706</v>
      </c>
      <c r="J93" s="712"/>
      <c r="K93" s="655" t="s">
        <v>8814</v>
      </c>
      <c r="L93" s="655" t="s">
        <v>9009</v>
      </c>
      <c r="M93" s="660">
        <v>302298.84999999998</v>
      </c>
      <c r="N93" s="660">
        <v>15114.94</v>
      </c>
      <c r="O93" s="660">
        <v>50786.21</v>
      </c>
      <c r="P93" s="660">
        <v>368200</v>
      </c>
      <c r="Q93" s="548"/>
      <c r="R93" s="660">
        <v>267271.96000000002</v>
      </c>
      <c r="S93" s="549">
        <f t="shared" si="42"/>
        <v>100928.03999999998</v>
      </c>
      <c r="T93" s="113" t="s">
        <v>1932</v>
      </c>
      <c r="U93" s="722" t="str">
        <f t="shared" si="43"/>
        <v>AA12706</v>
      </c>
      <c r="V93" s="723" t="str">
        <f t="shared" si="44"/>
        <v>0331-TCN18</v>
      </c>
      <c r="W93" s="722">
        <f t="shared" si="45"/>
        <v>1520107</v>
      </c>
      <c r="X93" s="722" t="str">
        <f t="shared" si="53"/>
        <v>HILUX PICK UP D CAB SR A/C</v>
      </c>
      <c r="Y93" s="723">
        <f t="shared" si="53"/>
        <v>2018</v>
      </c>
      <c r="Z93" s="778">
        <f t="shared" si="47"/>
        <v>302298.84999999998</v>
      </c>
      <c r="AA93" s="725">
        <f>+SUM(Z86:Z93)</f>
        <v>2418390.8000000003</v>
      </c>
      <c r="AB93" s="812">
        <v>8</v>
      </c>
      <c r="AC93" s="779">
        <f t="shared" si="48"/>
        <v>295708.34000000003</v>
      </c>
      <c r="AD93" s="726">
        <f t="shared" si="49"/>
        <v>0.1</v>
      </c>
      <c r="AE93" s="725">
        <f t="shared" si="50"/>
        <v>7392.74</v>
      </c>
      <c r="AF93" s="725">
        <f t="shared" si="40"/>
        <v>15114.94</v>
      </c>
      <c r="AG93" s="727">
        <f t="shared" si="51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3">
        <f t="shared" si="52"/>
        <v>89</v>
      </c>
      <c r="B94" s="721" t="s">
        <v>8403</v>
      </c>
      <c r="C94" s="771">
        <v>1520202</v>
      </c>
      <c r="D94" s="771">
        <v>5611</v>
      </c>
      <c r="E94" s="771" t="s">
        <v>225</v>
      </c>
      <c r="F94" s="546">
        <v>2018</v>
      </c>
      <c r="G94" s="659">
        <v>43089</v>
      </c>
      <c r="H94" s="655" t="s">
        <v>8846</v>
      </c>
      <c r="I94" s="655" t="s">
        <v>8652</v>
      </c>
      <c r="J94" s="712"/>
      <c r="K94" s="655" t="s">
        <v>6732</v>
      </c>
      <c r="L94" s="655" t="s">
        <v>8955</v>
      </c>
      <c r="M94" s="753">
        <v>394255.04</v>
      </c>
      <c r="N94" s="660">
        <v>19710.48</v>
      </c>
      <c r="O94" s="660">
        <v>66234.48</v>
      </c>
      <c r="P94" s="660">
        <v>480200</v>
      </c>
      <c r="Q94" s="548"/>
      <c r="R94" s="660">
        <v>349193.41</v>
      </c>
      <c r="S94" s="549">
        <f t="shared" si="42"/>
        <v>131006.59000000003</v>
      </c>
      <c r="T94" s="113" t="s">
        <v>1932</v>
      </c>
      <c r="U94" s="722" t="str">
        <f t="shared" si="43"/>
        <v>AA12612</v>
      </c>
      <c r="V94" s="723" t="str">
        <f t="shared" ref="V94:V115" si="54">+I94</f>
        <v>0262-TCN18</v>
      </c>
      <c r="W94" s="722">
        <f t="shared" ref="W94:W115" si="55">+C94</f>
        <v>1520202</v>
      </c>
      <c r="X94" s="722" t="str">
        <f t="shared" ref="X94:X115" si="56">+E94</f>
        <v>HIACE PANEL 15 PASAJ AC</v>
      </c>
      <c r="Y94" s="723">
        <f t="shared" ref="Y94:Y115" si="57">+F94</f>
        <v>2018</v>
      </c>
      <c r="Z94" s="778">
        <f t="shared" ref="Z94:Z115" si="58">+M94</f>
        <v>394255.04</v>
      </c>
      <c r="AA94" s="629"/>
      <c r="AB94" s="794"/>
      <c r="AC94" s="779">
        <f t="shared" ref="AC94:AC115" si="59">VLOOKUP(Z94,TARIFA,1)</f>
        <v>344993.21</v>
      </c>
      <c r="AD94" s="726">
        <f t="shared" ref="AD94:AD115" si="60">VLOOKUP(Z94,TARIFA,4)</f>
        <v>0.15</v>
      </c>
      <c r="AE94" s="727">
        <f t="shared" ref="AE94:AE115" si="61">VLOOKUP(Z94,TARIFA,3)</f>
        <v>12321.2</v>
      </c>
      <c r="AF94" s="725">
        <f t="shared" ref="AF94:AF115" si="62">+N94</f>
        <v>19710.48</v>
      </c>
      <c r="AG94" s="727">
        <f t="shared" ref="AG94:AG115" si="63">+N94-AF94</f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52"/>
        <v>90</v>
      </c>
      <c r="B95" s="721" t="s">
        <v>8397</v>
      </c>
      <c r="C95" s="771">
        <v>1520202</v>
      </c>
      <c r="D95" s="771">
        <v>5611</v>
      </c>
      <c r="E95" s="771" t="s">
        <v>225</v>
      </c>
      <c r="F95" s="546">
        <v>2018</v>
      </c>
      <c r="G95" s="659">
        <v>43077</v>
      </c>
      <c r="H95" s="655" t="s">
        <v>8842</v>
      </c>
      <c r="I95" s="655" t="s">
        <v>8650</v>
      </c>
      <c r="J95" s="712"/>
      <c r="K95" s="655" t="s">
        <v>3901</v>
      </c>
      <c r="L95" s="655" t="s">
        <v>8953</v>
      </c>
      <c r="M95" s="753">
        <v>394255.04</v>
      </c>
      <c r="N95" s="660">
        <v>19710.48</v>
      </c>
      <c r="O95" s="660">
        <v>66234.48</v>
      </c>
      <c r="P95" s="660">
        <v>480200</v>
      </c>
      <c r="Q95" s="548"/>
      <c r="R95" s="660">
        <v>349193.41</v>
      </c>
      <c r="S95" s="549">
        <f t="shared" si="42"/>
        <v>131006.59000000003</v>
      </c>
      <c r="T95" s="113" t="s">
        <v>1932</v>
      </c>
      <c r="U95" s="722" t="str">
        <f t="shared" si="43"/>
        <v>AA12515</v>
      </c>
      <c r="V95" s="723" t="str">
        <f t="shared" si="54"/>
        <v>0263-TCN18</v>
      </c>
      <c r="W95" s="722">
        <f t="shared" si="55"/>
        <v>1520202</v>
      </c>
      <c r="X95" s="722" t="str">
        <f t="shared" si="56"/>
        <v>HIACE PANEL 15 PASAJ AC</v>
      </c>
      <c r="Y95" s="723">
        <f t="shared" si="57"/>
        <v>2018</v>
      </c>
      <c r="Z95" s="778">
        <f t="shared" si="58"/>
        <v>394255.04</v>
      </c>
      <c r="AA95" s="725">
        <f>+Z95+Z94</f>
        <v>788510.08</v>
      </c>
      <c r="AB95" s="812">
        <v>2</v>
      </c>
      <c r="AC95" s="779">
        <f t="shared" si="59"/>
        <v>344993.21</v>
      </c>
      <c r="AD95" s="726">
        <f t="shared" si="60"/>
        <v>0.15</v>
      </c>
      <c r="AE95" s="725">
        <f t="shared" si="61"/>
        <v>12321.2</v>
      </c>
      <c r="AF95" s="725">
        <f t="shared" si="62"/>
        <v>19710.48</v>
      </c>
      <c r="AG95" s="727">
        <f t="shared" si="63"/>
        <v>0</v>
      </c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52"/>
        <v>91</v>
      </c>
      <c r="B96" s="721" t="s">
        <v>8391</v>
      </c>
      <c r="C96" s="771">
        <v>1520204</v>
      </c>
      <c r="D96" s="771">
        <v>5603</v>
      </c>
      <c r="E96" s="771" t="s">
        <v>713</v>
      </c>
      <c r="F96" s="546">
        <v>2018</v>
      </c>
      <c r="G96" s="659">
        <v>43075</v>
      </c>
      <c r="H96" s="655" t="s">
        <v>2214</v>
      </c>
      <c r="I96" s="655" t="s">
        <v>8646</v>
      </c>
      <c r="J96" s="712"/>
      <c r="K96" s="655" t="s">
        <v>8781</v>
      </c>
      <c r="L96" s="655" t="s">
        <v>8949</v>
      </c>
      <c r="M96" s="660">
        <v>307881.77</v>
      </c>
      <c r="N96" s="660">
        <v>15394.09</v>
      </c>
      <c r="O96" s="660">
        <v>51724.14</v>
      </c>
      <c r="P96" s="660">
        <v>375000</v>
      </c>
      <c r="Q96" s="548"/>
      <c r="R96" s="660">
        <v>289296.59000000003</v>
      </c>
      <c r="S96" s="549">
        <f t="shared" si="42"/>
        <v>85703.409999999974</v>
      </c>
      <c r="T96" s="113" t="s">
        <v>1932</v>
      </c>
      <c r="U96" s="722" t="str">
        <f t="shared" si="43"/>
        <v>AA12498</v>
      </c>
      <c r="V96" s="723" t="str">
        <f t="shared" si="54"/>
        <v>0079-TCN18</v>
      </c>
      <c r="W96" s="722">
        <f t="shared" si="55"/>
        <v>1520204</v>
      </c>
      <c r="X96" s="722" t="str">
        <f t="shared" si="56"/>
        <v>HIACE PANEL SUP LARGA C/VENT</v>
      </c>
      <c r="Y96" s="723">
        <f t="shared" si="57"/>
        <v>2018</v>
      </c>
      <c r="Z96" s="778">
        <f t="shared" si="58"/>
        <v>307881.77</v>
      </c>
      <c r="AA96" s="629"/>
      <c r="AB96" s="794"/>
      <c r="AC96" s="779">
        <f t="shared" si="59"/>
        <v>295708.34000000003</v>
      </c>
      <c r="AD96" s="726">
        <f t="shared" si="60"/>
        <v>0.1</v>
      </c>
      <c r="AE96" s="727">
        <f t="shared" si="61"/>
        <v>7392.74</v>
      </c>
      <c r="AF96" s="725">
        <f t="shared" si="62"/>
        <v>15394.09</v>
      </c>
      <c r="AG96" s="727">
        <f t="shared" si="63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52"/>
        <v>92</v>
      </c>
      <c r="B97" s="721" t="s">
        <v>8392</v>
      </c>
      <c r="C97" s="771">
        <v>1520204</v>
      </c>
      <c r="D97" s="771">
        <v>5603</v>
      </c>
      <c r="E97" s="771" t="s">
        <v>713</v>
      </c>
      <c r="F97" s="546">
        <v>2018</v>
      </c>
      <c r="G97" s="659">
        <v>43080</v>
      </c>
      <c r="H97" s="655" t="s">
        <v>7761</v>
      </c>
      <c r="I97" s="655" t="s">
        <v>8647</v>
      </c>
      <c r="J97" s="712"/>
      <c r="K97" s="655" t="s">
        <v>8782</v>
      </c>
      <c r="L97" s="655" t="s">
        <v>8950</v>
      </c>
      <c r="M97" s="660">
        <v>326190.48</v>
      </c>
      <c r="N97" s="660">
        <v>16309.52</v>
      </c>
      <c r="O97" s="660">
        <v>54800</v>
      </c>
      <c r="P97" s="660">
        <v>397300</v>
      </c>
      <c r="Q97" s="548"/>
      <c r="R97" s="660">
        <v>289652.09999999998</v>
      </c>
      <c r="S97" s="549">
        <f t="shared" si="42"/>
        <v>107647.90000000002</v>
      </c>
      <c r="T97" s="113" t="s">
        <v>1932</v>
      </c>
      <c r="U97" s="722" t="str">
        <f t="shared" si="43"/>
        <v>AA12532</v>
      </c>
      <c r="V97" s="723" t="str">
        <f t="shared" si="54"/>
        <v>0293-TCN18</v>
      </c>
      <c r="W97" s="722">
        <f t="shared" si="55"/>
        <v>1520204</v>
      </c>
      <c r="X97" s="722" t="str">
        <f t="shared" si="56"/>
        <v>HIACE PANEL SUP LARGA C/VENT</v>
      </c>
      <c r="Y97" s="723">
        <f t="shared" si="57"/>
        <v>2018</v>
      </c>
      <c r="Z97" s="778">
        <f t="shared" si="58"/>
        <v>326190.48</v>
      </c>
      <c r="AA97" s="725">
        <f>+Z97+Z96</f>
        <v>634072.25</v>
      </c>
      <c r="AB97" s="812">
        <v>2</v>
      </c>
      <c r="AC97" s="779">
        <f t="shared" si="59"/>
        <v>295708.34000000003</v>
      </c>
      <c r="AD97" s="726">
        <f t="shared" si="60"/>
        <v>0.1</v>
      </c>
      <c r="AE97" s="725">
        <f t="shared" si="61"/>
        <v>7392.74</v>
      </c>
      <c r="AF97" s="725">
        <f t="shared" si="62"/>
        <v>16309.52</v>
      </c>
      <c r="AG97" s="727">
        <f t="shared" si="63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52"/>
        <v>93</v>
      </c>
      <c r="B98" s="721" t="s">
        <v>8432</v>
      </c>
      <c r="C98" s="771">
        <v>1520302</v>
      </c>
      <c r="D98" s="771">
        <v>7441</v>
      </c>
      <c r="E98" s="771" t="s">
        <v>715</v>
      </c>
      <c r="F98" s="546">
        <v>2018</v>
      </c>
      <c r="G98" s="659">
        <v>43089</v>
      </c>
      <c r="H98" s="655" t="s">
        <v>4285</v>
      </c>
      <c r="I98" s="655" t="s">
        <v>8668</v>
      </c>
      <c r="J98" s="712"/>
      <c r="K98" s="655" t="s">
        <v>8793</v>
      </c>
      <c r="L98" s="655" t="s">
        <v>8971</v>
      </c>
      <c r="M98" s="660">
        <v>532348.11</v>
      </c>
      <c r="N98" s="660">
        <v>26617.41</v>
      </c>
      <c r="O98" s="660">
        <v>89434.48</v>
      </c>
      <c r="P98" s="660">
        <v>648400</v>
      </c>
      <c r="Q98" s="548"/>
      <c r="R98" s="660">
        <v>470877.28</v>
      </c>
      <c r="S98" s="549">
        <f t="shared" si="42"/>
        <v>177522.71999999997</v>
      </c>
      <c r="T98" s="113" t="s">
        <v>1932</v>
      </c>
      <c r="U98" s="722" t="str">
        <f t="shared" si="43"/>
        <v>AA12604</v>
      </c>
      <c r="V98" s="723" t="str">
        <f t="shared" si="54"/>
        <v>0275-TCN18</v>
      </c>
      <c r="W98" s="722">
        <f t="shared" si="55"/>
        <v>1520302</v>
      </c>
      <c r="X98" s="722" t="str">
        <f t="shared" si="56"/>
        <v>TACOMA 4X4</v>
      </c>
      <c r="Y98" s="723">
        <f t="shared" si="57"/>
        <v>2018</v>
      </c>
      <c r="Z98" s="778">
        <f t="shared" si="58"/>
        <v>532348.11</v>
      </c>
      <c r="AA98" s="629"/>
      <c r="AB98" s="794"/>
      <c r="AC98" s="779">
        <f t="shared" si="59"/>
        <v>443562.4</v>
      </c>
      <c r="AD98" s="726">
        <f t="shared" si="60"/>
        <v>0.17</v>
      </c>
      <c r="AE98" s="727">
        <f t="shared" si="61"/>
        <v>27106.55</v>
      </c>
      <c r="AF98" s="725">
        <f t="shared" si="62"/>
        <v>26617.41</v>
      </c>
      <c r="AG98" s="727">
        <f t="shared" si="63"/>
        <v>0</v>
      </c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3">
        <f t="shared" si="52"/>
        <v>94</v>
      </c>
      <c r="B99" s="721" t="s">
        <v>8442</v>
      </c>
      <c r="C99" s="771">
        <v>1520302</v>
      </c>
      <c r="D99" s="771">
        <v>7441</v>
      </c>
      <c r="E99" s="771" t="s">
        <v>715</v>
      </c>
      <c r="F99" s="546">
        <v>2018</v>
      </c>
      <c r="G99" s="659">
        <v>43099</v>
      </c>
      <c r="H99" s="655" t="s">
        <v>2215</v>
      </c>
      <c r="I99" s="655" t="s">
        <v>8675</v>
      </c>
      <c r="J99" s="712"/>
      <c r="K99" s="655" t="s">
        <v>8797</v>
      </c>
      <c r="L99" s="655" t="s">
        <v>8978</v>
      </c>
      <c r="M99" s="660">
        <v>532348.11</v>
      </c>
      <c r="N99" s="660">
        <v>26617.41</v>
      </c>
      <c r="O99" s="660">
        <v>89434.48</v>
      </c>
      <c r="P99" s="660">
        <v>648400</v>
      </c>
      <c r="Q99" s="548"/>
      <c r="R99" s="660">
        <v>471166.28</v>
      </c>
      <c r="S99" s="549">
        <f t="shared" si="42"/>
        <v>177233.71999999997</v>
      </c>
      <c r="T99" s="113" t="s">
        <v>1932</v>
      </c>
      <c r="U99" s="722" t="str">
        <f t="shared" si="43"/>
        <v>AA12739</v>
      </c>
      <c r="V99" s="723" t="str">
        <f t="shared" si="54"/>
        <v>0352-TCN18</v>
      </c>
      <c r="W99" s="722">
        <f t="shared" si="55"/>
        <v>1520302</v>
      </c>
      <c r="X99" s="722" t="str">
        <f t="shared" si="56"/>
        <v>TACOMA 4X4</v>
      </c>
      <c r="Y99" s="723">
        <f t="shared" si="57"/>
        <v>2018</v>
      </c>
      <c r="Z99" s="778">
        <f t="shared" si="58"/>
        <v>532348.11</v>
      </c>
      <c r="AA99" s="725"/>
      <c r="AB99" s="802"/>
      <c r="AC99" s="779">
        <f t="shared" si="59"/>
        <v>443562.4</v>
      </c>
      <c r="AD99" s="726">
        <f t="shared" si="60"/>
        <v>0.17</v>
      </c>
      <c r="AE99" s="725">
        <f t="shared" si="61"/>
        <v>27106.55</v>
      </c>
      <c r="AF99" s="725">
        <f t="shared" si="62"/>
        <v>26617.41</v>
      </c>
      <c r="AG99" s="727">
        <f t="shared" si="63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3">
        <f t="shared" si="52"/>
        <v>95</v>
      </c>
      <c r="B100" s="721" t="s">
        <v>8440</v>
      </c>
      <c r="C100" s="771">
        <v>1520302</v>
      </c>
      <c r="D100" s="771">
        <v>7441</v>
      </c>
      <c r="E100" s="771" t="s">
        <v>715</v>
      </c>
      <c r="F100" s="546">
        <v>2018</v>
      </c>
      <c r="G100" s="659">
        <v>43092</v>
      </c>
      <c r="H100" s="655" t="s">
        <v>8844</v>
      </c>
      <c r="I100" s="655" t="s">
        <v>8673</v>
      </c>
      <c r="J100" s="712"/>
      <c r="K100" s="655" t="s">
        <v>8796</v>
      </c>
      <c r="L100" s="655" t="s">
        <v>8976</v>
      </c>
      <c r="M100" s="660">
        <v>532348.11</v>
      </c>
      <c r="N100" s="660">
        <v>26617.41</v>
      </c>
      <c r="O100" s="660">
        <v>89434.48</v>
      </c>
      <c r="P100" s="660">
        <v>648400</v>
      </c>
      <c r="Q100" s="548"/>
      <c r="R100" s="660">
        <v>470811.79</v>
      </c>
      <c r="S100" s="549">
        <f t="shared" si="42"/>
        <v>177588.21000000002</v>
      </c>
      <c r="T100" s="113" t="s">
        <v>1932</v>
      </c>
      <c r="U100" s="722" t="str">
        <f t="shared" si="43"/>
        <v>AA12662</v>
      </c>
      <c r="V100" s="723" t="str">
        <f t="shared" si="54"/>
        <v>0358-TCN18</v>
      </c>
      <c r="W100" s="722">
        <f t="shared" si="55"/>
        <v>1520302</v>
      </c>
      <c r="X100" s="722" t="str">
        <f t="shared" si="56"/>
        <v>TACOMA 4X4</v>
      </c>
      <c r="Y100" s="723">
        <f t="shared" si="57"/>
        <v>2018</v>
      </c>
      <c r="Z100" s="778">
        <f t="shared" si="58"/>
        <v>532348.11</v>
      </c>
      <c r="AA100" s="629"/>
      <c r="AB100" s="794"/>
      <c r="AC100" s="779">
        <f t="shared" si="59"/>
        <v>443562.4</v>
      </c>
      <c r="AD100" s="726">
        <f t="shared" si="60"/>
        <v>0.17</v>
      </c>
      <c r="AE100" s="727">
        <f t="shared" si="61"/>
        <v>27106.55</v>
      </c>
      <c r="AF100" s="725">
        <f t="shared" si="62"/>
        <v>26617.41</v>
      </c>
      <c r="AG100" s="727">
        <f t="shared" si="63"/>
        <v>0</v>
      </c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3">
        <f t="shared" si="52"/>
        <v>96</v>
      </c>
      <c r="B101" s="721" t="s">
        <v>8441</v>
      </c>
      <c r="C101" s="771">
        <v>1520302</v>
      </c>
      <c r="D101" s="771">
        <v>7441</v>
      </c>
      <c r="E101" s="771" t="s">
        <v>715</v>
      </c>
      <c r="F101" s="546">
        <v>2018</v>
      </c>
      <c r="G101" s="659">
        <v>43095</v>
      </c>
      <c r="H101" s="655" t="s">
        <v>8843</v>
      </c>
      <c r="I101" s="655" t="s">
        <v>8674</v>
      </c>
      <c r="J101" s="712"/>
      <c r="K101" s="655" t="s">
        <v>6857</v>
      </c>
      <c r="L101" s="655" t="s">
        <v>8977</v>
      </c>
      <c r="M101" s="660">
        <v>532348.11</v>
      </c>
      <c r="N101" s="660">
        <v>26617.41</v>
      </c>
      <c r="O101" s="660">
        <v>89434.48</v>
      </c>
      <c r="P101" s="660">
        <v>648400</v>
      </c>
      <c r="Q101" s="548"/>
      <c r="R101" s="660">
        <v>470877.28</v>
      </c>
      <c r="S101" s="549">
        <f t="shared" si="42"/>
        <v>177522.71999999997</v>
      </c>
      <c r="T101" s="113" t="s">
        <v>1932</v>
      </c>
      <c r="U101" s="722" t="str">
        <f t="shared" si="43"/>
        <v>AA12668</v>
      </c>
      <c r="V101" s="723" t="str">
        <f t="shared" si="54"/>
        <v>0361-TCN18</v>
      </c>
      <c r="W101" s="722">
        <f t="shared" si="55"/>
        <v>1520302</v>
      </c>
      <c r="X101" s="722" t="str">
        <f t="shared" si="56"/>
        <v>TACOMA 4X4</v>
      </c>
      <c r="Y101" s="723">
        <f t="shared" si="57"/>
        <v>2018</v>
      </c>
      <c r="Z101" s="778">
        <f t="shared" si="58"/>
        <v>532348.11</v>
      </c>
      <c r="AA101" s="725"/>
      <c r="AB101" s="802"/>
      <c r="AC101" s="779">
        <f t="shared" si="59"/>
        <v>443562.4</v>
      </c>
      <c r="AD101" s="726">
        <f t="shared" si="60"/>
        <v>0.17</v>
      </c>
      <c r="AE101" s="725">
        <f t="shared" si="61"/>
        <v>27106.55</v>
      </c>
      <c r="AF101" s="725">
        <f t="shared" si="62"/>
        <v>26617.41</v>
      </c>
      <c r="AG101" s="727">
        <f t="shared" si="63"/>
        <v>0</v>
      </c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52"/>
        <v>97</v>
      </c>
      <c r="B102" s="721" t="s">
        <v>8437</v>
      </c>
      <c r="C102" s="771">
        <v>1520302</v>
      </c>
      <c r="D102" s="771">
        <v>7441</v>
      </c>
      <c r="E102" s="771" t="s">
        <v>715</v>
      </c>
      <c r="F102" s="546">
        <v>2017</v>
      </c>
      <c r="G102" s="659">
        <v>43089</v>
      </c>
      <c r="H102" s="655" t="s">
        <v>2954</v>
      </c>
      <c r="I102" s="655" t="s">
        <v>8670</v>
      </c>
      <c r="J102" s="712"/>
      <c r="K102" s="655" t="s">
        <v>8794</v>
      </c>
      <c r="L102" s="655" t="s">
        <v>8973</v>
      </c>
      <c r="M102" s="660">
        <v>519704.44</v>
      </c>
      <c r="N102" s="660">
        <v>25985.22</v>
      </c>
      <c r="O102" s="660">
        <v>87310.34</v>
      </c>
      <c r="P102" s="660">
        <v>633000</v>
      </c>
      <c r="Q102" s="548"/>
      <c r="R102" s="660">
        <v>471232.76</v>
      </c>
      <c r="S102" s="549">
        <f t="shared" ref="S102:S133" si="64">+P102-R102</f>
        <v>161767.24</v>
      </c>
      <c r="T102" s="113" t="s">
        <v>1932</v>
      </c>
      <c r="U102" s="722" t="str">
        <f t="shared" si="43"/>
        <v>AA12603</v>
      </c>
      <c r="V102" s="723" t="str">
        <f t="shared" si="54"/>
        <v>1920-TCN17</v>
      </c>
      <c r="W102" s="722">
        <f t="shared" si="55"/>
        <v>1520302</v>
      </c>
      <c r="X102" s="722" t="str">
        <f t="shared" si="56"/>
        <v>TACOMA 4X4</v>
      </c>
      <c r="Y102" s="723">
        <f t="shared" si="57"/>
        <v>2017</v>
      </c>
      <c r="Z102" s="778">
        <f t="shared" si="58"/>
        <v>519704.44</v>
      </c>
      <c r="AA102" s="629">
        <f>+SUM(Z98:Z102)</f>
        <v>2649096.88</v>
      </c>
      <c r="AB102" s="811">
        <v>5</v>
      </c>
      <c r="AC102" s="779">
        <f t="shared" si="59"/>
        <v>443562.4</v>
      </c>
      <c r="AD102" s="726">
        <f t="shared" si="60"/>
        <v>0.17</v>
      </c>
      <c r="AE102" s="727">
        <f t="shared" si="61"/>
        <v>27106.55</v>
      </c>
      <c r="AF102" s="725">
        <f t="shared" si="62"/>
        <v>25985.22</v>
      </c>
      <c r="AG102" s="727">
        <f t="shared" si="63"/>
        <v>0</v>
      </c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3">
        <f t="shared" si="52"/>
        <v>98</v>
      </c>
      <c r="B103" s="721" t="s">
        <v>8429</v>
      </c>
      <c r="C103" s="771">
        <v>1520304</v>
      </c>
      <c r="D103" s="771">
        <v>7440</v>
      </c>
      <c r="E103" s="771" t="s">
        <v>1520</v>
      </c>
      <c r="F103" s="546">
        <v>2017</v>
      </c>
      <c r="G103" s="659">
        <v>43083</v>
      </c>
      <c r="H103" s="655" t="s">
        <v>727</v>
      </c>
      <c r="I103" s="655" t="s">
        <v>8666</v>
      </c>
      <c r="J103" s="712"/>
      <c r="K103" s="655" t="s">
        <v>8790</v>
      </c>
      <c r="L103" s="655" t="s">
        <v>8969</v>
      </c>
      <c r="M103" s="660">
        <v>586781.61</v>
      </c>
      <c r="N103" s="660">
        <v>29339.08</v>
      </c>
      <c r="O103" s="660">
        <v>98579.31</v>
      </c>
      <c r="P103" s="660">
        <v>714700</v>
      </c>
      <c r="Q103" s="548"/>
      <c r="R103" s="660">
        <v>519067.76</v>
      </c>
      <c r="S103" s="549">
        <f t="shared" si="64"/>
        <v>195632.24</v>
      </c>
      <c r="T103" s="113" t="s">
        <v>1932</v>
      </c>
      <c r="U103" s="722" t="str">
        <f t="shared" si="43"/>
        <v>AA12558</v>
      </c>
      <c r="V103" s="723" t="str">
        <f t="shared" si="54"/>
        <v>2006-TCN17</v>
      </c>
      <c r="W103" s="722">
        <f t="shared" si="55"/>
        <v>1520304</v>
      </c>
      <c r="X103" s="722" t="str">
        <f t="shared" si="56"/>
        <v>TACOMA EDICION ESPECIAL</v>
      </c>
      <c r="Y103" s="723">
        <f t="shared" si="57"/>
        <v>2017</v>
      </c>
      <c r="Z103" s="778">
        <f t="shared" si="58"/>
        <v>586781.61</v>
      </c>
      <c r="AA103" s="725">
        <f>+Z103</f>
        <v>586781.61</v>
      </c>
      <c r="AB103" s="812">
        <v>1</v>
      </c>
      <c r="AC103" s="779">
        <f t="shared" si="59"/>
        <v>443562.4</v>
      </c>
      <c r="AD103" s="726">
        <f t="shared" si="60"/>
        <v>0.17</v>
      </c>
      <c r="AE103" s="725">
        <f t="shared" si="61"/>
        <v>27106.55</v>
      </c>
      <c r="AF103" s="725">
        <f t="shared" si="62"/>
        <v>29339.08</v>
      </c>
      <c r="AG103" s="727">
        <f t="shared" si="63"/>
        <v>0</v>
      </c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3">
        <f t="shared" si="52"/>
        <v>99</v>
      </c>
      <c r="B104" s="721" t="s">
        <v>8438</v>
      </c>
      <c r="C104" s="771">
        <v>1520306</v>
      </c>
      <c r="D104" s="771">
        <v>7441</v>
      </c>
      <c r="E104" s="771" t="s">
        <v>715</v>
      </c>
      <c r="F104" s="546">
        <v>2018</v>
      </c>
      <c r="G104" s="659">
        <v>43090</v>
      </c>
      <c r="H104" s="655" t="s">
        <v>774</v>
      </c>
      <c r="I104" s="655" t="s">
        <v>8671</v>
      </c>
      <c r="J104" s="712"/>
      <c r="K104" s="655" t="s">
        <v>8786</v>
      </c>
      <c r="L104" s="655" t="s">
        <v>8974</v>
      </c>
      <c r="M104" s="660">
        <v>532348.11</v>
      </c>
      <c r="N104" s="660">
        <v>26617.41</v>
      </c>
      <c r="O104" s="660">
        <v>89434.48</v>
      </c>
      <c r="P104" s="660">
        <v>648400</v>
      </c>
      <c r="Q104" s="548"/>
      <c r="R104" s="660">
        <v>471166.28</v>
      </c>
      <c r="S104" s="549">
        <f t="shared" si="64"/>
        <v>177233.71999999997</v>
      </c>
      <c r="T104" s="113" t="s">
        <v>1932</v>
      </c>
      <c r="U104" s="722" t="str">
        <f t="shared" si="43"/>
        <v>AA12620</v>
      </c>
      <c r="V104" s="723" t="str">
        <f t="shared" si="54"/>
        <v>0350-TCN18</v>
      </c>
      <c r="W104" s="722">
        <f t="shared" si="55"/>
        <v>1520306</v>
      </c>
      <c r="X104" s="722" t="str">
        <f t="shared" si="56"/>
        <v>TACOMA 4X4</v>
      </c>
      <c r="Y104" s="723">
        <f t="shared" si="57"/>
        <v>2018</v>
      </c>
      <c r="Z104" s="778">
        <f t="shared" si="58"/>
        <v>532348.11</v>
      </c>
      <c r="AA104" s="629"/>
      <c r="AB104" s="794"/>
      <c r="AC104" s="779">
        <f t="shared" si="59"/>
        <v>443562.4</v>
      </c>
      <c r="AD104" s="726">
        <f t="shared" si="60"/>
        <v>0.17</v>
      </c>
      <c r="AE104" s="727">
        <f t="shared" si="61"/>
        <v>27106.55</v>
      </c>
      <c r="AF104" s="725">
        <f t="shared" si="62"/>
        <v>26617.41</v>
      </c>
      <c r="AG104" s="727">
        <f t="shared" si="63"/>
        <v>0</v>
      </c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3">
        <f t="shared" si="52"/>
        <v>100</v>
      </c>
      <c r="B105" s="721" t="s">
        <v>8439</v>
      </c>
      <c r="C105" s="771">
        <v>1520306</v>
      </c>
      <c r="D105" s="771">
        <v>7441</v>
      </c>
      <c r="E105" s="771" t="s">
        <v>715</v>
      </c>
      <c r="F105" s="546">
        <v>2018</v>
      </c>
      <c r="G105" s="659">
        <v>43090</v>
      </c>
      <c r="H105" s="655" t="s">
        <v>2215</v>
      </c>
      <c r="I105" s="655" t="s">
        <v>8672</v>
      </c>
      <c r="J105" s="712"/>
      <c r="K105" s="655" t="s">
        <v>8795</v>
      </c>
      <c r="L105" s="655" t="s">
        <v>8975</v>
      </c>
      <c r="M105" s="660">
        <v>532348.11</v>
      </c>
      <c r="N105" s="660">
        <v>26617.41</v>
      </c>
      <c r="O105" s="660">
        <v>89434.48</v>
      </c>
      <c r="P105" s="660">
        <v>648400</v>
      </c>
      <c r="Q105" s="548"/>
      <c r="R105" s="660">
        <v>471166.28</v>
      </c>
      <c r="S105" s="549">
        <f t="shared" si="64"/>
        <v>177233.71999999997</v>
      </c>
      <c r="T105" s="113" t="s">
        <v>1932</v>
      </c>
      <c r="U105" s="722" t="str">
        <f t="shared" si="43"/>
        <v>AA12636</v>
      </c>
      <c r="V105" s="723" t="str">
        <f t="shared" si="54"/>
        <v>0353-TCN18</v>
      </c>
      <c r="W105" s="722">
        <f t="shared" si="55"/>
        <v>1520306</v>
      </c>
      <c r="X105" s="722" t="str">
        <f t="shared" si="56"/>
        <v>TACOMA 4X4</v>
      </c>
      <c r="Y105" s="723">
        <f t="shared" si="57"/>
        <v>2018</v>
      </c>
      <c r="Z105" s="778">
        <f t="shared" si="58"/>
        <v>532348.11</v>
      </c>
      <c r="AA105" s="725">
        <f>+Z105+Z104</f>
        <v>1064696.22</v>
      </c>
      <c r="AB105" s="812">
        <v>1</v>
      </c>
      <c r="AC105" s="779">
        <f t="shared" si="59"/>
        <v>443562.4</v>
      </c>
      <c r="AD105" s="726">
        <f t="shared" si="60"/>
        <v>0.17</v>
      </c>
      <c r="AE105" s="725">
        <f t="shared" si="61"/>
        <v>27106.55</v>
      </c>
      <c r="AF105" s="725">
        <f t="shared" si="62"/>
        <v>26617.41</v>
      </c>
      <c r="AG105" s="727">
        <f t="shared" si="63"/>
        <v>0</v>
      </c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3">
        <f t="shared" si="52"/>
        <v>101</v>
      </c>
      <c r="B106" s="721" t="s">
        <v>8431</v>
      </c>
      <c r="C106" s="771">
        <v>1520307</v>
      </c>
      <c r="D106" s="771">
        <v>7440</v>
      </c>
      <c r="E106" s="771" t="s">
        <v>1520</v>
      </c>
      <c r="F106" s="546">
        <v>2018</v>
      </c>
      <c r="G106" s="659">
        <v>43095</v>
      </c>
      <c r="H106" s="655" t="s">
        <v>764</v>
      </c>
      <c r="I106" s="655" t="s">
        <v>8667</v>
      </c>
      <c r="J106" s="712"/>
      <c r="K106" s="655" t="s">
        <v>8792</v>
      </c>
      <c r="L106" s="655" t="s">
        <v>8970</v>
      </c>
      <c r="M106" s="660">
        <v>595977.01</v>
      </c>
      <c r="N106" s="660">
        <v>29798.85</v>
      </c>
      <c r="O106" s="660">
        <v>100124.14</v>
      </c>
      <c r="P106" s="660">
        <v>725900</v>
      </c>
      <c r="Q106" s="548"/>
      <c r="R106" s="660">
        <v>527159.71</v>
      </c>
      <c r="S106" s="549">
        <f t="shared" si="64"/>
        <v>198740.29000000004</v>
      </c>
      <c r="T106" s="113" t="s">
        <v>1932</v>
      </c>
      <c r="U106" s="722" t="str">
        <f t="shared" si="43"/>
        <v>AA12666</v>
      </c>
      <c r="V106" s="723" t="str">
        <f t="shared" si="54"/>
        <v>0349-TCN18</v>
      </c>
      <c r="W106" s="722">
        <f t="shared" si="55"/>
        <v>1520307</v>
      </c>
      <c r="X106" s="722" t="str">
        <f t="shared" si="56"/>
        <v>TACOMA EDICION ESPECIAL</v>
      </c>
      <c r="Y106" s="723">
        <f t="shared" si="57"/>
        <v>2018</v>
      </c>
      <c r="Z106" s="778">
        <f t="shared" si="58"/>
        <v>595977.01</v>
      </c>
      <c r="AA106" s="629">
        <f>+Z106</f>
        <v>595977.01</v>
      </c>
      <c r="AB106" s="811">
        <v>1</v>
      </c>
      <c r="AC106" s="779">
        <f t="shared" si="59"/>
        <v>443562.4</v>
      </c>
      <c r="AD106" s="726">
        <f t="shared" si="60"/>
        <v>0.17</v>
      </c>
      <c r="AE106" s="727">
        <f t="shared" si="61"/>
        <v>27106.55</v>
      </c>
      <c r="AF106" s="725">
        <f t="shared" si="62"/>
        <v>29798.85</v>
      </c>
      <c r="AG106" s="727">
        <f t="shared" si="63"/>
        <v>0</v>
      </c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3">
        <f t="shared" si="52"/>
        <v>102</v>
      </c>
      <c r="B107" s="721" t="s">
        <v>8495</v>
      </c>
      <c r="C107" s="771">
        <v>1520604</v>
      </c>
      <c r="D107" s="771">
        <v>7495</v>
      </c>
      <c r="E107" s="771" t="s">
        <v>718</v>
      </c>
      <c r="F107" s="546">
        <v>2018</v>
      </c>
      <c r="G107" s="659">
        <v>43096</v>
      </c>
      <c r="H107" s="655" t="s">
        <v>4285</v>
      </c>
      <c r="I107" s="655" t="s">
        <v>8704</v>
      </c>
      <c r="J107" s="712"/>
      <c r="K107" s="655" t="s">
        <v>8813</v>
      </c>
      <c r="L107" s="655" t="s">
        <v>9007</v>
      </c>
      <c r="M107" s="660">
        <v>302298.84999999998</v>
      </c>
      <c r="N107" s="660">
        <v>15114.94</v>
      </c>
      <c r="O107" s="660">
        <v>50786.21</v>
      </c>
      <c r="P107" s="660">
        <v>368200</v>
      </c>
      <c r="Q107" s="548"/>
      <c r="R107" s="660">
        <v>267271.96000000002</v>
      </c>
      <c r="S107" s="549">
        <f t="shared" si="64"/>
        <v>100928.03999999998</v>
      </c>
      <c r="T107" s="113" t="s">
        <v>1932</v>
      </c>
      <c r="U107" s="722" t="str">
        <f t="shared" si="43"/>
        <v>AA12697</v>
      </c>
      <c r="V107" s="723" t="str">
        <f t="shared" si="54"/>
        <v>0332-TCN18</v>
      </c>
      <c r="W107" s="722">
        <f t="shared" si="55"/>
        <v>1520604</v>
      </c>
      <c r="X107" s="722" t="str">
        <f t="shared" si="56"/>
        <v>HILUX PICK UP D CAB SR A/C</v>
      </c>
      <c r="Y107" s="723">
        <f t="shared" si="57"/>
        <v>2018</v>
      </c>
      <c r="Z107" s="778">
        <f t="shared" si="58"/>
        <v>302298.84999999998</v>
      </c>
      <c r="AA107" s="725"/>
      <c r="AB107" s="802"/>
      <c r="AC107" s="779">
        <f t="shared" si="59"/>
        <v>295708.34000000003</v>
      </c>
      <c r="AD107" s="726">
        <f t="shared" si="60"/>
        <v>0.1</v>
      </c>
      <c r="AE107" s="725">
        <f t="shared" si="61"/>
        <v>7392.74</v>
      </c>
      <c r="AF107" s="725">
        <f t="shared" si="62"/>
        <v>15114.94</v>
      </c>
      <c r="AG107" s="727">
        <f t="shared" si="63"/>
        <v>0</v>
      </c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3">
        <f t="shared" si="52"/>
        <v>103</v>
      </c>
      <c r="B108" s="721" t="s">
        <v>8498</v>
      </c>
      <c r="C108" s="771">
        <v>1520604</v>
      </c>
      <c r="D108" s="771">
        <v>7495</v>
      </c>
      <c r="E108" s="771" t="s">
        <v>718</v>
      </c>
      <c r="F108" s="546">
        <v>2018</v>
      </c>
      <c r="G108" s="659">
        <v>43098</v>
      </c>
      <c r="H108" s="655" t="s">
        <v>5129</v>
      </c>
      <c r="I108" s="655" t="s">
        <v>8707</v>
      </c>
      <c r="J108" s="712"/>
      <c r="K108" s="655" t="s">
        <v>8815</v>
      </c>
      <c r="L108" s="655" t="s">
        <v>9010</v>
      </c>
      <c r="M108" s="660">
        <v>302298.84999999998</v>
      </c>
      <c r="N108" s="660">
        <v>15114.94</v>
      </c>
      <c r="O108" s="660">
        <v>50786.21</v>
      </c>
      <c r="P108" s="660">
        <v>368200</v>
      </c>
      <c r="Q108" s="548"/>
      <c r="R108" s="660">
        <v>267271.96000000002</v>
      </c>
      <c r="S108" s="549">
        <f t="shared" si="64"/>
        <v>100928.03999999998</v>
      </c>
      <c r="T108" s="113" t="s">
        <v>1932</v>
      </c>
      <c r="U108" s="722" t="str">
        <f t="shared" si="43"/>
        <v>AA12729</v>
      </c>
      <c r="V108" s="723" t="str">
        <f t="shared" si="54"/>
        <v>0342-TCN18</v>
      </c>
      <c r="W108" s="722">
        <f t="shared" si="55"/>
        <v>1520604</v>
      </c>
      <c r="X108" s="722" t="str">
        <f t="shared" si="56"/>
        <v>HILUX PICK UP D CAB SR A/C</v>
      </c>
      <c r="Y108" s="723">
        <f t="shared" si="57"/>
        <v>2018</v>
      </c>
      <c r="Z108" s="778">
        <f t="shared" si="58"/>
        <v>302298.84999999998</v>
      </c>
      <c r="AA108" s="629"/>
      <c r="AB108" s="794"/>
      <c r="AC108" s="779">
        <f t="shared" si="59"/>
        <v>295708.34000000003</v>
      </c>
      <c r="AD108" s="726">
        <f t="shared" si="60"/>
        <v>0.1</v>
      </c>
      <c r="AE108" s="727">
        <f t="shared" si="61"/>
        <v>7392.74</v>
      </c>
      <c r="AF108" s="725">
        <f t="shared" si="62"/>
        <v>15114.94</v>
      </c>
      <c r="AG108" s="727">
        <f t="shared" si="63"/>
        <v>0</v>
      </c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52"/>
        <v>104</v>
      </c>
      <c r="B109" s="721" t="s">
        <v>8485</v>
      </c>
      <c r="C109" s="771">
        <v>1520604</v>
      </c>
      <c r="D109" s="771">
        <v>7495</v>
      </c>
      <c r="E109" s="771" t="s">
        <v>718</v>
      </c>
      <c r="F109" s="546">
        <v>2017</v>
      </c>
      <c r="G109" s="659">
        <v>43083</v>
      </c>
      <c r="H109" s="655" t="s">
        <v>2213</v>
      </c>
      <c r="I109" s="655" t="s">
        <v>8696</v>
      </c>
      <c r="J109" s="712"/>
      <c r="K109" s="655" t="s">
        <v>8809</v>
      </c>
      <c r="L109" s="655" t="s">
        <v>8999</v>
      </c>
      <c r="M109" s="660">
        <v>288669.95</v>
      </c>
      <c r="N109" s="660">
        <v>14433.5</v>
      </c>
      <c r="O109" s="660">
        <v>48496.55</v>
      </c>
      <c r="P109" s="660">
        <v>351600</v>
      </c>
      <c r="Q109" s="548"/>
      <c r="R109" s="660">
        <v>262806.28000000003</v>
      </c>
      <c r="S109" s="549">
        <f t="shared" si="64"/>
        <v>88793.719999999972</v>
      </c>
      <c r="T109" s="113" t="s">
        <v>1932</v>
      </c>
      <c r="U109" s="722" t="str">
        <f t="shared" si="43"/>
        <v>AA12559</v>
      </c>
      <c r="V109" s="723" t="str">
        <f t="shared" si="54"/>
        <v>1980-TCN17</v>
      </c>
      <c r="W109" s="722">
        <f t="shared" si="55"/>
        <v>1520604</v>
      </c>
      <c r="X109" s="722" t="str">
        <f t="shared" si="56"/>
        <v>HILUX PICK UP D CAB SR A/C</v>
      </c>
      <c r="Y109" s="723">
        <f t="shared" si="57"/>
        <v>2017</v>
      </c>
      <c r="Z109" s="778">
        <f t="shared" si="58"/>
        <v>288669.95</v>
      </c>
      <c r="AA109" s="725">
        <f>+SUM(Z107:Z109)</f>
        <v>893267.64999999991</v>
      </c>
      <c r="AB109" s="812">
        <v>3</v>
      </c>
      <c r="AC109" s="779">
        <f t="shared" si="59"/>
        <v>246423.66</v>
      </c>
      <c r="AD109" s="726">
        <f t="shared" si="60"/>
        <v>0.05</v>
      </c>
      <c r="AE109" s="725">
        <f t="shared" si="61"/>
        <v>4928.3900000000003</v>
      </c>
      <c r="AF109" s="725">
        <f t="shared" si="62"/>
        <v>14433.5</v>
      </c>
      <c r="AG109" s="727">
        <f t="shared" si="63"/>
        <v>0</v>
      </c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52"/>
        <v>105</v>
      </c>
      <c r="B110" s="786" t="s">
        <v>8462</v>
      </c>
      <c r="C110" s="771">
        <v>1520605</v>
      </c>
      <c r="D110" s="771">
        <v>7491</v>
      </c>
      <c r="E110" s="771" t="s">
        <v>6939</v>
      </c>
      <c r="F110" s="546">
        <v>2018</v>
      </c>
      <c r="G110" s="659">
        <v>43096</v>
      </c>
      <c r="H110" s="655" t="s">
        <v>774</v>
      </c>
      <c r="I110" s="655" t="s">
        <v>8681</v>
      </c>
      <c r="J110" s="712"/>
      <c r="K110" s="655" t="s">
        <v>8801</v>
      </c>
      <c r="L110" s="655" t="s">
        <v>8984</v>
      </c>
      <c r="M110" s="660">
        <v>476108.37</v>
      </c>
      <c r="N110" s="660">
        <v>23805.42</v>
      </c>
      <c r="O110" s="660">
        <v>79986.210000000006</v>
      </c>
      <c r="P110" s="660">
        <v>579900</v>
      </c>
      <c r="Q110" s="548"/>
      <c r="R110" s="660">
        <v>420224.34</v>
      </c>
      <c r="S110" s="549">
        <f t="shared" si="64"/>
        <v>159675.65999999997</v>
      </c>
      <c r="T110" s="113" t="s">
        <v>1932</v>
      </c>
      <c r="U110" s="722" t="str">
        <f t="shared" si="43"/>
        <v>AA12696</v>
      </c>
      <c r="V110" s="723" t="str">
        <f t="shared" si="54"/>
        <v>0382-TCN18</v>
      </c>
      <c r="W110" s="722">
        <f t="shared" si="55"/>
        <v>1520605</v>
      </c>
      <c r="X110" s="722" t="str">
        <f t="shared" si="56"/>
        <v>HILUX DIESEL EQUIPADA</v>
      </c>
      <c r="Y110" s="723">
        <f t="shared" si="57"/>
        <v>2018</v>
      </c>
      <c r="Z110" s="778">
        <f t="shared" si="58"/>
        <v>476108.37</v>
      </c>
      <c r="AA110" s="629">
        <f>+Z110</f>
        <v>476108.37</v>
      </c>
      <c r="AB110" s="811">
        <v>1</v>
      </c>
      <c r="AC110" s="779">
        <f t="shared" si="59"/>
        <v>443562.4</v>
      </c>
      <c r="AD110" s="726">
        <f t="shared" si="60"/>
        <v>0.17</v>
      </c>
      <c r="AE110" s="727">
        <f t="shared" si="61"/>
        <v>27106.55</v>
      </c>
      <c r="AF110" s="725">
        <f t="shared" si="62"/>
        <v>23805.42</v>
      </c>
      <c r="AG110" s="727">
        <f t="shared" si="63"/>
        <v>0</v>
      </c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3">
        <f t="shared" si="52"/>
        <v>106</v>
      </c>
      <c r="B111" s="721" t="s">
        <v>8450</v>
      </c>
      <c r="C111" s="771">
        <v>1520606</v>
      </c>
      <c r="D111" s="771">
        <v>7491</v>
      </c>
      <c r="E111" s="771" t="s">
        <v>6939</v>
      </c>
      <c r="F111" s="546">
        <v>2018</v>
      </c>
      <c r="G111" s="659">
        <v>43082</v>
      </c>
      <c r="H111" s="655" t="s">
        <v>810</v>
      </c>
      <c r="I111" s="655" t="s">
        <v>8679</v>
      </c>
      <c r="J111" s="712"/>
      <c r="K111" s="655" t="s">
        <v>8799</v>
      </c>
      <c r="L111" s="655" t="s">
        <v>8982</v>
      </c>
      <c r="M111" s="660">
        <v>476108.37</v>
      </c>
      <c r="N111" s="660">
        <v>23805.42</v>
      </c>
      <c r="O111" s="660">
        <v>79986.210000000006</v>
      </c>
      <c r="P111" s="660">
        <v>579900</v>
      </c>
      <c r="Q111" s="548"/>
      <c r="R111" s="660">
        <v>420224.34</v>
      </c>
      <c r="S111" s="549">
        <f t="shared" si="64"/>
        <v>159675.65999999997</v>
      </c>
      <c r="T111" s="113" t="s">
        <v>1932</v>
      </c>
      <c r="U111" s="722" t="str">
        <f t="shared" si="43"/>
        <v>AA12545</v>
      </c>
      <c r="V111" s="723" t="str">
        <f t="shared" si="54"/>
        <v>0145-TCN18</v>
      </c>
      <c r="W111" s="722">
        <f t="shared" si="55"/>
        <v>1520606</v>
      </c>
      <c r="X111" s="722" t="str">
        <f t="shared" si="56"/>
        <v>HILUX DIESEL EQUIPADA</v>
      </c>
      <c r="Y111" s="723">
        <f t="shared" si="57"/>
        <v>2018</v>
      </c>
      <c r="Z111" s="778">
        <f t="shared" si="58"/>
        <v>476108.37</v>
      </c>
      <c r="AA111" s="725"/>
      <c r="AB111" s="802"/>
      <c r="AC111" s="779">
        <f t="shared" si="59"/>
        <v>443562.4</v>
      </c>
      <c r="AD111" s="726">
        <f t="shared" si="60"/>
        <v>0.17</v>
      </c>
      <c r="AE111" s="725">
        <f t="shared" si="61"/>
        <v>27106.55</v>
      </c>
      <c r="AF111" s="725">
        <f t="shared" si="62"/>
        <v>23805.42</v>
      </c>
      <c r="AG111" s="727">
        <f t="shared" si="63"/>
        <v>0</v>
      </c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3">
        <f t="shared" si="52"/>
        <v>107</v>
      </c>
      <c r="B112" s="721" t="s">
        <v>8447</v>
      </c>
      <c r="C112" s="771">
        <v>1520606</v>
      </c>
      <c r="D112" s="771">
        <v>7490</v>
      </c>
      <c r="E112" s="771" t="s">
        <v>6935</v>
      </c>
      <c r="F112" s="546">
        <v>2018</v>
      </c>
      <c r="G112" s="659">
        <v>43085</v>
      </c>
      <c r="H112" s="655" t="s">
        <v>7761</v>
      </c>
      <c r="I112" s="655" t="s">
        <v>8676</v>
      </c>
      <c r="J112" s="712"/>
      <c r="K112" s="655" t="s">
        <v>8798</v>
      </c>
      <c r="L112" s="655" t="s">
        <v>8979</v>
      </c>
      <c r="M112" s="660">
        <v>345566.5</v>
      </c>
      <c r="N112" s="660">
        <v>17278.330000000002</v>
      </c>
      <c r="O112" s="660">
        <v>58055.17</v>
      </c>
      <c r="P112" s="660">
        <v>420900</v>
      </c>
      <c r="Q112" s="548"/>
      <c r="R112" s="660">
        <v>305347.49</v>
      </c>
      <c r="S112" s="549">
        <f t="shared" si="64"/>
        <v>115552.51000000001</v>
      </c>
      <c r="T112" s="113" t="s">
        <v>1932</v>
      </c>
      <c r="U112" s="722" t="str">
        <f t="shared" si="43"/>
        <v>AA12575</v>
      </c>
      <c r="V112" s="723" t="str">
        <f t="shared" si="54"/>
        <v>0300-TCN18</v>
      </c>
      <c r="W112" s="722">
        <f t="shared" si="55"/>
        <v>1520606</v>
      </c>
      <c r="X112" s="722" t="str">
        <f t="shared" si="56"/>
        <v>HILUX DIESEL BASE</v>
      </c>
      <c r="Y112" s="723">
        <f t="shared" si="57"/>
        <v>2018</v>
      </c>
      <c r="Z112" s="778">
        <f t="shared" si="58"/>
        <v>345566.5</v>
      </c>
      <c r="AA112" s="629"/>
      <c r="AB112" s="794"/>
      <c r="AC112" s="779">
        <f t="shared" si="59"/>
        <v>344993.21</v>
      </c>
      <c r="AD112" s="726">
        <f t="shared" si="60"/>
        <v>0.15</v>
      </c>
      <c r="AE112" s="727">
        <f t="shared" si="61"/>
        <v>12321.2</v>
      </c>
      <c r="AF112" s="725">
        <f t="shared" si="62"/>
        <v>17278.330000000002</v>
      </c>
      <c r="AG112" s="727">
        <f t="shared" si="63"/>
        <v>0</v>
      </c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3">
        <f t="shared" si="52"/>
        <v>108</v>
      </c>
      <c r="B113" s="721" t="s">
        <v>8463</v>
      </c>
      <c r="C113" s="771">
        <v>1520606</v>
      </c>
      <c r="D113" s="771">
        <v>7491</v>
      </c>
      <c r="E113" s="771" t="s">
        <v>6939</v>
      </c>
      <c r="F113" s="546">
        <v>2018</v>
      </c>
      <c r="G113" s="659">
        <v>43097</v>
      </c>
      <c r="H113" s="655" t="s">
        <v>5129</v>
      </c>
      <c r="I113" s="655" t="s">
        <v>8682</v>
      </c>
      <c r="J113" s="712"/>
      <c r="K113" s="655" t="s">
        <v>2478</v>
      </c>
      <c r="L113" s="655" t="s">
        <v>8985</v>
      </c>
      <c r="M113" s="660">
        <v>476108.37</v>
      </c>
      <c r="N113" s="660">
        <v>23805.42</v>
      </c>
      <c r="O113" s="660">
        <v>79986.210000000006</v>
      </c>
      <c r="P113" s="660">
        <v>579900</v>
      </c>
      <c r="Q113" s="548"/>
      <c r="R113" s="660">
        <v>420224.34</v>
      </c>
      <c r="S113" s="549">
        <f t="shared" si="64"/>
        <v>159675.65999999997</v>
      </c>
      <c r="T113" s="113" t="s">
        <v>1932</v>
      </c>
      <c r="U113" s="722" t="str">
        <f t="shared" si="43"/>
        <v>AA12710</v>
      </c>
      <c r="V113" s="723" t="str">
        <f t="shared" si="54"/>
        <v>0327-TCN18</v>
      </c>
      <c r="W113" s="722">
        <f t="shared" si="55"/>
        <v>1520606</v>
      </c>
      <c r="X113" s="722" t="str">
        <f t="shared" si="56"/>
        <v>HILUX DIESEL EQUIPADA</v>
      </c>
      <c r="Y113" s="723">
        <f t="shared" si="57"/>
        <v>2018</v>
      </c>
      <c r="Z113" s="778">
        <f t="shared" si="58"/>
        <v>476108.37</v>
      </c>
      <c r="AA113" s="725"/>
      <c r="AB113" s="802"/>
      <c r="AC113" s="779">
        <f t="shared" si="59"/>
        <v>443562.4</v>
      </c>
      <c r="AD113" s="726">
        <f t="shared" si="60"/>
        <v>0.17</v>
      </c>
      <c r="AE113" s="725">
        <f t="shared" si="61"/>
        <v>27106.55</v>
      </c>
      <c r="AF113" s="725">
        <f t="shared" si="62"/>
        <v>23805.42</v>
      </c>
      <c r="AG113" s="727">
        <f t="shared" si="63"/>
        <v>0</v>
      </c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3">
        <f t="shared" si="52"/>
        <v>109</v>
      </c>
      <c r="B114" s="721" t="s">
        <v>8457</v>
      </c>
      <c r="C114" s="771">
        <v>1520606</v>
      </c>
      <c r="D114" s="771">
        <v>7491</v>
      </c>
      <c r="E114" s="771" t="s">
        <v>6939</v>
      </c>
      <c r="F114" s="546">
        <v>2018</v>
      </c>
      <c r="G114" s="659">
        <v>43090</v>
      </c>
      <c r="H114" s="655" t="s">
        <v>1211</v>
      </c>
      <c r="I114" s="655" t="s">
        <v>8680</v>
      </c>
      <c r="J114" s="712"/>
      <c r="K114" s="655" t="s">
        <v>8800</v>
      </c>
      <c r="L114" s="655" t="s">
        <v>8983</v>
      </c>
      <c r="M114" s="660">
        <v>476108.37</v>
      </c>
      <c r="N114" s="660">
        <v>23805.42</v>
      </c>
      <c r="O114" s="660">
        <v>79986.210000000006</v>
      </c>
      <c r="P114" s="660">
        <v>579900</v>
      </c>
      <c r="Q114" s="548"/>
      <c r="R114" s="660">
        <v>420224.34</v>
      </c>
      <c r="S114" s="549">
        <f t="shared" si="64"/>
        <v>159675.65999999997</v>
      </c>
      <c r="T114" s="113" t="s">
        <v>1932</v>
      </c>
      <c r="U114" s="722" t="str">
        <f t="shared" si="43"/>
        <v>AA12624</v>
      </c>
      <c r="V114" s="723" t="str">
        <f t="shared" si="54"/>
        <v>0328-TCN18</v>
      </c>
      <c r="W114" s="722">
        <f t="shared" si="55"/>
        <v>1520606</v>
      </c>
      <c r="X114" s="722" t="str">
        <f t="shared" si="56"/>
        <v>HILUX DIESEL EQUIPADA</v>
      </c>
      <c r="Y114" s="723">
        <f t="shared" si="57"/>
        <v>2018</v>
      </c>
      <c r="Z114" s="778">
        <f t="shared" si="58"/>
        <v>476108.37</v>
      </c>
      <c r="AA114" s="629">
        <f>+SUM(Z111:Z114)</f>
        <v>1773891.6099999999</v>
      </c>
      <c r="AB114" s="811">
        <v>4</v>
      </c>
      <c r="AC114" s="779">
        <f t="shared" si="59"/>
        <v>443562.4</v>
      </c>
      <c r="AD114" s="726">
        <f t="shared" si="60"/>
        <v>0.17</v>
      </c>
      <c r="AE114" s="727">
        <f t="shared" si="61"/>
        <v>27106.55</v>
      </c>
      <c r="AF114" s="725">
        <f t="shared" si="62"/>
        <v>23805.42</v>
      </c>
      <c r="AG114" s="727">
        <f t="shared" si="63"/>
        <v>0</v>
      </c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52"/>
        <v>110</v>
      </c>
      <c r="B115" s="721" t="s">
        <v>8326</v>
      </c>
      <c r="C115" s="771">
        <v>1520701</v>
      </c>
      <c r="D115" s="771">
        <v>2203</v>
      </c>
      <c r="E115" s="771" t="s">
        <v>719</v>
      </c>
      <c r="F115" s="546">
        <v>2018</v>
      </c>
      <c r="G115" s="659">
        <v>43091</v>
      </c>
      <c r="H115" s="655" t="s">
        <v>774</v>
      </c>
      <c r="I115" s="655" t="s">
        <v>8615</v>
      </c>
      <c r="J115" s="712"/>
      <c r="K115" s="655" t="s">
        <v>6994</v>
      </c>
      <c r="L115" s="655" t="s">
        <v>8918</v>
      </c>
      <c r="M115" s="660">
        <v>182241.38</v>
      </c>
      <c r="N115" s="660">
        <v>0</v>
      </c>
      <c r="O115" s="660">
        <v>29158.62</v>
      </c>
      <c r="P115" s="660">
        <v>211400</v>
      </c>
      <c r="Q115" s="548"/>
      <c r="R115" s="660">
        <v>165503.41</v>
      </c>
      <c r="S115" s="549">
        <f t="shared" si="64"/>
        <v>45896.59</v>
      </c>
      <c r="T115" s="113" t="s">
        <v>1932</v>
      </c>
      <c r="U115" s="722" t="str">
        <f t="shared" si="43"/>
        <v>AA12645</v>
      </c>
      <c r="V115" s="723" t="str">
        <f t="shared" si="54"/>
        <v>0344-TCN18</v>
      </c>
      <c r="W115" s="722">
        <f t="shared" si="55"/>
        <v>1520701</v>
      </c>
      <c r="X115" s="722" t="str">
        <f t="shared" si="56"/>
        <v>AVANZA CARGO</v>
      </c>
      <c r="Y115" s="723">
        <f t="shared" si="57"/>
        <v>2018</v>
      </c>
      <c r="Z115" s="778">
        <f t="shared" si="58"/>
        <v>182241.38</v>
      </c>
      <c r="AA115" s="725">
        <f>+Z115</f>
        <v>182241.38</v>
      </c>
      <c r="AB115" s="812">
        <v>1</v>
      </c>
      <c r="AC115" s="779">
        <f t="shared" si="59"/>
        <v>0.01</v>
      </c>
      <c r="AD115" s="726">
        <f t="shared" si="60"/>
        <v>0.02</v>
      </c>
      <c r="AE115" s="725">
        <f t="shared" si="61"/>
        <v>0</v>
      </c>
      <c r="AF115" s="725">
        <f t="shared" si="62"/>
        <v>0</v>
      </c>
      <c r="AG115" s="727">
        <f t="shared" si="63"/>
        <v>0</v>
      </c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52"/>
        <v>111</v>
      </c>
      <c r="B116" s="721" t="s">
        <v>8389</v>
      </c>
      <c r="C116" s="771">
        <v>1520204</v>
      </c>
      <c r="D116" s="771">
        <v>5603</v>
      </c>
      <c r="E116" s="771" t="s">
        <v>713</v>
      </c>
      <c r="F116" s="546">
        <v>2018</v>
      </c>
      <c r="G116" s="659">
        <v>43075</v>
      </c>
      <c r="H116" s="655" t="s">
        <v>2214</v>
      </c>
      <c r="I116" s="655" t="s">
        <v>8646</v>
      </c>
      <c r="J116" s="712"/>
      <c r="K116" s="655" t="s">
        <v>8781</v>
      </c>
      <c r="L116" s="655" t="s">
        <v>8949</v>
      </c>
      <c r="M116" s="660">
        <v>-326190.48</v>
      </c>
      <c r="N116" s="660">
        <v>-16309.52</v>
      </c>
      <c r="O116" s="660">
        <v>-54800</v>
      </c>
      <c r="P116" s="660">
        <v>-397300</v>
      </c>
      <c r="Q116" s="548"/>
      <c r="R116" s="660">
        <v>-289296.59000000003</v>
      </c>
      <c r="S116" s="549">
        <f t="shared" ref="S116:S132" si="65">+P116-R116</f>
        <v>-108003.40999999997</v>
      </c>
      <c r="T116" s="113" t="s">
        <v>1931</v>
      </c>
      <c r="U116" s="267"/>
      <c r="V116" s="93"/>
      <c r="W116" s="267"/>
      <c r="X116" s="267"/>
      <c r="Y116" s="93"/>
      <c r="Z116" s="618"/>
      <c r="AA116" s="424"/>
      <c r="AB116" s="480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52"/>
        <v>112</v>
      </c>
      <c r="B117" s="721" t="s">
        <v>8390</v>
      </c>
      <c r="C117" s="771">
        <v>1520204</v>
      </c>
      <c r="D117" s="771">
        <v>5603</v>
      </c>
      <c r="E117" s="771" t="s">
        <v>713</v>
      </c>
      <c r="F117" s="546">
        <v>2018</v>
      </c>
      <c r="G117" s="659">
        <v>43075</v>
      </c>
      <c r="H117" s="655" t="s">
        <v>2214</v>
      </c>
      <c r="I117" s="655" t="s">
        <v>8646</v>
      </c>
      <c r="J117" s="712"/>
      <c r="K117" s="655" t="s">
        <v>8781</v>
      </c>
      <c r="L117" s="655" t="s">
        <v>8949</v>
      </c>
      <c r="M117" s="660">
        <v>326190.48</v>
      </c>
      <c r="N117" s="660">
        <v>16309.52</v>
      </c>
      <c r="O117" s="660">
        <v>54800</v>
      </c>
      <c r="P117" s="660">
        <v>397300</v>
      </c>
      <c r="Q117" s="548"/>
      <c r="R117" s="660">
        <v>289296.59000000003</v>
      </c>
      <c r="S117" s="549">
        <f t="shared" si="65"/>
        <v>108003.40999999997</v>
      </c>
      <c r="T117" s="113" t="s">
        <v>1931</v>
      </c>
      <c r="U117" s="267"/>
      <c r="V117" s="370"/>
      <c r="W117" s="375"/>
      <c r="X117" s="374"/>
      <c r="Y117" s="370"/>
      <c r="Z117" s="371"/>
      <c r="AA117" s="371"/>
      <c r="AB117" s="673"/>
      <c r="AC117" s="270"/>
      <c r="AD117" s="372"/>
      <c r="AE117" s="270"/>
      <c r="AF117" s="270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52"/>
        <v>113</v>
      </c>
      <c r="B118" s="721" t="s">
        <v>8371</v>
      </c>
      <c r="C118" s="771">
        <v>520819</v>
      </c>
      <c r="D118" s="771">
        <v>4498</v>
      </c>
      <c r="E118" s="771" t="s">
        <v>696</v>
      </c>
      <c r="F118" s="546">
        <v>2018</v>
      </c>
      <c r="G118" s="659">
        <v>43084</v>
      </c>
      <c r="H118" s="655" t="s">
        <v>817</v>
      </c>
      <c r="I118" s="655" t="s">
        <v>8636</v>
      </c>
      <c r="J118" s="712"/>
      <c r="K118" s="655" t="s">
        <v>8775</v>
      </c>
      <c r="L118" s="655" t="s">
        <v>8939</v>
      </c>
      <c r="M118" s="660">
        <v>-388632.85</v>
      </c>
      <c r="N118" s="660">
        <v>-18867.150000000001</v>
      </c>
      <c r="O118" s="660">
        <v>-65200</v>
      </c>
      <c r="P118" s="660">
        <v>-472700</v>
      </c>
      <c r="Q118" s="548"/>
      <c r="R118" s="660">
        <v>-340373.02</v>
      </c>
      <c r="S118" s="549">
        <f t="shared" si="65"/>
        <v>-132326.97999999998</v>
      </c>
      <c r="T118" s="113" t="s">
        <v>1931</v>
      </c>
      <c r="U118" s="267"/>
      <c r="V118" s="370"/>
      <c r="W118" s="375"/>
      <c r="X118" s="374"/>
      <c r="Y118" s="370"/>
      <c r="Z118" s="371"/>
      <c r="AA118" s="371"/>
      <c r="AB118" s="673"/>
      <c r="AC118" s="270"/>
      <c r="AD118" s="372"/>
      <c r="AE118" s="270"/>
      <c r="AF118" s="270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ht="13.5" thickBot="1" x14ac:dyDescent="0.25">
      <c r="A119" s="423">
        <f t="shared" si="52"/>
        <v>114</v>
      </c>
      <c r="B119" s="721" t="s">
        <v>8372</v>
      </c>
      <c r="C119" s="771">
        <v>520819</v>
      </c>
      <c r="D119" s="771">
        <v>4498</v>
      </c>
      <c r="E119" s="771" t="s">
        <v>696</v>
      </c>
      <c r="F119" s="546">
        <v>2018</v>
      </c>
      <c r="G119" s="659">
        <v>43084</v>
      </c>
      <c r="H119" s="655" t="s">
        <v>817</v>
      </c>
      <c r="I119" s="655" t="s">
        <v>8636</v>
      </c>
      <c r="J119" s="712"/>
      <c r="K119" s="655" t="s">
        <v>8775</v>
      </c>
      <c r="L119" s="655" t="s">
        <v>8939</v>
      </c>
      <c r="M119" s="660">
        <v>388632.85</v>
      </c>
      <c r="N119" s="660">
        <v>18867.150000000001</v>
      </c>
      <c r="O119" s="660">
        <v>65200</v>
      </c>
      <c r="P119" s="660">
        <v>472700</v>
      </c>
      <c r="Q119" s="548"/>
      <c r="R119" s="660">
        <v>340373.02</v>
      </c>
      <c r="S119" s="549">
        <f t="shared" si="65"/>
        <v>132326.97999999998</v>
      </c>
      <c r="T119" s="113" t="s">
        <v>1931</v>
      </c>
      <c r="U119" s="267"/>
      <c r="V119" s="370"/>
      <c r="W119" s="375"/>
      <c r="X119" s="374"/>
      <c r="Y119" s="370"/>
      <c r="Z119" s="371"/>
      <c r="AA119" s="371"/>
      <c r="AB119" s="673"/>
      <c r="AC119" s="270"/>
      <c r="AD119" s="372"/>
      <c r="AE119" s="270"/>
      <c r="AF119" s="270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ht="13.5" thickBot="1" x14ac:dyDescent="0.25">
      <c r="A120" s="423">
        <f t="shared" si="52"/>
        <v>115</v>
      </c>
      <c r="B120" s="721" t="s">
        <v>8249</v>
      </c>
      <c r="C120" s="771">
        <v>520223</v>
      </c>
      <c r="D120" s="771">
        <v>1796</v>
      </c>
      <c r="E120" s="771" t="s">
        <v>689</v>
      </c>
      <c r="F120" s="546">
        <v>2018</v>
      </c>
      <c r="G120" s="659">
        <v>43098</v>
      </c>
      <c r="H120" s="655" t="s">
        <v>8842</v>
      </c>
      <c r="I120" s="655" t="s">
        <v>8568</v>
      </c>
      <c r="J120" s="712"/>
      <c r="K120" s="655" t="s">
        <v>8745</v>
      </c>
      <c r="L120" s="655" t="s">
        <v>8871</v>
      </c>
      <c r="M120" s="660">
        <v>253732.39</v>
      </c>
      <c r="N120" s="660">
        <v>2646.92</v>
      </c>
      <c r="O120" s="660">
        <v>41020.69</v>
      </c>
      <c r="P120" s="660">
        <v>297400</v>
      </c>
      <c r="Q120" s="548"/>
      <c r="R120" s="660">
        <v>223247.04</v>
      </c>
      <c r="S120" s="549">
        <f t="shared" si="65"/>
        <v>74152.959999999992</v>
      </c>
      <c r="T120" s="113" t="s">
        <v>1931</v>
      </c>
      <c r="U120" s="267"/>
      <c r="V120" s="116"/>
      <c r="W120" s="757"/>
      <c r="X120" s="382"/>
      <c r="Y120" s="619"/>
      <c r="Z120" s="737">
        <f>+SUM(Z6:Z115)</f>
        <v>33252702.410000023</v>
      </c>
      <c r="AA120" s="737">
        <f>+SUM(AA6:AA115)</f>
        <v>33252702.409999996</v>
      </c>
      <c r="AB120" s="643">
        <f>+SUM(AB6:AB115)</f>
        <v>102</v>
      </c>
      <c r="AC120" s="620"/>
      <c r="AD120" s="620"/>
      <c r="AE120" s="620"/>
      <c r="AF120" s="737">
        <f>+SUM(AF6:AF115)</f>
        <v>1342185.517699999</v>
      </c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ht="13.5" thickTop="1" x14ac:dyDescent="0.2">
      <c r="A121" s="423">
        <f t="shared" si="52"/>
        <v>116</v>
      </c>
      <c r="B121" s="721" t="s">
        <v>8250</v>
      </c>
      <c r="C121" s="771">
        <v>520223</v>
      </c>
      <c r="D121" s="771">
        <v>1796</v>
      </c>
      <c r="E121" s="771" t="s">
        <v>689</v>
      </c>
      <c r="F121" s="546">
        <v>2018</v>
      </c>
      <c r="G121" s="659">
        <v>43099</v>
      </c>
      <c r="H121" s="655" t="s">
        <v>8842</v>
      </c>
      <c r="I121" s="655" t="s">
        <v>8568</v>
      </c>
      <c r="J121" s="712"/>
      <c r="K121" s="655" t="s">
        <v>8745</v>
      </c>
      <c r="L121" s="655" t="s">
        <v>8871</v>
      </c>
      <c r="M121" s="660">
        <v>-253732.39</v>
      </c>
      <c r="N121" s="660">
        <v>-2646.92</v>
      </c>
      <c r="O121" s="660">
        <v>-41020.69</v>
      </c>
      <c r="P121" s="660">
        <v>-297400</v>
      </c>
      <c r="Q121" s="548"/>
      <c r="R121" s="660">
        <v>-223247.04</v>
      </c>
      <c r="S121" s="549">
        <f t="shared" si="65"/>
        <v>-74152.959999999992</v>
      </c>
      <c r="T121" s="113" t="s">
        <v>1931</v>
      </c>
      <c r="U121" s="267"/>
      <c r="V121" s="116"/>
      <c r="W121" s="757"/>
      <c r="X121" s="271"/>
      <c r="Y121" s="93"/>
      <c r="Z121" s="260"/>
      <c r="AA121" s="431"/>
      <c r="AB121" s="480"/>
      <c r="AC121" s="431"/>
      <c r="AD121" s="436"/>
      <c r="AE121" s="431"/>
      <c r="AF121" s="431">
        <f>+N346</f>
        <v>1342185.5499999991</v>
      </c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52"/>
        <v>117</v>
      </c>
      <c r="B122" s="721" t="s">
        <v>8241</v>
      </c>
      <c r="C122" s="771">
        <v>520231</v>
      </c>
      <c r="D122" s="771">
        <v>1794</v>
      </c>
      <c r="E122" s="771" t="s">
        <v>687</v>
      </c>
      <c r="F122" s="546">
        <v>2018</v>
      </c>
      <c r="G122" s="659">
        <v>43095</v>
      </c>
      <c r="H122" s="655" t="s">
        <v>727</v>
      </c>
      <c r="I122" s="655" t="s">
        <v>8564</v>
      </c>
      <c r="J122" s="712"/>
      <c r="K122" s="655" t="s">
        <v>8742</v>
      </c>
      <c r="L122" s="655" t="s">
        <v>8867</v>
      </c>
      <c r="M122" s="660">
        <v>-276440.55</v>
      </c>
      <c r="N122" s="660">
        <v>-3214.62</v>
      </c>
      <c r="O122" s="660">
        <v>-44744.83</v>
      </c>
      <c r="P122" s="660">
        <v>-324400</v>
      </c>
      <c r="Q122" s="548"/>
      <c r="R122" s="660">
        <v>-243116.68</v>
      </c>
      <c r="S122" s="549">
        <f t="shared" si="65"/>
        <v>-81283.320000000007</v>
      </c>
      <c r="T122" s="113" t="s">
        <v>1931</v>
      </c>
      <c r="U122" s="267"/>
      <c r="V122" s="93"/>
      <c r="W122" s="267"/>
      <c r="X122" s="271"/>
      <c r="Y122" s="469"/>
      <c r="Z122" s="470"/>
      <c r="AA122" s="431"/>
      <c r="AB122" s="480"/>
      <c r="AC122" s="396"/>
      <c r="AD122" s="425"/>
      <c r="AE122" s="395"/>
      <c r="AF122" s="738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52"/>
        <v>118</v>
      </c>
      <c r="B123" s="721" t="s">
        <v>8242</v>
      </c>
      <c r="C123" s="771">
        <v>520231</v>
      </c>
      <c r="D123" s="771">
        <v>1794</v>
      </c>
      <c r="E123" s="771" t="s">
        <v>687</v>
      </c>
      <c r="F123" s="546">
        <v>2018</v>
      </c>
      <c r="G123" s="659">
        <v>43095</v>
      </c>
      <c r="H123" s="655" t="s">
        <v>727</v>
      </c>
      <c r="I123" s="655" t="s">
        <v>8564</v>
      </c>
      <c r="J123" s="712"/>
      <c r="K123" s="655" t="s">
        <v>8742</v>
      </c>
      <c r="L123" s="655" t="s">
        <v>8867</v>
      </c>
      <c r="M123" s="660">
        <v>276440.55</v>
      </c>
      <c r="N123" s="660">
        <v>3214.62</v>
      </c>
      <c r="O123" s="660">
        <v>44744.83</v>
      </c>
      <c r="P123" s="660">
        <v>324400</v>
      </c>
      <c r="Q123" s="548"/>
      <c r="R123" s="660">
        <v>243116.68</v>
      </c>
      <c r="S123" s="549">
        <f t="shared" si="65"/>
        <v>81283.320000000007</v>
      </c>
      <c r="T123" s="113" t="s">
        <v>1931</v>
      </c>
      <c r="U123" s="267"/>
      <c r="V123" s="429"/>
      <c r="W123" s="426"/>
      <c r="X123" s="382"/>
      <c r="Y123" s="441"/>
      <c r="Z123" s="438"/>
      <c r="AA123" s="439"/>
      <c r="AB123" s="480"/>
      <c r="AC123" s="396"/>
      <c r="AD123" s="425"/>
      <c r="AE123" s="440"/>
      <c r="AF123" s="439">
        <f>+AF120-AF121</f>
        <v>-3.2300000078976154E-2</v>
      </c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52"/>
        <v>119</v>
      </c>
      <c r="B124" s="721" t="s">
        <v>8243</v>
      </c>
      <c r="C124" s="771">
        <v>520231</v>
      </c>
      <c r="D124" s="771">
        <v>1794</v>
      </c>
      <c r="E124" s="771" t="s">
        <v>687</v>
      </c>
      <c r="F124" s="546">
        <v>2018</v>
      </c>
      <c r="G124" s="659">
        <v>43095</v>
      </c>
      <c r="H124" s="655" t="s">
        <v>727</v>
      </c>
      <c r="I124" s="655" t="s">
        <v>8564</v>
      </c>
      <c r="J124" s="712"/>
      <c r="K124" s="655" t="s">
        <v>8742</v>
      </c>
      <c r="L124" s="655" t="s">
        <v>8867</v>
      </c>
      <c r="M124" s="660">
        <v>276440.55</v>
      </c>
      <c r="N124" s="660">
        <v>3214.62</v>
      </c>
      <c r="O124" s="660">
        <v>44744.83</v>
      </c>
      <c r="P124" s="660">
        <v>324400</v>
      </c>
      <c r="Q124" s="548"/>
      <c r="R124" s="660">
        <v>243116.68</v>
      </c>
      <c r="S124" s="549">
        <f t="shared" si="65"/>
        <v>81283.320000000007</v>
      </c>
      <c r="T124" s="113" t="s">
        <v>1931</v>
      </c>
      <c r="U124" s="267"/>
      <c r="V124" s="298" t="s">
        <v>6705</v>
      </c>
      <c r="W124" s="437" t="s">
        <v>8303</v>
      </c>
      <c r="X124" s="331"/>
      <c r="Y124" s="441"/>
      <c r="Z124" s="471">
        <f>+AB115+AB114+AB109+AB105+AB106+AB103+AB102+AB97+AB95+AB93+AB85+AB80</f>
        <v>36</v>
      </c>
      <c r="AA124" s="776">
        <f>+AA115+AA114+AA110+AA109+AA106+AA105+AA102+AA103+AA97+AA95+AA93+AA85+AA80</f>
        <v>14114265.390000001</v>
      </c>
      <c r="AB124" s="646"/>
      <c r="AC124" s="741" t="s">
        <v>1269</v>
      </c>
      <c r="AD124" s="436"/>
      <c r="AE124" s="431"/>
      <c r="AF124" s="431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52"/>
        <v>120</v>
      </c>
      <c r="B125" s="721" t="s">
        <v>8244</v>
      </c>
      <c r="C125" s="771">
        <v>520231</v>
      </c>
      <c r="D125" s="771">
        <v>1794</v>
      </c>
      <c r="E125" s="771" t="s">
        <v>687</v>
      </c>
      <c r="F125" s="546">
        <v>2018</v>
      </c>
      <c r="G125" s="659">
        <v>43096</v>
      </c>
      <c r="H125" s="655" t="s">
        <v>727</v>
      </c>
      <c r="I125" s="655" t="s">
        <v>8564</v>
      </c>
      <c r="J125" s="712"/>
      <c r="K125" s="655" t="s">
        <v>8742</v>
      </c>
      <c r="L125" s="655" t="s">
        <v>8867</v>
      </c>
      <c r="M125" s="660">
        <v>-276440.55</v>
      </c>
      <c r="N125" s="660">
        <v>-3214.62</v>
      </c>
      <c r="O125" s="660">
        <v>-44744.83</v>
      </c>
      <c r="P125" s="660">
        <v>-324400</v>
      </c>
      <c r="Q125" s="548"/>
      <c r="R125" s="660">
        <v>-243116.68</v>
      </c>
      <c r="S125" s="549">
        <f t="shared" si="65"/>
        <v>-81283.320000000007</v>
      </c>
      <c r="T125" s="113" t="s">
        <v>1931</v>
      </c>
      <c r="U125" s="267"/>
      <c r="V125" s="298" t="s">
        <v>6704</v>
      </c>
      <c r="W125" s="437" t="s">
        <v>9042</v>
      </c>
      <c r="X125" s="330"/>
      <c r="Y125" s="94"/>
      <c r="Z125" s="475">
        <f>+AB63+AB59+AB57+AB41+AB33+AB21</f>
        <v>23</v>
      </c>
      <c r="AA125" s="472">
        <f>+AA63+AA59+AA57+AA41+AA33+AA21</f>
        <v>4515000.0599999996</v>
      </c>
      <c r="AB125" s="646"/>
      <c r="AC125" s="741" t="s">
        <v>1270</v>
      </c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52"/>
        <v>121</v>
      </c>
      <c r="B126" s="721" t="s">
        <v>8229</v>
      </c>
      <c r="C126" s="771">
        <v>520233</v>
      </c>
      <c r="D126" s="771">
        <v>1782</v>
      </c>
      <c r="E126" s="771" t="s">
        <v>691</v>
      </c>
      <c r="F126" s="546">
        <v>2018</v>
      </c>
      <c r="G126" s="659">
        <v>43095</v>
      </c>
      <c r="H126" s="655" t="s">
        <v>2213</v>
      </c>
      <c r="I126" s="655" t="s">
        <v>8559</v>
      </c>
      <c r="J126" s="712"/>
      <c r="K126" s="655" t="s">
        <v>8741</v>
      </c>
      <c r="L126" s="655" t="s">
        <v>8862</v>
      </c>
      <c r="M126" s="660">
        <v>-299864.09000000003</v>
      </c>
      <c r="N126" s="660">
        <v>-7808.32</v>
      </c>
      <c r="O126" s="660">
        <v>-49227.59</v>
      </c>
      <c r="P126" s="660">
        <v>-356900</v>
      </c>
      <c r="Q126" s="548"/>
      <c r="R126" s="660">
        <v>-263612.28000000003</v>
      </c>
      <c r="S126" s="549">
        <f t="shared" si="65"/>
        <v>-93287.719999999972</v>
      </c>
      <c r="T126" s="113" t="s">
        <v>1931</v>
      </c>
      <c r="U126" s="267"/>
      <c r="V126" s="370"/>
      <c r="W126" s="375"/>
      <c r="X126" s="375"/>
      <c r="Y126" s="442"/>
      <c r="Z126" s="476">
        <f>+AB77+AB73+AB71+AB70+AB61+AB40+AB30+AB29+AB28+AB23+AB22+AB20+AB19+AB17+AB16+AB12+AB11+AB10+AB9+AB7+AB6+1</f>
        <v>40</v>
      </c>
      <c r="AA126" s="472">
        <f>+AA77+AA73+AA71+AA70+AA61+AA40+AA34+AA30+AA28+AA29+AA23+AA22+AA20+AA19+AA17+AA16+AA12+AA11+AA10+AA9+AA7+AA6</f>
        <v>13580333.520000001</v>
      </c>
      <c r="AB126" s="646"/>
      <c r="AC126" s="741" t="s">
        <v>1271</v>
      </c>
      <c r="AD126" s="443"/>
      <c r="AE126" s="439"/>
      <c r="AF126" s="439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ht="13.5" thickBot="1" x14ac:dyDescent="0.25">
      <c r="A127" s="423">
        <f t="shared" si="52"/>
        <v>122</v>
      </c>
      <c r="B127" s="721" t="s">
        <v>8230</v>
      </c>
      <c r="C127" s="771">
        <v>520233</v>
      </c>
      <c r="D127" s="771">
        <v>1782</v>
      </c>
      <c r="E127" s="771" t="s">
        <v>691</v>
      </c>
      <c r="F127" s="546">
        <v>2018</v>
      </c>
      <c r="G127" s="659">
        <v>43095</v>
      </c>
      <c r="H127" s="655" t="s">
        <v>2213</v>
      </c>
      <c r="I127" s="655" t="s">
        <v>8559</v>
      </c>
      <c r="J127" s="712"/>
      <c r="K127" s="655" t="s">
        <v>8741</v>
      </c>
      <c r="L127" s="655" t="s">
        <v>8862</v>
      </c>
      <c r="M127" s="660">
        <v>299864.09000000003</v>
      </c>
      <c r="N127" s="660">
        <v>7808.32</v>
      </c>
      <c r="O127" s="660">
        <v>49227.59</v>
      </c>
      <c r="P127" s="660">
        <v>356900</v>
      </c>
      <c r="Q127" s="548"/>
      <c r="R127" s="660">
        <v>263612.28000000003</v>
      </c>
      <c r="S127" s="549">
        <f t="shared" si="65"/>
        <v>93287.719999999972</v>
      </c>
      <c r="T127" s="267" t="s">
        <v>1931</v>
      </c>
      <c r="U127" s="267"/>
      <c r="V127" s="370"/>
      <c r="W127" s="375"/>
      <c r="X127" s="375"/>
      <c r="Y127" s="352"/>
      <c r="Z127" s="477">
        <f>+AB37</f>
        <v>3</v>
      </c>
      <c r="AA127" s="478">
        <f>+AA37</f>
        <v>1043103.4400000001</v>
      </c>
      <c r="AB127" s="646"/>
      <c r="AC127" s="741" t="s">
        <v>1272</v>
      </c>
      <c r="AD127" s="351"/>
      <c r="AE127" s="351"/>
      <c r="AF127" s="351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ht="13.5" thickTop="1" x14ac:dyDescent="0.2">
      <c r="A128" s="423">
        <f t="shared" si="52"/>
        <v>123</v>
      </c>
      <c r="B128" s="721" t="s">
        <v>8231</v>
      </c>
      <c r="C128" s="771">
        <v>520233</v>
      </c>
      <c r="D128" s="771">
        <v>1782</v>
      </c>
      <c r="E128" s="771" t="s">
        <v>691</v>
      </c>
      <c r="F128" s="546">
        <v>2018</v>
      </c>
      <c r="G128" s="659">
        <v>43095</v>
      </c>
      <c r="H128" s="655" t="s">
        <v>2213</v>
      </c>
      <c r="I128" s="655" t="s">
        <v>8559</v>
      </c>
      <c r="J128" s="712"/>
      <c r="K128" s="655" t="s">
        <v>8741</v>
      </c>
      <c r="L128" s="655" t="s">
        <v>8862</v>
      </c>
      <c r="M128" s="660">
        <v>299864.09000000003</v>
      </c>
      <c r="N128" s="660">
        <v>7808.32</v>
      </c>
      <c r="O128" s="660">
        <v>49227.59</v>
      </c>
      <c r="P128" s="660">
        <v>356900</v>
      </c>
      <c r="Q128" s="548"/>
      <c r="R128" s="660">
        <v>263612.28000000003</v>
      </c>
      <c r="S128" s="549">
        <f t="shared" si="65"/>
        <v>93287.719999999972</v>
      </c>
      <c r="T128" s="267" t="s">
        <v>1931</v>
      </c>
      <c r="U128" s="267"/>
      <c r="V128" s="354"/>
      <c r="W128" s="355"/>
      <c r="X128" s="355"/>
      <c r="Y128" s="348"/>
      <c r="Z128" s="479">
        <f>+SUM(Z124:Z127)</f>
        <v>102</v>
      </c>
      <c r="AA128" s="480">
        <f>SUM(AA124:AA127)</f>
        <v>33252702.41</v>
      </c>
      <c r="AB128" s="646"/>
      <c r="AC128" s="472"/>
      <c r="AD128" s="348"/>
      <c r="AE128" s="348"/>
      <c r="AF128" s="348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52"/>
        <v>124</v>
      </c>
      <c r="B129" s="721" t="s">
        <v>8232</v>
      </c>
      <c r="C129" s="771">
        <v>520233</v>
      </c>
      <c r="D129" s="771">
        <v>1782</v>
      </c>
      <c r="E129" s="771" t="s">
        <v>691</v>
      </c>
      <c r="F129" s="546">
        <v>2018</v>
      </c>
      <c r="G129" s="659">
        <v>43097</v>
      </c>
      <c r="H129" s="655" t="s">
        <v>2213</v>
      </c>
      <c r="I129" s="655" t="s">
        <v>8559</v>
      </c>
      <c r="J129" s="712"/>
      <c r="K129" s="655" t="s">
        <v>8741</v>
      </c>
      <c r="L129" s="655" t="s">
        <v>8862</v>
      </c>
      <c r="M129" s="660">
        <v>-299864.09000000003</v>
      </c>
      <c r="N129" s="660">
        <v>-7808.32</v>
      </c>
      <c r="O129" s="660">
        <v>-49227.59</v>
      </c>
      <c r="P129" s="660">
        <v>-356900</v>
      </c>
      <c r="Q129" s="548"/>
      <c r="R129" s="660">
        <v>-263612.28000000003</v>
      </c>
      <c r="S129" s="549">
        <f t="shared" si="65"/>
        <v>-93287.719999999972</v>
      </c>
      <c r="T129" s="267" t="s">
        <v>1931</v>
      </c>
      <c r="U129" s="267"/>
      <c r="V129" s="93"/>
      <c r="W129" s="267"/>
      <c r="X129" s="267"/>
      <c r="Y129" s="93"/>
      <c r="Z129" s="618"/>
      <c r="AA129" s="424"/>
      <c r="AB129" s="480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52"/>
        <v>125</v>
      </c>
      <c r="B130" s="721" t="s">
        <v>8233</v>
      </c>
      <c r="C130" s="771">
        <v>520233</v>
      </c>
      <c r="D130" s="771">
        <v>1782</v>
      </c>
      <c r="E130" s="771" t="s">
        <v>691</v>
      </c>
      <c r="F130" s="546">
        <v>2018</v>
      </c>
      <c r="G130" s="659">
        <v>43097</v>
      </c>
      <c r="H130" s="655" t="s">
        <v>2213</v>
      </c>
      <c r="I130" s="655" t="s">
        <v>8559</v>
      </c>
      <c r="J130" s="712"/>
      <c r="K130" s="655" t="s">
        <v>8741</v>
      </c>
      <c r="L130" s="655" t="s">
        <v>8862</v>
      </c>
      <c r="M130" s="660">
        <v>-299864.09000000003</v>
      </c>
      <c r="N130" s="660">
        <v>-7808.32</v>
      </c>
      <c r="O130" s="660">
        <v>-49227.59</v>
      </c>
      <c r="P130" s="660">
        <v>-356900</v>
      </c>
      <c r="Q130" s="548"/>
      <c r="R130" s="660">
        <v>-263612.28000000003</v>
      </c>
      <c r="S130" s="549">
        <f t="shared" si="65"/>
        <v>-93287.719999999972</v>
      </c>
      <c r="T130" s="267" t="s">
        <v>1931</v>
      </c>
      <c r="U130" s="267"/>
      <c r="V130" s="93"/>
      <c r="W130" s="267"/>
      <c r="X130" s="267"/>
      <c r="Y130" s="93"/>
      <c r="Z130" s="618"/>
      <c r="AA130" s="424"/>
      <c r="AB130" s="480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52"/>
        <v>126</v>
      </c>
      <c r="B131" s="721" t="s">
        <v>8234</v>
      </c>
      <c r="C131" s="771">
        <v>520233</v>
      </c>
      <c r="D131" s="771">
        <v>1782</v>
      </c>
      <c r="E131" s="771" t="s">
        <v>691</v>
      </c>
      <c r="F131" s="546">
        <v>2018</v>
      </c>
      <c r="G131" s="659">
        <v>43097</v>
      </c>
      <c r="H131" s="655" t="s">
        <v>2213</v>
      </c>
      <c r="I131" s="655" t="s">
        <v>8559</v>
      </c>
      <c r="J131" s="712"/>
      <c r="K131" s="655" t="s">
        <v>8741</v>
      </c>
      <c r="L131" s="655" t="s">
        <v>8862</v>
      </c>
      <c r="M131" s="660">
        <v>299864.09000000003</v>
      </c>
      <c r="N131" s="660">
        <v>7808.32</v>
      </c>
      <c r="O131" s="660">
        <v>49227.59</v>
      </c>
      <c r="P131" s="660">
        <v>356900</v>
      </c>
      <c r="Q131" s="548"/>
      <c r="R131" s="660">
        <v>263612.28000000003</v>
      </c>
      <c r="S131" s="549">
        <f t="shared" si="65"/>
        <v>93287.719999999972</v>
      </c>
      <c r="T131" s="267" t="s">
        <v>1931</v>
      </c>
      <c r="U131" s="267"/>
      <c r="V131" s="93"/>
      <c r="W131" s="267"/>
      <c r="X131" s="267"/>
      <c r="Y131" s="93"/>
      <c r="Z131" s="618"/>
      <c r="AA131" s="424"/>
      <c r="AB131" s="480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52"/>
        <v>127</v>
      </c>
      <c r="B132" s="721" t="s">
        <v>8332</v>
      </c>
      <c r="C132" s="771">
        <v>521802</v>
      </c>
      <c r="D132" s="771">
        <v>2204</v>
      </c>
      <c r="E132" s="771" t="s">
        <v>705</v>
      </c>
      <c r="F132" s="546">
        <v>2018</v>
      </c>
      <c r="G132" s="659">
        <v>43088</v>
      </c>
      <c r="H132" s="655" t="s">
        <v>6277</v>
      </c>
      <c r="I132" s="655" t="s">
        <v>8619</v>
      </c>
      <c r="J132" s="712"/>
      <c r="K132" s="655" t="s">
        <v>8765</v>
      </c>
      <c r="L132" s="655" t="s">
        <v>8922</v>
      </c>
      <c r="M132" s="660">
        <v>232417.21</v>
      </c>
      <c r="N132" s="660">
        <v>2324.17</v>
      </c>
      <c r="O132" s="660">
        <v>37558.620000000003</v>
      </c>
      <c r="P132" s="660">
        <v>272300</v>
      </c>
      <c r="Q132" s="548"/>
      <c r="R132" s="660">
        <v>210300.79</v>
      </c>
      <c r="S132" s="549">
        <f t="shared" si="65"/>
        <v>61999.209999999992</v>
      </c>
      <c r="T132" s="113" t="s">
        <v>1931</v>
      </c>
      <c r="U132" s="267"/>
      <c r="V132" s="93"/>
      <c r="W132" s="267"/>
      <c r="X132" s="267"/>
      <c r="Y132" s="93"/>
      <c r="Z132" s="618"/>
      <c r="AA132" s="424"/>
      <c r="AB132" s="480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52"/>
        <v>128</v>
      </c>
      <c r="B133" s="721" t="s">
        <v>8345</v>
      </c>
      <c r="C133" s="771">
        <v>521802</v>
      </c>
      <c r="D133" s="771">
        <v>2204</v>
      </c>
      <c r="E133" s="771" t="s">
        <v>705</v>
      </c>
      <c r="F133" s="546">
        <v>2018</v>
      </c>
      <c r="G133" s="659">
        <v>43097</v>
      </c>
      <c r="H133" s="655" t="s">
        <v>6277</v>
      </c>
      <c r="I133" s="655" t="s">
        <v>8619</v>
      </c>
      <c r="J133" s="712"/>
      <c r="K133" s="655" t="s">
        <v>8765</v>
      </c>
      <c r="L133" s="655" t="s">
        <v>8922</v>
      </c>
      <c r="M133" s="660">
        <v>-232417.21</v>
      </c>
      <c r="N133" s="660">
        <v>-2324.17</v>
      </c>
      <c r="O133" s="660">
        <v>-37558.620000000003</v>
      </c>
      <c r="P133" s="660">
        <v>-272300</v>
      </c>
      <c r="Q133" s="548"/>
      <c r="R133" s="660">
        <v>-210300.79</v>
      </c>
      <c r="S133" s="549">
        <f t="shared" ref="S133:S196" si="66">+P133-R133</f>
        <v>-61999.209999999992</v>
      </c>
      <c r="T133" s="113" t="s">
        <v>1931</v>
      </c>
      <c r="U133" s="267"/>
      <c r="V133" s="93"/>
      <c r="W133" s="267"/>
      <c r="X133" s="267"/>
      <c r="Y133" s="93"/>
      <c r="Z133" s="618"/>
      <c r="AA133" s="424"/>
      <c r="AB133" s="480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52"/>
        <v>129</v>
      </c>
      <c r="B134" s="721" t="s">
        <v>8418</v>
      </c>
      <c r="C134" s="771">
        <v>521909</v>
      </c>
      <c r="D134" s="771">
        <v>6987</v>
      </c>
      <c r="E134" s="771" t="s">
        <v>708</v>
      </c>
      <c r="F134" s="546">
        <v>2018</v>
      </c>
      <c r="G134" s="659">
        <v>43083</v>
      </c>
      <c r="H134" s="655" t="s">
        <v>8844</v>
      </c>
      <c r="I134" s="655" t="s">
        <v>8661</v>
      </c>
      <c r="J134" s="712"/>
      <c r="K134" s="655" t="s">
        <v>8789</v>
      </c>
      <c r="L134" s="655" t="s">
        <v>8964</v>
      </c>
      <c r="M134" s="660">
        <v>-566627.55000000005</v>
      </c>
      <c r="N134" s="660">
        <v>-48027.62</v>
      </c>
      <c r="O134" s="660">
        <v>-98344.83</v>
      </c>
      <c r="P134" s="660">
        <v>-713000</v>
      </c>
      <c r="Q134" s="548"/>
      <c r="R134" s="660">
        <v>-501332.18</v>
      </c>
      <c r="S134" s="549">
        <f t="shared" si="66"/>
        <v>-211667.82</v>
      </c>
      <c r="T134" s="113" t="s">
        <v>1931</v>
      </c>
      <c r="U134" s="267"/>
      <c r="V134" s="93"/>
      <c r="W134" s="267"/>
      <c r="X134" s="267"/>
      <c r="Y134" s="93"/>
      <c r="Z134" s="618"/>
      <c r="AA134" s="424"/>
      <c r="AB134" s="480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52"/>
        <v>130</v>
      </c>
      <c r="B135" s="721" t="s">
        <v>8419</v>
      </c>
      <c r="C135" s="771">
        <v>521909</v>
      </c>
      <c r="D135" s="771">
        <v>6987</v>
      </c>
      <c r="E135" s="771" t="s">
        <v>708</v>
      </c>
      <c r="F135" s="546">
        <v>2018</v>
      </c>
      <c r="G135" s="659">
        <v>43083</v>
      </c>
      <c r="H135" s="655" t="s">
        <v>8844</v>
      </c>
      <c r="I135" s="655" t="s">
        <v>8661</v>
      </c>
      <c r="J135" s="712"/>
      <c r="K135" s="655" t="s">
        <v>8789</v>
      </c>
      <c r="L135" s="655" t="s">
        <v>8964</v>
      </c>
      <c r="M135" s="660">
        <v>-566627.55000000005</v>
      </c>
      <c r="N135" s="660">
        <v>-48027.62</v>
      </c>
      <c r="O135" s="660">
        <v>-98344.83</v>
      </c>
      <c r="P135" s="660">
        <v>-713000</v>
      </c>
      <c r="Q135" s="548"/>
      <c r="R135" s="660">
        <v>-501332.18</v>
      </c>
      <c r="S135" s="549">
        <f t="shared" si="66"/>
        <v>-211667.82</v>
      </c>
      <c r="T135" s="113" t="s">
        <v>1931</v>
      </c>
      <c r="U135" s="267"/>
      <c r="V135" s="93"/>
      <c r="W135" s="267"/>
      <c r="X135" s="267"/>
      <c r="Y135" s="93"/>
      <c r="Z135" s="618"/>
      <c r="AA135" s="424"/>
      <c r="AB135" s="480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199" si="67">+A135+1</f>
        <v>131</v>
      </c>
      <c r="B136" s="721" t="s">
        <v>8420</v>
      </c>
      <c r="C136" s="771">
        <v>521909</v>
      </c>
      <c r="D136" s="771">
        <v>6987</v>
      </c>
      <c r="E136" s="771" t="s">
        <v>708</v>
      </c>
      <c r="F136" s="546">
        <v>2018</v>
      </c>
      <c r="G136" s="659">
        <v>43083</v>
      </c>
      <c r="H136" s="655" t="s">
        <v>8844</v>
      </c>
      <c r="I136" s="655" t="s">
        <v>8661</v>
      </c>
      <c r="J136" s="712"/>
      <c r="K136" s="655" t="s">
        <v>8789</v>
      </c>
      <c r="L136" s="655" t="s">
        <v>8964</v>
      </c>
      <c r="M136" s="660">
        <v>566627.55000000005</v>
      </c>
      <c r="N136" s="660">
        <v>48027.62</v>
      </c>
      <c r="O136" s="660">
        <v>98344.83</v>
      </c>
      <c r="P136" s="660">
        <v>713000</v>
      </c>
      <c r="Q136" s="548"/>
      <c r="R136" s="660">
        <v>501332.18</v>
      </c>
      <c r="S136" s="549">
        <f t="shared" si="66"/>
        <v>211667.82</v>
      </c>
      <c r="T136" s="113" t="s">
        <v>1931</v>
      </c>
      <c r="U136" s="267"/>
      <c r="V136" s="93"/>
      <c r="W136" s="267"/>
      <c r="X136" s="267"/>
      <c r="Y136" s="93"/>
      <c r="Z136" s="618"/>
      <c r="AA136" s="424"/>
      <c r="AB136" s="646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67"/>
        <v>132</v>
      </c>
      <c r="B137" s="721" t="s">
        <v>8421</v>
      </c>
      <c r="C137" s="771">
        <v>521909</v>
      </c>
      <c r="D137" s="771">
        <v>6987</v>
      </c>
      <c r="E137" s="771" t="s">
        <v>708</v>
      </c>
      <c r="F137" s="546">
        <v>2018</v>
      </c>
      <c r="G137" s="659">
        <v>43083</v>
      </c>
      <c r="H137" s="655" t="s">
        <v>8844</v>
      </c>
      <c r="I137" s="655" t="s">
        <v>8661</v>
      </c>
      <c r="J137" s="712"/>
      <c r="K137" s="655" t="s">
        <v>8789</v>
      </c>
      <c r="L137" s="655" t="s">
        <v>8964</v>
      </c>
      <c r="M137" s="660">
        <v>566627.55000000005</v>
      </c>
      <c r="N137" s="660">
        <v>48027.62</v>
      </c>
      <c r="O137" s="660">
        <v>98344.83</v>
      </c>
      <c r="P137" s="660">
        <v>713000</v>
      </c>
      <c r="Q137" s="548"/>
      <c r="R137" s="660">
        <v>501332.18</v>
      </c>
      <c r="S137" s="549">
        <f t="shared" si="66"/>
        <v>211667.82</v>
      </c>
      <c r="T137" s="113" t="s">
        <v>1931</v>
      </c>
      <c r="U137" s="267"/>
      <c r="V137" s="93"/>
      <c r="W137" s="267"/>
      <c r="X137" s="267"/>
      <c r="Y137" s="93"/>
      <c r="Z137" s="618"/>
      <c r="AA137" s="424"/>
      <c r="AB137" s="646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67"/>
        <v>133</v>
      </c>
      <c r="B138" s="721" t="s">
        <v>8355</v>
      </c>
      <c r="C138" s="771">
        <v>520815</v>
      </c>
      <c r="D138" s="771">
        <v>4492</v>
      </c>
      <c r="E138" s="771" t="s">
        <v>694</v>
      </c>
      <c r="F138" s="546">
        <v>2018</v>
      </c>
      <c r="G138" s="659">
        <v>43074</v>
      </c>
      <c r="H138" s="655" t="s">
        <v>2216</v>
      </c>
      <c r="I138" s="655" t="s">
        <v>7645</v>
      </c>
      <c r="J138" s="712"/>
      <c r="K138" s="655" t="s">
        <v>8139</v>
      </c>
      <c r="L138" s="655" t="s">
        <v>7453</v>
      </c>
      <c r="M138" s="660">
        <v>-360072.13</v>
      </c>
      <c r="N138" s="660">
        <v>-14583.04</v>
      </c>
      <c r="O138" s="660">
        <v>-59944.83</v>
      </c>
      <c r="P138" s="660">
        <v>-434600</v>
      </c>
      <c r="Q138" s="548"/>
      <c r="R138" s="660">
        <v>-315880.67</v>
      </c>
      <c r="S138" s="549">
        <f t="shared" si="66"/>
        <v>-118719.33000000002</v>
      </c>
      <c r="T138" s="113" t="s">
        <v>1931</v>
      </c>
      <c r="U138" s="267"/>
      <c r="V138" s="93"/>
      <c r="W138" s="267"/>
      <c r="X138" s="267"/>
      <c r="Y138" s="93"/>
      <c r="Z138" s="618"/>
      <c r="AA138" s="424"/>
      <c r="AB138" s="646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67"/>
        <v>134</v>
      </c>
      <c r="B139" s="721" t="s">
        <v>8359</v>
      </c>
      <c r="C139" s="771">
        <v>520815</v>
      </c>
      <c r="D139" s="771">
        <v>4492</v>
      </c>
      <c r="E139" s="771" t="s">
        <v>694</v>
      </c>
      <c r="F139" s="546">
        <v>2018</v>
      </c>
      <c r="G139" s="659">
        <v>43088</v>
      </c>
      <c r="H139" s="655" t="s">
        <v>817</v>
      </c>
      <c r="I139" s="655" t="s">
        <v>7645</v>
      </c>
      <c r="J139" s="712"/>
      <c r="K139" s="655" t="s">
        <v>8770</v>
      </c>
      <c r="L139" s="655" t="s">
        <v>7453</v>
      </c>
      <c r="M139" s="660">
        <v>360072.13</v>
      </c>
      <c r="N139" s="660">
        <v>14583.04</v>
      </c>
      <c r="O139" s="660">
        <v>59944.83</v>
      </c>
      <c r="P139" s="660">
        <v>434600</v>
      </c>
      <c r="Q139" s="548"/>
      <c r="R139" s="660">
        <v>315880.67</v>
      </c>
      <c r="S139" s="549">
        <f t="shared" si="66"/>
        <v>118719.33000000002</v>
      </c>
      <c r="T139" s="267" t="s">
        <v>1931</v>
      </c>
      <c r="U139" s="267"/>
      <c r="V139" s="93"/>
      <c r="W139" s="267"/>
      <c r="X139" s="267"/>
      <c r="Y139" s="93"/>
      <c r="Z139" s="618"/>
      <c r="AA139" s="424"/>
      <c r="AB139" s="480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67"/>
        <v>135</v>
      </c>
      <c r="B140" s="721" t="s">
        <v>8358</v>
      </c>
      <c r="C140" s="771">
        <v>520815</v>
      </c>
      <c r="D140" s="771">
        <v>4492</v>
      </c>
      <c r="E140" s="771" t="s">
        <v>694</v>
      </c>
      <c r="F140" s="546">
        <v>2018</v>
      </c>
      <c r="G140" s="659">
        <v>43084</v>
      </c>
      <c r="H140" s="655" t="s">
        <v>8844</v>
      </c>
      <c r="I140" s="655" t="s">
        <v>7646</v>
      </c>
      <c r="J140" s="712"/>
      <c r="K140" s="655" t="s">
        <v>8140</v>
      </c>
      <c r="L140" s="655" t="s">
        <v>7454</v>
      </c>
      <c r="M140" s="660">
        <v>-360072.13</v>
      </c>
      <c r="N140" s="660">
        <v>-14583.04</v>
      </c>
      <c r="O140" s="660">
        <v>-59944.83</v>
      </c>
      <c r="P140" s="660">
        <v>-434600</v>
      </c>
      <c r="Q140" s="548"/>
      <c r="R140" s="660">
        <v>-315880.7</v>
      </c>
      <c r="S140" s="549">
        <f t="shared" si="66"/>
        <v>-118719.29999999999</v>
      </c>
      <c r="T140" s="113" t="s">
        <v>1931</v>
      </c>
      <c r="U140" s="267"/>
      <c r="V140" s="93"/>
      <c r="W140" s="267"/>
      <c r="X140" s="267"/>
      <c r="Y140" s="93"/>
      <c r="Z140" s="618"/>
      <c r="AA140" s="424"/>
      <c r="AB140" s="480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67"/>
        <v>136</v>
      </c>
      <c r="B141" s="721" t="s">
        <v>8362</v>
      </c>
      <c r="C141" s="771">
        <v>520815</v>
      </c>
      <c r="D141" s="771">
        <v>4492</v>
      </c>
      <c r="E141" s="771" t="s">
        <v>694</v>
      </c>
      <c r="F141" s="546">
        <v>2018</v>
      </c>
      <c r="G141" s="659">
        <v>43095</v>
      </c>
      <c r="H141" s="655" t="s">
        <v>2214</v>
      </c>
      <c r="I141" s="655" t="s">
        <v>7646</v>
      </c>
      <c r="J141" s="712"/>
      <c r="K141" s="655" t="s">
        <v>8772</v>
      </c>
      <c r="L141" s="655" t="s">
        <v>7454</v>
      </c>
      <c r="M141" s="660">
        <v>-360072.13</v>
      </c>
      <c r="N141" s="660">
        <v>-14583.04</v>
      </c>
      <c r="O141" s="660">
        <v>-59944.83</v>
      </c>
      <c r="P141" s="660">
        <v>-434600</v>
      </c>
      <c r="Q141" s="548"/>
      <c r="R141" s="660">
        <v>-315880.7</v>
      </c>
      <c r="S141" s="549">
        <f t="shared" si="66"/>
        <v>-118719.29999999999</v>
      </c>
      <c r="T141" s="267" t="s">
        <v>1931</v>
      </c>
      <c r="U141" s="267"/>
      <c r="V141" s="93"/>
      <c r="W141" s="267"/>
      <c r="X141" s="267"/>
      <c r="Y141" s="93"/>
      <c r="Z141" s="618"/>
      <c r="AA141" s="424"/>
      <c r="AB141" s="646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351" customFormat="1" x14ac:dyDescent="0.2">
      <c r="A142" s="423">
        <f t="shared" si="67"/>
        <v>137</v>
      </c>
      <c r="B142" s="721" t="s">
        <v>8363</v>
      </c>
      <c r="C142" s="771">
        <v>520815</v>
      </c>
      <c r="D142" s="771">
        <v>4492</v>
      </c>
      <c r="E142" s="771" t="s">
        <v>694</v>
      </c>
      <c r="F142" s="546">
        <v>2018</v>
      </c>
      <c r="G142" s="659">
        <v>43095</v>
      </c>
      <c r="H142" s="655" t="s">
        <v>2214</v>
      </c>
      <c r="I142" s="655" t="s">
        <v>7646</v>
      </c>
      <c r="J142" s="712"/>
      <c r="K142" s="655" t="s">
        <v>8772</v>
      </c>
      <c r="L142" s="655" t="s">
        <v>7454</v>
      </c>
      <c r="M142" s="660">
        <v>360072.13</v>
      </c>
      <c r="N142" s="660">
        <v>14583.04</v>
      </c>
      <c r="O142" s="660">
        <v>59944.83</v>
      </c>
      <c r="P142" s="660">
        <v>434600</v>
      </c>
      <c r="Q142" s="548"/>
      <c r="R142" s="660">
        <v>315880.7</v>
      </c>
      <c r="S142" s="549">
        <f t="shared" si="66"/>
        <v>118719.29999999999</v>
      </c>
      <c r="T142" s="113" t="s">
        <v>1931</v>
      </c>
      <c r="U142" s="267"/>
      <c r="V142" s="93"/>
      <c r="W142" s="267"/>
      <c r="X142" s="267"/>
      <c r="Y142" s="93"/>
      <c r="Z142" s="618"/>
      <c r="AA142" s="424"/>
      <c r="AB142" s="646"/>
      <c r="AC142" s="424"/>
      <c r="AD142" s="425"/>
      <c r="AE142" s="424"/>
      <c r="AF142" s="424"/>
      <c r="AG142" s="396"/>
      <c r="AH142" s="361"/>
      <c r="AI142" s="313"/>
      <c r="AJ142" s="374"/>
      <c r="AK142" s="331"/>
      <c r="AL142" s="331"/>
      <c r="AM142" s="331"/>
      <c r="AN142" s="352"/>
      <c r="AO142" s="352"/>
      <c r="AP142" s="352"/>
      <c r="AQ142" s="352"/>
      <c r="AR142" s="352"/>
      <c r="AS142" s="352"/>
      <c r="AT142" s="352"/>
      <c r="AU142" s="352"/>
    </row>
    <row r="143" spans="1:47" s="351" customFormat="1" x14ac:dyDescent="0.2">
      <c r="A143" s="423">
        <f t="shared" si="67"/>
        <v>138</v>
      </c>
      <c r="B143" s="721" t="s">
        <v>8364</v>
      </c>
      <c r="C143" s="771">
        <v>520815</v>
      </c>
      <c r="D143" s="771">
        <v>4492</v>
      </c>
      <c r="E143" s="771" t="s">
        <v>694</v>
      </c>
      <c r="F143" s="546">
        <v>2018</v>
      </c>
      <c r="G143" s="659">
        <v>43095</v>
      </c>
      <c r="H143" s="655" t="s">
        <v>2214</v>
      </c>
      <c r="I143" s="655" t="s">
        <v>7646</v>
      </c>
      <c r="J143" s="712"/>
      <c r="K143" s="655" t="s">
        <v>8772</v>
      </c>
      <c r="L143" s="655" t="s">
        <v>7454</v>
      </c>
      <c r="M143" s="660">
        <v>360072.13</v>
      </c>
      <c r="N143" s="660">
        <v>14583.04</v>
      </c>
      <c r="O143" s="660">
        <v>59944.83</v>
      </c>
      <c r="P143" s="660">
        <v>434600</v>
      </c>
      <c r="Q143" s="548"/>
      <c r="R143" s="660">
        <v>315880.7</v>
      </c>
      <c r="S143" s="549">
        <f t="shared" si="66"/>
        <v>118719.29999999999</v>
      </c>
      <c r="T143" s="113" t="s">
        <v>1931</v>
      </c>
      <c r="U143" s="267"/>
      <c r="V143" s="93"/>
      <c r="W143" s="267"/>
      <c r="X143" s="267"/>
      <c r="Y143" s="93"/>
      <c r="Z143" s="618"/>
      <c r="AA143" s="424"/>
      <c r="AB143" s="480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291" customFormat="1" x14ac:dyDescent="0.2">
      <c r="A144" s="423">
        <f t="shared" si="67"/>
        <v>139</v>
      </c>
      <c r="B144" s="721" t="s">
        <v>8486</v>
      </c>
      <c r="C144" s="771">
        <v>1520107</v>
      </c>
      <c r="D144" s="771">
        <v>7495</v>
      </c>
      <c r="E144" s="771" t="s">
        <v>718</v>
      </c>
      <c r="F144" s="546">
        <v>2018</v>
      </c>
      <c r="G144" s="659">
        <v>43087</v>
      </c>
      <c r="H144" s="655" t="s">
        <v>8843</v>
      </c>
      <c r="I144" s="655" t="s">
        <v>8697</v>
      </c>
      <c r="J144" s="712"/>
      <c r="K144" s="655" t="s">
        <v>8810</v>
      </c>
      <c r="L144" s="655" t="s">
        <v>9000</v>
      </c>
      <c r="M144" s="660">
        <v>-302298.84999999998</v>
      </c>
      <c r="N144" s="660">
        <v>-15114.94</v>
      </c>
      <c r="O144" s="660">
        <v>-50786.21</v>
      </c>
      <c r="P144" s="660">
        <v>-368200</v>
      </c>
      <c r="Q144" s="548"/>
      <c r="R144" s="660">
        <v>-267271.96000000002</v>
      </c>
      <c r="S144" s="549">
        <f t="shared" si="66"/>
        <v>-100928.03999999998</v>
      </c>
      <c r="T144" s="113" t="s">
        <v>1931</v>
      </c>
      <c r="U144" s="267"/>
      <c r="V144" s="93"/>
      <c r="W144" s="267"/>
      <c r="X144" s="267"/>
      <c r="Y144" s="93"/>
      <c r="Z144" s="618"/>
      <c r="AA144" s="424"/>
      <c r="AB144" s="480"/>
      <c r="AC144" s="424"/>
      <c r="AD144" s="425"/>
      <c r="AE144" s="424"/>
      <c r="AF144" s="424"/>
      <c r="AG144" s="396"/>
      <c r="AH144" s="361"/>
      <c r="AI144" s="313"/>
      <c r="AJ144" s="374"/>
      <c r="AK144" s="374"/>
      <c r="AL144" s="374"/>
      <c r="AM144" s="374"/>
      <c r="AN144" s="296"/>
      <c r="AO144" s="296"/>
      <c r="AP144" s="296"/>
      <c r="AQ144" s="296"/>
      <c r="AR144" s="296"/>
      <c r="AS144" s="296"/>
      <c r="AT144" s="296"/>
      <c r="AU144" s="296"/>
    </row>
    <row r="145" spans="1:47" s="351" customFormat="1" x14ac:dyDescent="0.2">
      <c r="A145" s="423">
        <f t="shared" si="67"/>
        <v>140</v>
      </c>
      <c r="B145" s="721" t="s">
        <v>8487</v>
      </c>
      <c r="C145" s="771">
        <v>1520107</v>
      </c>
      <c r="D145" s="771">
        <v>7495</v>
      </c>
      <c r="E145" s="771" t="s">
        <v>718</v>
      </c>
      <c r="F145" s="546">
        <v>2018</v>
      </c>
      <c r="G145" s="659">
        <v>43087</v>
      </c>
      <c r="H145" s="655" t="s">
        <v>8843</v>
      </c>
      <c r="I145" s="655" t="s">
        <v>8697</v>
      </c>
      <c r="J145" s="712"/>
      <c r="K145" s="655" t="s">
        <v>8810</v>
      </c>
      <c r="L145" s="655" t="s">
        <v>9000</v>
      </c>
      <c r="M145" s="660">
        <v>302298.84999999998</v>
      </c>
      <c r="N145" s="660">
        <v>15114.94</v>
      </c>
      <c r="O145" s="660">
        <v>50786.21</v>
      </c>
      <c r="P145" s="660">
        <v>368200</v>
      </c>
      <c r="Q145" s="548"/>
      <c r="R145" s="660">
        <v>267271.96000000002</v>
      </c>
      <c r="S145" s="549">
        <f t="shared" si="66"/>
        <v>100928.03999999998</v>
      </c>
      <c r="T145" s="113" t="s">
        <v>1931</v>
      </c>
      <c r="U145" s="267"/>
      <c r="V145" s="93"/>
      <c r="W145" s="267"/>
      <c r="X145" s="267"/>
      <c r="Y145" s="93"/>
      <c r="Z145" s="618"/>
      <c r="AA145" s="424"/>
      <c r="AB145" s="480"/>
      <c r="AC145" s="424"/>
      <c r="AD145" s="425"/>
      <c r="AE145" s="424"/>
      <c r="AF145" s="424"/>
      <c r="AG145" s="396"/>
      <c r="AH145" s="361"/>
      <c r="AI145" s="313"/>
      <c r="AJ145" s="374"/>
      <c r="AK145" s="331"/>
      <c r="AL145" s="331"/>
      <c r="AM145" s="331"/>
      <c r="AN145" s="352"/>
      <c r="AO145" s="352"/>
      <c r="AP145" s="352"/>
      <c r="AQ145" s="352"/>
      <c r="AR145" s="352"/>
      <c r="AS145" s="352"/>
      <c r="AT145" s="352"/>
      <c r="AU145" s="352"/>
    </row>
    <row r="146" spans="1:47" s="291" customFormat="1" x14ac:dyDescent="0.2">
      <c r="A146" s="423">
        <f t="shared" si="67"/>
        <v>141</v>
      </c>
      <c r="B146" s="721" t="s">
        <v>8394</v>
      </c>
      <c r="C146" s="771">
        <v>521502</v>
      </c>
      <c r="D146" s="771">
        <v>5611</v>
      </c>
      <c r="E146" s="771" t="s">
        <v>225</v>
      </c>
      <c r="F146" s="546">
        <v>2018</v>
      </c>
      <c r="G146" s="659">
        <v>43070</v>
      </c>
      <c r="H146" s="655" t="s">
        <v>774</v>
      </c>
      <c r="I146" s="655" t="s">
        <v>8649</v>
      </c>
      <c r="J146" s="712"/>
      <c r="K146" s="655" t="s">
        <v>8142</v>
      </c>
      <c r="L146" s="655" t="s">
        <v>8952</v>
      </c>
      <c r="M146" s="660">
        <v>-394255.04</v>
      </c>
      <c r="N146" s="660">
        <v>-19710.48</v>
      </c>
      <c r="O146" s="660">
        <v>-66234.48</v>
      </c>
      <c r="P146" s="660">
        <v>-480200</v>
      </c>
      <c r="Q146" s="548"/>
      <c r="R146" s="660">
        <v>-349193.41</v>
      </c>
      <c r="S146" s="549">
        <f t="shared" si="66"/>
        <v>-131006.59000000003</v>
      </c>
      <c r="T146" s="113" t="s">
        <v>1931</v>
      </c>
      <c r="U146" s="267"/>
      <c r="V146" s="93"/>
      <c r="W146" s="267"/>
      <c r="X146" s="267"/>
      <c r="Y146" s="93"/>
      <c r="Z146" s="618"/>
      <c r="AA146" s="424"/>
      <c r="AB146" s="480"/>
      <c r="AC146" s="424"/>
      <c r="AD146" s="425"/>
      <c r="AE146" s="424"/>
      <c r="AF146" s="424"/>
      <c r="AG146" s="396"/>
      <c r="AH146" s="361"/>
      <c r="AI146" s="313"/>
      <c r="AJ146" s="374"/>
      <c r="AK146" s="374"/>
      <c r="AL146" s="374"/>
      <c r="AM146" s="374"/>
      <c r="AN146" s="296"/>
      <c r="AO146" s="296"/>
      <c r="AP146" s="296"/>
      <c r="AQ146" s="296"/>
      <c r="AR146" s="296"/>
      <c r="AS146" s="296"/>
      <c r="AT146" s="296"/>
      <c r="AU146" s="296"/>
    </row>
    <row r="147" spans="1:47" s="291" customFormat="1" x14ac:dyDescent="0.2">
      <c r="A147" s="423">
        <f t="shared" si="67"/>
        <v>142</v>
      </c>
      <c r="B147" s="721" t="s">
        <v>8395</v>
      </c>
      <c r="C147" s="771">
        <v>521502</v>
      </c>
      <c r="D147" s="771">
        <v>5611</v>
      </c>
      <c r="E147" s="771" t="s">
        <v>225</v>
      </c>
      <c r="F147" s="546">
        <v>2018</v>
      </c>
      <c r="G147" s="659">
        <v>43070</v>
      </c>
      <c r="H147" s="655" t="s">
        <v>774</v>
      </c>
      <c r="I147" s="655" t="s">
        <v>8649</v>
      </c>
      <c r="J147" s="712"/>
      <c r="K147" s="655" t="s">
        <v>8142</v>
      </c>
      <c r="L147" s="655" t="s">
        <v>8952</v>
      </c>
      <c r="M147" s="660">
        <v>394255.04</v>
      </c>
      <c r="N147" s="660">
        <v>19710.48</v>
      </c>
      <c r="O147" s="660">
        <v>66234.48</v>
      </c>
      <c r="P147" s="660">
        <v>480200</v>
      </c>
      <c r="Q147" s="548"/>
      <c r="R147" s="660">
        <v>349193.41</v>
      </c>
      <c r="S147" s="549">
        <f t="shared" si="66"/>
        <v>131006.59000000003</v>
      </c>
      <c r="T147" s="113" t="s">
        <v>1931</v>
      </c>
      <c r="U147" s="267"/>
      <c r="V147" s="93"/>
      <c r="W147" s="267"/>
      <c r="X147" s="267"/>
      <c r="Y147" s="93"/>
      <c r="Z147" s="618"/>
      <c r="AA147" s="424"/>
      <c r="AB147" s="480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67"/>
        <v>143</v>
      </c>
      <c r="B148" s="721" t="s">
        <v>8396</v>
      </c>
      <c r="C148" s="771">
        <v>521502</v>
      </c>
      <c r="D148" s="771">
        <v>5611</v>
      </c>
      <c r="E148" s="771" t="s">
        <v>225</v>
      </c>
      <c r="F148" s="546">
        <v>2018</v>
      </c>
      <c r="G148" s="659">
        <v>43070</v>
      </c>
      <c r="H148" s="655" t="s">
        <v>774</v>
      </c>
      <c r="I148" s="655" t="s">
        <v>8649</v>
      </c>
      <c r="J148" s="712"/>
      <c r="K148" s="655" t="s">
        <v>1128</v>
      </c>
      <c r="L148" s="655" t="s">
        <v>8952</v>
      </c>
      <c r="M148" s="660">
        <v>394255.04</v>
      </c>
      <c r="N148" s="660">
        <v>19710.48</v>
      </c>
      <c r="O148" s="660">
        <v>66234.48</v>
      </c>
      <c r="P148" s="660">
        <v>480200</v>
      </c>
      <c r="Q148" s="548"/>
      <c r="R148" s="660">
        <v>349193.41</v>
      </c>
      <c r="S148" s="549">
        <f t="shared" si="66"/>
        <v>131006.59000000003</v>
      </c>
      <c r="T148" s="113" t="s">
        <v>1931</v>
      </c>
      <c r="U148" s="267"/>
      <c r="V148" s="93"/>
      <c r="W148" s="267"/>
      <c r="X148" s="267"/>
      <c r="Y148" s="93"/>
      <c r="Z148" s="618"/>
      <c r="AA148" s="424"/>
      <c r="AB148" s="646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291" customFormat="1" x14ac:dyDescent="0.2">
      <c r="A149" s="423">
        <f t="shared" si="67"/>
        <v>144</v>
      </c>
      <c r="B149" s="721" t="s">
        <v>8399</v>
      </c>
      <c r="C149" s="771">
        <v>521502</v>
      </c>
      <c r="D149" s="771">
        <v>5611</v>
      </c>
      <c r="E149" s="771" t="s">
        <v>225</v>
      </c>
      <c r="F149" s="546">
        <v>2018</v>
      </c>
      <c r="G149" s="659">
        <v>43089</v>
      </c>
      <c r="H149" s="655" t="s">
        <v>774</v>
      </c>
      <c r="I149" s="655" t="s">
        <v>8649</v>
      </c>
      <c r="J149" s="712"/>
      <c r="K149" s="655" t="s">
        <v>1128</v>
      </c>
      <c r="L149" s="655" t="s">
        <v>8952</v>
      </c>
      <c r="M149" s="660">
        <v>-394255.04</v>
      </c>
      <c r="N149" s="660">
        <v>-19710.48</v>
      </c>
      <c r="O149" s="660">
        <v>-66234.48</v>
      </c>
      <c r="P149" s="660">
        <v>-480200</v>
      </c>
      <c r="Q149" s="548"/>
      <c r="R149" s="660">
        <v>-349193.41</v>
      </c>
      <c r="S149" s="549">
        <f t="shared" si="66"/>
        <v>-131006.59000000003</v>
      </c>
      <c r="T149" s="267" t="s">
        <v>1931</v>
      </c>
      <c r="U149" s="267"/>
      <c r="V149" s="93"/>
      <c r="W149" s="267"/>
      <c r="X149" s="267"/>
      <c r="Y149" s="93"/>
      <c r="Z149" s="618"/>
      <c r="AA149" s="424"/>
      <c r="AB149" s="480"/>
      <c r="AC149" s="424"/>
      <c r="AD149" s="425"/>
      <c r="AE149" s="424"/>
      <c r="AF149" s="424"/>
      <c r="AG149" s="396"/>
      <c r="AH149" s="361"/>
      <c r="AI149" s="313"/>
      <c r="AJ149" s="374"/>
      <c r="AK149" s="374"/>
      <c r="AL149" s="374"/>
      <c r="AM149" s="374"/>
      <c r="AN149" s="296"/>
      <c r="AO149" s="296"/>
      <c r="AP149" s="296"/>
      <c r="AQ149" s="296"/>
      <c r="AR149" s="296"/>
      <c r="AS149" s="296"/>
      <c r="AT149" s="296"/>
      <c r="AU149" s="296"/>
    </row>
    <row r="150" spans="1:47" s="291" customFormat="1" x14ac:dyDescent="0.2">
      <c r="A150" s="423">
        <f t="shared" si="67"/>
        <v>145</v>
      </c>
      <c r="B150" s="721" t="s">
        <v>8401</v>
      </c>
      <c r="C150" s="771">
        <v>1520202</v>
      </c>
      <c r="D150" s="771">
        <v>5611</v>
      </c>
      <c r="E150" s="771" t="s">
        <v>225</v>
      </c>
      <c r="F150" s="546">
        <v>2018</v>
      </c>
      <c r="G150" s="659">
        <v>43089</v>
      </c>
      <c r="H150" s="655" t="s">
        <v>8846</v>
      </c>
      <c r="I150" s="655" t="s">
        <v>8652</v>
      </c>
      <c r="J150" s="712"/>
      <c r="K150" s="655" t="s">
        <v>6732</v>
      </c>
      <c r="L150" s="655" t="s">
        <v>8955</v>
      </c>
      <c r="M150" s="660">
        <v>-394255.04</v>
      </c>
      <c r="N150" s="660">
        <v>-19710.48</v>
      </c>
      <c r="O150" s="660">
        <v>-66234.48</v>
      </c>
      <c r="P150" s="660">
        <v>-480200</v>
      </c>
      <c r="Q150" s="548"/>
      <c r="R150" s="660">
        <v>-349193.41</v>
      </c>
      <c r="S150" s="549">
        <f t="shared" si="66"/>
        <v>-131006.59000000003</v>
      </c>
      <c r="T150" s="267" t="s">
        <v>1931</v>
      </c>
      <c r="U150" s="267"/>
      <c r="V150" s="93"/>
      <c r="W150" s="267"/>
      <c r="X150" s="267"/>
      <c r="Y150" s="93"/>
      <c r="Z150" s="618"/>
      <c r="AA150" s="424"/>
      <c r="AB150" s="480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291" customFormat="1" x14ac:dyDescent="0.2">
      <c r="A151" s="423">
        <f t="shared" si="67"/>
        <v>146</v>
      </c>
      <c r="B151" s="721" t="s">
        <v>8402</v>
      </c>
      <c r="C151" s="771">
        <v>1520202</v>
      </c>
      <c r="D151" s="771">
        <v>5611</v>
      </c>
      <c r="E151" s="771" t="s">
        <v>225</v>
      </c>
      <c r="F151" s="546">
        <v>2018</v>
      </c>
      <c r="G151" s="659">
        <v>43089</v>
      </c>
      <c r="H151" s="655" t="s">
        <v>8846</v>
      </c>
      <c r="I151" s="655" t="s">
        <v>8652</v>
      </c>
      <c r="J151" s="712"/>
      <c r="K151" s="655" t="s">
        <v>6732</v>
      </c>
      <c r="L151" s="655" t="s">
        <v>8955</v>
      </c>
      <c r="M151" s="660">
        <v>394255.04</v>
      </c>
      <c r="N151" s="660">
        <v>19710.48</v>
      </c>
      <c r="O151" s="660">
        <v>66234.48</v>
      </c>
      <c r="P151" s="660">
        <v>480200</v>
      </c>
      <c r="Q151" s="548"/>
      <c r="R151" s="660">
        <v>349193.41</v>
      </c>
      <c r="S151" s="549">
        <f t="shared" si="66"/>
        <v>131006.59000000003</v>
      </c>
      <c r="T151" s="113" t="s">
        <v>1931</v>
      </c>
      <c r="U151" s="267"/>
      <c r="V151" s="93"/>
      <c r="W151" s="267"/>
      <c r="X151" s="267"/>
      <c r="Y151" s="93"/>
      <c r="Z151" s="618"/>
      <c r="AA151" s="424"/>
      <c r="AB151" s="480"/>
      <c r="AC151" s="424"/>
      <c r="AD151" s="425"/>
      <c r="AE151" s="424"/>
      <c r="AF151" s="424"/>
      <c r="AG151" s="396"/>
      <c r="AH151" s="361"/>
      <c r="AI151" s="313"/>
      <c r="AJ151" s="374"/>
      <c r="AK151" s="374"/>
      <c r="AL151" s="374"/>
      <c r="AM151" s="374"/>
      <c r="AN151" s="296"/>
      <c r="AO151" s="296"/>
      <c r="AP151" s="296"/>
      <c r="AQ151" s="296"/>
      <c r="AR151" s="296"/>
      <c r="AS151" s="296"/>
      <c r="AT151" s="296"/>
      <c r="AU151" s="296"/>
    </row>
    <row r="152" spans="1:47" s="291" customFormat="1" x14ac:dyDescent="0.2">
      <c r="A152" s="423">
        <f t="shared" si="67"/>
        <v>147</v>
      </c>
      <c r="B152" s="721" t="s">
        <v>8433</v>
      </c>
      <c r="C152" s="771">
        <v>1520302</v>
      </c>
      <c r="D152" s="771">
        <v>7441</v>
      </c>
      <c r="E152" s="771" t="s">
        <v>715</v>
      </c>
      <c r="F152" s="546">
        <v>2018</v>
      </c>
      <c r="G152" s="659">
        <v>43089</v>
      </c>
      <c r="H152" s="655" t="s">
        <v>774</v>
      </c>
      <c r="I152" s="655" t="s">
        <v>8669</v>
      </c>
      <c r="J152" s="712"/>
      <c r="K152" s="655" t="s">
        <v>8786</v>
      </c>
      <c r="L152" s="655" t="s">
        <v>8972</v>
      </c>
      <c r="M152" s="660">
        <v>-532348.11</v>
      </c>
      <c r="N152" s="660">
        <v>-26617.41</v>
      </c>
      <c r="O152" s="660">
        <v>-89434.48</v>
      </c>
      <c r="P152" s="660">
        <v>-648400</v>
      </c>
      <c r="Q152" s="548"/>
      <c r="R152" s="660">
        <v>-470877.28</v>
      </c>
      <c r="S152" s="549">
        <f t="shared" si="66"/>
        <v>-177522.71999999997</v>
      </c>
      <c r="T152" s="113" t="s">
        <v>1931</v>
      </c>
      <c r="U152" s="267"/>
      <c r="V152" s="93"/>
      <c r="W152" s="267"/>
      <c r="X152" s="267"/>
      <c r="Y152" s="93"/>
      <c r="Z152" s="618"/>
      <c r="AA152" s="424"/>
      <c r="AB152" s="480"/>
      <c r="AC152" s="424"/>
      <c r="AD152" s="425"/>
      <c r="AE152" s="424"/>
      <c r="AF152" s="424"/>
      <c r="AG152" s="396"/>
      <c r="AH152" s="361"/>
      <c r="AI152" s="313"/>
      <c r="AJ152" s="374"/>
      <c r="AK152" s="374"/>
      <c r="AL152" s="374"/>
      <c r="AM152" s="374"/>
      <c r="AN152" s="296"/>
      <c r="AO152" s="296"/>
      <c r="AP152" s="296"/>
      <c r="AQ152" s="296"/>
      <c r="AR152" s="296"/>
      <c r="AS152" s="296"/>
      <c r="AT152" s="296"/>
      <c r="AU152" s="296"/>
    </row>
    <row r="153" spans="1:47" s="291" customFormat="1" x14ac:dyDescent="0.2">
      <c r="A153" s="423">
        <f t="shared" si="67"/>
        <v>148</v>
      </c>
      <c r="B153" s="721" t="s">
        <v>8434</v>
      </c>
      <c r="C153" s="771">
        <v>1520302</v>
      </c>
      <c r="D153" s="771">
        <v>7441</v>
      </c>
      <c r="E153" s="771" t="s">
        <v>715</v>
      </c>
      <c r="F153" s="546">
        <v>2018</v>
      </c>
      <c r="G153" s="659">
        <v>43089</v>
      </c>
      <c r="H153" s="655" t="s">
        <v>774</v>
      </c>
      <c r="I153" s="655" t="s">
        <v>8669</v>
      </c>
      <c r="J153" s="712"/>
      <c r="K153" s="655" t="s">
        <v>8786</v>
      </c>
      <c r="L153" s="655" t="s">
        <v>8972</v>
      </c>
      <c r="M153" s="660">
        <v>532348.11</v>
      </c>
      <c r="N153" s="660">
        <v>26617.41</v>
      </c>
      <c r="O153" s="660">
        <v>89434.48</v>
      </c>
      <c r="P153" s="660">
        <v>648400</v>
      </c>
      <c r="Q153" s="548"/>
      <c r="R153" s="660">
        <v>470877.28</v>
      </c>
      <c r="S153" s="549">
        <f t="shared" si="66"/>
        <v>177522.71999999997</v>
      </c>
      <c r="T153" s="113" t="s">
        <v>1931</v>
      </c>
      <c r="U153" s="267"/>
      <c r="V153" s="93"/>
      <c r="W153" s="267"/>
      <c r="X153" s="267"/>
      <c r="Y153" s="93"/>
      <c r="Z153" s="618"/>
      <c r="AA153" s="424"/>
      <c r="AB153" s="480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291" customFormat="1" x14ac:dyDescent="0.2">
      <c r="A154" s="423">
        <f t="shared" si="67"/>
        <v>149</v>
      </c>
      <c r="B154" s="721" t="s">
        <v>8336</v>
      </c>
      <c r="C154" s="771">
        <v>521802</v>
      </c>
      <c r="D154" s="771">
        <v>2204</v>
      </c>
      <c r="E154" s="771" t="s">
        <v>705</v>
      </c>
      <c r="F154" s="546">
        <v>2018</v>
      </c>
      <c r="G154" s="659">
        <v>43090</v>
      </c>
      <c r="H154" s="655" t="s">
        <v>8843</v>
      </c>
      <c r="I154" s="655" t="s">
        <v>8621</v>
      </c>
      <c r="J154" s="712"/>
      <c r="K154" s="655" t="s">
        <v>8767</v>
      </c>
      <c r="L154" s="655" t="s">
        <v>8924</v>
      </c>
      <c r="M154" s="660">
        <v>232417.21</v>
      </c>
      <c r="N154" s="660">
        <v>2324.17</v>
      </c>
      <c r="O154" s="660">
        <v>37558.620000000003</v>
      </c>
      <c r="P154" s="660">
        <v>272300</v>
      </c>
      <c r="Q154" s="548"/>
      <c r="R154" s="660">
        <v>210300.79</v>
      </c>
      <c r="S154" s="549">
        <f t="shared" si="66"/>
        <v>61999.209999999992</v>
      </c>
      <c r="T154" s="113" t="s">
        <v>1931</v>
      </c>
      <c r="U154" s="267"/>
      <c r="V154" s="93"/>
      <c r="W154" s="267"/>
      <c r="X154" s="267"/>
      <c r="Y154" s="93"/>
      <c r="Z154" s="618"/>
      <c r="AA154" s="424"/>
      <c r="AB154" s="480"/>
      <c r="AC154" s="424"/>
      <c r="AD154" s="425"/>
      <c r="AE154" s="424"/>
      <c r="AF154" s="424"/>
      <c r="AG154" s="396"/>
      <c r="AH154" s="361"/>
      <c r="AI154" s="313"/>
      <c r="AJ154" s="374"/>
      <c r="AK154" s="374"/>
      <c r="AL154" s="374"/>
      <c r="AM154" s="374"/>
      <c r="AN154" s="296"/>
      <c r="AO154" s="296"/>
      <c r="AP154" s="296"/>
      <c r="AQ154" s="296"/>
      <c r="AR154" s="296"/>
      <c r="AS154" s="296"/>
      <c r="AT154" s="296"/>
      <c r="AU154" s="296"/>
    </row>
    <row r="155" spans="1:47" s="291" customFormat="1" x14ac:dyDescent="0.2">
      <c r="A155" s="423">
        <f t="shared" si="67"/>
        <v>150</v>
      </c>
      <c r="B155" s="721" t="s">
        <v>8338</v>
      </c>
      <c r="C155" s="771">
        <v>521802</v>
      </c>
      <c r="D155" s="771">
        <v>2204</v>
      </c>
      <c r="E155" s="771" t="s">
        <v>705</v>
      </c>
      <c r="F155" s="546">
        <v>2018</v>
      </c>
      <c r="G155" s="659">
        <v>43091</v>
      </c>
      <c r="H155" s="655" t="s">
        <v>8843</v>
      </c>
      <c r="I155" s="655" t="s">
        <v>8621</v>
      </c>
      <c r="J155" s="712"/>
      <c r="K155" s="655" t="s">
        <v>8767</v>
      </c>
      <c r="L155" s="655" t="s">
        <v>8924</v>
      </c>
      <c r="M155" s="660">
        <v>-232417.21</v>
      </c>
      <c r="N155" s="660">
        <v>-2324.17</v>
      </c>
      <c r="O155" s="660">
        <v>-37558.620000000003</v>
      </c>
      <c r="P155" s="660">
        <v>-272300</v>
      </c>
      <c r="Q155" s="548"/>
      <c r="R155" s="660">
        <v>-210300.79</v>
      </c>
      <c r="S155" s="549">
        <f t="shared" si="66"/>
        <v>-61999.209999999992</v>
      </c>
      <c r="T155" s="113" t="s">
        <v>1931</v>
      </c>
      <c r="U155" s="267"/>
      <c r="V155" s="93"/>
      <c r="W155" s="267"/>
      <c r="X155" s="267"/>
      <c r="Y155" s="93"/>
      <c r="Z155" s="618"/>
      <c r="AA155" s="424"/>
      <c r="AB155" s="480"/>
      <c r="AC155" s="424"/>
      <c r="AD155" s="425"/>
      <c r="AE155" s="424"/>
      <c r="AF155" s="424"/>
      <c r="AG155" s="396"/>
      <c r="AH155" s="361"/>
      <c r="AI155" s="313"/>
      <c r="AJ155" s="374"/>
      <c r="AK155" s="374"/>
      <c r="AL155" s="374"/>
      <c r="AM155" s="374"/>
      <c r="AN155" s="296"/>
      <c r="AO155" s="296"/>
      <c r="AP155" s="296"/>
      <c r="AQ155" s="296"/>
      <c r="AR155" s="296"/>
      <c r="AS155" s="296"/>
      <c r="AT155" s="296"/>
      <c r="AU155" s="296"/>
    </row>
    <row r="156" spans="1:47" s="291" customFormat="1" x14ac:dyDescent="0.2">
      <c r="A156" s="423">
        <f t="shared" si="67"/>
        <v>151</v>
      </c>
      <c r="B156" s="721" t="s">
        <v>8339</v>
      </c>
      <c r="C156" s="771">
        <v>521802</v>
      </c>
      <c r="D156" s="771">
        <v>2204</v>
      </c>
      <c r="E156" s="771" t="s">
        <v>705</v>
      </c>
      <c r="F156" s="546">
        <v>2018</v>
      </c>
      <c r="G156" s="659">
        <v>43091</v>
      </c>
      <c r="H156" s="655" t="s">
        <v>8843</v>
      </c>
      <c r="I156" s="655" t="s">
        <v>8621</v>
      </c>
      <c r="J156" s="712"/>
      <c r="K156" s="655" t="s">
        <v>8767</v>
      </c>
      <c r="L156" s="655" t="s">
        <v>8924</v>
      </c>
      <c r="M156" s="660">
        <v>-232417.21</v>
      </c>
      <c r="N156" s="660">
        <v>-2324.17</v>
      </c>
      <c r="O156" s="660">
        <v>-37558.620000000003</v>
      </c>
      <c r="P156" s="660">
        <v>-272300</v>
      </c>
      <c r="Q156" s="548"/>
      <c r="R156" s="660">
        <v>-210300.79</v>
      </c>
      <c r="S156" s="549">
        <f t="shared" si="66"/>
        <v>-61999.209999999992</v>
      </c>
      <c r="T156" s="113" t="s">
        <v>1931</v>
      </c>
      <c r="U156" s="267"/>
      <c r="V156" s="93"/>
      <c r="W156" s="267"/>
      <c r="X156" s="267"/>
      <c r="Y156" s="93"/>
      <c r="Z156" s="618"/>
      <c r="AA156" s="424"/>
      <c r="AB156" s="480"/>
      <c r="AC156" s="424"/>
      <c r="AD156" s="425"/>
      <c r="AE156" s="424"/>
      <c r="AF156" s="424"/>
      <c r="AG156" s="396"/>
      <c r="AH156" s="361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67"/>
        <v>152</v>
      </c>
      <c r="B157" s="721" t="s">
        <v>8340</v>
      </c>
      <c r="C157" s="771">
        <v>521802</v>
      </c>
      <c r="D157" s="771">
        <v>2204</v>
      </c>
      <c r="E157" s="771" t="s">
        <v>705</v>
      </c>
      <c r="F157" s="546">
        <v>2018</v>
      </c>
      <c r="G157" s="659">
        <v>43091</v>
      </c>
      <c r="H157" s="655" t="s">
        <v>8843</v>
      </c>
      <c r="I157" s="655" t="s">
        <v>8621</v>
      </c>
      <c r="J157" s="712"/>
      <c r="K157" s="655" t="s">
        <v>8767</v>
      </c>
      <c r="L157" s="655" t="s">
        <v>8924</v>
      </c>
      <c r="M157" s="660">
        <v>232417.21</v>
      </c>
      <c r="N157" s="660">
        <v>2324.17</v>
      </c>
      <c r="O157" s="660">
        <v>37558.620000000003</v>
      </c>
      <c r="P157" s="660">
        <v>272300</v>
      </c>
      <c r="Q157" s="548"/>
      <c r="R157" s="660">
        <v>210300.79</v>
      </c>
      <c r="S157" s="549">
        <f t="shared" si="66"/>
        <v>61999.209999999992</v>
      </c>
      <c r="T157" s="113" t="s">
        <v>1931</v>
      </c>
      <c r="U157" s="267"/>
      <c r="V157" s="93"/>
      <c r="W157" s="267"/>
      <c r="X157" s="267"/>
      <c r="Y157" s="93"/>
      <c r="Z157" s="618"/>
      <c r="AA157" s="424"/>
      <c r="AB157" s="480"/>
      <c r="AC157" s="424"/>
      <c r="AD157" s="425"/>
      <c r="AE157" s="424"/>
      <c r="AF157" s="424"/>
      <c r="AG157" s="396"/>
      <c r="AH157" s="361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291" customFormat="1" x14ac:dyDescent="0.2">
      <c r="A158" s="423">
        <f t="shared" si="67"/>
        <v>153</v>
      </c>
      <c r="B158" s="721" t="s">
        <v>8478</v>
      </c>
      <c r="C158" s="771">
        <v>1520107</v>
      </c>
      <c r="D158" s="771">
        <v>7495</v>
      </c>
      <c r="E158" s="771" t="s">
        <v>718</v>
      </c>
      <c r="F158" s="546">
        <v>2018</v>
      </c>
      <c r="G158" s="659">
        <v>43075</v>
      </c>
      <c r="H158" s="655" t="s">
        <v>2954</v>
      </c>
      <c r="I158" s="655" t="s">
        <v>8690</v>
      </c>
      <c r="J158" s="712"/>
      <c r="K158" s="655" t="s">
        <v>8805</v>
      </c>
      <c r="L158" s="655" t="s">
        <v>8993</v>
      </c>
      <c r="M158" s="660">
        <v>302298.84999999998</v>
      </c>
      <c r="N158" s="660">
        <v>15114.94</v>
      </c>
      <c r="O158" s="660">
        <v>50786.21</v>
      </c>
      <c r="P158" s="660">
        <v>368200</v>
      </c>
      <c r="Q158" s="548"/>
      <c r="R158" s="660">
        <v>267626.44</v>
      </c>
      <c r="S158" s="549">
        <f t="shared" si="66"/>
        <v>100573.56</v>
      </c>
      <c r="T158" s="113" t="s">
        <v>1931</v>
      </c>
      <c r="U158" s="267"/>
      <c r="V158" s="93"/>
      <c r="W158" s="267"/>
      <c r="X158" s="267"/>
      <c r="Y158" s="93"/>
      <c r="Z158" s="618"/>
      <c r="AA158" s="424"/>
      <c r="AB158" s="480"/>
      <c r="AC158" s="424"/>
      <c r="AD158" s="425"/>
      <c r="AE158" s="424"/>
      <c r="AF158" s="424"/>
      <c r="AG158" s="396"/>
      <c r="AH158" s="361"/>
      <c r="AI158" s="313"/>
      <c r="AJ158" s="374"/>
      <c r="AK158" s="374"/>
      <c r="AL158" s="374"/>
      <c r="AM158" s="374"/>
      <c r="AN158" s="296"/>
      <c r="AO158" s="296"/>
      <c r="AP158" s="296"/>
      <c r="AQ158" s="296"/>
      <c r="AR158" s="296"/>
      <c r="AS158" s="296"/>
      <c r="AT158" s="296"/>
      <c r="AU158" s="296"/>
    </row>
    <row r="159" spans="1:47" s="291" customFormat="1" x14ac:dyDescent="0.2">
      <c r="A159" s="423">
        <f t="shared" si="67"/>
        <v>154</v>
      </c>
      <c r="B159" s="721" t="s">
        <v>8480</v>
      </c>
      <c r="C159" s="771">
        <v>1520107</v>
      </c>
      <c r="D159" s="771">
        <v>7495</v>
      </c>
      <c r="E159" s="771" t="s">
        <v>718</v>
      </c>
      <c r="F159" s="546">
        <v>2018</v>
      </c>
      <c r="G159" s="659">
        <v>43080</v>
      </c>
      <c r="H159" s="655" t="s">
        <v>2954</v>
      </c>
      <c r="I159" s="655" t="s">
        <v>8690</v>
      </c>
      <c r="J159" s="712"/>
      <c r="K159" s="655" t="s">
        <v>8805</v>
      </c>
      <c r="L159" s="655" t="s">
        <v>8993</v>
      </c>
      <c r="M159" s="660">
        <v>-302298.84999999998</v>
      </c>
      <c r="N159" s="660">
        <v>-15114.94</v>
      </c>
      <c r="O159" s="660">
        <v>-50786.21</v>
      </c>
      <c r="P159" s="660">
        <v>-368200</v>
      </c>
      <c r="Q159" s="548"/>
      <c r="R159" s="660">
        <v>-267626.44</v>
      </c>
      <c r="S159" s="549">
        <f t="shared" si="66"/>
        <v>-100573.56</v>
      </c>
      <c r="T159" s="113" t="s">
        <v>1931</v>
      </c>
      <c r="U159" s="267"/>
      <c r="V159" s="93"/>
      <c r="W159" s="267"/>
      <c r="X159" s="267"/>
      <c r="Y159" s="93"/>
      <c r="Z159" s="618"/>
      <c r="AA159" s="424"/>
      <c r="AB159" s="480"/>
      <c r="AC159" s="424"/>
      <c r="AD159" s="425"/>
      <c r="AE159" s="424"/>
      <c r="AF159" s="424"/>
      <c r="AG159" s="396"/>
      <c r="AH159" s="361"/>
      <c r="AI159" s="313"/>
      <c r="AJ159" s="374"/>
      <c r="AK159" s="374"/>
      <c r="AL159" s="374"/>
      <c r="AM159" s="374"/>
      <c r="AN159" s="296"/>
      <c r="AO159" s="296"/>
      <c r="AP159" s="296"/>
      <c r="AQ159" s="296"/>
      <c r="AR159" s="296"/>
      <c r="AS159" s="296"/>
      <c r="AT159" s="296"/>
      <c r="AU159" s="296"/>
    </row>
    <row r="160" spans="1:47" s="291" customFormat="1" x14ac:dyDescent="0.2">
      <c r="A160" s="423">
        <f t="shared" si="67"/>
        <v>155</v>
      </c>
      <c r="B160" s="786" t="s">
        <v>8443</v>
      </c>
      <c r="C160" s="771">
        <v>1520606</v>
      </c>
      <c r="D160" s="771">
        <v>7490</v>
      </c>
      <c r="E160" s="771" t="s">
        <v>6935</v>
      </c>
      <c r="F160" s="546">
        <v>2018</v>
      </c>
      <c r="G160" s="659">
        <v>43085</v>
      </c>
      <c r="H160" s="655" t="s">
        <v>7761</v>
      </c>
      <c r="I160" s="655" t="s">
        <v>8676</v>
      </c>
      <c r="J160" s="712"/>
      <c r="K160" s="655" t="s">
        <v>8798</v>
      </c>
      <c r="L160" s="655" t="s">
        <v>8979</v>
      </c>
      <c r="M160" s="660">
        <v>-345566.5</v>
      </c>
      <c r="N160" s="660">
        <v>-17278.330000000002</v>
      </c>
      <c r="O160" s="660">
        <v>-58055.17</v>
      </c>
      <c r="P160" s="660">
        <v>-420900</v>
      </c>
      <c r="Q160" s="548"/>
      <c r="R160" s="660">
        <v>-305347.49</v>
      </c>
      <c r="S160" s="549">
        <f t="shared" si="66"/>
        <v>-115552.51000000001</v>
      </c>
      <c r="T160" s="113" t="s">
        <v>1931</v>
      </c>
      <c r="U160" s="267"/>
      <c r="V160" s="93"/>
      <c r="W160" s="267"/>
      <c r="X160" s="267"/>
      <c r="Y160" s="93"/>
      <c r="Z160" s="618"/>
      <c r="AA160" s="424"/>
      <c r="AB160" s="480"/>
      <c r="AC160" s="424"/>
      <c r="AD160" s="425"/>
      <c r="AE160" s="424"/>
      <c r="AF160" s="424"/>
      <c r="AG160" s="396"/>
      <c r="AH160" s="361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291" customFormat="1" x14ac:dyDescent="0.2">
      <c r="A161" s="423">
        <f t="shared" si="67"/>
        <v>156</v>
      </c>
      <c r="B161" s="721" t="s">
        <v>8444</v>
      </c>
      <c r="C161" s="771">
        <v>1520606</v>
      </c>
      <c r="D161" s="771">
        <v>7490</v>
      </c>
      <c r="E161" s="771" t="s">
        <v>6935</v>
      </c>
      <c r="F161" s="546">
        <v>2018</v>
      </c>
      <c r="G161" s="659">
        <v>43085</v>
      </c>
      <c r="H161" s="655" t="s">
        <v>7761</v>
      </c>
      <c r="I161" s="655" t="s">
        <v>8676</v>
      </c>
      <c r="J161" s="712"/>
      <c r="K161" s="655" t="s">
        <v>8798</v>
      </c>
      <c r="L161" s="655" t="s">
        <v>8979</v>
      </c>
      <c r="M161" s="660">
        <v>-345566.5</v>
      </c>
      <c r="N161" s="660">
        <v>-17278.330000000002</v>
      </c>
      <c r="O161" s="660">
        <v>-58055.17</v>
      </c>
      <c r="P161" s="660">
        <v>-420900</v>
      </c>
      <c r="Q161" s="548"/>
      <c r="R161" s="660">
        <v>-305347.49</v>
      </c>
      <c r="S161" s="549">
        <f t="shared" si="66"/>
        <v>-115552.51000000001</v>
      </c>
      <c r="T161" s="113" t="s">
        <v>1931</v>
      </c>
      <c r="U161" s="267"/>
      <c r="V161" s="93"/>
      <c r="W161" s="267"/>
      <c r="X161" s="267"/>
      <c r="Y161" s="93"/>
      <c r="Z161" s="618"/>
      <c r="AA161" s="424"/>
      <c r="AB161" s="480"/>
      <c r="AC161" s="424"/>
      <c r="AD161" s="425"/>
      <c r="AE161" s="424"/>
      <c r="AF161" s="424"/>
      <c r="AG161" s="396"/>
      <c r="AH161" s="361"/>
      <c r="AI161" s="313"/>
      <c r="AJ161" s="374"/>
      <c r="AK161" s="374"/>
      <c r="AL161" s="374"/>
      <c r="AM161" s="374"/>
      <c r="AN161" s="296"/>
      <c r="AO161" s="296"/>
      <c r="AP161" s="296"/>
      <c r="AQ161" s="296"/>
      <c r="AR161" s="296"/>
      <c r="AS161" s="296"/>
      <c r="AT161" s="296"/>
      <c r="AU161" s="296"/>
    </row>
    <row r="162" spans="1:47" s="291" customFormat="1" x14ac:dyDescent="0.2">
      <c r="A162" s="423">
        <f t="shared" si="67"/>
        <v>157</v>
      </c>
      <c r="B162" s="721" t="s">
        <v>8445</v>
      </c>
      <c r="C162" s="771">
        <v>1520606</v>
      </c>
      <c r="D162" s="771">
        <v>7490</v>
      </c>
      <c r="E162" s="771" t="s">
        <v>6935</v>
      </c>
      <c r="F162" s="546">
        <v>2018</v>
      </c>
      <c r="G162" s="659">
        <v>43085</v>
      </c>
      <c r="H162" s="655" t="s">
        <v>7761</v>
      </c>
      <c r="I162" s="655" t="s">
        <v>8676</v>
      </c>
      <c r="J162" s="712"/>
      <c r="K162" s="655" t="s">
        <v>8798</v>
      </c>
      <c r="L162" s="655" t="s">
        <v>8979</v>
      </c>
      <c r="M162" s="660">
        <v>345566.5</v>
      </c>
      <c r="N162" s="660">
        <v>17278.330000000002</v>
      </c>
      <c r="O162" s="660">
        <v>58055.17</v>
      </c>
      <c r="P162" s="660">
        <v>420900</v>
      </c>
      <c r="Q162" s="548"/>
      <c r="R162" s="660">
        <v>305347.49</v>
      </c>
      <c r="S162" s="549">
        <f t="shared" si="66"/>
        <v>115552.51000000001</v>
      </c>
      <c r="T162" s="113" t="s">
        <v>1931</v>
      </c>
      <c r="U162" s="267"/>
      <c r="V162" s="93"/>
      <c r="W162" s="267"/>
      <c r="X162" s="267"/>
      <c r="Y162" s="93"/>
      <c r="Z162" s="618"/>
      <c r="AA162" s="424"/>
      <c r="AB162" s="480"/>
      <c r="AC162" s="424"/>
      <c r="AD162" s="425"/>
      <c r="AE162" s="424"/>
      <c r="AF162" s="424"/>
      <c r="AG162" s="396"/>
      <c r="AH162" s="361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291" customFormat="1" x14ac:dyDescent="0.2">
      <c r="A163" s="423">
        <f t="shared" si="67"/>
        <v>158</v>
      </c>
      <c r="B163" s="721" t="s">
        <v>8446</v>
      </c>
      <c r="C163" s="771">
        <v>1520606</v>
      </c>
      <c r="D163" s="771">
        <v>7490</v>
      </c>
      <c r="E163" s="771" t="s">
        <v>6935</v>
      </c>
      <c r="F163" s="546">
        <v>2018</v>
      </c>
      <c r="G163" s="659">
        <v>43085</v>
      </c>
      <c r="H163" s="655" t="s">
        <v>7761</v>
      </c>
      <c r="I163" s="655" t="s">
        <v>8676</v>
      </c>
      <c r="J163" s="712"/>
      <c r="K163" s="655" t="s">
        <v>8798</v>
      </c>
      <c r="L163" s="655" t="s">
        <v>8979</v>
      </c>
      <c r="M163" s="660">
        <v>345566.5</v>
      </c>
      <c r="N163" s="660">
        <v>17278.330000000002</v>
      </c>
      <c r="O163" s="660">
        <v>58055.17</v>
      </c>
      <c r="P163" s="660">
        <v>420900</v>
      </c>
      <c r="Q163" s="548"/>
      <c r="R163" s="660">
        <v>305347.49</v>
      </c>
      <c r="S163" s="549">
        <f t="shared" si="66"/>
        <v>115552.51000000001</v>
      </c>
      <c r="T163" s="113" t="s">
        <v>1931</v>
      </c>
      <c r="U163" s="267"/>
      <c r="V163" s="93"/>
      <c r="W163" s="267"/>
      <c r="X163" s="267"/>
      <c r="Y163" s="93"/>
      <c r="Z163" s="618"/>
      <c r="AA163" s="424"/>
      <c r="AB163" s="646"/>
      <c r="AC163" s="424"/>
      <c r="AD163" s="425"/>
      <c r="AE163" s="424"/>
      <c r="AF163" s="424"/>
      <c r="AG163" s="396"/>
      <c r="AH163" s="361"/>
      <c r="AI163" s="313"/>
      <c r="AJ163" s="374"/>
      <c r="AK163" s="374"/>
      <c r="AL163" s="374"/>
      <c r="AM163" s="374"/>
      <c r="AN163" s="296"/>
      <c r="AO163" s="296"/>
      <c r="AP163" s="296"/>
      <c r="AQ163" s="296"/>
      <c r="AR163" s="296"/>
      <c r="AS163" s="296"/>
      <c r="AT163" s="296"/>
      <c r="AU163" s="296"/>
    </row>
    <row r="164" spans="1:47" s="291" customFormat="1" x14ac:dyDescent="0.2">
      <c r="A164" s="423">
        <f t="shared" si="67"/>
        <v>159</v>
      </c>
      <c r="B164" s="721" t="s">
        <v>8411</v>
      </c>
      <c r="C164" s="771">
        <v>521909</v>
      </c>
      <c r="D164" s="771">
        <v>6986</v>
      </c>
      <c r="E164" s="771" t="s">
        <v>707</v>
      </c>
      <c r="F164" s="546">
        <v>2018</v>
      </c>
      <c r="G164" s="659">
        <v>43095</v>
      </c>
      <c r="H164" s="655" t="s">
        <v>774</v>
      </c>
      <c r="I164" s="655" t="s">
        <v>8658</v>
      </c>
      <c r="J164" s="712"/>
      <c r="K164" s="655" t="s">
        <v>8786</v>
      </c>
      <c r="L164" s="655" t="s">
        <v>8961</v>
      </c>
      <c r="M164" s="660">
        <v>583868.93000000005</v>
      </c>
      <c r="N164" s="660">
        <v>50958.66</v>
      </c>
      <c r="O164" s="660">
        <v>101572.41</v>
      </c>
      <c r="P164" s="660">
        <v>736400</v>
      </c>
      <c r="Q164" s="548"/>
      <c r="R164" s="660">
        <v>516504.6</v>
      </c>
      <c r="S164" s="549">
        <f t="shared" si="66"/>
        <v>219895.40000000002</v>
      </c>
      <c r="T164" s="113" t="s">
        <v>1931</v>
      </c>
      <c r="U164" s="267"/>
      <c r="V164" s="93"/>
      <c r="W164" s="267"/>
      <c r="X164" s="267"/>
      <c r="Y164" s="93"/>
      <c r="Z164" s="618"/>
      <c r="AA164" s="424"/>
      <c r="AB164" s="480"/>
      <c r="AC164" s="424"/>
      <c r="AD164" s="425"/>
      <c r="AE164" s="424"/>
      <c r="AF164" s="424"/>
      <c r="AG164" s="396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67"/>
        <v>160</v>
      </c>
      <c r="B165" s="721" t="s">
        <v>8412</v>
      </c>
      <c r="C165" s="771">
        <v>521909</v>
      </c>
      <c r="D165" s="771">
        <v>6986</v>
      </c>
      <c r="E165" s="771" t="s">
        <v>707</v>
      </c>
      <c r="F165" s="546">
        <v>2018</v>
      </c>
      <c r="G165" s="659">
        <v>43097</v>
      </c>
      <c r="H165" s="655" t="s">
        <v>774</v>
      </c>
      <c r="I165" s="655" t="s">
        <v>8658</v>
      </c>
      <c r="J165" s="712"/>
      <c r="K165" s="655" t="s">
        <v>8786</v>
      </c>
      <c r="L165" s="655" t="s">
        <v>8961</v>
      </c>
      <c r="M165" s="660">
        <v>-583868.93000000005</v>
      </c>
      <c r="N165" s="660">
        <v>-50958.66</v>
      </c>
      <c r="O165" s="660">
        <v>-101572.41</v>
      </c>
      <c r="P165" s="660">
        <v>-736400</v>
      </c>
      <c r="Q165" s="548"/>
      <c r="R165" s="660">
        <v>-516504.6</v>
      </c>
      <c r="S165" s="549">
        <f t="shared" si="66"/>
        <v>-219895.40000000002</v>
      </c>
      <c r="T165" s="113" t="s">
        <v>1931</v>
      </c>
      <c r="U165" s="267"/>
      <c r="V165" s="93"/>
      <c r="W165" s="267"/>
      <c r="X165" s="267"/>
      <c r="Y165" s="93"/>
      <c r="Z165" s="618"/>
      <c r="AA165" s="424"/>
      <c r="AB165" s="480"/>
      <c r="AC165" s="424"/>
      <c r="AD165" s="425"/>
      <c r="AE165" s="424"/>
      <c r="AF165" s="424"/>
      <c r="AG165" s="396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291" customFormat="1" x14ac:dyDescent="0.2">
      <c r="A166" s="423">
        <f t="shared" si="67"/>
        <v>161</v>
      </c>
      <c r="B166" s="721" t="s">
        <v>8413</v>
      </c>
      <c r="C166" s="771">
        <v>521909</v>
      </c>
      <c r="D166" s="771">
        <v>6986</v>
      </c>
      <c r="E166" s="771" t="s">
        <v>707</v>
      </c>
      <c r="F166" s="546">
        <v>2018</v>
      </c>
      <c r="G166" s="659">
        <v>43097</v>
      </c>
      <c r="H166" s="655" t="s">
        <v>774</v>
      </c>
      <c r="I166" s="655" t="s">
        <v>8658</v>
      </c>
      <c r="J166" s="712"/>
      <c r="K166" s="655" t="s">
        <v>8786</v>
      </c>
      <c r="L166" s="655" t="s">
        <v>8961</v>
      </c>
      <c r="M166" s="660">
        <v>-583868.93000000005</v>
      </c>
      <c r="N166" s="660">
        <v>-50958.66</v>
      </c>
      <c r="O166" s="660">
        <v>-101572.41</v>
      </c>
      <c r="P166" s="660">
        <v>-736400</v>
      </c>
      <c r="Q166" s="548"/>
      <c r="R166" s="660">
        <v>-516504.6</v>
      </c>
      <c r="S166" s="549">
        <f t="shared" si="66"/>
        <v>-219895.40000000002</v>
      </c>
      <c r="T166" s="113" t="s">
        <v>1931</v>
      </c>
      <c r="U166" s="267"/>
      <c r="V166" s="93"/>
      <c r="W166" s="267"/>
      <c r="X166" s="267"/>
      <c r="Y166" s="93"/>
      <c r="Z166" s="618"/>
      <c r="AA166" s="424"/>
      <c r="AB166" s="480"/>
      <c r="AC166" s="424"/>
      <c r="AD166" s="425"/>
      <c r="AE166" s="424"/>
      <c r="AF166" s="424"/>
      <c r="AG166" s="396"/>
      <c r="AH166" s="361"/>
      <c r="AI166" s="313"/>
      <c r="AJ166" s="374"/>
      <c r="AK166" s="374"/>
      <c r="AL166" s="374"/>
      <c r="AM166" s="374"/>
      <c r="AN166" s="296"/>
      <c r="AO166" s="296"/>
      <c r="AP166" s="296"/>
      <c r="AQ166" s="296"/>
      <c r="AR166" s="296"/>
      <c r="AS166" s="296"/>
      <c r="AT166" s="296"/>
      <c r="AU166" s="296"/>
    </row>
    <row r="167" spans="1:47" s="291" customFormat="1" x14ac:dyDescent="0.2">
      <c r="A167" s="423">
        <f t="shared" si="67"/>
        <v>162</v>
      </c>
      <c r="B167" s="721" t="s">
        <v>8414</v>
      </c>
      <c r="C167" s="771">
        <v>521909</v>
      </c>
      <c r="D167" s="771">
        <v>6986</v>
      </c>
      <c r="E167" s="771" t="s">
        <v>707</v>
      </c>
      <c r="F167" s="546">
        <v>2018</v>
      </c>
      <c r="G167" s="659">
        <v>43097</v>
      </c>
      <c r="H167" s="655" t="s">
        <v>774</v>
      </c>
      <c r="I167" s="655" t="s">
        <v>8658</v>
      </c>
      <c r="J167" s="712"/>
      <c r="K167" s="655" t="s">
        <v>8786</v>
      </c>
      <c r="L167" s="655" t="s">
        <v>8961</v>
      </c>
      <c r="M167" s="660">
        <v>583868.93000000005</v>
      </c>
      <c r="N167" s="660">
        <v>50958.66</v>
      </c>
      <c r="O167" s="660">
        <v>101572.41</v>
      </c>
      <c r="P167" s="660">
        <v>736400</v>
      </c>
      <c r="Q167" s="548"/>
      <c r="R167" s="660">
        <v>516504.6</v>
      </c>
      <c r="S167" s="549">
        <f t="shared" si="66"/>
        <v>219895.40000000002</v>
      </c>
      <c r="T167" s="113" t="s">
        <v>1931</v>
      </c>
      <c r="U167" s="267"/>
      <c r="V167" s="93"/>
      <c r="W167" s="267"/>
      <c r="X167" s="267"/>
      <c r="Y167" s="93"/>
      <c r="Z167" s="618"/>
      <c r="AA167" s="424"/>
      <c r="AB167" s="480"/>
      <c r="AC167" s="424"/>
      <c r="AD167" s="425"/>
      <c r="AE167" s="424"/>
      <c r="AF167" s="424"/>
      <c r="AG167" s="396"/>
      <c r="AH167" s="361"/>
      <c r="AI167" s="313"/>
      <c r="AJ167" s="374"/>
      <c r="AK167" s="374"/>
      <c r="AL167" s="374"/>
      <c r="AM167" s="374"/>
      <c r="AN167" s="296"/>
      <c r="AO167" s="296"/>
      <c r="AP167" s="296"/>
      <c r="AQ167" s="296"/>
      <c r="AR167" s="296"/>
      <c r="AS167" s="296"/>
      <c r="AT167" s="296"/>
      <c r="AU167" s="296"/>
    </row>
    <row r="168" spans="1:47" s="291" customFormat="1" x14ac:dyDescent="0.2">
      <c r="A168" s="423">
        <f t="shared" si="67"/>
        <v>163</v>
      </c>
      <c r="B168" s="721" t="s">
        <v>8380</v>
      </c>
      <c r="C168" s="771">
        <v>520508</v>
      </c>
      <c r="D168" s="771">
        <v>5398</v>
      </c>
      <c r="E168" s="771" t="s">
        <v>117</v>
      </c>
      <c r="F168" s="546">
        <v>2018</v>
      </c>
      <c r="G168" s="659">
        <v>43082</v>
      </c>
      <c r="H168" s="655" t="s">
        <v>2215</v>
      </c>
      <c r="I168" s="655" t="s">
        <v>8641</v>
      </c>
      <c r="J168" s="712"/>
      <c r="K168" s="655" t="s">
        <v>8778</v>
      </c>
      <c r="L168" s="655" t="s">
        <v>8944</v>
      </c>
      <c r="M168" s="660">
        <v>-534870.99</v>
      </c>
      <c r="N168" s="660">
        <v>-42629.01</v>
      </c>
      <c r="O168" s="660">
        <v>-92400</v>
      </c>
      <c r="P168" s="660">
        <v>-669900</v>
      </c>
      <c r="Q168" s="548"/>
      <c r="R168" s="660">
        <v>-688352.41</v>
      </c>
      <c r="S168" s="549">
        <f t="shared" si="66"/>
        <v>18452.410000000033</v>
      </c>
      <c r="T168" s="267" t="s">
        <v>1931</v>
      </c>
      <c r="U168" s="267"/>
      <c r="V168" s="93"/>
      <c r="W168" s="267"/>
      <c r="X168" s="267"/>
      <c r="Y168" s="93"/>
      <c r="Z168" s="618"/>
      <c r="AA168" s="424"/>
      <c r="AB168" s="646"/>
      <c r="AC168" s="424"/>
      <c r="AD168" s="425"/>
      <c r="AE168" s="424"/>
      <c r="AF168" s="424"/>
      <c r="AG168" s="396"/>
      <c r="AH168" s="361"/>
      <c r="AI168" s="313"/>
      <c r="AJ168" s="374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291" customFormat="1" x14ac:dyDescent="0.2">
      <c r="A169" s="423">
        <f t="shared" si="67"/>
        <v>164</v>
      </c>
      <c r="B169" s="721" t="s">
        <v>8381</v>
      </c>
      <c r="C169" s="771">
        <v>520508</v>
      </c>
      <c r="D169" s="771">
        <v>5398</v>
      </c>
      <c r="E169" s="771" t="s">
        <v>117</v>
      </c>
      <c r="F169" s="546">
        <v>2018</v>
      </c>
      <c r="G169" s="659">
        <v>43082</v>
      </c>
      <c r="H169" s="655" t="s">
        <v>2215</v>
      </c>
      <c r="I169" s="655" t="s">
        <v>8641</v>
      </c>
      <c r="J169" s="712"/>
      <c r="K169" s="655" t="s">
        <v>8778</v>
      </c>
      <c r="L169" s="655" t="s">
        <v>8944</v>
      </c>
      <c r="M169" s="660">
        <v>534870.99</v>
      </c>
      <c r="N169" s="660">
        <v>42629.01</v>
      </c>
      <c r="O169" s="660">
        <v>92400</v>
      </c>
      <c r="P169" s="660">
        <v>669900</v>
      </c>
      <c r="Q169" s="548"/>
      <c r="R169" s="660">
        <v>688352.41</v>
      </c>
      <c r="S169" s="549">
        <f t="shared" si="66"/>
        <v>-18452.410000000033</v>
      </c>
      <c r="T169" s="113" t="s">
        <v>1931</v>
      </c>
      <c r="U169" s="267"/>
      <c r="V169" s="93"/>
      <c r="W169" s="267"/>
      <c r="X169" s="267"/>
      <c r="Y169" s="93"/>
      <c r="Z169" s="618"/>
      <c r="AA169" s="424"/>
      <c r="AB169" s="480"/>
      <c r="AC169" s="424"/>
      <c r="AD169" s="425"/>
      <c r="AE169" s="424"/>
      <c r="AF169" s="424"/>
      <c r="AG169" s="396"/>
      <c r="AH169" s="361"/>
      <c r="AI169" s="313"/>
      <c r="AJ169" s="374"/>
      <c r="AK169" s="374"/>
      <c r="AL169" s="374"/>
      <c r="AM169" s="374"/>
      <c r="AN169" s="296"/>
      <c r="AO169" s="296"/>
      <c r="AP169" s="296"/>
      <c r="AQ169" s="296"/>
      <c r="AR169" s="296"/>
      <c r="AS169" s="296"/>
      <c r="AT169" s="296"/>
      <c r="AU169" s="296"/>
    </row>
    <row r="170" spans="1:47" s="291" customFormat="1" x14ac:dyDescent="0.2">
      <c r="A170" s="423">
        <f t="shared" si="67"/>
        <v>165</v>
      </c>
      <c r="B170" s="721" t="s">
        <v>8319</v>
      </c>
      <c r="C170" s="771">
        <v>521802</v>
      </c>
      <c r="D170" s="771">
        <v>2202</v>
      </c>
      <c r="E170" s="771" t="s">
        <v>703</v>
      </c>
      <c r="F170" s="546">
        <v>2018</v>
      </c>
      <c r="G170" s="659">
        <v>43083</v>
      </c>
      <c r="H170" s="655" t="s">
        <v>8846</v>
      </c>
      <c r="I170" s="655" t="s">
        <v>8611</v>
      </c>
      <c r="J170" s="712"/>
      <c r="K170" s="655" t="s">
        <v>1137</v>
      </c>
      <c r="L170" s="655" t="s">
        <v>8914</v>
      </c>
      <c r="M170" s="660">
        <v>209568.97</v>
      </c>
      <c r="N170" s="660">
        <v>0</v>
      </c>
      <c r="O170" s="660">
        <v>33531.03</v>
      </c>
      <c r="P170" s="660">
        <v>243100</v>
      </c>
      <c r="Q170" s="548"/>
      <c r="R170" s="660">
        <v>190092.86</v>
      </c>
      <c r="S170" s="549">
        <f t="shared" si="66"/>
        <v>53007.140000000014</v>
      </c>
      <c r="T170" s="113" t="s">
        <v>1931</v>
      </c>
      <c r="U170" s="267"/>
      <c r="V170" s="93"/>
      <c r="W170" s="267"/>
      <c r="X170" s="267"/>
      <c r="Y170" s="93"/>
      <c r="Z170" s="618"/>
      <c r="AA170" s="424"/>
      <c r="AB170" s="480"/>
      <c r="AC170" s="424"/>
      <c r="AD170" s="425"/>
      <c r="AE170" s="424"/>
      <c r="AF170" s="424"/>
      <c r="AG170" s="396"/>
      <c r="AH170" s="361"/>
      <c r="AI170" s="313"/>
      <c r="AJ170" s="374"/>
      <c r="AK170" s="374"/>
      <c r="AL170" s="374"/>
      <c r="AM170" s="374"/>
      <c r="AN170" s="296"/>
      <c r="AO170" s="296"/>
      <c r="AP170" s="296"/>
      <c r="AQ170" s="296"/>
      <c r="AR170" s="296"/>
      <c r="AS170" s="296"/>
      <c r="AT170" s="296"/>
      <c r="AU170" s="296"/>
    </row>
    <row r="171" spans="1:47" s="291" customFormat="1" x14ac:dyDescent="0.2">
      <c r="A171" s="423">
        <f t="shared" si="67"/>
        <v>166</v>
      </c>
      <c r="B171" s="721" t="s">
        <v>8321</v>
      </c>
      <c r="C171" s="771">
        <v>521802</v>
      </c>
      <c r="D171" s="771">
        <v>2202</v>
      </c>
      <c r="E171" s="771" t="s">
        <v>703</v>
      </c>
      <c r="F171" s="546">
        <v>2018</v>
      </c>
      <c r="G171" s="659">
        <v>43085</v>
      </c>
      <c r="H171" s="655" t="s">
        <v>8846</v>
      </c>
      <c r="I171" s="655" t="s">
        <v>8611</v>
      </c>
      <c r="J171" s="712"/>
      <c r="K171" s="655" t="s">
        <v>1137</v>
      </c>
      <c r="L171" s="655" t="s">
        <v>8914</v>
      </c>
      <c r="M171" s="660">
        <v>-209568.97</v>
      </c>
      <c r="N171" s="660">
        <v>0</v>
      </c>
      <c r="O171" s="660">
        <v>-33531.03</v>
      </c>
      <c r="P171" s="660">
        <v>-243100</v>
      </c>
      <c r="Q171" s="548"/>
      <c r="R171" s="660">
        <v>-190092.86</v>
      </c>
      <c r="S171" s="549">
        <f t="shared" si="66"/>
        <v>-53007.140000000014</v>
      </c>
      <c r="T171" s="113" t="s">
        <v>1931</v>
      </c>
      <c r="U171" s="267"/>
      <c r="V171" s="93"/>
      <c r="W171" s="267"/>
      <c r="X171" s="267"/>
      <c r="Y171" s="93"/>
      <c r="Z171" s="618"/>
      <c r="AA171" s="424"/>
      <c r="AB171" s="646"/>
      <c r="AC171" s="424"/>
      <c r="AD171" s="425"/>
      <c r="AE171" s="424"/>
      <c r="AF171" s="424"/>
      <c r="AG171" s="396"/>
      <c r="AH171" s="361"/>
      <c r="AI171" s="313"/>
      <c r="AJ171" s="374"/>
      <c r="AK171" s="374"/>
      <c r="AL171" s="374"/>
      <c r="AM171" s="374"/>
      <c r="AN171" s="296"/>
      <c r="AO171" s="296"/>
      <c r="AP171" s="296"/>
      <c r="AQ171" s="296"/>
      <c r="AR171" s="296"/>
      <c r="AS171" s="296"/>
      <c r="AT171" s="296"/>
      <c r="AU171" s="296"/>
    </row>
    <row r="172" spans="1:47" s="291" customFormat="1" x14ac:dyDescent="0.2">
      <c r="A172" s="423">
        <f t="shared" si="67"/>
        <v>167</v>
      </c>
      <c r="B172" s="721" t="s">
        <v>8320</v>
      </c>
      <c r="C172" s="771">
        <v>521802</v>
      </c>
      <c r="D172" s="771">
        <v>2202</v>
      </c>
      <c r="E172" s="771" t="s">
        <v>703</v>
      </c>
      <c r="F172" s="546">
        <v>2018</v>
      </c>
      <c r="G172" s="659">
        <v>43083</v>
      </c>
      <c r="H172" s="655" t="s">
        <v>2214</v>
      </c>
      <c r="I172" s="655" t="s">
        <v>8612</v>
      </c>
      <c r="J172" s="712"/>
      <c r="K172" s="655" t="s">
        <v>8761</v>
      </c>
      <c r="L172" s="655" t="s">
        <v>8915</v>
      </c>
      <c r="M172" s="660">
        <v>209568.97</v>
      </c>
      <c r="N172" s="660">
        <v>0</v>
      </c>
      <c r="O172" s="660">
        <v>33531.03</v>
      </c>
      <c r="P172" s="660">
        <v>243100</v>
      </c>
      <c r="Q172" s="548"/>
      <c r="R172" s="660">
        <v>189738.38</v>
      </c>
      <c r="S172" s="549">
        <f t="shared" si="66"/>
        <v>53361.619999999995</v>
      </c>
      <c r="T172" s="113" t="s">
        <v>1931</v>
      </c>
      <c r="U172" s="267"/>
      <c r="V172" s="93"/>
      <c r="W172" s="267"/>
      <c r="X172" s="267"/>
      <c r="Y172" s="93"/>
      <c r="Z172" s="618"/>
      <c r="AA172" s="424"/>
      <c r="AB172" s="480"/>
      <c r="AC172" s="424"/>
      <c r="AD172" s="425"/>
      <c r="AE172" s="424"/>
      <c r="AF172" s="424"/>
      <c r="AG172" s="396"/>
      <c r="AH172" s="361"/>
      <c r="AI172" s="313"/>
      <c r="AJ172" s="374"/>
      <c r="AK172" s="374"/>
      <c r="AL172" s="374"/>
      <c r="AM172" s="374"/>
      <c r="AN172" s="296"/>
      <c r="AO172" s="296"/>
      <c r="AP172" s="296"/>
      <c r="AQ172" s="296"/>
      <c r="AR172" s="296"/>
      <c r="AS172" s="296"/>
      <c r="AT172" s="296"/>
      <c r="AU172" s="296"/>
    </row>
    <row r="173" spans="1:47" s="291" customFormat="1" x14ac:dyDescent="0.2">
      <c r="A173" s="423">
        <f t="shared" si="67"/>
        <v>168</v>
      </c>
      <c r="B173" s="721" t="s">
        <v>8322</v>
      </c>
      <c r="C173" s="771">
        <v>521802</v>
      </c>
      <c r="D173" s="771">
        <v>2202</v>
      </c>
      <c r="E173" s="771" t="s">
        <v>703</v>
      </c>
      <c r="F173" s="546">
        <v>2018</v>
      </c>
      <c r="G173" s="659">
        <v>43097</v>
      </c>
      <c r="H173" s="655" t="s">
        <v>2214</v>
      </c>
      <c r="I173" s="655" t="s">
        <v>8612</v>
      </c>
      <c r="J173" s="712"/>
      <c r="K173" s="655" t="s">
        <v>8761</v>
      </c>
      <c r="L173" s="655" t="s">
        <v>8915</v>
      </c>
      <c r="M173" s="660">
        <v>-209568.97</v>
      </c>
      <c r="N173" s="660">
        <v>0</v>
      </c>
      <c r="O173" s="660">
        <v>-33531.03</v>
      </c>
      <c r="P173" s="660">
        <v>-243100</v>
      </c>
      <c r="Q173" s="548"/>
      <c r="R173" s="660">
        <v>-189738.38</v>
      </c>
      <c r="S173" s="549">
        <f t="shared" si="66"/>
        <v>-53361.619999999995</v>
      </c>
      <c r="T173" s="113" t="s">
        <v>1931</v>
      </c>
      <c r="U173" s="267"/>
      <c r="V173" s="93"/>
      <c r="W173" s="267"/>
      <c r="X173" s="267"/>
      <c r="Y173" s="93"/>
      <c r="Z173" s="618"/>
      <c r="AA173" s="424"/>
      <c r="AB173" s="480"/>
      <c r="AC173" s="424"/>
      <c r="AD173" s="425"/>
      <c r="AE173" s="424"/>
      <c r="AF173" s="424"/>
      <c r="AG173" s="396"/>
      <c r="AH173" s="361"/>
      <c r="AI173" s="313"/>
      <c r="AJ173" s="374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291" customFormat="1" x14ac:dyDescent="0.2">
      <c r="A174" s="423">
        <f t="shared" si="67"/>
        <v>169</v>
      </c>
      <c r="B174" s="721" t="s">
        <v>8329</v>
      </c>
      <c r="C174" s="771">
        <v>521802</v>
      </c>
      <c r="D174" s="771">
        <v>2204</v>
      </c>
      <c r="E174" s="771" t="s">
        <v>705</v>
      </c>
      <c r="F174" s="546">
        <v>2018</v>
      </c>
      <c r="G174" s="659">
        <v>43085</v>
      </c>
      <c r="H174" s="655" t="s">
        <v>8846</v>
      </c>
      <c r="I174" s="655" t="s">
        <v>8618</v>
      </c>
      <c r="J174" s="712"/>
      <c r="K174" s="655" t="s">
        <v>1137</v>
      </c>
      <c r="L174" s="655" t="s">
        <v>8921</v>
      </c>
      <c r="M174" s="660">
        <v>-218965.52</v>
      </c>
      <c r="N174" s="660">
        <v>0</v>
      </c>
      <c r="O174" s="660">
        <v>-35034.480000000003</v>
      </c>
      <c r="P174" s="660">
        <v>-254000</v>
      </c>
      <c r="Q174" s="548"/>
      <c r="R174" s="660">
        <v>-210656.28</v>
      </c>
      <c r="S174" s="549">
        <f t="shared" si="66"/>
        <v>-43343.72</v>
      </c>
      <c r="T174" s="113" t="s">
        <v>1931</v>
      </c>
      <c r="U174" s="267"/>
      <c r="V174" s="93"/>
      <c r="W174" s="267"/>
      <c r="X174" s="267"/>
      <c r="Y174" s="93"/>
      <c r="Z174" s="618"/>
      <c r="AA174" s="424"/>
      <c r="AB174" s="480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296"/>
      <c r="AU174" s="296"/>
    </row>
    <row r="175" spans="1:47" s="291" customFormat="1" x14ac:dyDescent="0.2">
      <c r="A175" s="423">
        <f t="shared" si="67"/>
        <v>170</v>
      </c>
      <c r="B175" s="721" t="s">
        <v>8330</v>
      </c>
      <c r="C175" s="771">
        <v>521802</v>
      </c>
      <c r="D175" s="771">
        <v>2204</v>
      </c>
      <c r="E175" s="771" t="s">
        <v>705</v>
      </c>
      <c r="F175" s="546">
        <v>2018</v>
      </c>
      <c r="G175" s="659">
        <v>43085</v>
      </c>
      <c r="H175" s="655" t="s">
        <v>8846</v>
      </c>
      <c r="I175" s="655" t="s">
        <v>8618</v>
      </c>
      <c r="J175" s="712"/>
      <c r="K175" s="655" t="s">
        <v>1137</v>
      </c>
      <c r="L175" s="655" t="s">
        <v>8921</v>
      </c>
      <c r="M175" s="660">
        <v>218965.52</v>
      </c>
      <c r="N175" s="660">
        <v>0</v>
      </c>
      <c r="O175" s="660">
        <v>35034.480000000003</v>
      </c>
      <c r="P175" s="660">
        <v>254000</v>
      </c>
      <c r="Q175" s="548"/>
      <c r="R175" s="660">
        <v>210656.28</v>
      </c>
      <c r="S175" s="549">
        <f t="shared" si="66"/>
        <v>43343.72</v>
      </c>
      <c r="T175" s="113" t="s">
        <v>1931</v>
      </c>
      <c r="U175" s="267"/>
      <c r="V175" s="93"/>
      <c r="W175" s="267"/>
      <c r="X175" s="267"/>
      <c r="Y175" s="93"/>
      <c r="Z175" s="618"/>
      <c r="AA175" s="424"/>
      <c r="AB175" s="646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296"/>
      <c r="AU175" s="296"/>
    </row>
    <row r="176" spans="1:47" s="291" customFormat="1" x14ac:dyDescent="0.2">
      <c r="A176" s="423">
        <f t="shared" si="67"/>
        <v>171</v>
      </c>
      <c r="B176" s="721" t="s">
        <v>8451</v>
      </c>
      <c r="C176" s="771">
        <v>1520606</v>
      </c>
      <c r="D176" s="771">
        <v>7491</v>
      </c>
      <c r="E176" s="771" t="s">
        <v>6939</v>
      </c>
      <c r="F176" s="546">
        <v>2018</v>
      </c>
      <c r="G176" s="659">
        <v>43087</v>
      </c>
      <c r="H176" s="655" t="s">
        <v>2216</v>
      </c>
      <c r="I176" s="655" t="s">
        <v>8680</v>
      </c>
      <c r="J176" s="712"/>
      <c r="K176" s="655" t="s">
        <v>6515</v>
      </c>
      <c r="L176" s="655" t="s">
        <v>8983</v>
      </c>
      <c r="M176" s="660">
        <v>476108.37</v>
      </c>
      <c r="N176" s="660">
        <v>23805.42</v>
      </c>
      <c r="O176" s="660">
        <v>79986.210000000006</v>
      </c>
      <c r="P176" s="660">
        <v>579900</v>
      </c>
      <c r="Q176" s="548"/>
      <c r="R176" s="660">
        <v>420224.34</v>
      </c>
      <c r="S176" s="549">
        <f t="shared" si="66"/>
        <v>159675.65999999997</v>
      </c>
      <c r="T176" s="113" t="s">
        <v>1931</v>
      </c>
      <c r="U176" s="267"/>
      <c r="V176" s="93"/>
      <c r="W176" s="267"/>
      <c r="X176" s="267"/>
      <c r="Y176" s="93"/>
      <c r="Z176" s="618"/>
      <c r="AA176" s="424"/>
      <c r="AB176" s="480"/>
      <c r="AC176" s="424"/>
      <c r="AD176" s="425"/>
      <c r="AE176" s="424"/>
      <c r="AF176" s="424"/>
      <c r="AG176" s="396"/>
      <c r="AH176" s="361"/>
      <c r="AI176" s="313"/>
      <c r="AJ176" s="374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296"/>
      <c r="AU176" s="296"/>
    </row>
    <row r="177" spans="1:47" s="291" customFormat="1" x14ac:dyDescent="0.2">
      <c r="A177" s="423">
        <f t="shared" si="67"/>
        <v>172</v>
      </c>
      <c r="B177" s="721" t="s">
        <v>8452</v>
      </c>
      <c r="C177" s="771">
        <v>1520606</v>
      </c>
      <c r="D177" s="771">
        <v>7491</v>
      </c>
      <c r="E177" s="771" t="s">
        <v>6939</v>
      </c>
      <c r="F177" s="546">
        <v>2018</v>
      </c>
      <c r="G177" s="659">
        <v>43088</v>
      </c>
      <c r="H177" s="655" t="s">
        <v>2216</v>
      </c>
      <c r="I177" s="655" t="s">
        <v>8680</v>
      </c>
      <c r="J177" s="712"/>
      <c r="K177" s="655" t="s">
        <v>6515</v>
      </c>
      <c r="L177" s="655" t="s">
        <v>8983</v>
      </c>
      <c r="M177" s="660">
        <v>-476108.37</v>
      </c>
      <c r="N177" s="660">
        <v>-23805.42</v>
      </c>
      <c r="O177" s="660">
        <v>-79986.210000000006</v>
      </c>
      <c r="P177" s="660">
        <v>-579900</v>
      </c>
      <c r="Q177" s="548"/>
      <c r="R177" s="660">
        <v>-420224.34</v>
      </c>
      <c r="S177" s="549">
        <f t="shared" si="66"/>
        <v>-159675.65999999997</v>
      </c>
      <c r="T177" s="113" t="s">
        <v>1931</v>
      </c>
      <c r="U177" s="267"/>
      <c r="V177" s="93"/>
      <c r="W177" s="267"/>
      <c r="X177" s="267"/>
      <c r="Y177" s="93"/>
      <c r="Z177" s="618"/>
      <c r="AA177" s="424"/>
      <c r="AB177" s="480"/>
      <c r="AC177" s="424"/>
      <c r="AD177" s="425"/>
      <c r="AE177" s="424"/>
      <c r="AF177" s="424"/>
      <c r="AG177" s="396"/>
      <c r="AH177" s="361"/>
      <c r="AI177" s="313"/>
      <c r="AJ177" s="374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296"/>
      <c r="AU177" s="296"/>
    </row>
    <row r="178" spans="1:47" s="291" customFormat="1" x14ac:dyDescent="0.2">
      <c r="A178" s="423">
        <f t="shared" si="67"/>
        <v>173</v>
      </c>
      <c r="B178" s="721" t="s">
        <v>8453</v>
      </c>
      <c r="C178" s="771">
        <v>1520606</v>
      </c>
      <c r="D178" s="771">
        <v>7491</v>
      </c>
      <c r="E178" s="771" t="s">
        <v>6939</v>
      </c>
      <c r="F178" s="546">
        <v>2018</v>
      </c>
      <c r="G178" s="659">
        <v>43088</v>
      </c>
      <c r="H178" s="655" t="s">
        <v>2216</v>
      </c>
      <c r="I178" s="655" t="s">
        <v>8680</v>
      </c>
      <c r="J178" s="712"/>
      <c r="K178" s="655" t="s">
        <v>6515</v>
      </c>
      <c r="L178" s="655" t="s">
        <v>8983</v>
      </c>
      <c r="M178" s="660">
        <v>476108.37</v>
      </c>
      <c r="N178" s="660">
        <v>23805.42</v>
      </c>
      <c r="O178" s="660">
        <v>79986.210000000006</v>
      </c>
      <c r="P178" s="660">
        <v>579900</v>
      </c>
      <c r="Q178" s="548"/>
      <c r="R178" s="660">
        <v>420224.34</v>
      </c>
      <c r="S178" s="549">
        <f t="shared" si="66"/>
        <v>159675.65999999997</v>
      </c>
      <c r="T178" s="113" t="s">
        <v>1931</v>
      </c>
      <c r="U178" s="267"/>
      <c r="V178" s="93"/>
      <c r="W178" s="267"/>
      <c r="X178" s="267"/>
      <c r="Y178" s="93"/>
      <c r="Z178" s="618"/>
      <c r="AA178" s="424"/>
      <c r="AB178" s="646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291" customFormat="1" x14ac:dyDescent="0.2">
      <c r="A179" s="423">
        <f t="shared" si="67"/>
        <v>174</v>
      </c>
      <c r="B179" s="721" t="s">
        <v>8454</v>
      </c>
      <c r="C179" s="771">
        <v>1520606</v>
      </c>
      <c r="D179" s="771">
        <v>7491</v>
      </c>
      <c r="E179" s="771" t="s">
        <v>6939</v>
      </c>
      <c r="F179" s="546">
        <v>2018</v>
      </c>
      <c r="G179" s="659">
        <v>43090</v>
      </c>
      <c r="H179" s="655" t="s">
        <v>2216</v>
      </c>
      <c r="I179" s="655" t="s">
        <v>8680</v>
      </c>
      <c r="J179" s="712"/>
      <c r="K179" s="655" t="s">
        <v>6515</v>
      </c>
      <c r="L179" s="655" t="s">
        <v>8983</v>
      </c>
      <c r="M179" s="660">
        <v>-476108.37</v>
      </c>
      <c r="N179" s="660">
        <v>-23805.42</v>
      </c>
      <c r="O179" s="660">
        <v>-79986.210000000006</v>
      </c>
      <c r="P179" s="660">
        <v>-579900</v>
      </c>
      <c r="Q179" s="548"/>
      <c r="R179" s="660">
        <v>-420224.34</v>
      </c>
      <c r="S179" s="549">
        <f t="shared" si="66"/>
        <v>-159675.65999999997</v>
      </c>
      <c r="T179" s="113" t="s">
        <v>1931</v>
      </c>
      <c r="U179" s="267"/>
      <c r="V179" s="93"/>
      <c r="W179" s="267"/>
      <c r="X179" s="267"/>
      <c r="Y179" s="93"/>
      <c r="Z179" s="618"/>
      <c r="AA179" s="424"/>
      <c r="AB179" s="480"/>
      <c r="AC179" s="424"/>
      <c r="AD179" s="425"/>
      <c r="AE179" s="424"/>
      <c r="AF179" s="424"/>
      <c r="AG179" s="396"/>
      <c r="AH179" s="361"/>
      <c r="AI179" s="313"/>
      <c r="AJ179" s="374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296"/>
      <c r="AU179" s="296"/>
    </row>
    <row r="180" spans="1:47" s="291" customFormat="1" x14ac:dyDescent="0.2">
      <c r="A180" s="423">
        <f t="shared" si="67"/>
        <v>175</v>
      </c>
      <c r="B180" s="721" t="s">
        <v>8455</v>
      </c>
      <c r="C180" s="771">
        <v>1520606</v>
      </c>
      <c r="D180" s="771">
        <v>7491</v>
      </c>
      <c r="E180" s="771" t="s">
        <v>6939</v>
      </c>
      <c r="F180" s="546">
        <v>2018</v>
      </c>
      <c r="G180" s="659">
        <v>43090</v>
      </c>
      <c r="H180" s="655" t="s">
        <v>1211</v>
      </c>
      <c r="I180" s="655" t="s">
        <v>8680</v>
      </c>
      <c r="J180" s="712"/>
      <c r="K180" s="655" t="s">
        <v>8800</v>
      </c>
      <c r="L180" s="655" t="s">
        <v>8983</v>
      </c>
      <c r="M180" s="660">
        <v>-476108.37</v>
      </c>
      <c r="N180" s="660">
        <v>-23805.42</v>
      </c>
      <c r="O180" s="660">
        <v>-79986.210000000006</v>
      </c>
      <c r="P180" s="660">
        <v>-579900</v>
      </c>
      <c r="Q180" s="548"/>
      <c r="R180" s="660">
        <v>-420224.34</v>
      </c>
      <c r="S180" s="549">
        <f t="shared" si="66"/>
        <v>-159675.65999999997</v>
      </c>
      <c r="T180" s="113" t="s">
        <v>1931</v>
      </c>
      <c r="U180" s="267"/>
      <c r="V180" s="93"/>
      <c r="W180" s="267"/>
      <c r="X180" s="267"/>
      <c r="Y180" s="93"/>
      <c r="Z180" s="618"/>
      <c r="AA180" s="424"/>
      <c r="AB180" s="480"/>
      <c r="AC180" s="424"/>
      <c r="AD180" s="425"/>
      <c r="AE180" s="424"/>
      <c r="AF180" s="424"/>
      <c r="AG180" s="396"/>
      <c r="AH180" s="361"/>
      <c r="AI180" s="313"/>
      <c r="AJ180" s="374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291" customFormat="1" x14ac:dyDescent="0.2">
      <c r="A181" s="423">
        <f t="shared" si="67"/>
        <v>176</v>
      </c>
      <c r="B181" s="721" t="s">
        <v>8456</v>
      </c>
      <c r="C181" s="771">
        <v>1520606</v>
      </c>
      <c r="D181" s="771">
        <v>7491</v>
      </c>
      <c r="E181" s="771" t="s">
        <v>6939</v>
      </c>
      <c r="F181" s="546">
        <v>2018</v>
      </c>
      <c r="G181" s="659">
        <v>43090</v>
      </c>
      <c r="H181" s="655" t="s">
        <v>1211</v>
      </c>
      <c r="I181" s="655" t="s">
        <v>8680</v>
      </c>
      <c r="J181" s="712"/>
      <c r="K181" s="655" t="s">
        <v>8800</v>
      </c>
      <c r="L181" s="655" t="s">
        <v>8983</v>
      </c>
      <c r="M181" s="660">
        <v>476108.37</v>
      </c>
      <c r="N181" s="660">
        <v>23805.42</v>
      </c>
      <c r="O181" s="660">
        <v>79986.210000000006</v>
      </c>
      <c r="P181" s="660">
        <v>579900</v>
      </c>
      <c r="Q181" s="548"/>
      <c r="R181" s="660">
        <v>420224.34</v>
      </c>
      <c r="S181" s="549">
        <f t="shared" si="66"/>
        <v>159675.65999999997</v>
      </c>
      <c r="T181" s="113" t="s">
        <v>1931</v>
      </c>
      <c r="U181" s="267"/>
      <c r="V181" s="93"/>
      <c r="W181" s="267"/>
      <c r="X181" s="267"/>
      <c r="Y181" s="93"/>
      <c r="Z181" s="618"/>
      <c r="AA181" s="424"/>
      <c r="AB181" s="480"/>
      <c r="AC181" s="424"/>
      <c r="AD181" s="425"/>
      <c r="AE181" s="424"/>
      <c r="AF181" s="424"/>
      <c r="AG181" s="396"/>
      <c r="AH181" s="361"/>
      <c r="AI181" s="313"/>
      <c r="AJ181" s="374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296"/>
      <c r="AU181" s="296"/>
    </row>
    <row r="182" spans="1:47" s="291" customFormat="1" x14ac:dyDescent="0.2">
      <c r="A182" s="423">
        <f t="shared" si="67"/>
        <v>177</v>
      </c>
      <c r="B182" s="721" t="s">
        <v>8333</v>
      </c>
      <c r="C182" s="771">
        <v>521802</v>
      </c>
      <c r="D182" s="771">
        <v>2204</v>
      </c>
      <c r="E182" s="771" t="s">
        <v>705</v>
      </c>
      <c r="F182" s="546">
        <v>2018</v>
      </c>
      <c r="G182" s="659">
        <v>43088</v>
      </c>
      <c r="H182" s="655" t="s">
        <v>810</v>
      </c>
      <c r="I182" s="655" t="s">
        <v>8620</v>
      </c>
      <c r="J182" s="712"/>
      <c r="K182" s="655" t="s">
        <v>8766</v>
      </c>
      <c r="L182" s="655" t="s">
        <v>8923</v>
      </c>
      <c r="M182" s="660">
        <v>-232417.21</v>
      </c>
      <c r="N182" s="660">
        <v>-2324.17</v>
      </c>
      <c r="O182" s="660">
        <v>-37558.620000000003</v>
      </c>
      <c r="P182" s="660">
        <v>-272300</v>
      </c>
      <c r="Q182" s="548"/>
      <c r="R182" s="660">
        <v>-181600.24</v>
      </c>
      <c r="S182" s="549">
        <f t="shared" si="66"/>
        <v>-90699.760000000009</v>
      </c>
      <c r="T182" s="113" t="s">
        <v>1931</v>
      </c>
      <c r="U182" s="267"/>
      <c r="V182" s="93"/>
      <c r="W182" s="267"/>
      <c r="X182" s="267"/>
      <c r="Y182" s="93"/>
      <c r="Z182" s="618"/>
      <c r="AA182" s="424"/>
      <c r="AB182" s="480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296"/>
      <c r="AU182" s="296"/>
    </row>
    <row r="183" spans="1:47" s="291" customFormat="1" x14ac:dyDescent="0.2">
      <c r="A183" s="423">
        <f t="shared" si="67"/>
        <v>178</v>
      </c>
      <c r="B183" s="721" t="s">
        <v>8334</v>
      </c>
      <c r="C183" s="771">
        <v>521802</v>
      </c>
      <c r="D183" s="771">
        <v>2204</v>
      </c>
      <c r="E183" s="771" t="s">
        <v>705</v>
      </c>
      <c r="F183" s="546">
        <v>2018</v>
      </c>
      <c r="G183" s="659">
        <v>43088</v>
      </c>
      <c r="H183" s="655" t="s">
        <v>810</v>
      </c>
      <c r="I183" s="655" t="s">
        <v>8620</v>
      </c>
      <c r="J183" s="712"/>
      <c r="K183" s="655" t="s">
        <v>8766</v>
      </c>
      <c r="L183" s="655" t="s">
        <v>8923</v>
      </c>
      <c r="M183" s="660">
        <v>232417.21</v>
      </c>
      <c r="N183" s="660">
        <v>2324.17</v>
      </c>
      <c r="O183" s="660">
        <v>37558.620000000003</v>
      </c>
      <c r="P183" s="660">
        <v>272300</v>
      </c>
      <c r="Q183" s="548"/>
      <c r="R183" s="660">
        <v>181600.24</v>
      </c>
      <c r="S183" s="549">
        <f t="shared" si="66"/>
        <v>90699.760000000009</v>
      </c>
      <c r="T183" s="113" t="s">
        <v>1931</v>
      </c>
      <c r="U183" s="267"/>
      <c r="V183" s="93"/>
      <c r="W183" s="267"/>
      <c r="X183" s="267"/>
      <c r="Y183" s="93"/>
      <c r="Z183" s="618"/>
      <c r="AA183" s="424"/>
      <c r="AB183" s="480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291" customFormat="1" x14ac:dyDescent="0.2">
      <c r="A184" s="423">
        <f t="shared" si="67"/>
        <v>179</v>
      </c>
      <c r="B184" s="721" t="s">
        <v>8467</v>
      </c>
      <c r="C184" s="771">
        <v>1520105</v>
      </c>
      <c r="D184" s="771">
        <v>7494</v>
      </c>
      <c r="E184" s="771" t="s">
        <v>712</v>
      </c>
      <c r="F184" s="546">
        <v>2018</v>
      </c>
      <c r="G184" s="659">
        <v>43090</v>
      </c>
      <c r="H184" s="655" t="s">
        <v>1211</v>
      </c>
      <c r="I184" s="655" t="s">
        <v>8683</v>
      </c>
      <c r="J184" s="712"/>
      <c r="K184" s="655" t="s">
        <v>8800</v>
      </c>
      <c r="L184" s="655" t="s">
        <v>8986</v>
      </c>
      <c r="M184" s="660">
        <v>-238587.85</v>
      </c>
      <c r="N184" s="660">
        <v>-11929.39</v>
      </c>
      <c r="O184" s="660">
        <v>-40082.76</v>
      </c>
      <c r="P184" s="660">
        <v>-290600</v>
      </c>
      <c r="Q184" s="548"/>
      <c r="R184" s="660">
        <v>-219060.16</v>
      </c>
      <c r="S184" s="549">
        <f t="shared" si="66"/>
        <v>-71539.839999999997</v>
      </c>
      <c r="T184" s="113" t="s">
        <v>1931</v>
      </c>
      <c r="U184" s="267"/>
      <c r="V184" s="93"/>
      <c r="W184" s="267"/>
      <c r="X184" s="267"/>
      <c r="Y184" s="93"/>
      <c r="Z184" s="618"/>
      <c r="AA184" s="424"/>
      <c r="AB184" s="646"/>
      <c r="AC184" s="424"/>
      <c r="AD184" s="425"/>
      <c r="AE184" s="424"/>
      <c r="AF184" s="424"/>
      <c r="AG184" s="396"/>
      <c r="AH184" s="361"/>
      <c r="AI184" s="313"/>
      <c r="AJ184" s="374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296"/>
      <c r="AU184" s="296"/>
    </row>
    <row r="185" spans="1:47" s="291" customFormat="1" x14ac:dyDescent="0.2">
      <c r="A185" s="423">
        <f t="shared" si="67"/>
        <v>180</v>
      </c>
      <c r="B185" s="721" t="s">
        <v>8468</v>
      </c>
      <c r="C185" s="771">
        <v>1520105</v>
      </c>
      <c r="D185" s="771">
        <v>7494</v>
      </c>
      <c r="E185" s="771" t="s">
        <v>712</v>
      </c>
      <c r="F185" s="546">
        <v>2018</v>
      </c>
      <c r="G185" s="659">
        <v>43090</v>
      </c>
      <c r="H185" s="655" t="s">
        <v>1211</v>
      </c>
      <c r="I185" s="655" t="s">
        <v>8683</v>
      </c>
      <c r="J185" s="712"/>
      <c r="K185" s="655" t="s">
        <v>8800</v>
      </c>
      <c r="L185" s="655" t="s">
        <v>8986</v>
      </c>
      <c r="M185" s="660">
        <v>238587.85</v>
      </c>
      <c r="N185" s="660">
        <v>11929.39</v>
      </c>
      <c r="O185" s="660">
        <v>40082.76</v>
      </c>
      <c r="P185" s="660">
        <v>290600</v>
      </c>
      <c r="Q185" s="548"/>
      <c r="R185" s="660">
        <v>219060.16</v>
      </c>
      <c r="S185" s="549">
        <f t="shared" si="66"/>
        <v>71539.839999999997</v>
      </c>
      <c r="T185" s="113" t="s">
        <v>1931</v>
      </c>
      <c r="U185" s="267"/>
      <c r="V185" s="93"/>
      <c r="W185" s="267"/>
      <c r="X185" s="267"/>
      <c r="Y185" s="93"/>
      <c r="Z185" s="618"/>
      <c r="AA185" s="424"/>
      <c r="AB185" s="646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296"/>
      <c r="AU185" s="296"/>
    </row>
    <row r="186" spans="1:47" s="291" customFormat="1" x14ac:dyDescent="0.2">
      <c r="A186" s="423">
        <f t="shared" si="67"/>
        <v>181</v>
      </c>
      <c r="B186" s="721" t="s">
        <v>8342</v>
      </c>
      <c r="C186" s="771">
        <v>521802</v>
      </c>
      <c r="D186" s="771">
        <v>2204</v>
      </c>
      <c r="E186" s="771" t="s">
        <v>705</v>
      </c>
      <c r="F186" s="546">
        <v>2018</v>
      </c>
      <c r="G186" s="659">
        <v>43095</v>
      </c>
      <c r="H186" s="655" t="s">
        <v>1211</v>
      </c>
      <c r="I186" s="655" t="s">
        <v>8623</v>
      </c>
      <c r="J186" s="712"/>
      <c r="K186" s="655" t="s">
        <v>8769</v>
      </c>
      <c r="L186" s="655" t="s">
        <v>8926</v>
      </c>
      <c r="M186" s="660">
        <v>-232417.21</v>
      </c>
      <c r="N186" s="660">
        <v>-2324.17</v>
      </c>
      <c r="O186" s="660">
        <v>-37558.620000000003</v>
      </c>
      <c r="P186" s="660">
        <v>-272300</v>
      </c>
      <c r="Q186" s="548"/>
      <c r="R186" s="660">
        <v>-210300.79</v>
      </c>
      <c r="S186" s="549">
        <f t="shared" si="66"/>
        <v>-61999.209999999992</v>
      </c>
      <c r="T186" s="113" t="s">
        <v>1931</v>
      </c>
      <c r="U186" s="267"/>
      <c r="V186" s="93"/>
      <c r="W186" s="267"/>
      <c r="X186" s="267"/>
      <c r="Y186" s="93"/>
      <c r="Z186" s="618"/>
      <c r="AA186" s="424"/>
      <c r="AB186" s="480"/>
      <c r="AC186" s="424"/>
      <c r="AD186" s="425"/>
      <c r="AE186" s="424"/>
      <c r="AF186" s="424"/>
      <c r="AG186" s="396"/>
      <c r="AH186" s="361"/>
      <c r="AI186" s="313"/>
      <c r="AJ186" s="374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296"/>
      <c r="AU186" s="296"/>
    </row>
    <row r="187" spans="1:47" s="291" customFormat="1" x14ac:dyDescent="0.2">
      <c r="A187" s="423">
        <f t="shared" si="67"/>
        <v>182</v>
      </c>
      <c r="B187" s="721" t="s">
        <v>8343</v>
      </c>
      <c r="C187" s="771">
        <v>521802</v>
      </c>
      <c r="D187" s="771">
        <v>2204</v>
      </c>
      <c r="E187" s="771" t="s">
        <v>705</v>
      </c>
      <c r="F187" s="546">
        <v>2018</v>
      </c>
      <c r="G187" s="659">
        <v>43095</v>
      </c>
      <c r="H187" s="655" t="s">
        <v>1211</v>
      </c>
      <c r="I187" s="655" t="s">
        <v>8623</v>
      </c>
      <c r="J187" s="712"/>
      <c r="K187" s="655" t="s">
        <v>8769</v>
      </c>
      <c r="L187" s="655" t="s">
        <v>8926</v>
      </c>
      <c r="M187" s="660">
        <v>232417.21</v>
      </c>
      <c r="N187" s="660">
        <v>2324.17</v>
      </c>
      <c r="O187" s="660">
        <v>37558.620000000003</v>
      </c>
      <c r="P187" s="660">
        <v>272300</v>
      </c>
      <c r="Q187" s="548"/>
      <c r="R187" s="660">
        <v>210300.79</v>
      </c>
      <c r="S187" s="549">
        <f t="shared" si="66"/>
        <v>61999.209999999992</v>
      </c>
      <c r="T187" s="113" t="s">
        <v>1931</v>
      </c>
      <c r="U187" s="267"/>
      <c r="V187" s="93"/>
      <c r="W187" s="267"/>
      <c r="X187" s="267"/>
      <c r="Y187" s="93"/>
      <c r="Z187" s="618"/>
      <c r="AA187" s="424"/>
      <c r="AB187" s="480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296"/>
      <c r="AU187" s="296"/>
    </row>
    <row r="188" spans="1:47" s="291" customFormat="1" x14ac:dyDescent="0.2">
      <c r="A188" s="423">
        <f t="shared" si="67"/>
        <v>183</v>
      </c>
      <c r="B188" s="721" t="s">
        <v>8405</v>
      </c>
      <c r="C188" s="771">
        <v>521502</v>
      </c>
      <c r="D188" s="771">
        <v>5611</v>
      </c>
      <c r="E188" s="771" t="s">
        <v>225</v>
      </c>
      <c r="F188" s="546">
        <v>2018</v>
      </c>
      <c r="G188" s="659">
        <v>43095</v>
      </c>
      <c r="H188" s="655" t="s">
        <v>6880</v>
      </c>
      <c r="I188" s="655" t="s">
        <v>8654</v>
      </c>
      <c r="J188" s="712"/>
      <c r="K188" s="655" t="s">
        <v>8741</v>
      </c>
      <c r="L188" s="655" t="s">
        <v>8957</v>
      </c>
      <c r="M188" s="660">
        <v>394255.04</v>
      </c>
      <c r="N188" s="660">
        <v>19710.48</v>
      </c>
      <c r="O188" s="660">
        <v>66234.48</v>
      </c>
      <c r="P188" s="660">
        <v>480200</v>
      </c>
      <c r="Q188" s="548"/>
      <c r="R188" s="660">
        <v>349193.41</v>
      </c>
      <c r="S188" s="549">
        <f t="shared" si="66"/>
        <v>131006.59000000003</v>
      </c>
      <c r="T188" s="113" t="s">
        <v>1931</v>
      </c>
      <c r="U188" s="267"/>
      <c r="V188" s="93"/>
      <c r="W188" s="267"/>
      <c r="X188" s="267"/>
      <c r="Y188" s="93"/>
      <c r="Z188" s="618"/>
      <c r="AA188" s="424"/>
      <c r="AB188" s="646"/>
      <c r="AC188" s="424"/>
      <c r="AD188" s="425"/>
      <c r="AE188" s="424"/>
      <c r="AF188" s="424"/>
      <c r="AG188" s="396"/>
      <c r="AH188" s="361"/>
      <c r="AI188" s="313"/>
      <c r="AJ188" s="374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296"/>
      <c r="AU188" s="296"/>
    </row>
    <row r="189" spans="1:47" s="291" customFormat="1" x14ac:dyDescent="0.2">
      <c r="A189" s="423">
        <f t="shared" si="67"/>
        <v>184</v>
      </c>
      <c r="B189" s="721" t="s">
        <v>8406</v>
      </c>
      <c r="C189" s="771">
        <v>521502</v>
      </c>
      <c r="D189" s="771">
        <v>5611</v>
      </c>
      <c r="E189" s="771" t="s">
        <v>225</v>
      </c>
      <c r="F189" s="546">
        <v>2018</v>
      </c>
      <c r="G189" s="659">
        <v>43097</v>
      </c>
      <c r="H189" s="655" t="s">
        <v>6880</v>
      </c>
      <c r="I189" s="655" t="s">
        <v>8654</v>
      </c>
      <c r="J189" s="712"/>
      <c r="K189" s="655" t="s">
        <v>8741</v>
      </c>
      <c r="L189" s="655" t="s">
        <v>8957</v>
      </c>
      <c r="M189" s="660">
        <v>-394255.04</v>
      </c>
      <c r="N189" s="660">
        <v>-19710.48</v>
      </c>
      <c r="O189" s="660">
        <v>-66234.48</v>
      </c>
      <c r="P189" s="660">
        <v>-480200</v>
      </c>
      <c r="Q189" s="548"/>
      <c r="R189" s="660">
        <v>-349193.41</v>
      </c>
      <c r="S189" s="549">
        <f t="shared" si="66"/>
        <v>-131006.59000000003</v>
      </c>
      <c r="T189" s="113" t="s">
        <v>1931</v>
      </c>
      <c r="U189" s="267"/>
      <c r="V189" s="93"/>
      <c r="W189" s="267"/>
      <c r="X189" s="267"/>
      <c r="Y189" s="93"/>
      <c r="Z189" s="618"/>
      <c r="AA189" s="424"/>
      <c r="AB189" s="480"/>
      <c r="AC189" s="424"/>
      <c r="AD189" s="425"/>
      <c r="AE189" s="424"/>
      <c r="AF189" s="424"/>
      <c r="AG189" s="396"/>
      <c r="AH189" s="361"/>
      <c r="AI189" s="313"/>
      <c r="AJ189" s="374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296"/>
      <c r="AU189" s="296"/>
    </row>
    <row r="190" spans="1:47" s="291" customFormat="1" x14ac:dyDescent="0.2">
      <c r="A190" s="423">
        <f t="shared" si="67"/>
        <v>185</v>
      </c>
      <c r="B190" s="721" t="s">
        <v>8383</v>
      </c>
      <c r="C190" s="771">
        <v>520514</v>
      </c>
      <c r="D190" s="771">
        <v>5398</v>
      </c>
      <c r="E190" s="771" t="s">
        <v>117</v>
      </c>
      <c r="F190" s="546">
        <v>2018</v>
      </c>
      <c r="G190" s="659">
        <v>43095</v>
      </c>
      <c r="H190" s="655" t="s">
        <v>2214</v>
      </c>
      <c r="I190" s="655" t="s">
        <v>8642</v>
      </c>
      <c r="J190" s="712"/>
      <c r="K190" s="655" t="s">
        <v>8779</v>
      </c>
      <c r="L190" s="655" t="s">
        <v>8945</v>
      </c>
      <c r="M190" s="660">
        <v>-510261.5</v>
      </c>
      <c r="N190" s="660">
        <v>-38445.4</v>
      </c>
      <c r="O190" s="660">
        <v>-87793.1</v>
      </c>
      <c r="P190" s="660">
        <v>-636500</v>
      </c>
      <c r="Q190" s="548"/>
      <c r="R190" s="660">
        <v>-688352.41</v>
      </c>
      <c r="S190" s="549">
        <f t="shared" si="66"/>
        <v>51852.410000000033</v>
      </c>
      <c r="T190" s="113" t="s">
        <v>1931</v>
      </c>
      <c r="U190" s="267"/>
      <c r="V190" s="93"/>
      <c r="W190" s="267"/>
      <c r="X190" s="267"/>
      <c r="Y190" s="93"/>
      <c r="Z190" s="618"/>
      <c r="AA190" s="424"/>
      <c r="AB190" s="480"/>
      <c r="AC190" s="424"/>
      <c r="AD190" s="425"/>
      <c r="AE190" s="424"/>
      <c r="AF190" s="424"/>
      <c r="AG190" s="396"/>
      <c r="AH190" s="361"/>
      <c r="AI190" s="313"/>
      <c r="AJ190" s="374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296"/>
      <c r="AU190" s="296"/>
    </row>
    <row r="191" spans="1:47" s="291" customFormat="1" x14ac:dyDescent="0.2">
      <c r="A191" s="423">
        <f t="shared" si="67"/>
        <v>186</v>
      </c>
      <c r="B191" s="721" t="s">
        <v>8384</v>
      </c>
      <c r="C191" s="771">
        <v>520514</v>
      </c>
      <c r="D191" s="771">
        <v>5398</v>
      </c>
      <c r="E191" s="771" t="s">
        <v>117</v>
      </c>
      <c r="F191" s="546">
        <v>2018</v>
      </c>
      <c r="G191" s="659">
        <v>43095</v>
      </c>
      <c r="H191" s="655" t="s">
        <v>2214</v>
      </c>
      <c r="I191" s="655" t="s">
        <v>8642</v>
      </c>
      <c r="J191" s="712"/>
      <c r="K191" s="655" t="s">
        <v>8779</v>
      </c>
      <c r="L191" s="655" t="s">
        <v>8945</v>
      </c>
      <c r="M191" s="660">
        <v>510261.5</v>
      </c>
      <c r="N191" s="660">
        <v>38445.4</v>
      </c>
      <c r="O191" s="660">
        <v>87793.1</v>
      </c>
      <c r="P191" s="660">
        <v>636500</v>
      </c>
      <c r="Q191" s="548"/>
      <c r="R191" s="660">
        <v>688352.41</v>
      </c>
      <c r="S191" s="549">
        <f t="shared" si="66"/>
        <v>-51852.410000000033</v>
      </c>
      <c r="T191" s="113" t="s">
        <v>1931</v>
      </c>
      <c r="U191" s="267"/>
      <c r="V191" s="93"/>
      <c r="W191" s="267"/>
      <c r="X191" s="267"/>
      <c r="Y191" s="93"/>
      <c r="Z191" s="618"/>
      <c r="AA191" s="424"/>
      <c r="AB191" s="480"/>
      <c r="AC191" s="424"/>
      <c r="AD191" s="425"/>
      <c r="AE191" s="424"/>
      <c r="AF191" s="424"/>
      <c r="AG191" s="396"/>
      <c r="AH191" s="361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67"/>
        <v>187</v>
      </c>
      <c r="B192" s="721" t="s">
        <v>8375</v>
      </c>
      <c r="C192" s="771">
        <v>520512</v>
      </c>
      <c r="D192" s="771">
        <v>5394</v>
      </c>
      <c r="E192" s="771" t="s">
        <v>223</v>
      </c>
      <c r="F192" s="546">
        <v>2018</v>
      </c>
      <c r="G192" s="659">
        <v>43095</v>
      </c>
      <c r="H192" s="655" t="s">
        <v>4285</v>
      </c>
      <c r="I192" s="655" t="s">
        <v>8638</v>
      </c>
      <c r="J192" s="712"/>
      <c r="K192" s="655" t="s">
        <v>8777</v>
      </c>
      <c r="L192" s="655" t="s">
        <v>8941</v>
      </c>
      <c r="M192" s="660">
        <v>443505.42</v>
      </c>
      <c r="N192" s="660">
        <v>27098.03</v>
      </c>
      <c r="O192" s="660">
        <v>75296.55</v>
      </c>
      <c r="P192" s="660">
        <v>545900</v>
      </c>
      <c r="Q192" s="548"/>
      <c r="R192" s="660">
        <v>393340.28</v>
      </c>
      <c r="S192" s="549">
        <f t="shared" si="66"/>
        <v>152559.71999999997</v>
      </c>
      <c r="T192" s="113" t="s">
        <v>1931</v>
      </c>
      <c r="U192" s="267"/>
      <c r="V192" s="93"/>
      <c r="W192" s="267"/>
      <c r="X192" s="267"/>
      <c r="Y192" s="93"/>
      <c r="Z192" s="618"/>
      <c r="AA192" s="424"/>
      <c r="AB192" s="646"/>
      <c r="AC192" s="424"/>
      <c r="AD192" s="425"/>
      <c r="AE192" s="424"/>
      <c r="AF192" s="424"/>
      <c r="AG192" s="396"/>
      <c r="AH192" s="361"/>
      <c r="AI192" s="313"/>
      <c r="AJ192" s="374"/>
      <c r="AK192" s="374"/>
      <c r="AL192" s="374"/>
      <c r="AM192" s="374"/>
      <c r="AN192" s="296"/>
      <c r="AO192" s="296"/>
      <c r="AP192" s="296"/>
      <c r="AQ192" s="296"/>
      <c r="AR192" s="296"/>
      <c r="AS192" s="296"/>
      <c r="AT192" s="296"/>
      <c r="AU192" s="296"/>
    </row>
    <row r="193" spans="1:47" s="291" customFormat="1" x14ac:dyDescent="0.2">
      <c r="A193" s="423">
        <f t="shared" si="67"/>
        <v>188</v>
      </c>
      <c r="B193" s="721" t="s">
        <v>8376</v>
      </c>
      <c r="C193" s="771">
        <v>520512</v>
      </c>
      <c r="D193" s="771">
        <v>5394</v>
      </c>
      <c r="E193" s="771" t="s">
        <v>223</v>
      </c>
      <c r="F193" s="546">
        <v>2018</v>
      </c>
      <c r="G193" s="659">
        <v>43097</v>
      </c>
      <c r="H193" s="655" t="s">
        <v>4285</v>
      </c>
      <c r="I193" s="655" t="s">
        <v>8638</v>
      </c>
      <c r="J193" s="712"/>
      <c r="K193" s="655" t="s">
        <v>8777</v>
      </c>
      <c r="L193" s="655" t="s">
        <v>8941</v>
      </c>
      <c r="M193" s="660">
        <v>-443505.42</v>
      </c>
      <c r="N193" s="660">
        <v>-27098.03</v>
      </c>
      <c r="O193" s="660">
        <v>-75296.55</v>
      </c>
      <c r="P193" s="660">
        <v>-545900</v>
      </c>
      <c r="Q193" s="548"/>
      <c r="R193" s="660">
        <v>-393340.28</v>
      </c>
      <c r="S193" s="549">
        <f t="shared" si="66"/>
        <v>-152559.71999999997</v>
      </c>
      <c r="T193" s="113" t="s">
        <v>1931</v>
      </c>
      <c r="U193" s="267"/>
      <c r="V193" s="93"/>
      <c r="W193" s="267"/>
      <c r="X193" s="267"/>
      <c r="Y193" s="93"/>
      <c r="Z193" s="618"/>
      <c r="AA193" s="424"/>
      <c r="AB193" s="480"/>
      <c r="AC193" s="424"/>
      <c r="AD193" s="425"/>
      <c r="AE193" s="424"/>
      <c r="AF193" s="424"/>
      <c r="AG193" s="396"/>
      <c r="AH193" s="361"/>
      <c r="AI193" s="313"/>
      <c r="AJ193" s="374"/>
      <c r="AK193" s="374"/>
      <c r="AL193" s="374"/>
      <c r="AM193" s="374"/>
      <c r="AN193" s="296"/>
      <c r="AO193" s="296"/>
      <c r="AP193" s="296"/>
      <c r="AQ193" s="296"/>
      <c r="AR193" s="296"/>
      <c r="AS193" s="296"/>
      <c r="AT193" s="296"/>
      <c r="AU193" s="296"/>
    </row>
    <row r="194" spans="1:47" s="291" customFormat="1" x14ac:dyDescent="0.2">
      <c r="A194" s="423">
        <f t="shared" si="67"/>
        <v>189</v>
      </c>
      <c r="B194" s="721" t="s">
        <v>8458</v>
      </c>
      <c r="C194" s="771">
        <v>1520605</v>
      </c>
      <c r="D194" s="771">
        <v>7491</v>
      </c>
      <c r="E194" s="771" t="s">
        <v>6939</v>
      </c>
      <c r="F194" s="546">
        <v>2018</v>
      </c>
      <c r="G194" s="659">
        <v>43095</v>
      </c>
      <c r="H194" s="655" t="s">
        <v>774</v>
      </c>
      <c r="I194" s="655" t="s">
        <v>8681</v>
      </c>
      <c r="J194" s="712"/>
      <c r="K194" s="655" t="s">
        <v>8801</v>
      </c>
      <c r="L194" s="655" t="s">
        <v>8984</v>
      </c>
      <c r="M194" s="660">
        <v>476108.37</v>
      </c>
      <c r="N194" s="660">
        <v>23805.42</v>
      </c>
      <c r="O194" s="660">
        <v>79986.210000000006</v>
      </c>
      <c r="P194" s="660">
        <v>579900</v>
      </c>
      <c r="Q194" s="548"/>
      <c r="R194" s="660">
        <v>420224.34</v>
      </c>
      <c r="S194" s="549">
        <f t="shared" si="66"/>
        <v>159675.65999999997</v>
      </c>
      <c r="T194" s="113" t="s">
        <v>1931</v>
      </c>
      <c r="U194" s="267"/>
      <c r="V194" s="93"/>
      <c r="W194" s="267"/>
      <c r="X194" s="267"/>
      <c r="Y194" s="93"/>
      <c r="Z194" s="618"/>
      <c r="AA194" s="424"/>
      <c r="AB194" s="480"/>
      <c r="AC194" s="424"/>
      <c r="AD194" s="425"/>
      <c r="AE194" s="424"/>
      <c r="AF194" s="424"/>
      <c r="AG194" s="396"/>
      <c r="AH194" s="361"/>
      <c r="AI194" s="313"/>
      <c r="AJ194" s="374"/>
      <c r="AK194" s="374"/>
      <c r="AL194" s="374"/>
      <c r="AM194" s="374"/>
      <c r="AN194" s="296"/>
      <c r="AO194" s="296"/>
      <c r="AP194" s="296"/>
      <c r="AQ194" s="296"/>
      <c r="AR194" s="296"/>
      <c r="AS194" s="296"/>
      <c r="AT194" s="296"/>
      <c r="AU194" s="296"/>
    </row>
    <row r="195" spans="1:47" s="291" customFormat="1" x14ac:dyDescent="0.2">
      <c r="A195" s="423">
        <f t="shared" si="67"/>
        <v>190</v>
      </c>
      <c r="B195" s="721" t="s">
        <v>8459</v>
      </c>
      <c r="C195" s="771">
        <v>1520605</v>
      </c>
      <c r="D195" s="771">
        <v>7491</v>
      </c>
      <c r="E195" s="771" t="s">
        <v>6939</v>
      </c>
      <c r="F195" s="546">
        <v>2018</v>
      </c>
      <c r="G195" s="659">
        <v>43096</v>
      </c>
      <c r="H195" s="655" t="s">
        <v>774</v>
      </c>
      <c r="I195" s="655" t="s">
        <v>8681</v>
      </c>
      <c r="J195" s="712"/>
      <c r="K195" s="655" t="s">
        <v>8801</v>
      </c>
      <c r="L195" s="655" t="s">
        <v>8984</v>
      </c>
      <c r="M195" s="660">
        <v>-476108.37</v>
      </c>
      <c r="N195" s="660">
        <v>-23805.42</v>
      </c>
      <c r="O195" s="660">
        <v>-79986.210000000006</v>
      </c>
      <c r="P195" s="660">
        <v>-579900</v>
      </c>
      <c r="Q195" s="548"/>
      <c r="R195" s="660">
        <v>-420224.34</v>
      </c>
      <c r="S195" s="549">
        <f t="shared" si="66"/>
        <v>-159675.65999999997</v>
      </c>
      <c r="T195" s="113" t="s">
        <v>1931</v>
      </c>
      <c r="U195" s="267"/>
      <c r="V195" s="93"/>
      <c r="W195" s="267"/>
      <c r="X195" s="267"/>
      <c r="Y195" s="93"/>
      <c r="Z195" s="618"/>
      <c r="AA195" s="424"/>
      <c r="AB195" s="480"/>
      <c r="AC195" s="424"/>
      <c r="AD195" s="425"/>
      <c r="AE195" s="424"/>
      <c r="AF195" s="424"/>
      <c r="AG195" s="396"/>
      <c r="AH195" s="361"/>
      <c r="AI195" s="313"/>
      <c r="AJ195" s="374"/>
      <c r="AK195" s="374"/>
      <c r="AL195" s="374"/>
      <c r="AM195" s="374"/>
      <c r="AN195" s="296"/>
      <c r="AO195" s="296"/>
      <c r="AP195" s="296"/>
      <c r="AQ195" s="296"/>
      <c r="AR195" s="296"/>
      <c r="AS195" s="296"/>
      <c r="AT195" s="296"/>
      <c r="AU195" s="296"/>
    </row>
    <row r="196" spans="1:47" s="291" customFormat="1" x14ac:dyDescent="0.2">
      <c r="A196" s="423">
        <f t="shared" si="67"/>
        <v>191</v>
      </c>
      <c r="B196" s="721" t="s">
        <v>8460</v>
      </c>
      <c r="C196" s="771">
        <v>1520605</v>
      </c>
      <c r="D196" s="771">
        <v>7491</v>
      </c>
      <c r="E196" s="771" t="s">
        <v>6939</v>
      </c>
      <c r="F196" s="546">
        <v>2018</v>
      </c>
      <c r="G196" s="659">
        <v>43096</v>
      </c>
      <c r="H196" s="655" t="s">
        <v>774</v>
      </c>
      <c r="I196" s="655" t="s">
        <v>8681</v>
      </c>
      <c r="J196" s="712"/>
      <c r="K196" s="655" t="s">
        <v>8801</v>
      </c>
      <c r="L196" s="655" t="s">
        <v>8984</v>
      </c>
      <c r="M196" s="660">
        <v>-476108.37</v>
      </c>
      <c r="N196" s="660">
        <v>-23805.42</v>
      </c>
      <c r="O196" s="660">
        <v>-79986.210000000006</v>
      </c>
      <c r="P196" s="660">
        <v>-579900</v>
      </c>
      <c r="Q196" s="548"/>
      <c r="R196" s="660">
        <v>-420224.34</v>
      </c>
      <c r="S196" s="549">
        <f t="shared" si="66"/>
        <v>-159675.65999999997</v>
      </c>
      <c r="T196" s="113" t="s">
        <v>1931</v>
      </c>
      <c r="U196" s="267"/>
      <c r="V196" s="93"/>
      <c r="W196" s="267"/>
      <c r="X196" s="267"/>
      <c r="Y196" s="93"/>
      <c r="Z196" s="618"/>
      <c r="AA196" s="424"/>
      <c r="AB196" s="480"/>
      <c r="AC196" s="424"/>
      <c r="AD196" s="425"/>
      <c r="AE196" s="424"/>
      <c r="AF196" s="424"/>
      <c r="AG196" s="396"/>
      <c r="AH196" s="361"/>
      <c r="AI196" s="313"/>
      <c r="AJ196" s="374"/>
      <c r="AK196" s="374"/>
      <c r="AL196" s="374"/>
      <c r="AM196" s="374"/>
      <c r="AN196" s="296"/>
      <c r="AO196" s="296"/>
      <c r="AP196" s="296"/>
      <c r="AQ196" s="296"/>
      <c r="AR196" s="296"/>
      <c r="AS196" s="296"/>
      <c r="AT196" s="296"/>
      <c r="AU196" s="296"/>
    </row>
    <row r="197" spans="1:47" s="291" customFormat="1" x14ac:dyDescent="0.2">
      <c r="A197" s="423">
        <f t="shared" si="67"/>
        <v>192</v>
      </c>
      <c r="B197" s="786" t="s">
        <v>8461</v>
      </c>
      <c r="C197" s="771">
        <v>1520605</v>
      </c>
      <c r="D197" s="771">
        <v>7491</v>
      </c>
      <c r="E197" s="771" t="s">
        <v>6939</v>
      </c>
      <c r="F197" s="546">
        <v>2018</v>
      </c>
      <c r="G197" s="659">
        <v>43096</v>
      </c>
      <c r="H197" s="655" t="s">
        <v>774</v>
      </c>
      <c r="I197" s="655" t="s">
        <v>8681</v>
      </c>
      <c r="J197" s="712"/>
      <c r="K197" s="655" t="s">
        <v>8801</v>
      </c>
      <c r="L197" s="655" t="s">
        <v>8984</v>
      </c>
      <c r="M197" s="660">
        <v>476108.37</v>
      </c>
      <c r="N197" s="660">
        <v>23805.42</v>
      </c>
      <c r="O197" s="660">
        <v>79986.210000000006</v>
      </c>
      <c r="P197" s="660">
        <v>579900</v>
      </c>
      <c r="Q197" s="548"/>
      <c r="R197" s="660">
        <v>420224.34</v>
      </c>
      <c r="S197" s="549">
        <f t="shared" ref="S197:S260" si="68">+P197-R197</f>
        <v>159675.65999999997</v>
      </c>
      <c r="T197" s="113" t="s">
        <v>1931</v>
      </c>
      <c r="U197" s="267"/>
      <c r="V197" s="93"/>
      <c r="W197" s="267"/>
      <c r="X197" s="267"/>
      <c r="Y197" s="93"/>
      <c r="Z197" s="618"/>
      <c r="AA197" s="424"/>
      <c r="AB197" s="646"/>
      <c r="AC197" s="424"/>
      <c r="AD197" s="425"/>
      <c r="AE197" s="424"/>
      <c r="AF197" s="424"/>
      <c r="AG197" s="396"/>
      <c r="AH197" s="361"/>
      <c r="AI197" s="313"/>
      <c r="AJ197" s="374"/>
      <c r="AK197" s="374"/>
      <c r="AL197" s="374"/>
      <c r="AM197" s="374"/>
      <c r="AN197" s="296"/>
      <c r="AO197" s="296"/>
      <c r="AP197" s="296"/>
      <c r="AQ197" s="296"/>
      <c r="AR197" s="296"/>
      <c r="AS197" s="296"/>
      <c r="AT197" s="296"/>
      <c r="AU197" s="296"/>
    </row>
    <row r="198" spans="1:47" s="291" customFormat="1" x14ac:dyDescent="0.2">
      <c r="A198" s="423">
        <f t="shared" si="67"/>
        <v>193</v>
      </c>
      <c r="B198" s="721" t="s">
        <v>8471</v>
      </c>
      <c r="C198" s="771">
        <v>1520105</v>
      </c>
      <c r="D198" s="771">
        <v>7494</v>
      </c>
      <c r="E198" s="771" t="s">
        <v>712</v>
      </c>
      <c r="F198" s="546">
        <v>2018</v>
      </c>
      <c r="G198" s="659">
        <v>43096</v>
      </c>
      <c r="H198" s="655" t="s">
        <v>727</v>
      </c>
      <c r="I198" s="655" t="s">
        <v>8685</v>
      </c>
      <c r="J198" s="712"/>
      <c r="K198" s="655" t="s">
        <v>8803</v>
      </c>
      <c r="L198" s="655" t="s">
        <v>8988</v>
      </c>
      <c r="M198" s="660">
        <v>238587.85</v>
      </c>
      <c r="N198" s="660">
        <v>11929.39</v>
      </c>
      <c r="O198" s="660">
        <v>40082.76</v>
      </c>
      <c r="P198" s="660">
        <v>290600</v>
      </c>
      <c r="Q198" s="548"/>
      <c r="R198" s="660">
        <v>218705.68</v>
      </c>
      <c r="S198" s="549">
        <f t="shared" si="68"/>
        <v>71894.320000000007</v>
      </c>
      <c r="T198" s="113" t="s">
        <v>1931</v>
      </c>
      <c r="U198" s="267"/>
      <c r="V198" s="93"/>
      <c r="W198" s="267"/>
      <c r="X198" s="267"/>
      <c r="Y198" s="93"/>
      <c r="Z198" s="618"/>
      <c r="AA198" s="424"/>
      <c r="AB198" s="646"/>
      <c r="AC198" s="424"/>
      <c r="AD198" s="425"/>
      <c r="AE198" s="424"/>
      <c r="AF198" s="424"/>
      <c r="AG198" s="396"/>
      <c r="AH198" s="361"/>
      <c r="AI198" s="313"/>
      <c r="AJ198" s="374"/>
      <c r="AK198" s="374"/>
      <c r="AL198" s="374"/>
      <c r="AM198" s="374"/>
      <c r="AN198" s="296"/>
      <c r="AO198" s="296"/>
      <c r="AP198" s="296"/>
      <c r="AQ198" s="296"/>
      <c r="AR198" s="296"/>
      <c r="AS198" s="296"/>
      <c r="AT198" s="296"/>
      <c r="AU198" s="296"/>
    </row>
    <row r="199" spans="1:47" s="291" customFormat="1" x14ac:dyDescent="0.2">
      <c r="A199" s="423">
        <f t="shared" si="67"/>
        <v>194</v>
      </c>
      <c r="B199" s="721" t="s">
        <v>8472</v>
      </c>
      <c r="C199" s="771">
        <v>1520105</v>
      </c>
      <c r="D199" s="771">
        <v>7494</v>
      </c>
      <c r="E199" s="771" t="s">
        <v>712</v>
      </c>
      <c r="F199" s="546">
        <v>2018</v>
      </c>
      <c r="G199" s="659">
        <v>43097</v>
      </c>
      <c r="H199" s="655" t="s">
        <v>727</v>
      </c>
      <c r="I199" s="655" t="s">
        <v>8685</v>
      </c>
      <c r="J199" s="712"/>
      <c r="K199" s="655" t="s">
        <v>8803</v>
      </c>
      <c r="L199" s="655" t="s">
        <v>8988</v>
      </c>
      <c r="M199" s="660">
        <v>-238587.85</v>
      </c>
      <c r="N199" s="660">
        <v>-11929.39</v>
      </c>
      <c r="O199" s="660">
        <v>-40082.76</v>
      </c>
      <c r="P199" s="660">
        <v>-290600</v>
      </c>
      <c r="Q199" s="548"/>
      <c r="R199" s="660">
        <v>-218705.68</v>
      </c>
      <c r="S199" s="549">
        <f t="shared" si="68"/>
        <v>-71894.320000000007</v>
      </c>
      <c r="T199" s="113" t="s">
        <v>1931</v>
      </c>
      <c r="U199" s="267"/>
      <c r="V199" s="93"/>
      <c r="W199" s="267"/>
      <c r="X199" s="267"/>
      <c r="Y199" s="93"/>
      <c r="Z199" s="618"/>
      <c r="AA199" s="424"/>
      <c r="AB199" s="646"/>
      <c r="AC199" s="424"/>
      <c r="AD199" s="425"/>
      <c r="AE199" s="424"/>
      <c r="AF199" s="424"/>
      <c r="AG199" s="396"/>
      <c r="AH199" s="361"/>
      <c r="AI199" s="313"/>
      <c r="AJ199" s="374"/>
      <c r="AK199" s="374"/>
      <c r="AL199" s="374"/>
      <c r="AM199" s="374"/>
      <c r="AN199" s="296"/>
      <c r="AO199" s="296"/>
      <c r="AP199" s="296"/>
      <c r="AQ199" s="296"/>
      <c r="AR199" s="296"/>
      <c r="AS199" s="296"/>
      <c r="AT199" s="296"/>
      <c r="AU199" s="296"/>
    </row>
    <row r="200" spans="1:47" s="291" customFormat="1" x14ac:dyDescent="0.2">
      <c r="A200" s="423">
        <f t="shared" ref="A200:A263" si="69">+A199+1</f>
        <v>195</v>
      </c>
      <c r="B200" s="721" t="s">
        <v>8259</v>
      </c>
      <c r="C200" s="771">
        <v>521707</v>
      </c>
      <c r="D200" s="771">
        <v>2006</v>
      </c>
      <c r="E200" s="771" t="s">
        <v>702</v>
      </c>
      <c r="F200" s="546">
        <v>2017</v>
      </c>
      <c r="G200" s="659">
        <v>43077</v>
      </c>
      <c r="H200" s="655" t="s">
        <v>2213</v>
      </c>
      <c r="I200" s="655" t="s">
        <v>8572</v>
      </c>
      <c r="J200" s="712"/>
      <c r="K200" s="655" t="s">
        <v>8749</v>
      </c>
      <c r="L200" s="655" t="s">
        <v>8875</v>
      </c>
      <c r="M200" s="660">
        <v>193965.52</v>
      </c>
      <c r="N200" s="660">
        <v>0</v>
      </c>
      <c r="O200" s="660">
        <v>31034.48</v>
      </c>
      <c r="P200" s="660">
        <v>225000</v>
      </c>
      <c r="Q200" s="548"/>
      <c r="R200" s="660">
        <v>183052.26</v>
      </c>
      <c r="S200" s="549">
        <f t="shared" si="68"/>
        <v>41947.739999999991</v>
      </c>
      <c r="T200" s="113" t="s">
        <v>1931</v>
      </c>
      <c r="U200" s="267"/>
      <c r="V200" s="93"/>
      <c r="W200" s="267"/>
      <c r="X200" s="267"/>
      <c r="Y200" s="93"/>
      <c r="Z200" s="618"/>
      <c r="AA200" s="424"/>
      <c r="AB200" s="646"/>
      <c r="AC200" s="424"/>
      <c r="AD200" s="425"/>
      <c r="AE200" s="424"/>
      <c r="AF200" s="424"/>
      <c r="AG200" s="396"/>
      <c r="AH200" s="361"/>
      <c r="AI200" s="313"/>
      <c r="AJ200" s="374"/>
      <c r="AK200" s="374"/>
      <c r="AL200" s="374"/>
      <c r="AM200" s="374"/>
      <c r="AN200" s="296"/>
      <c r="AO200" s="296"/>
      <c r="AP200" s="296"/>
      <c r="AQ200" s="296"/>
      <c r="AR200" s="296"/>
      <c r="AS200" s="296"/>
      <c r="AT200" s="296"/>
      <c r="AU200" s="296"/>
    </row>
    <row r="201" spans="1:47" s="291" customFormat="1" x14ac:dyDescent="0.2">
      <c r="A201" s="423">
        <f t="shared" si="69"/>
        <v>196</v>
      </c>
      <c r="B201" s="721" t="s">
        <v>8265</v>
      </c>
      <c r="C201" s="771">
        <v>521707</v>
      </c>
      <c r="D201" s="771">
        <v>2006</v>
      </c>
      <c r="E201" s="771" t="s">
        <v>702</v>
      </c>
      <c r="F201" s="546">
        <v>2017</v>
      </c>
      <c r="G201" s="659">
        <v>43080</v>
      </c>
      <c r="H201" s="655" t="s">
        <v>2213</v>
      </c>
      <c r="I201" s="655" t="s">
        <v>8572</v>
      </c>
      <c r="J201" s="712"/>
      <c r="K201" s="655" t="s">
        <v>8749</v>
      </c>
      <c r="L201" s="655" t="s">
        <v>8875</v>
      </c>
      <c r="M201" s="660">
        <v>-193965.52</v>
      </c>
      <c r="N201" s="660">
        <v>0</v>
      </c>
      <c r="O201" s="660">
        <v>-31034.48</v>
      </c>
      <c r="P201" s="660">
        <v>-225000</v>
      </c>
      <c r="Q201" s="548"/>
      <c r="R201" s="660">
        <v>-183052.26</v>
      </c>
      <c r="S201" s="549">
        <f t="shared" si="68"/>
        <v>-41947.739999999991</v>
      </c>
      <c r="T201" s="113" t="s">
        <v>1931</v>
      </c>
      <c r="U201" s="267"/>
      <c r="V201" s="93"/>
      <c r="W201" s="267"/>
      <c r="X201" s="267"/>
      <c r="Y201" s="93"/>
      <c r="Z201" s="618"/>
      <c r="AA201" s="424"/>
      <c r="AB201" s="646"/>
      <c r="AC201" s="424"/>
      <c r="AD201" s="425"/>
      <c r="AE201" s="424"/>
      <c r="AF201" s="424"/>
      <c r="AG201" s="396"/>
      <c r="AH201" s="361"/>
      <c r="AI201" s="313"/>
      <c r="AJ201" s="374"/>
      <c r="AK201" s="374"/>
      <c r="AL201" s="374"/>
      <c r="AM201" s="374"/>
      <c r="AN201" s="296"/>
      <c r="AO201" s="296"/>
      <c r="AP201" s="296"/>
      <c r="AQ201" s="296"/>
      <c r="AR201" s="296"/>
      <c r="AS201" s="296"/>
      <c r="AT201" s="296"/>
      <c r="AU201" s="296"/>
    </row>
    <row r="202" spans="1:47" s="291" customFormat="1" x14ac:dyDescent="0.2">
      <c r="A202" s="423">
        <f t="shared" si="69"/>
        <v>197</v>
      </c>
      <c r="B202" s="721" t="s">
        <v>8311</v>
      </c>
      <c r="C202" s="771">
        <v>521801</v>
      </c>
      <c r="D202" s="771">
        <v>2201</v>
      </c>
      <c r="E202" s="771" t="s">
        <v>704</v>
      </c>
      <c r="F202" s="546">
        <v>2017</v>
      </c>
      <c r="G202" s="659">
        <v>43074</v>
      </c>
      <c r="H202" s="655" t="s">
        <v>2216</v>
      </c>
      <c r="I202" s="655" t="s">
        <v>5674</v>
      </c>
      <c r="J202" s="712"/>
      <c r="K202" s="655" t="s">
        <v>8132</v>
      </c>
      <c r="L202" s="655" t="s">
        <v>5923</v>
      </c>
      <c r="M202" s="660">
        <v>-195948.28</v>
      </c>
      <c r="N202" s="660">
        <v>0</v>
      </c>
      <c r="O202" s="660">
        <v>-31351.72</v>
      </c>
      <c r="P202" s="660">
        <v>-227300</v>
      </c>
      <c r="Q202" s="548"/>
      <c r="R202" s="660">
        <v>-183633.22</v>
      </c>
      <c r="S202" s="549">
        <f t="shared" si="68"/>
        <v>-43666.78</v>
      </c>
      <c r="T202" s="113" t="s">
        <v>1931</v>
      </c>
      <c r="U202" s="267"/>
      <c r="V202" s="93"/>
      <c r="W202" s="267"/>
      <c r="X202" s="267"/>
      <c r="Y202" s="93"/>
      <c r="Z202" s="618"/>
      <c r="AA202" s="424"/>
      <c r="AB202" s="646"/>
      <c r="AC202" s="424"/>
      <c r="AD202" s="425"/>
      <c r="AE202" s="424"/>
      <c r="AF202" s="424"/>
      <c r="AG202" s="396"/>
      <c r="AH202" s="361"/>
      <c r="AI202" s="313"/>
      <c r="AJ202" s="374"/>
      <c r="AK202" s="374"/>
      <c r="AL202" s="374"/>
      <c r="AM202" s="374"/>
      <c r="AN202" s="296"/>
      <c r="AO202" s="296"/>
      <c r="AP202" s="296"/>
      <c r="AQ202" s="296"/>
      <c r="AR202" s="296"/>
      <c r="AS202" s="296"/>
      <c r="AT202" s="296"/>
      <c r="AU202" s="296"/>
    </row>
    <row r="203" spans="1:47" s="291" customFormat="1" x14ac:dyDescent="0.2">
      <c r="A203" s="423">
        <f t="shared" si="69"/>
        <v>198</v>
      </c>
      <c r="B203" s="721" t="s">
        <v>8312</v>
      </c>
      <c r="C203" s="771">
        <v>521801</v>
      </c>
      <c r="D203" s="771">
        <v>2201</v>
      </c>
      <c r="E203" s="771" t="s">
        <v>704</v>
      </c>
      <c r="F203" s="546">
        <v>2017</v>
      </c>
      <c r="G203" s="659">
        <v>43074</v>
      </c>
      <c r="H203" s="655" t="s">
        <v>5129</v>
      </c>
      <c r="I203" s="655" t="s">
        <v>5674</v>
      </c>
      <c r="J203" s="712"/>
      <c r="K203" s="655" t="s">
        <v>8758</v>
      </c>
      <c r="L203" s="655" t="s">
        <v>5923</v>
      </c>
      <c r="M203" s="660">
        <v>195948.28</v>
      </c>
      <c r="N203" s="660">
        <v>0</v>
      </c>
      <c r="O203" s="660">
        <v>31351.72</v>
      </c>
      <c r="P203" s="660">
        <v>227300</v>
      </c>
      <c r="Q203" s="548"/>
      <c r="R203" s="660">
        <v>183633.22</v>
      </c>
      <c r="S203" s="549">
        <f t="shared" si="68"/>
        <v>43666.78</v>
      </c>
      <c r="T203" s="113" t="s">
        <v>1931</v>
      </c>
      <c r="U203" s="267"/>
      <c r="V203" s="93"/>
      <c r="W203" s="267"/>
      <c r="X203" s="267"/>
      <c r="Y203" s="93"/>
      <c r="Z203" s="618"/>
      <c r="AA203" s="424"/>
      <c r="AB203" s="480"/>
      <c r="AC203" s="424"/>
      <c r="AD203" s="425"/>
      <c r="AE203" s="424"/>
      <c r="AF203" s="424"/>
      <c r="AG203" s="396"/>
      <c r="AH203" s="361"/>
      <c r="AI203" s="313"/>
      <c r="AJ203" s="374"/>
      <c r="AK203" s="374"/>
      <c r="AL203" s="374"/>
      <c r="AM203" s="374"/>
      <c r="AN203" s="296"/>
      <c r="AO203" s="296"/>
      <c r="AP203" s="296"/>
      <c r="AQ203" s="296"/>
      <c r="AR203" s="296"/>
      <c r="AS203" s="296"/>
      <c r="AT203" s="296"/>
      <c r="AU203" s="296"/>
    </row>
    <row r="204" spans="1:47" s="291" customFormat="1" x14ac:dyDescent="0.2">
      <c r="A204" s="423">
        <f t="shared" si="69"/>
        <v>199</v>
      </c>
      <c r="B204" s="721" t="s">
        <v>8260</v>
      </c>
      <c r="C204" s="771">
        <v>521707</v>
      </c>
      <c r="D204" s="771">
        <v>2006</v>
      </c>
      <c r="E204" s="771" t="s">
        <v>702</v>
      </c>
      <c r="F204" s="546">
        <v>2017</v>
      </c>
      <c r="G204" s="659">
        <v>43077</v>
      </c>
      <c r="H204" s="655" t="s">
        <v>2213</v>
      </c>
      <c r="I204" s="655" t="s">
        <v>8573</v>
      </c>
      <c r="J204" s="712"/>
      <c r="K204" s="655" t="s">
        <v>8750</v>
      </c>
      <c r="L204" s="655" t="s">
        <v>8876</v>
      </c>
      <c r="M204" s="660">
        <v>-193965.52</v>
      </c>
      <c r="N204" s="660">
        <v>0</v>
      </c>
      <c r="O204" s="660">
        <v>-31034.48</v>
      </c>
      <c r="P204" s="660">
        <v>-225000</v>
      </c>
      <c r="Q204" s="548"/>
      <c r="R204" s="660">
        <v>-183052.26</v>
      </c>
      <c r="S204" s="549">
        <f t="shared" si="68"/>
        <v>-41947.739999999991</v>
      </c>
      <c r="T204" s="113" t="s">
        <v>1931</v>
      </c>
      <c r="U204" s="267"/>
      <c r="V204" s="93"/>
      <c r="W204" s="267"/>
      <c r="X204" s="267"/>
      <c r="Y204" s="93"/>
      <c r="Z204" s="618"/>
      <c r="AA204" s="424"/>
      <c r="AB204" s="480"/>
      <c r="AC204" s="424"/>
      <c r="AD204" s="425"/>
      <c r="AE204" s="424"/>
      <c r="AF204" s="424"/>
      <c r="AG204" s="396"/>
      <c r="AH204" s="361"/>
      <c r="AI204" s="313"/>
      <c r="AJ204" s="374"/>
      <c r="AK204" s="374"/>
      <c r="AL204" s="374"/>
      <c r="AM204" s="374"/>
      <c r="AN204" s="296"/>
      <c r="AO204" s="296"/>
      <c r="AP204" s="296"/>
      <c r="AQ204" s="296"/>
      <c r="AR204" s="296"/>
      <c r="AS204" s="296"/>
      <c r="AT204" s="296"/>
      <c r="AU204" s="296"/>
    </row>
    <row r="205" spans="1:47" s="291" customFormat="1" x14ac:dyDescent="0.2">
      <c r="A205" s="423">
        <f t="shared" si="69"/>
        <v>200</v>
      </c>
      <c r="B205" s="721" t="s">
        <v>8261</v>
      </c>
      <c r="C205" s="771">
        <v>521707</v>
      </c>
      <c r="D205" s="771">
        <v>2006</v>
      </c>
      <c r="E205" s="771" t="s">
        <v>702</v>
      </c>
      <c r="F205" s="546">
        <v>2017</v>
      </c>
      <c r="G205" s="659">
        <v>43077</v>
      </c>
      <c r="H205" s="655" t="s">
        <v>2213</v>
      </c>
      <c r="I205" s="655" t="s">
        <v>8573</v>
      </c>
      <c r="J205" s="712"/>
      <c r="K205" s="655" t="s">
        <v>8750</v>
      </c>
      <c r="L205" s="655" t="s">
        <v>8876</v>
      </c>
      <c r="M205" s="660">
        <v>193965.52</v>
      </c>
      <c r="N205" s="660">
        <v>0</v>
      </c>
      <c r="O205" s="660">
        <v>31034.48</v>
      </c>
      <c r="P205" s="660">
        <v>225000</v>
      </c>
      <c r="Q205" s="548"/>
      <c r="R205" s="660">
        <v>183052.26</v>
      </c>
      <c r="S205" s="549">
        <f t="shared" si="68"/>
        <v>41947.739999999991</v>
      </c>
      <c r="T205" s="113" t="s">
        <v>1931</v>
      </c>
      <c r="U205" s="267"/>
      <c r="V205" s="93"/>
      <c r="W205" s="267"/>
      <c r="X205" s="267"/>
      <c r="Y205" s="93"/>
      <c r="Z205" s="618"/>
      <c r="AA205" s="424"/>
      <c r="AB205" s="646"/>
      <c r="AC205" s="424"/>
      <c r="AD205" s="425"/>
      <c r="AE205" s="424"/>
      <c r="AF205" s="424"/>
      <c r="AG205" s="396"/>
      <c r="AH205" s="361"/>
      <c r="AI205" s="313"/>
      <c r="AJ205" s="374"/>
      <c r="AK205" s="374"/>
      <c r="AL205" s="374"/>
      <c r="AM205" s="374"/>
      <c r="AN205" s="296"/>
      <c r="AO205" s="296"/>
      <c r="AP205" s="296"/>
      <c r="AQ205" s="296"/>
      <c r="AR205" s="296"/>
      <c r="AS205" s="296"/>
      <c r="AT205" s="296"/>
      <c r="AU205" s="296"/>
    </row>
    <row r="206" spans="1:47" s="291" customFormat="1" x14ac:dyDescent="0.2">
      <c r="A206" s="423">
        <f t="shared" si="69"/>
        <v>201</v>
      </c>
      <c r="B206" s="721" t="s">
        <v>8302</v>
      </c>
      <c r="C206" s="771">
        <v>520909</v>
      </c>
      <c r="D206" s="771">
        <v>2009</v>
      </c>
      <c r="E206" s="771" t="s">
        <v>698</v>
      </c>
      <c r="F206" s="546">
        <v>2017</v>
      </c>
      <c r="G206" s="659">
        <v>43070</v>
      </c>
      <c r="H206" s="655" t="s">
        <v>5129</v>
      </c>
      <c r="I206" s="655" t="s">
        <v>6803</v>
      </c>
      <c r="J206" s="712"/>
      <c r="K206" s="655" t="s">
        <v>8126</v>
      </c>
      <c r="L206" s="655" t="s">
        <v>6804</v>
      </c>
      <c r="M206" s="660">
        <v>-213275.86</v>
      </c>
      <c r="N206" s="660">
        <v>0</v>
      </c>
      <c r="O206" s="660">
        <v>-34124.14</v>
      </c>
      <c r="P206" s="660">
        <v>-247400</v>
      </c>
      <c r="Q206" s="548"/>
      <c r="R206" s="660">
        <v>-201322.01</v>
      </c>
      <c r="S206" s="549">
        <f t="shared" si="68"/>
        <v>-46077.989999999991</v>
      </c>
      <c r="T206" s="113" t="s">
        <v>1931</v>
      </c>
      <c r="U206" s="267"/>
      <c r="V206" s="93"/>
      <c r="W206" s="267"/>
      <c r="X206" s="267"/>
      <c r="Y206" s="93"/>
      <c r="Z206" s="618"/>
      <c r="AA206" s="424"/>
      <c r="AB206" s="646"/>
      <c r="AC206" s="424"/>
      <c r="AD206" s="425"/>
      <c r="AE206" s="424"/>
      <c r="AF206" s="424"/>
      <c r="AG206" s="396"/>
      <c r="AH206" s="361"/>
      <c r="AI206" s="313"/>
      <c r="AJ206" s="374"/>
      <c r="AK206" s="374"/>
      <c r="AL206" s="374"/>
      <c r="AM206" s="374"/>
      <c r="AN206" s="296"/>
      <c r="AO206" s="296"/>
      <c r="AP206" s="296"/>
      <c r="AQ206" s="296"/>
      <c r="AR206" s="296"/>
      <c r="AS206" s="296"/>
      <c r="AT206" s="296"/>
      <c r="AU206" s="296"/>
    </row>
    <row r="207" spans="1:47" s="291" customFormat="1" x14ac:dyDescent="0.2">
      <c r="A207" s="423">
        <f t="shared" si="69"/>
        <v>202</v>
      </c>
      <c r="B207" s="721" t="s">
        <v>8303</v>
      </c>
      <c r="C207" s="771">
        <v>520909</v>
      </c>
      <c r="D207" s="771">
        <v>2009</v>
      </c>
      <c r="E207" s="771" t="s">
        <v>698</v>
      </c>
      <c r="F207" s="546">
        <v>2017</v>
      </c>
      <c r="G207" s="659">
        <v>43070</v>
      </c>
      <c r="H207" s="655" t="s">
        <v>5129</v>
      </c>
      <c r="I207" s="655" t="s">
        <v>6803</v>
      </c>
      <c r="J207" s="712"/>
      <c r="K207" s="655" t="s">
        <v>8126</v>
      </c>
      <c r="L207" s="655" t="s">
        <v>6804</v>
      </c>
      <c r="M207" s="660">
        <v>213275.86</v>
      </c>
      <c r="N207" s="660">
        <v>0</v>
      </c>
      <c r="O207" s="660">
        <v>34124.14</v>
      </c>
      <c r="P207" s="660">
        <v>247400</v>
      </c>
      <c r="Q207" s="548"/>
      <c r="R207" s="660">
        <v>201322.01</v>
      </c>
      <c r="S207" s="549">
        <f t="shared" si="68"/>
        <v>46077.989999999991</v>
      </c>
      <c r="T207" s="113" t="s">
        <v>1931</v>
      </c>
      <c r="U207" s="267"/>
      <c r="V207" s="93"/>
      <c r="W207" s="267"/>
      <c r="X207" s="267"/>
      <c r="Y207" s="93"/>
      <c r="Z207" s="618"/>
      <c r="AA207" s="424"/>
      <c r="AB207" s="480"/>
      <c r="AC207" s="424"/>
      <c r="AD207" s="425"/>
      <c r="AE207" s="424"/>
      <c r="AF207" s="424"/>
      <c r="AG207" s="396"/>
      <c r="AH207" s="361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  <c r="AT207" s="296"/>
      <c r="AU207" s="296"/>
    </row>
    <row r="208" spans="1:47" s="291" customFormat="1" x14ac:dyDescent="0.2">
      <c r="A208" s="423">
        <f t="shared" si="69"/>
        <v>203</v>
      </c>
      <c r="B208" s="721" t="s">
        <v>8294</v>
      </c>
      <c r="C208" s="771">
        <v>520908</v>
      </c>
      <c r="D208" s="771">
        <v>2008</v>
      </c>
      <c r="E208" s="771" t="s">
        <v>697</v>
      </c>
      <c r="F208" s="546">
        <v>2017</v>
      </c>
      <c r="G208" s="659">
        <v>43080</v>
      </c>
      <c r="H208" s="655" t="s">
        <v>774</v>
      </c>
      <c r="I208" s="655" t="s">
        <v>7613</v>
      </c>
      <c r="J208" s="712"/>
      <c r="K208" s="655" t="s">
        <v>8116</v>
      </c>
      <c r="L208" s="655" t="s">
        <v>7421</v>
      </c>
      <c r="M208" s="660">
        <v>-203534.48</v>
      </c>
      <c r="N208" s="660">
        <v>0</v>
      </c>
      <c r="O208" s="660">
        <v>-32565.52</v>
      </c>
      <c r="P208" s="660">
        <v>-236100</v>
      </c>
      <c r="Q208" s="548"/>
      <c r="R208" s="660">
        <v>-189107.53</v>
      </c>
      <c r="S208" s="549">
        <f t="shared" si="68"/>
        <v>-46992.47</v>
      </c>
      <c r="T208" s="267" t="s">
        <v>1931</v>
      </c>
      <c r="U208" s="267"/>
      <c r="V208" s="93"/>
      <c r="W208" s="267"/>
      <c r="X208" s="267"/>
      <c r="Y208" s="93"/>
      <c r="Z208" s="618"/>
      <c r="AA208" s="424"/>
      <c r="AB208" s="480"/>
      <c r="AC208" s="424"/>
      <c r="AD208" s="425"/>
      <c r="AE208" s="424"/>
      <c r="AF208" s="424"/>
      <c r="AG208" s="396"/>
      <c r="AH208" s="361"/>
      <c r="AI208" s="313"/>
      <c r="AJ208" s="374"/>
      <c r="AK208" s="374"/>
      <c r="AL208" s="374"/>
      <c r="AM208" s="374"/>
      <c r="AN208" s="296"/>
      <c r="AO208" s="296"/>
      <c r="AP208" s="296"/>
      <c r="AQ208" s="296"/>
      <c r="AR208" s="296"/>
      <c r="AS208" s="296"/>
      <c r="AT208" s="296"/>
      <c r="AU208" s="296"/>
    </row>
    <row r="209" spans="1:47" s="291" customFormat="1" x14ac:dyDescent="0.2">
      <c r="A209" s="423">
        <f t="shared" si="69"/>
        <v>204</v>
      </c>
      <c r="B209" s="721" t="s">
        <v>8295</v>
      </c>
      <c r="C209" s="771">
        <v>520908</v>
      </c>
      <c r="D209" s="771">
        <v>2008</v>
      </c>
      <c r="E209" s="771" t="s">
        <v>697</v>
      </c>
      <c r="F209" s="546">
        <v>2017</v>
      </c>
      <c r="G209" s="659">
        <v>43082</v>
      </c>
      <c r="H209" s="655" t="s">
        <v>774</v>
      </c>
      <c r="I209" s="655" t="s">
        <v>7613</v>
      </c>
      <c r="J209" s="712"/>
      <c r="K209" s="655" t="s">
        <v>8116</v>
      </c>
      <c r="L209" s="655" t="s">
        <v>7421</v>
      </c>
      <c r="M209" s="660">
        <v>203534.48</v>
      </c>
      <c r="N209" s="660">
        <v>0</v>
      </c>
      <c r="O209" s="660">
        <v>32565.52</v>
      </c>
      <c r="P209" s="660">
        <v>236100</v>
      </c>
      <c r="Q209" s="548"/>
      <c r="R209" s="660">
        <v>189107.53</v>
      </c>
      <c r="S209" s="549">
        <f t="shared" si="68"/>
        <v>46992.47</v>
      </c>
      <c r="T209" s="113" t="s">
        <v>1931</v>
      </c>
      <c r="U209" s="267"/>
      <c r="V209" s="93"/>
      <c r="W209" s="267"/>
      <c r="X209" s="267"/>
      <c r="Y209" s="93"/>
      <c r="Z209" s="618"/>
      <c r="AA209" s="424"/>
      <c r="AB209" s="646"/>
      <c r="AC209" s="424"/>
      <c r="AD209" s="425"/>
      <c r="AE209" s="424"/>
      <c r="AF209" s="424"/>
      <c r="AG209" s="396"/>
      <c r="AH209" s="361"/>
      <c r="AI209" s="313"/>
      <c r="AJ209" s="374"/>
      <c r="AK209" s="374"/>
      <c r="AL209" s="374"/>
      <c r="AM209" s="374"/>
      <c r="AN209" s="296"/>
      <c r="AO209" s="296"/>
      <c r="AP209" s="296"/>
      <c r="AQ209" s="296"/>
      <c r="AR209" s="296"/>
      <c r="AS209" s="296"/>
      <c r="AT209" s="296"/>
      <c r="AU209" s="296"/>
    </row>
    <row r="210" spans="1:47" s="291" customFormat="1" x14ac:dyDescent="0.2">
      <c r="A210" s="423">
        <f t="shared" si="69"/>
        <v>205</v>
      </c>
      <c r="B210" s="721" t="s">
        <v>8256</v>
      </c>
      <c r="C210" s="771">
        <v>521707</v>
      </c>
      <c r="D210" s="771">
        <v>2006</v>
      </c>
      <c r="E210" s="771" t="s">
        <v>702</v>
      </c>
      <c r="F210" s="546">
        <v>2017</v>
      </c>
      <c r="G210" s="659">
        <v>43075</v>
      </c>
      <c r="H210" s="655" t="s">
        <v>5621</v>
      </c>
      <c r="I210" s="655" t="s">
        <v>8571</v>
      </c>
      <c r="J210" s="712"/>
      <c r="K210" s="655" t="s">
        <v>8748</v>
      </c>
      <c r="L210" s="655" t="s">
        <v>8874</v>
      </c>
      <c r="M210" s="660">
        <v>193965.52</v>
      </c>
      <c r="N210" s="660">
        <v>0</v>
      </c>
      <c r="O210" s="660">
        <v>31034.48</v>
      </c>
      <c r="P210" s="660">
        <v>225000</v>
      </c>
      <c r="Q210" s="548"/>
      <c r="R210" s="660">
        <v>183052.26</v>
      </c>
      <c r="S210" s="549">
        <f t="shared" si="68"/>
        <v>41947.739999999991</v>
      </c>
      <c r="T210" s="113" t="s">
        <v>1931</v>
      </c>
      <c r="U210" s="267"/>
      <c r="V210" s="93"/>
      <c r="W210" s="267"/>
      <c r="X210" s="267"/>
      <c r="Y210" s="93"/>
      <c r="Z210" s="618"/>
      <c r="AA210" s="424"/>
      <c r="AB210" s="480"/>
      <c r="AC210" s="424"/>
      <c r="AD210" s="425"/>
      <c r="AE210" s="424"/>
      <c r="AF210" s="424"/>
      <c r="AG210" s="396"/>
      <c r="AH210" s="361"/>
      <c r="AI210" s="313"/>
      <c r="AJ210" s="374"/>
      <c r="AK210" s="374"/>
      <c r="AL210" s="374"/>
      <c r="AM210" s="374"/>
      <c r="AN210" s="296"/>
      <c r="AO210" s="296"/>
      <c r="AP210" s="296"/>
      <c r="AQ210" s="296"/>
      <c r="AR210" s="296"/>
      <c r="AS210" s="296"/>
      <c r="AT210" s="296"/>
      <c r="AU210" s="296"/>
    </row>
    <row r="211" spans="1:47" s="291" customFormat="1" x14ac:dyDescent="0.2">
      <c r="A211" s="423">
        <f t="shared" si="69"/>
        <v>206</v>
      </c>
      <c r="B211" s="721" t="s">
        <v>8257</v>
      </c>
      <c r="C211" s="771">
        <v>521707</v>
      </c>
      <c r="D211" s="771">
        <v>2006</v>
      </c>
      <c r="E211" s="771" t="s">
        <v>702</v>
      </c>
      <c r="F211" s="546">
        <v>2017</v>
      </c>
      <c r="G211" s="659">
        <v>43076</v>
      </c>
      <c r="H211" s="655" t="s">
        <v>5621</v>
      </c>
      <c r="I211" s="655" t="s">
        <v>8571</v>
      </c>
      <c r="J211" s="712"/>
      <c r="K211" s="655" t="s">
        <v>8748</v>
      </c>
      <c r="L211" s="655" t="s">
        <v>8874</v>
      </c>
      <c r="M211" s="660">
        <v>-193965.52</v>
      </c>
      <c r="N211" s="660">
        <v>0</v>
      </c>
      <c r="O211" s="660">
        <v>-31034.48</v>
      </c>
      <c r="P211" s="660">
        <v>-225000</v>
      </c>
      <c r="Q211" s="548"/>
      <c r="R211" s="660">
        <v>-183052.26</v>
      </c>
      <c r="S211" s="549">
        <f t="shared" si="68"/>
        <v>-41947.739999999991</v>
      </c>
      <c r="T211" s="113" t="s">
        <v>1931</v>
      </c>
      <c r="U211" s="267"/>
      <c r="V211" s="93"/>
      <c r="W211" s="267"/>
      <c r="X211" s="267"/>
      <c r="Y211" s="93"/>
      <c r="Z211" s="618"/>
      <c r="AA211" s="424"/>
      <c r="AB211" s="646"/>
      <c r="AC211" s="424"/>
      <c r="AD211" s="425"/>
      <c r="AE211" s="424"/>
      <c r="AF211" s="424"/>
      <c r="AG211" s="396"/>
      <c r="AH211" s="361"/>
      <c r="AI211" s="313"/>
      <c r="AJ211" s="374"/>
      <c r="AK211" s="374"/>
      <c r="AL211" s="374"/>
      <c r="AM211" s="374"/>
      <c r="AN211" s="296"/>
      <c r="AO211" s="296"/>
      <c r="AP211" s="296"/>
      <c r="AQ211" s="296"/>
      <c r="AR211" s="296"/>
      <c r="AS211" s="296"/>
      <c r="AT211" s="296"/>
      <c r="AU211" s="296"/>
    </row>
    <row r="212" spans="1:47" s="291" customFormat="1" x14ac:dyDescent="0.2">
      <c r="A212" s="423">
        <f t="shared" si="69"/>
        <v>207</v>
      </c>
      <c r="B212" s="721" t="s">
        <v>8253</v>
      </c>
      <c r="C212" s="771">
        <v>521707</v>
      </c>
      <c r="D212" s="771">
        <v>2006</v>
      </c>
      <c r="E212" s="771" t="s">
        <v>702</v>
      </c>
      <c r="F212" s="546">
        <v>2017</v>
      </c>
      <c r="G212" s="659">
        <v>43073</v>
      </c>
      <c r="H212" s="655" t="s">
        <v>817</v>
      </c>
      <c r="I212" s="655" t="s">
        <v>8570</v>
      </c>
      <c r="J212" s="712"/>
      <c r="K212" s="655" t="s">
        <v>8747</v>
      </c>
      <c r="L212" s="655" t="s">
        <v>8873</v>
      </c>
      <c r="M212" s="660">
        <v>193965.52</v>
      </c>
      <c r="N212" s="660">
        <v>0</v>
      </c>
      <c r="O212" s="660">
        <v>31034.48</v>
      </c>
      <c r="P212" s="660">
        <v>225000</v>
      </c>
      <c r="Q212" s="548"/>
      <c r="R212" s="660">
        <v>183052.26</v>
      </c>
      <c r="S212" s="549">
        <f t="shared" si="68"/>
        <v>41947.739999999991</v>
      </c>
      <c r="T212" s="113" t="s">
        <v>1931</v>
      </c>
      <c r="U212" s="267"/>
      <c r="V212" s="93"/>
      <c r="W212" s="267"/>
      <c r="X212" s="267"/>
      <c r="Y212" s="93"/>
      <c r="Z212" s="618"/>
      <c r="AA212" s="424"/>
      <c r="AB212" s="646"/>
      <c r="AC212" s="424"/>
      <c r="AD212" s="425"/>
      <c r="AE212" s="424"/>
      <c r="AF212" s="424"/>
      <c r="AG212" s="396"/>
      <c r="AH212" s="361"/>
      <c r="AI212" s="313"/>
      <c r="AJ212" s="374"/>
      <c r="AK212" s="374"/>
      <c r="AL212" s="374"/>
      <c r="AM212" s="374"/>
      <c r="AN212" s="296"/>
      <c r="AO212" s="296"/>
      <c r="AP212" s="296"/>
      <c r="AQ212" s="296"/>
      <c r="AR212" s="296"/>
      <c r="AS212" s="296"/>
      <c r="AT212" s="296"/>
      <c r="AU212" s="296"/>
    </row>
    <row r="213" spans="1:47" s="291" customFormat="1" x14ac:dyDescent="0.2">
      <c r="A213" s="423">
        <f t="shared" si="69"/>
        <v>208</v>
      </c>
      <c r="B213" s="721" t="s">
        <v>8254</v>
      </c>
      <c r="C213" s="771">
        <v>521707</v>
      </c>
      <c r="D213" s="771">
        <v>2006</v>
      </c>
      <c r="E213" s="771" t="s">
        <v>702</v>
      </c>
      <c r="F213" s="546">
        <v>2017</v>
      </c>
      <c r="G213" s="659">
        <v>43074</v>
      </c>
      <c r="H213" s="655" t="s">
        <v>817</v>
      </c>
      <c r="I213" s="655" t="s">
        <v>8570</v>
      </c>
      <c r="J213" s="712"/>
      <c r="K213" s="655" t="s">
        <v>8747</v>
      </c>
      <c r="L213" s="655" t="s">
        <v>8873</v>
      </c>
      <c r="M213" s="660">
        <v>-193965.52</v>
      </c>
      <c r="N213" s="660">
        <v>0</v>
      </c>
      <c r="O213" s="660">
        <v>-31034.48</v>
      </c>
      <c r="P213" s="660">
        <v>-225000</v>
      </c>
      <c r="Q213" s="548"/>
      <c r="R213" s="660">
        <v>-183052.26</v>
      </c>
      <c r="S213" s="549">
        <f t="shared" si="68"/>
        <v>-41947.739999999991</v>
      </c>
      <c r="T213" s="113" t="s">
        <v>1931</v>
      </c>
      <c r="U213" s="267"/>
      <c r="V213" s="93"/>
      <c r="W213" s="267"/>
      <c r="X213" s="267"/>
      <c r="Y213" s="93"/>
      <c r="Z213" s="618"/>
      <c r="AA213" s="424"/>
      <c r="AB213" s="480"/>
      <c r="AC213" s="424"/>
      <c r="AD213" s="425"/>
      <c r="AE213" s="424"/>
      <c r="AF213" s="424"/>
      <c r="AG213" s="396"/>
      <c r="AH213" s="361"/>
      <c r="AI213" s="313"/>
      <c r="AJ213" s="374"/>
      <c r="AK213" s="374"/>
      <c r="AL213" s="374"/>
      <c r="AM213" s="374"/>
      <c r="AN213" s="296"/>
      <c r="AO213" s="296"/>
      <c r="AP213" s="296"/>
      <c r="AQ213" s="296"/>
      <c r="AR213" s="296"/>
      <c r="AS213" s="296"/>
      <c r="AT213" s="296"/>
      <c r="AU213" s="296"/>
    </row>
    <row r="214" spans="1:47" s="291" customFormat="1" x14ac:dyDescent="0.2">
      <c r="A214" s="423">
        <f t="shared" si="69"/>
        <v>209</v>
      </c>
      <c r="B214" s="721" t="s">
        <v>8284</v>
      </c>
      <c r="C214" s="771">
        <v>521707</v>
      </c>
      <c r="D214" s="771">
        <v>2006</v>
      </c>
      <c r="E214" s="771" t="s">
        <v>702</v>
      </c>
      <c r="F214" s="546">
        <v>2017</v>
      </c>
      <c r="G214" s="659">
        <v>43096</v>
      </c>
      <c r="H214" s="655" t="s">
        <v>764</v>
      </c>
      <c r="I214" s="655" t="s">
        <v>8591</v>
      </c>
      <c r="J214" s="712"/>
      <c r="K214" s="655" t="s">
        <v>830</v>
      </c>
      <c r="L214" s="655" t="s">
        <v>8894</v>
      </c>
      <c r="M214" s="660">
        <v>-213275.86</v>
      </c>
      <c r="N214" s="660">
        <v>0</v>
      </c>
      <c r="O214" s="660">
        <v>-34124.14</v>
      </c>
      <c r="P214" s="660">
        <v>-247400</v>
      </c>
      <c r="Q214" s="548"/>
      <c r="R214" s="660">
        <v>-183052.26</v>
      </c>
      <c r="S214" s="549">
        <f t="shared" si="68"/>
        <v>-64347.739999999991</v>
      </c>
      <c r="T214" s="113" t="s">
        <v>1931</v>
      </c>
      <c r="U214" s="267"/>
      <c r="V214" s="93"/>
      <c r="W214" s="267"/>
      <c r="X214" s="267"/>
      <c r="Y214" s="93"/>
      <c r="Z214" s="618"/>
      <c r="AA214" s="424"/>
      <c r="AB214" s="646"/>
      <c r="AC214" s="424"/>
      <c r="AD214" s="425"/>
      <c r="AE214" s="424"/>
      <c r="AF214" s="424"/>
      <c r="AG214" s="396"/>
      <c r="AH214" s="361"/>
      <c r="AI214" s="313"/>
      <c r="AJ214" s="374"/>
      <c r="AK214" s="374"/>
      <c r="AL214" s="374"/>
      <c r="AM214" s="374"/>
      <c r="AN214" s="296"/>
      <c r="AO214" s="296"/>
      <c r="AP214" s="296"/>
      <c r="AQ214" s="296"/>
      <c r="AR214" s="296"/>
      <c r="AS214" s="296"/>
      <c r="AT214" s="296"/>
      <c r="AU214" s="296"/>
    </row>
    <row r="215" spans="1:47" s="291" customFormat="1" x14ac:dyDescent="0.2">
      <c r="A215" s="423">
        <f t="shared" si="69"/>
        <v>210</v>
      </c>
      <c r="B215" s="721" t="s">
        <v>8285</v>
      </c>
      <c r="C215" s="771">
        <v>521707</v>
      </c>
      <c r="D215" s="771">
        <v>2006</v>
      </c>
      <c r="E215" s="771" t="s">
        <v>702</v>
      </c>
      <c r="F215" s="546">
        <v>2017</v>
      </c>
      <c r="G215" s="659">
        <v>43096</v>
      </c>
      <c r="H215" s="655" t="s">
        <v>764</v>
      </c>
      <c r="I215" s="655" t="s">
        <v>8591</v>
      </c>
      <c r="J215" s="712"/>
      <c r="K215" s="655" t="s">
        <v>830</v>
      </c>
      <c r="L215" s="655" t="s">
        <v>8894</v>
      </c>
      <c r="M215" s="660">
        <v>213275.86</v>
      </c>
      <c r="N215" s="660">
        <v>0</v>
      </c>
      <c r="O215" s="660">
        <v>34124.14</v>
      </c>
      <c r="P215" s="660">
        <v>247400</v>
      </c>
      <c r="Q215" s="548"/>
      <c r="R215" s="660">
        <v>183052.26</v>
      </c>
      <c r="S215" s="549">
        <f t="shared" si="68"/>
        <v>64347.739999999991</v>
      </c>
      <c r="T215" s="113" t="s">
        <v>1931</v>
      </c>
      <c r="U215" s="267"/>
      <c r="V215" s="93"/>
      <c r="W215" s="267"/>
      <c r="X215" s="267"/>
      <c r="Y215" s="93"/>
      <c r="Z215" s="618"/>
      <c r="AA215" s="424"/>
      <c r="AB215" s="646"/>
      <c r="AC215" s="424"/>
      <c r="AD215" s="425"/>
      <c r="AE215" s="424"/>
      <c r="AF215" s="424"/>
      <c r="AG215" s="396"/>
      <c r="AH215" s="361"/>
      <c r="AI215" s="313"/>
      <c r="AJ215" s="374"/>
      <c r="AK215" s="374"/>
      <c r="AL215" s="374"/>
      <c r="AM215" s="374"/>
      <c r="AN215" s="296"/>
      <c r="AO215" s="296"/>
      <c r="AP215" s="296"/>
      <c r="AQ215" s="296"/>
      <c r="AR215" s="296"/>
      <c r="AS215" s="296"/>
      <c r="AT215" s="296"/>
      <c r="AU215" s="296"/>
    </row>
    <row r="216" spans="1:47" s="291" customFormat="1" x14ac:dyDescent="0.2">
      <c r="A216" s="423">
        <f t="shared" si="69"/>
        <v>211</v>
      </c>
      <c r="B216" s="721" t="s">
        <v>8287</v>
      </c>
      <c r="C216" s="771">
        <v>521707</v>
      </c>
      <c r="D216" s="771">
        <v>2006</v>
      </c>
      <c r="E216" s="771" t="s">
        <v>702</v>
      </c>
      <c r="F216" s="546">
        <v>2017</v>
      </c>
      <c r="G216" s="659">
        <v>43097</v>
      </c>
      <c r="H216" s="655" t="s">
        <v>4285</v>
      </c>
      <c r="I216" s="655" t="s">
        <v>8591</v>
      </c>
      <c r="J216" s="712"/>
      <c r="K216" s="655" t="s">
        <v>8756</v>
      </c>
      <c r="L216" s="655" t="s">
        <v>8894</v>
      </c>
      <c r="M216" s="660">
        <v>-202586.21</v>
      </c>
      <c r="N216" s="660">
        <v>0</v>
      </c>
      <c r="O216" s="660">
        <v>-32413.79</v>
      </c>
      <c r="P216" s="660">
        <v>-235000</v>
      </c>
      <c r="Q216" s="548"/>
      <c r="R216" s="660">
        <v>-183052.26</v>
      </c>
      <c r="S216" s="549">
        <f t="shared" si="68"/>
        <v>-51947.739999999991</v>
      </c>
      <c r="T216" s="113" t="s">
        <v>1931</v>
      </c>
      <c r="U216" s="267"/>
      <c r="V216" s="93"/>
      <c r="W216" s="267"/>
      <c r="X216" s="267"/>
      <c r="Y216" s="93"/>
      <c r="Z216" s="618"/>
      <c r="AA216" s="424"/>
      <c r="AB216" s="646"/>
      <c r="AC216" s="424"/>
      <c r="AD216" s="425"/>
      <c r="AE216" s="424"/>
      <c r="AF216" s="424"/>
      <c r="AG216" s="396"/>
      <c r="AH216" s="361"/>
      <c r="AI216" s="313"/>
      <c r="AJ216" s="374"/>
      <c r="AK216" s="374"/>
      <c r="AL216" s="374"/>
      <c r="AM216" s="374"/>
      <c r="AN216" s="296"/>
      <c r="AO216" s="296"/>
      <c r="AP216" s="296"/>
      <c r="AQ216" s="296"/>
      <c r="AR216" s="296"/>
      <c r="AS216" s="296"/>
      <c r="AT216" s="296"/>
      <c r="AU216" s="296"/>
    </row>
    <row r="217" spans="1:47" s="291" customFormat="1" x14ac:dyDescent="0.2">
      <c r="A217" s="423">
        <f t="shared" si="69"/>
        <v>212</v>
      </c>
      <c r="B217" s="721" t="s">
        <v>8288</v>
      </c>
      <c r="C217" s="771">
        <v>521707</v>
      </c>
      <c r="D217" s="771">
        <v>2006</v>
      </c>
      <c r="E217" s="771" t="s">
        <v>702</v>
      </c>
      <c r="F217" s="546">
        <v>2017</v>
      </c>
      <c r="G217" s="659">
        <v>43097</v>
      </c>
      <c r="H217" s="655" t="s">
        <v>4285</v>
      </c>
      <c r="I217" s="655" t="s">
        <v>8591</v>
      </c>
      <c r="J217" s="712"/>
      <c r="K217" s="655" t="s">
        <v>8756</v>
      </c>
      <c r="L217" s="655" t="s">
        <v>8894</v>
      </c>
      <c r="M217" s="660">
        <v>202586.21</v>
      </c>
      <c r="N217" s="660">
        <v>0</v>
      </c>
      <c r="O217" s="660">
        <v>32413.79</v>
      </c>
      <c r="P217" s="660">
        <v>235000</v>
      </c>
      <c r="Q217" s="548"/>
      <c r="R217" s="660">
        <v>183052.26</v>
      </c>
      <c r="S217" s="549">
        <f t="shared" si="68"/>
        <v>51947.739999999991</v>
      </c>
      <c r="T217" s="113" t="s">
        <v>1931</v>
      </c>
      <c r="U217" s="267"/>
      <c r="V217" s="93"/>
      <c r="W217" s="267"/>
      <c r="X217" s="267"/>
      <c r="Y217" s="93"/>
      <c r="Z217" s="618"/>
      <c r="AA217" s="424"/>
      <c r="AB217" s="480"/>
      <c r="AC217" s="424"/>
      <c r="AD217" s="425"/>
      <c r="AE217" s="424"/>
      <c r="AF217" s="424"/>
      <c r="AG217" s="396"/>
      <c r="AH217" s="361"/>
      <c r="AI217" s="313"/>
      <c r="AJ217" s="374"/>
      <c r="AK217" s="374"/>
      <c r="AL217" s="374"/>
      <c r="AM217" s="374"/>
      <c r="AN217" s="296"/>
      <c r="AO217" s="296"/>
      <c r="AP217" s="296"/>
      <c r="AQ217" s="296"/>
      <c r="AR217" s="296"/>
      <c r="AS217" s="296"/>
      <c r="AT217" s="296"/>
      <c r="AU217" s="296"/>
    </row>
    <row r="218" spans="1:47" s="291" customFormat="1" x14ac:dyDescent="0.2">
      <c r="A218" s="423">
        <f t="shared" si="69"/>
        <v>213</v>
      </c>
      <c r="B218" s="721" t="s">
        <v>8435</v>
      </c>
      <c r="C218" s="771">
        <v>1520302</v>
      </c>
      <c r="D218" s="771">
        <v>7441</v>
      </c>
      <c r="E218" s="771" t="s">
        <v>715</v>
      </c>
      <c r="F218" s="546">
        <v>2017</v>
      </c>
      <c r="G218" s="659">
        <v>43089</v>
      </c>
      <c r="H218" s="655" t="s">
        <v>2954</v>
      </c>
      <c r="I218" s="655" t="s">
        <v>8670</v>
      </c>
      <c r="J218" s="712"/>
      <c r="K218" s="655" t="s">
        <v>8794</v>
      </c>
      <c r="L218" s="655" t="s">
        <v>8973</v>
      </c>
      <c r="M218" s="660">
        <v>-519704.44</v>
      </c>
      <c r="N218" s="660">
        <v>-25985.22</v>
      </c>
      <c r="O218" s="660">
        <v>-87310.34</v>
      </c>
      <c r="P218" s="660">
        <v>-633000</v>
      </c>
      <c r="Q218" s="548"/>
      <c r="R218" s="660">
        <v>-471232.76</v>
      </c>
      <c r="S218" s="549">
        <f t="shared" si="68"/>
        <v>-161767.24</v>
      </c>
      <c r="T218" s="267" t="s">
        <v>1931</v>
      </c>
      <c r="U218" s="267"/>
      <c r="V218" s="93"/>
      <c r="W218" s="267"/>
      <c r="X218" s="267"/>
      <c r="Y218" s="93"/>
      <c r="Z218" s="618"/>
      <c r="AA218" s="424"/>
      <c r="AB218" s="646"/>
      <c r="AC218" s="424"/>
      <c r="AD218" s="425"/>
      <c r="AE218" s="424"/>
      <c r="AF218" s="424"/>
      <c r="AG218" s="396"/>
      <c r="AH218" s="361"/>
      <c r="AI218" s="313"/>
      <c r="AJ218" s="374"/>
      <c r="AK218" s="374"/>
      <c r="AL218" s="374"/>
      <c r="AM218" s="374"/>
      <c r="AN218" s="296"/>
      <c r="AO218" s="296"/>
      <c r="AP218" s="296"/>
      <c r="AQ218" s="296"/>
      <c r="AR218" s="296"/>
      <c r="AS218" s="296"/>
      <c r="AT218" s="296"/>
      <c r="AU218" s="296"/>
    </row>
    <row r="219" spans="1:47" s="291" customFormat="1" x14ac:dyDescent="0.2">
      <c r="A219" s="423">
        <f t="shared" si="69"/>
        <v>214</v>
      </c>
      <c r="B219" s="721" t="s">
        <v>8436</v>
      </c>
      <c r="C219" s="771">
        <v>1520302</v>
      </c>
      <c r="D219" s="771">
        <v>7441</v>
      </c>
      <c r="E219" s="771" t="s">
        <v>715</v>
      </c>
      <c r="F219" s="546">
        <v>2017</v>
      </c>
      <c r="G219" s="659">
        <v>43089</v>
      </c>
      <c r="H219" s="655" t="s">
        <v>2954</v>
      </c>
      <c r="I219" s="655" t="s">
        <v>8670</v>
      </c>
      <c r="J219" s="712"/>
      <c r="K219" s="655" t="s">
        <v>8794</v>
      </c>
      <c r="L219" s="655" t="s">
        <v>8973</v>
      </c>
      <c r="M219" s="660">
        <v>519704.44</v>
      </c>
      <c r="N219" s="660">
        <v>25985.22</v>
      </c>
      <c r="O219" s="660">
        <v>87310.34</v>
      </c>
      <c r="P219" s="660">
        <v>633000</v>
      </c>
      <c r="Q219" s="548"/>
      <c r="R219" s="660">
        <v>471232.76</v>
      </c>
      <c r="S219" s="549">
        <f t="shared" si="68"/>
        <v>161767.24</v>
      </c>
      <c r="T219" s="113" t="s">
        <v>1931</v>
      </c>
      <c r="U219" s="267"/>
      <c r="V219" s="93"/>
      <c r="W219" s="267"/>
      <c r="X219" s="267"/>
      <c r="Y219" s="93"/>
      <c r="Z219" s="618"/>
      <c r="AA219" s="424"/>
      <c r="AB219" s="646"/>
      <c r="AC219" s="424"/>
      <c r="AD219" s="425"/>
      <c r="AE219" s="424"/>
      <c r="AF219" s="424"/>
      <c r="AG219" s="396"/>
      <c r="AH219" s="361"/>
      <c r="AI219" s="313"/>
      <c r="AJ219" s="374"/>
      <c r="AK219" s="374"/>
      <c r="AL219" s="374"/>
      <c r="AM219" s="374"/>
      <c r="AN219" s="296"/>
      <c r="AO219" s="296"/>
      <c r="AP219" s="296"/>
      <c r="AQ219" s="296"/>
      <c r="AR219" s="296"/>
      <c r="AS219" s="296"/>
      <c r="AT219" s="296"/>
      <c r="AU219" s="296"/>
    </row>
    <row r="220" spans="1:47" s="291" customFormat="1" x14ac:dyDescent="0.2">
      <c r="A220" s="423">
        <f t="shared" si="69"/>
        <v>215</v>
      </c>
      <c r="B220" s="721" t="s">
        <v>8210</v>
      </c>
      <c r="C220" s="771">
        <v>521101</v>
      </c>
      <c r="D220" s="771">
        <v>1251</v>
      </c>
      <c r="E220" s="771" t="s">
        <v>700</v>
      </c>
      <c r="F220" s="546">
        <v>2017</v>
      </c>
      <c r="G220" s="659">
        <v>43075</v>
      </c>
      <c r="H220" s="655" t="s">
        <v>788</v>
      </c>
      <c r="I220" s="655" t="s">
        <v>7572</v>
      </c>
      <c r="J220" s="712"/>
      <c r="K220" s="655" t="s">
        <v>8097</v>
      </c>
      <c r="L220" s="655" t="s">
        <v>7380</v>
      </c>
      <c r="M220" s="660">
        <v>-317586.21000000002</v>
      </c>
      <c r="N220" s="660">
        <v>0</v>
      </c>
      <c r="O220" s="660">
        <v>-50813.79</v>
      </c>
      <c r="P220" s="660">
        <v>-368400</v>
      </c>
      <c r="Q220" s="548"/>
      <c r="R220" s="660">
        <v>-300095.32</v>
      </c>
      <c r="S220" s="549">
        <f t="shared" si="68"/>
        <v>-68304.679999999993</v>
      </c>
      <c r="T220" s="113" t="s">
        <v>1931</v>
      </c>
      <c r="U220" s="267"/>
      <c r="V220" s="93"/>
      <c r="W220" s="267"/>
      <c r="X220" s="267"/>
      <c r="Y220" s="93"/>
      <c r="Z220" s="618"/>
      <c r="AA220" s="424"/>
      <c r="AB220" s="646"/>
      <c r="AC220" s="424"/>
      <c r="AD220" s="425"/>
      <c r="AE220" s="424"/>
      <c r="AF220" s="424"/>
      <c r="AG220" s="396"/>
      <c r="AH220" s="361"/>
      <c r="AI220" s="313"/>
      <c r="AJ220" s="374"/>
      <c r="AK220" s="374"/>
      <c r="AL220" s="374"/>
      <c r="AM220" s="374"/>
      <c r="AN220" s="296"/>
      <c r="AO220" s="296"/>
      <c r="AP220" s="296"/>
      <c r="AQ220" s="296"/>
      <c r="AR220" s="296"/>
      <c r="AS220" s="296"/>
      <c r="AT220" s="296"/>
      <c r="AU220" s="296"/>
    </row>
    <row r="221" spans="1:47" s="291" customFormat="1" x14ac:dyDescent="0.2">
      <c r="A221" s="423">
        <f t="shared" si="69"/>
        <v>216</v>
      </c>
      <c r="B221" s="721" t="s">
        <v>8214</v>
      </c>
      <c r="C221" s="771">
        <v>521101</v>
      </c>
      <c r="D221" s="771">
        <v>1251</v>
      </c>
      <c r="E221" s="771" t="s">
        <v>700</v>
      </c>
      <c r="F221" s="546">
        <v>2017</v>
      </c>
      <c r="G221" s="659">
        <v>43077</v>
      </c>
      <c r="H221" s="655" t="s">
        <v>8842</v>
      </c>
      <c r="I221" s="655" t="s">
        <v>7572</v>
      </c>
      <c r="J221" s="712"/>
      <c r="K221" s="655" t="s">
        <v>8737</v>
      </c>
      <c r="L221" s="655" t="s">
        <v>7380</v>
      </c>
      <c r="M221" s="660">
        <v>317586.21000000002</v>
      </c>
      <c r="N221" s="660">
        <v>0</v>
      </c>
      <c r="O221" s="660">
        <v>50813.79</v>
      </c>
      <c r="P221" s="660">
        <v>368400</v>
      </c>
      <c r="Q221" s="548"/>
      <c r="R221" s="660">
        <v>300095.32</v>
      </c>
      <c r="S221" s="549">
        <f t="shared" si="68"/>
        <v>68304.679999999993</v>
      </c>
      <c r="T221" s="113" t="s">
        <v>1931</v>
      </c>
      <c r="U221" s="267"/>
      <c r="V221" s="93"/>
      <c r="W221" s="267"/>
      <c r="X221" s="267"/>
      <c r="Y221" s="93"/>
      <c r="Z221" s="618"/>
      <c r="AA221" s="424"/>
      <c r="AB221" s="646"/>
      <c r="AC221" s="424"/>
      <c r="AD221" s="425"/>
      <c r="AE221" s="424"/>
      <c r="AF221" s="424"/>
      <c r="AG221" s="396"/>
      <c r="AH221" s="361"/>
      <c r="AI221" s="313"/>
      <c r="AJ221" s="374"/>
      <c r="AK221" s="374"/>
      <c r="AL221" s="374"/>
      <c r="AM221" s="374"/>
      <c r="AN221" s="296"/>
      <c r="AO221" s="296"/>
      <c r="AP221" s="296"/>
      <c r="AQ221" s="296"/>
      <c r="AR221" s="296"/>
      <c r="AS221" s="296"/>
      <c r="AT221" s="296"/>
      <c r="AU221" s="296"/>
    </row>
    <row r="222" spans="1:47" s="291" customFormat="1" x14ac:dyDescent="0.2">
      <c r="A222" s="423">
        <f t="shared" si="69"/>
        <v>217</v>
      </c>
      <c r="B222" s="721" t="s">
        <v>8296</v>
      </c>
      <c r="C222" s="771">
        <v>520908</v>
      </c>
      <c r="D222" s="771">
        <v>2008</v>
      </c>
      <c r="E222" s="771" t="s">
        <v>697</v>
      </c>
      <c r="F222" s="546">
        <v>2017</v>
      </c>
      <c r="G222" s="659">
        <v>43087</v>
      </c>
      <c r="H222" s="655" t="s">
        <v>2215</v>
      </c>
      <c r="I222" s="655" t="s">
        <v>8596</v>
      </c>
      <c r="J222" s="712"/>
      <c r="K222" s="655" t="s">
        <v>8757</v>
      </c>
      <c r="L222" s="655" t="s">
        <v>8899</v>
      </c>
      <c r="M222" s="660">
        <v>203534.48</v>
      </c>
      <c r="N222" s="660">
        <v>0</v>
      </c>
      <c r="O222" s="660">
        <v>32565.52</v>
      </c>
      <c r="P222" s="660">
        <v>236100</v>
      </c>
      <c r="Q222" s="548"/>
      <c r="R222" s="660">
        <v>190091.9</v>
      </c>
      <c r="S222" s="549">
        <f t="shared" si="68"/>
        <v>46008.100000000006</v>
      </c>
      <c r="T222" s="113" t="s">
        <v>1931</v>
      </c>
      <c r="U222" s="267"/>
      <c r="V222" s="93"/>
      <c r="W222" s="267"/>
      <c r="X222" s="267"/>
      <c r="Y222" s="93"/>
      <c r="Z222" s="618"/>
      <c r="AA222" s="424"/>
      <c r="AB222" s="480"/>
      <c r="AC222" s="424"/>
      <c r="AD222" s="425"/>
      <c r="AE222" s="424"/>
      <c r="AF222" s="424"/>
      <c r="AG222" s="396"/>
      <c r="AH222" s="361"/>
      <c r="AI222" s="313"/>
      <c r="AJ222" s="374"/>
      <c r="AK222" s="374"/>
      <c r="AL222" s="374"/>
      <c r="AM222" s="374"/>
      <c r="AN222" s="296"/>
      <c r="AO222" s="296"/>
      <c r="AP222" s="296"/>
      <c r="AQ222" s="296"/>
      <c r="AR222" s="296"/>
      <c r="AS222" s="296"/>
      <c r="AT222" s="296"/>
      <c r="AU222" s="296"/>
    </row>
    <row r="223" spans="1:47" s="291" customFormat="1" x14ac:dyDescent="0.2">
      <c r="A223" s="423">
        <f t="shared" si="69"/>
        <v>218</v>
      </c>
      <c r="B223" s="721" t="s">
        <v>8299</v>
      </c>
      <c r="C223" s="771">
        <v>520908</v>
      </c>
      <c r="D223" s="771">
        <v>2008</v>
      </c>
      <c r="E223" s="771" t="s">
        <v>697</v>
      </c>
      <c r="F223" s="546">
        <v>2017</v>
      </c>
      <c r="G223" s="659">
        <v>43097</v>
      </c>
      <c r="H223" s="655" t="s">
        <v>2215</v>
      </c>
      <c r="I223" s="655" t="s">
        <v>8596</v>
      </c>
      <c r="J223" s="712"/>
      <c r="K223" s="655" t="s">
        <v>8757</v>
      </c>
      <c r="L223" s="655" t="s">
        <v>8899</v>
      </c>
      <c r="M223" s="660">
        <v>-203534.48</v>
      </c>
      <c r="N223" s="660">
        <v>0</v>
      </c>
      <c r="O223" s="660">
        <v>-32565.52</v>
      </c>
      <c r="P223" s="660">
        <v>-236100</v>
      </c>
      <c r="Q223" s="548"/>
      <c r="R223" s="660">
        <v>-190091.9</v>
      </c>
      <c r="S223" s="549">
        <f t="shared" si="68"/>
        <v>-46008.100000000006</v>
      </c>
      <c r="T223" s="113" t="s">
        <v>1931</v>
      </c>
      <c r="U223" s="267"/>
      <c r="V223" s="93"/>
      <c r="W223" s="267"/>
      <c r="X223" s="267"/>
      <c r="Y223" s="93"/>
      <c r="Z223" s="618"/>
      <c r="AA223" s="424"/>
      <c r="AB223" s="480"/>
      <c r="AC223" s="424"/>
      <c r="AD223" s="425"/>
      <c r="AE223" s="424"/>
      <c r="AF223" s="424"/>
      <c r="AG223" s="396"/>
      <c r="AH223" s="361"/>
      <c r="AI223" s="313"/>
      <c r="AJ223" s="374"/>
      <c r="AK223" s="374"/>
      <c r="AL223" s="374"/>
      <c r="AM223" s="374"/>
      <c r="AN223" s="296"/>
      <c r="AO223" s="296"/>
      <c r="AP223" s="296"/>
      <c r="AQ223" s="296"/>
      <c r="AR223" s="296"/>
      <c r="AS223" s="296"/>
      <c r="AT223" s="296"/>
      <c r="AU223" s="296"/>
    </row>
    <row r="224" spans="1:47" s="291" customFormat="1" x14ac:dyDescent="0.2">
      <c r="A224" s="423">
        <f t="shared" si="69"/>
        <v>219</v>
      </c>
      <c r="B224" s="721" t="s">
        <v>8278</v>
      </c>
      <c r="C224" s="771">
        <v>521707</v>
      </c>
      <c r="D224" s="771">
        <v>2006</v>
      </c>
      <c r="E224" s="771" t="s">
        <v>702</v>
      </c>
      <c r="F224" s="546">
        <v>2017</v>
      </c>
      <c r="G224" s="659">
        <v>43090</v>
      </c>
      <c r="H224" s="655" t="s">
        <v>2216</v>
      </c>
      <c r="I224" s="655" t="s">
        <v>8588</v>
      </c>
      <c r="J224" s="712"/>
      <c r="K224" s="655" t="s">
        <v>8752</v>
      </c>
      <c r="L224" s="655" t="s">
        <v>8891</v>
      </c>
      <c r="M224" s="660">
        <v>193965.52</v>
      </c>
      <c r="N224" s="660">
        <v>0</v>
      </c>
      <c r="O224" s="660">
        <v>31034.48</v>
      </c>
      <c r="P224" s="660">
        <v>225000</v>
      </c>
      <c r="Q224" s="548"/>
      <c r="R224" s="660">
        <v>184004.21</v>
      </c>
      <c r="S224" s="549">
        <f t="shared" si="68"/>
        <v>40995.790000000008</v>
      </c>
      <c r="T224" s="113" t="s">
        <v>1931</v>
      </c>
      <c r="U224" s="267"/>
      <c r="V224" s="93"/>
      <c r="W224" s="267"/>
      <c r="X224" s="267"/>
      <c r="Y224" s="93"/>
      <c r="Z224" s="618"/>
      <c r="AA224" s="424"/>
      <c r="AB224" s="646"/>
      <c r="AC224" s="424"/>
      <c r="AD224" s="425"/>
      <c r="AE224" s="424"/>
      <c r="AF224" s="424"/>
      <c r="AG224" s="396"/>
      <c r="AH224" s="361"/>
      <c r="AI224" s="313"/>
      <c r="AJ224" s="374"/>
      <c r="AK224" s="374"/>
      <c r="AL224" s="374"/>
      <c r="AM224" s="374"/>
      <c r="AN224" s="296"/>
      <c r="AO224" s="296"/>
      <c r="AP224" s="296"/>
      <c r="AQ224" s="296"/>
      <c r="AR224" s="296"/>
      <c r="AS224" s="296"/>
      <c r="AT224" s="296"/>
      <c r="AU224" s="296"/>
    </row>
    <row r="225" spans="1:47" s="291" customFormat="1" x14ac:dyDescent="0.2">
      <c r="A225" s="423">
        <f t="shared" si="69"/>
        <v>220</v>
      </c>
      <c r="B225" s="721" t="s">
        <v>8281</v>
      </c>
      <c r="C225" s="771">
        <v>521707</v>
      </c>
      <c r="D225" s="771">
        <v>2006</v>
      </c>
      <c r="E225" s="771" t="s">
        <v>702</v>
      </c>
      <c r="F225" s="546">
        <v>2017</v>
      </c>
      <c r="G225" s="659">
        <v>43091</v>
      </c>
      <c r="H225" s="655" t="s">
        <v>2216</v>
      </c>
      <c r="I225" s="655" t="s">
        <v>8588</v>
      </c>
      <c r="J225" s="712"/>
      <c r="K225" s="655" t="s">
        <v>8752</v>
      </c>
      <c r="L225" s="655" t="s">
        <v>8891</v>
      </c>
      <c r="M225" s="660">
        <v>-193965.52</v>
      </c>
      <c r="N225" s="660">
        <v>0</v>
      </c>
      <c r="O225" s="660">
        <v>-31034.48</v>
      </c>
      <c r="P225" s="660">
        <v>-225000</v>
      </c>
      <c r="Q225" s="548"/>
      <c r="R225" s="660">
        <v>-184004.21</v>
      </c>
      <c r="S225" s="549">
        <f t="shared" si="68"/>
        <v>-40995.790000000008</v>
      </c>
      <c r="T225" s="267" t="s">
        <v>1931</v>
      </c>
      <c r="U225" s="267"/>
      <c r="V225" s="93"/>
      <c r="W225" s="267"/>
      <c r="X225" s="267"/>
      <c r="Y225" s="93"/>
      <c r="Z225" s="618"/>
      <c r="AA225" s="424"/>
      <c r="AB225" s="480"/>
      <c r="AC225" s="424"/>
      <c r="AD225" s="425"/>
      <c r="AE225" s="424"/>
      <c r="AF225" s="424"/>
      <c r="AG225" s="396"/>
      <c r="AH225" s="361"/>
      <c r="AI225" s="313"/>
      <c r="AJ225" s="374"/>
      <c r="AK225" s="374"/>
      <c r="AL225" s="374"/>
      <c r="AM225" s="374"/>
      <c r="AN225" s="296"/>
      <c r="AO225" s="296"/>
      <c r="AP225" s="296"/>
      <c r="AQ225" s="296"/>
      <c r="AR225" s="296"/>
      <c r="AS225" s="296"/>
      <c r="AT225" s="296"/>
      <c r="AU225" s="296"/>
    </row>
    <row r="226" spans="1:47" s="291" customFormat="1" x14ac:dyDescent="0.2">
      <c r="A226" s="423">
        <f t="shared" si="69"/>
        <v>221</v>
      </c>
      <c r="B226" s="721" t="s">
        <v>8208</v>
      </c>
      <c r="C226" s="771">
        <v>522403</v>
      </c>
      <c r="D226" s="771">
        <v>1060</v>
      </c>
      <c r="E226" s="771" t="s">
        <v>5617</v>
      </c>
      <c r="F226" s="546">
        <v>2017</v>
      </c>
      <c r="G226" s="659">
        <v>43083</v>
      </c>
      <c r="H226" s="655"/>
      <c r="I226" s="655" t="s">
        <v>7568</v>
      </c>
      <c r="J226" s="712"/>
      <c r="K226" s="655" t="s">
        <v>1144</v>
      </c>
      <c r="L226" s="655" t="s">
        <v>7376</v>
      </c>
      <c r="M226" s="660">
        <v>-195873.84</v>
      </c>
      <c r="N226" s="660">
        <v>0</v>
      </c>
      <c r="O226" s="660">
        <v>-31339.81</v>
      </c>
      <c r="P226" s="660">
        <v>-227213.65</v>
      </c>
      <c r="Q226" s="548"/>
      <c r="R226" s="660">
        <v>-195872.97</v>
      </c>
      <c r="S226" s="549">
        <f t="shared" si="68"/>
        <v>-31340.679999999993</v>
      </c>
      <c r="T226" s="267" t="s">
        <v>283</v>
      </c>
      <c r="U226" s="267"/>
      <c r="V226" s="93"/>
      <c r="W226" s="267"/>
      <c r="X226" s="267"/>
      <c r="Y226" s="93"/>
      <c r="Z226" s="618"/>
      <c r="AA226" s="424"/>
      <c r="AB226" s="646"/>
      <c r="AC226" s="424"/>
      <c r="AD226" s="425"/>
      <c r="AE226" s="424"/>
      <c r="AF226" s="424"/>
      <c r="AG226" s="396"/>
      <c r="AH226" s="361"/>
      <c r="AI226" s="313"/>
      <c r="AJ226" s="374"/>
      <c r="AK226" s="374"/>
      <c r="AL226" s="374"/>
      <c r="AM226" s="374"/>
      <c r="AN226" s="296"/>
      <c r="AO226" s="296"/>
      <c r="AP226" s="296"/>
      <c r="AQ226" s="296"/>
      <c r="AR226" s="296"/>
      <c r="AS226" s="296"/>
      <c r="AT226" s="296"/>
      <c r="AU226" s="296"/>
    </row>
    <row r="227" spans="1:47" s="291" customFormat="1" x14ac:dyDescent="0.2">
      <c r="A227" s="423">
        <f t="shared" si="69"/>
        <v>222</v>
      </c>
      <c r="B227" s="721" t="s">
        <v>8209</v>
      </c>
      <c r="C227" s="771">
        <v>522403</v>
      </c>
      <c r="D227" s="771">
        <v>1060</v>
      </c>
      <c r="E227" s="771" t="s">
        <v>5617</v>
      </c>
      <c r="F227" s="546">
        <v>2017</v>
      </c>
      <c r="G227" s="659">
        <v>43084</v>
      </c>
      <c r="H227" s="655"/>
      <c r="I227" s="655" t="s">
        <v>7568</v>
      </c>
      <c r="J227" s="712"/>
      <c r="K227" s="655" t="s">
        <v>1144</v>
      </c>
      <c r="L227" s="655" t="s">
        <v>7376</v>
      </c>
      <c r="M227" s="660">
        <v>192307.89</v>
      </c>
      <c r="N227" s="660">
        <v>0</v>
      </c>
      <c r="O227" s="660">
        <v>30769.26</v>
      </c>
      <c r="P227" s="660">
        <v>223077.15</v>
      </c>
      <c r="Q227" s="548"/>
      <c r="R227" s="660">
        <v>195872.97</v>
      </c>
      <c r="S227" s="549">
        <f t="shared" si="68"/>
        <v>27204.179999999993</v>
      </c>
      <c r="T227" s="267" t="s">
        <v>283</v>
      </c>
      <c r="U227" s="267"/>
      <c r="V227" s="93"/>
      <c r="W227" s="267"/>
      <c r="X227" s="267"/>
      <c r="Y227" s="93"/>
      <c r="Z227" s="618"/>
      <c r="AA227" s="424"/>
      <c r="AB227" s="480"/>
      <c r="AC227" s="424"/>
      <c r="AD227" s="425"/>
      <c r="AE227" s="424"/>
      <c r="AF227" s="424"/>
      <c r="AG227" s="396"/>
      <c r="AH227" s="361"/>
      <c r="AI227" s="313"/>
      <c r="AJ227" s="374"/>
      <c r="AK227" s="374"/>
      <c r="AL227" s="374"/>
      <c r="AM227" s="374"/>
      <c r="AN227" s="296"/>
      <c r="AO227" s="296"/>
      <c r="AP227" s="296"/>
      <c r="AQ227" s="296"/>
      <c r="AR227" s="296"/>
      <c r="AS227" s="296"/>
      <c r="AT227" s="296"/>
      <c r="AU227" s="296"/>
    </row>
    <row r="228" spans="1:47" s="291" customFormat="1" x14ac:dyDescent="0.2">
      <c r="A228" s="423">
        <f t="shared" si="69"/>
        <v>223</v>
      </c>
      <c r="B228" s="721" t="s">
        <v>8211</v>
      </c>
      <c r="C228" s="771">
        <v>521101</v>
      </c>
      <c r="D228" s="771">
        <v>1251</v>
      </c>
      <c r="E228" s="771" t="s">
        <v>700</v>
      </c>
      <c r="F228" s="546">
        <v>2017</v>
      </c>
      <c r="G228" s="659">
        <v>43077</v>
      </c>
      <c r="H228" s="655"/>
      <c r="I228" s="655" t="s">
        <v>8545</v>
      </c>
      <c r="J228" s="712"/>
      <c r="K228" s="655" t="s">
        <v>1144</v>
      </c>
      <c r="L228" s="655" t="s">
        <v>8848</v>
      </c>
      <c r="M228" s="660">
        <v>-300450.65999999997</v>
      </c>
      <c r="N228" s="660">
        <v>0</v>
      </c>
      <c r="O228" s="660">
        <v>-48072.11</v>
      </c>
      <c r="P228" s="660">
        <v>-348522.77</v>
      </c>
      <c r="Q228" s="548"/>
      <c r="R228" s="660">
        <v>-300095.32</v>
      </c>
      <c r="S228" s="549">
        <f t="shared" si="68"/>
        <v>-48427.450000000012</v>
      </c>
      <c r="T228" s="113" t="s">
        <v>283</v>
      </c>
      <c r="U228" s="267"/>
      <c r="V228" s="93"/>
      <c r="W228" s="267"/>
      <c r="X228" s="267"/>
      <c r="Y228" s="93"/>
      <c r="Z228" s="618"/>
      <c r="AA228" s="424"/>
      <c r="AB228" s="480"/>
      <c r="AC228" s="424"/>
      <c r="AD228" s="425"/>
      <c r="AE228" s="424"/>
      <c r="AF228" s="424"/>
      <c r="AG228" s="396"/>
      <c r="AH228" s="361"/>
      <c r="AI228" s="313"/>
      <c r="AJ228" s="374"/>
      <c r="AK228" s="374"/>
      <c r="AL228" s="374"/>
      <c r="AM228" s="374"/>
      <c r="AN228" s="296"/>
      <c r="AO228" s="296"/>
      <c r="AP228" s="296"/>
      <c r="AQ228" s="296"/>
      <c r="AR228" s="296"/>
      <c r="AS228" s="296"/>
      <c r="AT228" s="296"/>
      <c r="AU228" s="296"/>
    </row>
    <row r="229" spans="1:47" s="291" customFormat="1" x14ac:dyDescent="0.2">
      <c r="A229" s="423">
        <f t="shared" si="69"/>
        <v>224</v>
      </c>
      <c r="B229" s="721" t="s">
        <v>8212</v>
      </c>
      <c r="C229" s="771">
        <v>521101</v>
      </c>
      <c r="D229" s="771">
        <v>1251</v>
      </c>
      <c r="E229" s="771" t="s">
        <v>700</v>
      </c>
      <c r="F229" s="546">
        <v>2017</v>
      </c>
      <c r="G229" s="659">
        <v>43077</v>
      </c>
      <c r="H229" s="655"/>
      <c r="I229" s="655" t="s">
        <v>8545</v>
      </c>
      <c r="J229" s="712"/>
      <c r="K229" s="655" t="s">
        <v>1144</v>
      </c>
      <c r="L229" s="655" t="s">
        <v>8848</v>
      </c>
      <c r="M229" s="660">
        <v>300450.65999999997</v>
      </c>
      <c r="N229" s="660">
        <v>0</v>
      </c>
      <c r="O229" s="660">
        <v>48072.11</v>
      </c>
      <c r="P229" s="660">
        <v>348522.77</v>
      </c>
      <c r="Q229" s="548"/>
      <c r="R229" s="660">
        <v>300095.32</v>
      </c>
      <c r="S229" s="549">
        <f t="shared" si="68"/>
        <v>48427.450000000012</v>
      </c>
      <c r="T229" s="113" t="s">
        <v>283</v>
      </c>
      <c r="U229" s="267"/>
      <c r="V229" s="93"/>
      <c r="W229" s="267"/>
      <c r="X229" s="267"/>
      <c r="Y229" s="93"/>
      <c r="Z229" s="618"/>
      <c r="AA229" s="424"/>
      <c r="AB229" s="480"/>
      <c r="AC229" s="424"/>
      <c r="AD229" s="425"/>
      <c r="AE229" s="424"/>
      <c r="AF229" s="424"/>
      <c r="AG229" s="396"/>
      <c r="AH229" s="361"/>
      <c r="AI229" s="313"/>
      <c r="AJ229" s="374"/>
      <c r="AK229" s="374"/>
      <c r="AL229" s="374"/>
      <c r="AM229" s="374"/>
      <c r="AN229" s="296"/>
      <c r="AO229" s="296"/>
      <c r="AP229" s="296"/>
      <c r="AQ229" s="296"/>
      <c r="AR229" s="296"/>
      <c r="AS229" s="296"/>
      <c r="AT229" s="296"/>
      <c r="AU229" s="296"/>
    </row>
    <row r="230" spans="1:47" s="291" customFormat="1" x14ac:dyDescent="0.2">
      <c r="A230" s="423">
        <f t="shared" si="69"/>
        <v>225</v>
      </c>
      <c r="B230" s="721" t="s">
        <v>8213</v>
      </c>
      <c r="C230" s="771">
        <v>521101</v>
      </c>
      <c r="D230" s="771">
        <v>1251</v>
      </c>
      <c r="E230" s="771" t="s">
        <v>700</v>
      </c>
      <c r="F230" s="546">
        <v>2017</v>
      </c>
      <c r="G230" s="659">
        <v>43077</v>
      </c>
      <c r="H230" s="655"/>
      <c r="I230" s="655" t="s">
        <v>8545</v>
      </c>
      <c r="J230" s="712"/>
      <c r="K230" s="655" t="s">
        <v>1144</v>
      </c>
      <c r="L230" s="655" t="s">
        <v>8848</v>
      </c>
      <c r="M230" s="660">
        <v>300450.65999999997</v>
      </c>
      <c r="N230" s="660">
        <v>0</v>
      </c>
      <c r="O230" s="660">
        <v>48072.11</v>
      </c>
      <c r="P230" s="660">
        <v>348522.77</v>
      </c>
      <c r="Q230" s="548"/>
      <c r="R230" s="660">
        <v>300095.32</v>
      </c>
      <c r="S230" s="549">
        <f t="shared" si="68"/>
        <v>48427.450000000012</v>
      </c>
      <c r="T230" s="113" t="s">
        <v>283</v>
      </c>
      <c r="U230" s="267"/>
      <c r="V230" s="93"/>
      <c r="W230" s="267"/>
      <c r="X230" s="267"/>
      <c r="Y230" s="93"/>
      <c r="Z230" s="618"/>
      <c r="AA230" s="424"/>
      <c r="AB230" s="480"/>
      <c r="AC230" s="424"/>
      <c r="AD230" s="425"/>
      <c r="AE230" s="424"/>
      <c r="AF230" s="424"/>
      <c r="AG230" s="396"/>
      <c r="AH230" s="361"/>
      <c r="AI230" s="313"/>
      <c r="AJ230" s="374"/>
      <c r="AK230" s="374"/>
      <c r="AL230" s="374"/>
      <c r="AM230" s="374"/>
      <c r="AN230" s="296"/>
      <c r="AO230" s="296"/>
      <c r="AP230" s="296"/>
      <c r="AQ230" s="296"/>
      <c r="AR230" s="296"/>
      <c r="AS230" s="296"/>
      <c r="AT230" s="296"/>
      <c r="AU230" s="296"/>
    </row>
    <row r="231" spans="1:47" s="291" customFormat="1" x14ac:dyDescent="0.2">
      <c r="A231" s="423">
        <f t="shared" si="69"/>
        <v>226</v>
      </c>
      <c r="B231" s="721" t="s">
        <v>8215</v>
      </c>
      <c r="C231" s="771">
        <v>521101</v>
      </c>
      <c r="D231" s="771">
        <v>1251</v>
      </c>
      <c r="E231" s="771" t="s">
        <v>700</v>
      </c>
      <c r="F231" s="546">
        <v>2017</v>
      </c>
      <c r="G231" s="659">
        <v>43090</v>
      </c>
      <c r="H231" s="655"/>
      <c r="I231" s="655" t="s">
        <v>8546</v>
      </c>
      <c r="J231" s="712"/>
      <c r="K231" s="655" t="s">
        <v>3871</v>
      </c>
      <c r="L231" s="655" t="s">
        <v>8849</v>
      </c>
      <c r="M231" s="660">
        <v>300450.65999999997</v>
      </c>
      <c r="N231" s="660">
        <v>0</v>
      </c>
      <c r="O231" s="660">
        <v>48072.11</v>
      </c>
      <c r="P231" s="660">
        <v>348522.77</v>
      </c>
      <c r="Q231" s="548"/>
      <c r="R231" s="660">
        <v>300095.32</v>
      </c>
      <c r="S231" s="549">
        <f t="shared" si="68"/>
        <v>48427.450000000012</v>
      </c>
      <c r="T231" s="113" t="s">
        <v>283</v>
      </c>
      <c r="U231" s="267"/>
      <c r="V231" s="93"/>
      <c r="W231" s="267"/>
      <c r="X231" s="267"/>
      <c r="Y231" s="93"/>
      <c r="Z231" s="618"/>
      <c r="AA231" s="424"/>
      <c r="AB231" s="646"/>
      <c r="AC231" s="424"/>
      <c r="AD231" s="425"/>
      <c r="AE231" s="424"/>
      <c r="AF231" s="424"/>
      <c r="AG231" s="396"/>
      <c r="AH231" s="361"/>
      <c r="AI231" s="313"/>
      <c r="AJ231" s="374"/>
      <c r="AK231" s="374"/>
      <c r="AL231" s="374"/>
      <c r="AM231" s="374"/>
      <c r="AN231" s="296"/>
      <c r="AO231" s="296"/>
      <c r="AP231" s="296"/>
      <c r="AQ231" s="296"/>
      <c r="AR231" s="296"/>
      <c r="AS231" s="296"/>
      <c r="AT231" s="296"/>
      <c r="AU231" s="296"/>
    </row>
    <row r="232" spans="1:47" s="351" customFormat="1" x14ac:dyDescent="0.2">
      <c r="A232" s="423">
        <f t="shared" si="69"/>
        <v>227</v>
      </c>
      <c r="B232" s="721" t="s">
        <v>8216</v>
      </c>
      <c r="C232" s="771">
        <v>521101</v>
      </c>
      <c r="D232" s="771">
        <v>1251</v>
      </c>
      <c r="E232" s="771" t="s">
        <v>700</v>
      </c>
      <c r="F232" s="546">
        <v>2017</v>
      </c>
      <c r="G232" s="659">
        <v>43091</v>
      </c>
      <c r="H232" s="655"/>
      <c r="I232" s="655" t="s">
        <v>8547</v>
      </c>
      <c r="J232" s="712"/>
      <c r="K232" s="655" t="s">
        <v>1706</v>
      </c>
      <c r="L232" s="655" t="s">
        <v>8850</v>
      </c>
      <c r="M232" s="660">
        <v>300392.87</v>
      </c>
      <c r="N232" s="660">
        <v>0</v>
      </c>
      <c r="O232" s="660">
        <v>48062.86</v>
      </c>
      <c r="P232" s="660">
        <v>348455.73</v>
      </c>
      <c r="Q232" s="548"/>
      <c r="R232" s="660">
        <v>300037.53000000003</v>
      </c>
      <c r="S232" s="549">
        <f t="shared" si="68"/>
        <v>48418.199999999953</v>
      </c>
      <c r="T232" s="267" t="s">
        <v>283</v>
      </c>
      <c r="U232" s="267"/>
      <c r="V232" s="93"/>
      <c r="W232" s="267"/>
      <c r="X232" s="267"/>
      <c r="Y232" s="93"/>
      <c r="Z232" s="618"/>
      <c r="AA232" s="424"/>
      <c r="AB232" s="480"/>
      <c r="AC232" s="424"/>
      <c r="AD232" s="425"/>
      <c r="AE232" s="424"/>
      <c r="AF232" s="424"/>
      <c r="AG232" s="396"/>
      <c r="AH232" s="361"/>
      <c r="AI232" s="313"/>
      <c r="AJ232" s="374"/>
      <c r="AK232" s="331"/>
      <c r="AL232" s="331"/>
      <c r="AM232" s="331"/>
      <c r="AN232" s="352"/>
      <c r="AO232" s="352"/>
      <c r="AP232" s="352"/>
      <c r="AQ232" s="352"/>
      <c r="AR232" s="352"/>
      <c r="AS232" s="352"/>
      <c r="AT232" s="352"/>
      <c r="AU232" s="352"/>
    </row>
    <row r="233" spans="1:47" s="291" customFormat="1" x14ac:dyDescent="0.2">
      <c r="A233" s="423">
        <f t="shared" si="69"/>
        <v>228</v>
      </c>
      <c r="B233" s="721" t="s">
        <v>8217</v>
      </c>
      <c r="C233" s="771">
        <v>521101</v>
      </c>
      <c r="D233" s="771">
        <v>1251</v>
      </c>
      <c r="E233" s="771" t="s">
        <v>700</v>
      </c>
      <c r="F233" s="546">
        <v>2017</v>
      </c>
      <c r="G233" s="659">
        <v>43091</v>
      </c>
      <c r="H233" s="655"/>
      <c r="I233" s="655" t="s">
        <v>8548</v>
      </c>
      <c r="J233" s="712"/>
      <c r="K233" s="655" t="s">
        <v>1706</v>
      </c>
      <c r="L233" s="655" t="s">
        <v>8851</v>
      </c>
      <c r="M233" s="660">
        <v>300392.87</v>
      </c>
      <c r="N233" s="660">
        <v>0</v>
      </c>
      <c r="O233" s="660">
        <v>48062.86</v>
      </c>
      <c r="P233" s="660">
        <v>348455.73</v>
      </c>
      <c r="Q233" s="548"/>
      <c r="R233" s="660">
        <v>300037.53000000003</v>
      </c>
      <c r="S233" s="549">
        <f t="shared" si="68"/>
        <v>48418.199999999953</v>
      </c>
      <c r="T233" s="113" t="s">
        <v>283</v>
      </c>
      <c r="U233" s="267"/>
      <c r="V233" s="93"/>
      <c r="W233" s="267"/>
      <c r="X233" s="267"/>
      <c r="Y233" s="93"/>
      <c r="Z233" s="618"/>
      <c r="AA233" s="424"/>
      <c r="AB233" s="480"/>
      <c r="AC233" s="424"/>
      <c r="AD233" s="425"/>
      <c r="AE233" s="424"/>
      <c r="AF233" s="424"/>
      <c r="AG233" s="396"/>
      <c r="AH233" s="361"/>
      <c r="AI233" s="313"/>
      <c r="AJ233" s="374"/>
      <c r="AK233" s="374"/>
      <c r="AL233" s="374"/>
      <c r="AM233" s="374"/>
      <c r="AN233" s="296"/>
      <c r="AO233" s="296"/>
      <c r="AP233" s="296"/>
      <c r="AQ233" s="296"/>
      <c r="AR233" s="296"/>
      <c r="AS233" s="296"/>
      <c r="AT233" s="296"/>
      <c r="AU233" s="296"/>
    </row>
    <row r="234" spans="1:47" s="351" customFormat="1" x14ac:dyDescent="0.2">
      <c r="A234" s="423">
        <f t="shared" si="69"/>
        <v>229</v>
      </c>
      <c r="B234" s="721" t="s">
        <v>8218</v>
      </c>
      <c r="C234" s="771">
        <v>521101</v>
      </c>
      <c r="D234" s="771">
        <v>1251</v>
      </c>
      <c r="E234" s="771" t="s">
        <v>700</v>
      </c>
      <c r="F234" s="546">
        <v>2017</v>
      </c>
      <c r="G234" s="659">
        <v>43091</v>
      </c>
      <c r="H234" s="655"/>
      <c r="I234" s="655" t="s">
        <v>8549</v>
      </c>
      <c r="J234" s="712"/>
      <c r="K234" s="655" t="s">
        <v>1706</v>
      </c>
      <c r="L234" s="655" t="s">
        <v>8852</v>
      </c>
      <c r="M234" s="660">
        <v>300392.87</v>
      </c>
      <c r="N234" s="660">
        <v>0</v>
      </c>
      <c r="O234" s="660">
        <v>48062.86</v>
      </c>
      <c r="P234" s="660">
        <v>348455.73</v>
      </c>
      <c r="Q234" s="548"/>
      <c r="R234" s="660">
        <v>300037.53000000003</v>
      </c>
      <c r="S234" s="549">
        <f t="shared" si="68"/>
        <v>48418.199999999953</v>
      </c>
      <c r="T234" s="113" t="s">
        <v>283</v>
      </c>
      <c r="U234" s="267"/>
      <c r="V234" s="93"/>
      <c r="W234" s="267"/>
      <c r="X234" s="267"/>
      <c r="Y234" s="93"/>
      <c r="Z234" s="618"/>
      <c r="AA234" s="424"/>
      <c r="AB234" s="646"/>
      <c r="AC234" s="424"/>
      <c r="AD234" s="425"/>
      <c r="AE234" s="424"/>
      <c r="AF234" s="424"/>
      <c r="AG234" s="396"/>
      <c r="AH234" s="361"/>
      <c r="AI234" s="313"/>
      <c r="AJ234" s="374"/>
      <c r="AK234" s="331"/>
      <c r="AL234" s="331"/>
      <c r="AM234" s="331"/>
      <c r="AN234" s="352"/>
      <c r="AO234" s="352"/>
      <c r="AP234" s="352"/>
      <c r="AQ234" s="352"/>
      <c r="AR234" s="352"/>
      <c r="AS234" s="352"/>
      <c r="AT234" s="352"/>
      <c r="AU234" s="352"/>
    </row>
    <row r="235" spans="1:47" s="352" customFormat="1" x14ac:dyDescent="0.2">
      <c r="A235" s="423">
        <f t="shared" si="69"/>
        <v>230</v>
      </c>
      <c r="B235" s="721" t="s">
        <v>8219</v>
      </c>
      <c r="C235" s="771">
        <v>521101</v>
      </c>
      <c r="D235" s="771">
        <v>1251</v>
      </c>
      <c r="E235" s="771" t="s">
        <v>700</v>
      </c>
      <c r="F235" s="546">
        <v>2017</v>
      </c>
      <c r="G235" s="659">
        <v>43091</v>
      </c>
      <c r="H235" s="655"/>
      <c r="I235" s="655" t="s">
        <v>8550</v>
      </c>
      <c r="J235" s="712"/>
      <c r="K235" s="655" t="s">
        <v>1706</v>
      </c>
      <c r="L235" s="655" t="s">
        <v>8853</v>
      </c>
      <c r="M235" s="660">
        <v>300450.65999999997</v>
      </c>
      <c r="N235" s="660">
        <v>0</v>
      </c>
      <c r="O235" s="660">
        <v>48072.11</v>
      </c>
      <c r="P235" s="660">
        <v>348522.77</v>
      </c>
      <c r="Q235" s="548"/>
      <c r="R235" s="660">
        <v>300095.32</v>
      </c>
      <c r="S235" s="549">
        <f t="shared" si="68"/>
        <v>48427.450000000012</v>
      </c>
      <c r="T235" s="267" t="s">
        <v>283</v>
      </c>
      <c r="U235" s="267"/>
      <c r="V235" s="93"/>
      <c r="W235" s="267"/>
      <c r="X235" s="267"/>
      <c r="Y235" s="93"/>
      <c r="Z235" s="618"/>
      <c r="AA235" s="717"/>
      <c r="AB235" s="734"/>
      <c r="AC235" s="424"/>
      <c r="AD235" s="425"/>
      <c r="AE235" s="424"/>
      <c r="AF235" s="424"/>
      <c r="AG235" s="396"/>
      <c r="AH235" s="361"/>
      <c r="AI235" s="313"/>
      <c r="AJ235" s="374"/>
      <c r="AK235" s="331"/>
      <c r="AL235" s="331"/>
      <c r="AM235" s="331"/>
    </row>
    <row r="236" spans="1:47" s="412" customFormat="1" x14ac:dyDescent="0.2">
      <c r="A236" s="423">
        <f t="shared" si="69"/>
        <v>231</v>
      </c>
      <c r="B236" s="721" t="s">
        <v>8220</v>
      </c>
      <c r="C236" s="771">
        <v>521101</v>
      </c>
      <c r="D236" s="771">
        <v>1251</v>
      </c>
      <c r="E236" s="771" t="s">
        <v>700</v>
      </c>
      <c r="F236" s="546">
        <v>2017</v>
      </c>
      <c r="G236" s="659">
        <v>43091</v>
      </c>
      <c r="H236" s="655"/>
      <c r="I236" s="655" t="s">
        <v>8551</v>
      </c>
      <c r="J236" s="712"/>
      <c r="K236" s="655" t="s">
        <v>1706</v>
      </c>
      <c r="L236" s="655" t="s">
        <v>8854</v>
      </c>
      <c r="M236" s="660">
        <v>300450.65999999997</v>
      </c>
      <c r="N236" s="660">
        <v>0</v>
      </c>
      <c r="O236" s="660">
        <v>48072.11</v>
      </c>
      <c r="P236" s="660">
        <v>348522.77</v>
      </c>
      <c r="Q236" s="548"/>
      <c r="R236" s="660">
        <v>300095.32</v>
      </c>
      <c r="S236" s="549">
        <f t="shared" si="68"/>
        <v>48427.450000000012</v>
      </c>
      <c r="T236" s="113" t="s">
        <v>283</v>
      </c>
      <c r="U236" s="267"/>
      <c r="V236" s="93"/>
      <c r="W236" s="267"/>
      <c r="X236" s="267"/>
      <c r="Y236" s="93"/>
      <c r="Z236" s="618"/>
      <c r="AA236" s="271"/>
      <c r="AB236" s="734"/>
      <c r="AC236" s="424"/>
      <c r="AD236" s="425"/>
      <c r="AE236" s="424"/>
      <c r="AF236" s="424"/>
      <c r="AG236" s="396"/>
      <c r="AH236" s="361"/>
      <c r="AI236" s="313"/>
      <c r="AJ236" s="374"/>
      <c r="AK236" s="374"/>
      <c r="AL236" s="374"/>
      <c r="AM236" s="374"/>
      <c r="AN236" s="296"/>
      <c r="AO236" s="296"/>
      <c r="AP236" s="296"/>
      <c r="AQ236" s="296"/>
      <c r="AR236" s="296"/>
      <c r="AS236" s="296"/>
      <c r="AT236" s="296"/>
      <c r="AU236" s="296"/>
    </row>
    <row r="237" spans="1:47" s="351" customFormat="1" x14ac:dyDescent="0.2">
      <c r="A237" s="423">
        <f t="shared" si="69"/>
        <v>232</v>
      </c>
      <c r="B237" s="721" t="s">
        <v>8221</v>
      </c>
      <c r="C237" s="771">
        <v>521101</v>
      </c>
      <c r="D237" s="771">
        <v>1251</v>
      </c>
      <c r="E237" s="771" t="s">
        <v>700</v>
      </c>
      <c r="F237" s="546">
        <v>2017</v>
      </c>
      <c r="G237" s="659">
        <v>43099</v>
      </c>
      <c r="H237" s="655"/>
      <c r="I237" s="655" t="s">
        <v>8552</v>
      </c>
      <c r="J237" s="712"/>
      <c r="K237" s="655" t="s">
        <v>134</v>
      </c>
      <c r="L237" s="655" t="s">
        <v>8855</v>
      </c>
      <c r="M237" s="660">
        <v>300450.65999999997</v>
      </c>
      <c r="N237" s="660">
        <v>0</v>
      </c>
      <c r="O237" s="660">
        <v>48072.11</v>
      </c>
      <c r="P237" s="660">
        <v>348522.77</v>
      </c>
      <c r="Q237" s="548"/>
      <c r="R237" s="660">
        <v>300095.32</v>
      </c>
      <c r="S237" s="549">
        <f t="shared" si="68"/>
        <v>48427.450000000012</v>
      </c>
      <c r="T237" s="113" t="s">
        <v>283</v>
      </c>
      <c r="U237" s="267"/>
      <c r="V237" s="93"/>
      <c r="W237" s="267"/>
      <c r="X237" s="267"/>
      <c r="Y237" s="93"/>
      <c r="Z237" s="618"/>
      <c r="AA237" s="717"/>
      <c r="AB237" s="734"/>
      <c r="AC237" s="424"/>
      <c r="AD237" s="425"/>
      <c r="AE237" s="424"/>
      <c r="AF237" s="424"/>
      <c r="AG237" s="396"/>
      <c r="AH237" s="272"/>
      <c r="AI237" s="313"/>
      <c r="AJ237" s="374"/>
      <c r="AK237" s="331"/>
      <c r="AL237" s="331"/>
      <c r="AM237" s="331"/>
      <c r="AN237" s="352"/>
      <c r="AO237" s="352"/>
      <c r="AP237" s="352"/>
      <c r="AQ237" s="352"/>
      <c r="AR237" s="352"/>
      <c r="AS237" s="352"/>
      <c r="AT237" s="352"/>
      <c r="AU237" s="352"/>
    </row>
    <row r="238" spans="1:47" s="351" customFormat="1" x14ac:dyDescent="0.2">
      <c r="A238" s="423">
        <f t="shared" si="69"/>
        <v>233</v>
      </c>
      <c r="B238" s="721" t="s">
        <v>8223</v>
      </c>
      <c r="C238" s="771">
        <v>521101</v>
      </c>
      <c r="D238" s="771">
        <v>1253</v>
      </c>
      <c r="E238" s="771" t="s">
        <v>30</v>
      </c>
      <c r="F238" s="546">
        <v>2017</v>
      </c>
      <c r="G238" s="659">
        <v>43075</v>
      </c>
      <c r="H238" s="655"/>
      <c r="I238" s="655" t="s">
        <v>8554</v>
      </c>
      <c r="J238" s="712"/>
      <c r="K238" s="655" t="s">
        <v>1155</v>
      </c>
      <c r="L238" s="655" t="s">
        <v>8857</v>
      </c>
      <c r="M238" s="660">
        <v>345189.7</v>
      </c>
      <c r="N238" s="660">
        <v>0</v>
      </c>
      <c r="O238" s="660">
        <v>55230.35</v>
      </c>
      <c r="P238" s="660">
        <v>400420.05</v>
      </c>
      <c r="Q238" s="548"/>
      <c r="R238" s="660">
        <v>344834.35</v>
      </c>
      <c r="S238" s="549">
        <f t="shared" si="68"/>
        <v>55585.700000000012</v>
      </c>
      <c r="T238" s="113" t="s">
        <v>283</v>
      </c>
      <c r="U238" s="267"/>
      <c r="V238" s="93"/>
      <c r="W238" s="267"/>
      <c r="X238" s="267"/>
      <c r="Y238" s="93"/>
      <c r="Z238" s="618"/>
      <c r="AA238" s="717"/>
      <c r="AB238" s="734"/>
      <c r="AC238" s="424"/>
      <c r="AD238" s="425"/>
      <c r="AE238" s="424"/>
      <c r="AF238" s="424"/>
      <c r="AG238" s="396"/>
      <c r="AH238" s="272"/>
      <c r="AI238" s="313"/>
      <c r="AJ238" s="374"/>
      <c r="AK238" s="331"/>
      <c r="AL238" s="331"/>
      <c r="AM238" s="331"/>
      <c r="AN238" s="352"/>
      <c r="AO238" s="352"/>
      <c r="AP238" s="352"/>
      <c r="AQ238" s="352"/>
      <c r="AR238" s="352"/>
      <c r="AS238" s="352"/>
      <c r="AT238" s="352"/>
      <c r="AU238" s="352"/>
    </row>
    <row r="239" spans="1:47" s="291" customFormat="1" x14ac:dyDescent="0.2">
      <c r="A239" s="423">
        <f t="shared" si="69"/>
        <v>234</v>
      </c>
      <c r="B239" s="721" t="s">
        <v>8225</v>
      </c>
      <c r="C239" s="771">
        <v>521101</v>
      </c>
      <c r="D239" s="771">
        <v>1253</v>
      </c>
      <c r="E239" s="771" t="s">
        <v>30</v>
      </c>
      <c r="F239" s="546">
        <v>2017</v>
      </c>
      <c r="G239" s="659">
        <v>43082</v>
      </c>
      <c r="H239" s="655"/>
      <c r="I239" s="655" t="s">
        <v>8555</v>
      </c>
      <c r="J239" s="712"/>
      <c r="K239" s="655" t="s">
        <v>1144</v>
      </c>
      <c r="L239" s="655" t="s">
        <v>8858</v>
      </c>
      <c r="M239" s="660">
        <v>345189.7</v>
      </c>
      <c r="N239" s="660">
        <v>0</v>
      </c>
      <c r="O239" s="660">
        <v>55230.35</v>
      </c>
      <c r="P239" s="660">
        <v>400420.05</v>
      </c>
      <c r="Q239" s="548"/>
      <c r="R239" s="660">
        <v>344834.35</v>
      </c>
      <c r="S239" s="549">
        <f t="shared" si="68"/>
        <v>55585.700000000012</v>
      </c>
      <c r="T239" s="113" t="s">
        <v>283</v>
      </c>
      <c r="U239" s="267"/>
      <c r="V239" s="93"/>
      <c r="W239" s="267"/>
      <c r="X239" s="267"/>
      <c r="Y239" s="93"/>
      <c r="Z239" s="618"/>
      <c r="AA239" s="271"/>
      <c r="AB239" s="734"/>
      <c r="AC239" s="424"/>
      <c r="AD239" s="425"/>
      <c r="AE239" s="424"/>
      <c r="AF239" s="424"/>
      <c r="AG239" s="396"/>
      <c r="AH239" s="272"/>
      <c r="AI239" s="313"/>
      <c r="AJ239" s="374"/>
      <c r="AK239" s="374"/>
      <c r="AL239" s="374"/>
      <c r="AM239" s="374"/>
      <c r="AN239" s="296"/>
      <c r="AO239" s="296"/>
      <c r="AP239" s="296"/>
      <c r="AQ239" s="296"/>
      <c r="AR239" s="296"/>
      <c r="AS239" s="296"/>
      <c r="AT239" s="296"/>
      <c r="AU239" s="296"/>
    </row>
    <row r="240" spans="1:47" s="291" customFormat="1" x14ac:dyDescent="0.2">
      <c r="A240" s="423">
        <f t="shared" si="69"/>
        <v>235</v>
      </c>
      <c r="B240" s="721" t="s">
        <v>8227</v>
      </c>
      <c r="C240" s="771">
        <v>521101</v>
      </c>
      <c r="D240" s="771">
        <v>1253</v>
      </c>
      <c r="E240" s="771" t="s">
        <v>30</v>
      </c>
      <c r="F240" s="546">
        <v>2017</v>
      </c>
      <c r="G240" s="659">
        <v>43099</v>
      </c>
      <c r="H240" s="655"/>
      <c r="I240" s="655" t="s">
        <v>8557</v>
      </c>
      <c r="J240" s="712"/>
      <c r="K240" s="655" t="s">
        <v>134</v>
      </c>
      <c r="L240" s="655" t="s">
        <v>8860</v>
      </c>
      <c r="M240" s="660">
        <v>345189.7</v>
      </c>
      <c r="N240" s="660">
        <v>0</v>
      </c>
      <c r="O240" s="660">
        <v>55230.35</v>
      </c>
      <c r="P240" s="660">
        <v>400420.05</v>
      </c>
      <c r="Q240" s="548"/>
      <c r="R240" s="660">
        <v>344834.35</v>
      </c>
      <c r="S240" s="549">
        <f t="shared" si="68"/>
        <v>55585.700000000012</v>
      </c>
      <c r="T240" s="113" t="s">
        <v>283</v>
      </c>
      <c r="U240" s="267"/>
      <c r="V240" s="93"/>
      <c r="W240" s="267"/>
      <c r="X240" s="267"/>
      <c r="Y240" s="93"/>
      <c r="Z240" s="618"/>
      <c r="AA240" s="424"/>
      <c r="AB240" s="803"/>
      <c r="AC240" s="424"/>
      <c r="AD240" s="425"/>
      <c r="AE240" s="424"/>
      <c r="AF240" s="424"/>
      <c r="AG240" s="396"/>
      <c r="AH240" s="272"/>
      <c r="AI240" s="313"/>
      <c r="AJ240" s="374"/>
      <c r="AK240" s="374"/>
      <c r="AL240" s="374"/>
      <c r="AM240" s="374"/>
      <c r="AN240" s="296"/>
      <c r="AO240" s="296"/>
      <c r="AP240" s="296"/>
      <c r="AQ240" s="296"/>
      <c r="AR240" s="296"/>
      <c r="AS240" s="296"/>
      <c r="AT240" s="296"/>
      <c r="AU240" s="296"/>
    </row>
    <row r="241" spans="1:47" s="351" customFormat="1" x14ac:dyDescent="0.2">
      <c r="A241" s="423">
        <f t="shared" si="69"/>
        <v>236</v>
      </c>
      <c r="B241" s="721" t="s">
        <v>8236</v>
      </c>
      <c r="C241" s="771">
        <v>520234</v>
      </c>
      <c r="D241" s="771">
        <v>1783</v>
      </c>
      <c r="E241" s="771" t="s">
        <v>692</v>
      </c>
      <c r="F241" s="546">
        <v>2018</v>
      </c>
      <c r="G241" s="659">
        <v>43085</v>
      </c>
      <c r="H241" s="655"/>
      <c r="I241" s="655" t="s">
        <v>8560</v>
      </c>
      <c r="J241" s="712"/>
      <c r="K241" s="655" t="s">
        <v>1754</v>
      </c>
      <c r="L241" s="655" t="s">
        <v>8863</v>
      </c>
      <c r="M241" s="660">
        <v>278710.96000000002</v>
      </c>
      <c r="N241" s="660">
        <v>0</v>
      </c>
      <c r="O241" s="660">
        <v>44593.75</v>
      </c>
      <c r="P241" s="660">
        <v>323304.71000000002</v>
      </c>
      <c r="Q241" s="548"/>
      <c r="R241" s="660">
        <v>278355.61</v>
      </c>
      <c r="S241" s="549">
        <f t="shared" si="68"/>
        <v>44949.100000000035</v>
      </c>
      <c r="T241" s="113" t="s">
        <v>283</v>
      </c>
      <c r="U241" s="267"/>
      <c r="V241" s="93"/>
      <c r="W241" s="267"/>
      <c r="X241" s="267"/>
      <c r="Y241" s="93"/>
      <c r="Z241" s="618"/>
      <c r="AA241" s="424"/>
      <c r="AB241" s="803"/>
      <c r="AC241" s="424"/>
      <c r="AD241" s="425"/>
      <c r="AE241" s="424"/>
      <c r="AF241" s="424"/>
      <c r="AG241" s="396"/>
      <c r="AH241" s="350"/>
      <c r="AI241" s="313"/>
      <c r="AJ241" s="374"/>
      <c r="AK241" s="331"/>
      <c r="AL241" s="331"/>
      <c r="AM241" s="331"/>
      <c r="AN241" s="352"/>
      <c r="AO241" s="352"/>
      <c r="AP241" s="352"/>
      <c r="AQ241" s="352"/>
      <c r="AR241" s="352"/>
      <c r="AS241" s="352"/>
      <c r="AT241" s="352"/>
      <c r="AU241" s="352"/>
    </row>
    <row r="242" spans="1:47" s="351" customFormat="1" x14ac:dyDescent="0.2">
      <c r="A242" s="423">
        <f t="shared" si="69"/>
        <v>237</v>
      </c>
      <c r="B242" s="721" t="s">
        <v>8237</v>
      </c>
      <c r="C242" s="771">
        <v>520231</v>
      </c>
      <c r="D242" s="771">
        <v>1794</v>
      </c>
      <c r="E242" s="771" t="s">
        <v>687</v>
      </c>
      <c r="F242" s="546">
        <v>2018</v>
      </c>
      <c r="G242" s="659">
        <v>43083</v>
      </c>
      <c r="H242" s="655"/>
      <c r="I242" s="655" t="s">
        <v>7585</v>
      </c>
      <c r="J242" s="712"/>
      <c r="K242" s="655" t="s">
        <v>357</v>
      </c>
      <c r="L242" s="655" t="s">
        <v>7393</v>
      </c>
      <c r="M242" s="660">
        <v>243472.03</v>
      </c>
      <c r="N242" s="660">
        <v>0</v>
      </c>
      <c r="O242" s="660">
        <v>38955.519999999997</v>
      </c>
      <c r="P242" s="660">
        <v>282427.55</v>
      </c>
      <c r="Q242" s="548"/>
      <c r="R242" s="660">
        <v>243116.68</v>
      </c>
      <c r="S242" s="549">
        <f t="shared" si="68"/>
        <v>39310.869999999995</v>
      </c>
      <c r="T242" s="113" t="s">
        <v>283</v>
      </c>
      <c r="U242" s="267"/>
      <c r="V242" s="93"/>
      <c r="W242" s="267"/>
      <c r="X242" s="267"/>
      <c r="Y242" s="93"/>
      <c r="Z242" s="618"/>
      <c r="AA242" s="717"/>
      <c r="AB242" s="734"/>
      <c r="AC242" s="424"/>
      <c r="AD242" s="425"/>
      <c r="AE242" s="424"/>
      <c r="AF242" s="424"/>
      <c r="AG242" s="396"/>
      <c r="AH242" s="313"/>
      <c r="AI242" s="313"/>
      <c r="AJ242" s="374"/>
      <c r="AK242" s="331"/>
      <c r="AL242" s="331"/>
      <c r="AM242" s="331"/>
      <c r="AN242" s="352"/>
      <c r="AO242" s="352"/>
      <c r="AP242" s="352"/>
      <c r="AQ242" s="352"/>
      <c r="AR242" s="352"/>
      <c r="AS242" s="352"/>
      <c r="AT242" s="352"/>
      <c r="AU242" s="352"/>
    </row>
    <row r="243" spans="1:47" s="291" customFormat="1" x14ac:dyDescent="0.2">
      <c r="A243" s="423">
        <f t="shared" si="69"/>
        <v>238</v>
      </c>
      <c r="B243" s="721" t="s">
        <v>8238</v>
      </c>
      <c r="C243" s="771">
        <v>520231</v>
      </c>
      <c r="D243" s="771">
        <v>1794</v>
      </c>
      <c r="E243" s="771" t="s">
        <v>687</v>
      </c>
      <c r="F243" s="546">
        <v>2018</v>
      </c>
      <c r="G243" s="659">
        <v>43083</v>
      </c>
      <c r="H243" s="655"/>
      <c r="I243" s="655" t="s">
        <v>8561</v>
      </c>
      <c r="J243" s="712"/>
      <c r="K243" s="655" t="s">
        <v>357</v>
      </c>
      <c r="L243" s="655" t="s">
        <v>8864</v>
      </c>
      <c r="M243" s="660">
        <v>243472.03</v>
      </c>
      <c r="N243" s="660">
        <v>0</v>
      </c>
      <c r="O243" s="660">
        <v>38955.519999999997</v>
      </c>
      <c r="P243" s="660">
        <v>282427.55</v>
      </c>
      <c r="Q243" s="548"/>
      <c r="R243" s="660">
        <v>243116.68</v>
      </c>
      <c r="S243" s="549">
        <f t="shared" si="68"/>
        <v>39310.869999999995</v>
      </c>
      <c r="T243" s="113" t="s">
        <v>283</v>
      </c>
      <c r="U243" s="267"/>
      <c r="V243" s="93"/>
      <c r="W243" s="267"/>
      <c r="X243" s="267"/>
      <c r="Y243" s="93"/>
      <c r="Z243" s="618"/>
      <c r="AA243" s="618"/>
      <c r="AB243" s="734"/>
      <c r="AC243" s="424"/>
      <c r="AD243" s="425"/>
      <c r="AE243" s="424"/>
      <c r="AF243" s="424"/>
      <c r="AG243" s="396"/>
      <c r="AH243" s="488"/>
      <c r="AI243" s="313"/>
      <c r="AJ243" s="374"/>
      <c r="AK243" s="374"/>
      <c r="AL243" s="374"/>
      <c r="AM243" s="374"/>
      <c r="AN243" s="296"/>
      <c r="AO243" s="296"/>
      <c r="AP243" s="296"/>
      <c r="AQ243" s="296"/>
      <c r="AR243" s="296"/>
      <c r="AS243" s="296"/>
      <c r="AT243" s="296"/>
      <c r="AU243" s="296"/>
    </row>
    <row r="244" spans="1:47" s="351" customFormat="1" x14ac:dyDescent="0.2">
      <c r="A244" s="423">
        <f t="shared" si="69"/>
        <v>239</v>
      </c>
      <c r="B244" s="721" t="s">
        <v>8239</v>
      </c>
      <c r="C244" s="771">
        <v>520231</v>
      </c>
      <c r="D244" s="771">
        <v>1794</v>
      </c>
      <c r="E244" s="771" t="s">
        <v>687</v>
      </c>
      <c r="F244" s="546">
        <v>2018</v>
      </c>
      <c r="G244" s="659">
        <v>43083</v>
      </c>
      <c r="H244" s="655"/>
      <c r="I244" s="655" t="s">
        <v>8562</v>
      </c>
      <c r="J244" s="712"/>
      <c r="K244" s="655" t="s">
        <v>357</v>
      </c>
      <c r="L244" s="655" t="s">
        <v>8865</v>
      </c>
      <c r="M244" s="660">
        <v>243472.03</v>
      </c>
      <c r="N244" s="660">
        <v>0</v>
      </c>
      <c r="O244" s="660">
        <v>38955.519999999997</v>
      </c>
      <c r="P244" s="660">
        <v>282427.55</v>
      </c>
      <c r="Q244" s="548"/>
      <c r="R244" s="660">
        <v>243116.68</v>
      </c>
      <c r="S244" s="549">
        <f t="shared" si="68"/>
        <v>39310.869999999995</v>
      </c>
      <c r="T244" s="113" t="s">
        <v>283</v>
      </c>
      <c r="U244" s="331"/>
      <c r="V244" s="331"/>
      <c r="W244" s="331"/>
      <c r="X244" s="331"/>
      <c r="Y244" s="331"/>
      <c r="Z244" s="331"/>
      <c r="AA244" s="331"/>
      <c r="AB244" s="804"/>
      <c r="AC244" s="331"/>
      <c r="AD244" s="331"/>
      <c r="AE244" s="331"/>
      <c r="AF244" s="331"/>
      <c r="AG244" s="331"/>
      <c r="AI244" s="313"/>
      <c r="AJ244" s="374"/>
      <c r="AK244" s="331"/>
      <c r="AL244" s="331"/>
      <c r="AM244" s="331"/>
      <c r="AN244" s="352"/>
      <c r="AO244" s="352"/>
      <c r="AP244" s="352"/>
      <c r="AQ244" s="352"/>
      <c r="AR244" s="352"/>
      <c r="AS244" s="352"/>
      <c r="AT244" s="352"/>
      <c r="AU244" s="352"/>
    </row>
    <row r="245" spans="1:47" s="291" customFormat="1" x14ac:dyDescent="0.2">
      <c r="A245" s="423">
        <f t="shared" si="69"/>
        <v>240</v>
      </c>
      <c r="B245" s="721" t="s">
        <v>8240</v>
      </c>
      <c r="C245" s="771">
        <v>520231</v>
      </c>
      <c r="D245" s="771">
        <v>1794</v>
      </c>
      <c r="E245" s="771" t="s">
        <v>687</v>
      </c>
      <c r="F245" s="546">
        <v>2018</v>
      </c>
      <c r="G245" s="659">
        <v>43083</v>
      </c>
      <c r="H245" s="655"/>
      <c r="I245" s="655" t="s">
        <v>8563</v>
      </c>
      <c r="J245" s="712"/>
      <c r="K245" s="655" t="s">
        <v>357</v>
      </c>
      <c r="L245" s="655" t="s">
        <v>8866</v>
      </c>
      <c r="M245" s="660">
        <v>243472.03</v>
      </c>
      <c r="N245" s="660">
        <v>0</v>
      </c>
      <c r="O245" s="660">
        <v>38955.519999999997</v>
      </c>
      <c r="P245" s="660">
        <v>282427.55</v>
      </c>
      <c r="Q245" s="548"/>
      <c r="R245" s="660">
        <v>243116.68</v>
      </c>
      <c r="S245" s="549">
        <f t="shared" si="68"/>
        <v>39310.869999999995</v>
      </c>
      <c r="T245" s="113" t="s">
        <v>283</v>
      </c>
      <c r="U245" s="374"/>
      <c r="V245" s="374"/>
      <c r="W245" s="374"/>
      <c r="X245" s="374"/>
      <c r="Y245" s="374"/>
      <c r="Z245" s="374"/>
      <c r="AA245" s="374"/>
      <c r="AB245" s="804"/>
      <c r="AC245" s="374"/>
      <c r="AD245" s="374"/>
      <c r="AE245" s="374"/>
      <c r="AF245" s="374"/>
      <c r="AG245" s="374"/>
      <c r="AH245" s="348"/>
      <c r="AI245" s="313"/>
      <c r="AJ245" s="374"/>
      <c r="AK245" s="374"/>
      <c r="AL245" s="374"/>
      <c r="AM245" s="374"/>
      <c r="AN245" s="296"/>
      <c r="AO245" s="296"/>
      <c r="AP245" s="296"/>
      <c r="AQ245" s="296"/>
      <c r="AR245" s="296"/>
      <c r="AS245" s="296"/>
      <c r="AT245" s="296"/>
      <c r="AU245" s="296"/>
    </row>
    <row r="246" spans="1:47" s="351" customFormat="1" x14ac:dyDescent="0.2">
      <c r="A246" s="423">
        <f t="shared" si="69"/>
        <v>241</v>
      </c>
      <c r="B246" s="721" t="s">
        <v>8252</v>
      </c>
      <c r="C246" s="771">
        <v>521702</v>
      </c>
      <c r="D246" s="771">
        <v>2005</v>
      </c>
      <c r="E246" s="771" t="s">
        <v>701</v>
      </c>
      <c r="F246" s="546">
        <v>2017</v>
      </c>
      <c r="G246" s="659">
        <v>43083</v>
      </c>
      <c r="H246" s="655"/>
      <c r="I246" s="655" t="s">
        <v>8569</v>
      </c>
      <c r="J246" s="712"/>
      <c r="K246" s="655" t="s">
        <v>8746</v>
      </c>
      <c r="L246" s="655" t="s">
        <v>8872</v>
      </c>
      <c r="M246" s="660">
        <v>168469.59</v>
      </c>
      <c r="N246" s="660">
        <v>0</v>
      </c>
      <c r="O246" s="660">
        <v>26955.13</v>
      </c>
      <c r="P246" s="660">
        <v>195424.72</v>
      </c>
      <c r="Q246" s="548"/>
      <c r="R246" s="660">
        <v>168114.24</v>
      </c>
      <c r="S246" s="549">
        <f t="shared" si="68"/>
        <v>27310.48000000001</v>
      </c>
      <c r="T246" s="113" t="s">
        <v>283</v>
      </c>
      <c r="U246" s="267"/>
      <c r="V246" s="93"/>
      <c r="W246" s="267"/>
      <c r="X246" s="267"/>
      <c r="Y246" s="93"/>
      <c r="Z246" s="618"/>
      <c r="AA246" s="424"/>
      <c r="AB246" s="803"/>
      <c r="AC246" s="424"/>
      <c r="AD246" s="425"/>
      <c r="AE246" s="424"/>
      <c r="AF246" s="424"/>
      <c r="AG246" s="396"/>
      <c r="AH246" s="361"/>
      <c r="AI246" s="313"/>
      <c r="AJ246" s="374"/>
      <c r="AK246" s="331"/>
      <c r="AL246" s="331"/>
      <c r="AM246" s="331"/>
      <c r="AN246" s="352"/>
      <c r="AO246" s="352"/>
      <c r="AP246" s="352"/>
      <c r="AQ246" s="352"/>
      <c r="AR246" s="352"/>
      <c r="AS246" s="352"/>
      <c r="AT246" s="352"/>
      <c r="AU246" s="352"/>
    </row>
    <row r="247" spans="1:47" s="291" customFormat="1" x14ac:dyDescent="0.2">
      <c r="A247" s="423">
        <f t="shared" si="69"/>
        <v>242</v>
      </c>
      <c r="B247" s="721" t="s">
        <v>8262</v>
      </c>
      <c r="C247" s="771">
        <v>521707</v>
      </c>
      <c r="D247" s="771">
        <v>2006</v>
      </c>
      <c r="E247" s="771" t="s">
        <v>702</v>
      </c>
      <c r="F247" s="546">
        <v>2017</v>
      </c>
      <c r="G247" s="659">
        <v>43077</v>
      </c>
      <c r="H247" s="655"/>
      <c r="I247" s="655" t="s">
        <v>8574</v>
      </c>
      <c r="J247" s="712"/>
      <c r="K247" s="655" t="s">
        <v>1144</v>
      </c>
      <c r="L247" s="655" t="s">
        <v>8877</v>
      </c>
      <c r="M247" s="660">
        <v>183407.6</v>
      </c>
      <c r="N247" s="660">
        <v>0</v>
      </c>
      <c r="O247" s="660">
        <v>29345.22</v>
      </c>
      <c r="P247" s="660">
        <v>212752.82</v>
      </c>
      <c r="Q247" s="548"/>
      <c r="R247" s="660">
        <v>183052.26</v>
      </c>
      <c r="S247" s="549">
        <f t="shared" si="68"/>
        <v>29700.559999999998</v>
      </c>
      <c r="T247" s="113" t="s">
        <v>283</v>
      </c>
      <c r="U247" s="267"/>
      <c r="V247" s="93"/>
      <c r="W247" s="267"/>
      <c r="X247" s="267"/>
      <c r="Y247" s="93"/>
      <c r="Z247" s="618"/>
      <c r="AA247" s="424"/>
      <c r="AB247" s="803"/>
      <c r="AC247" s="424"/>
      <c r="AD247" s="425"/>
      <c r="AE247" s="424"/>
      <c r="AF247" s="424"/>
      <c r="AG247" s="396"/>
      <c r="AH247" s="361"/>
      <c r="AI247" s="313"/>
      <c r="AJ247" s="374"/>
      <c r="AK247" s="374"/>
      <c r="AL247" s="374"/>
      <c r="AM247" s="374"/>
      <c r="AN247" s="296"/>
      <c r="AO247" s="296"/>
      <c r="AP247" s="296"/>
      <c r="AQ247" s="296"/>
      <c r="AR247" s="296"/>
      <c r="AS247" s="296"/>
      <c r="AT247" s="296"/>
      <c r="AU247" s="296"/>
    </row>
    <row r="248" spans="1:47" s="291" customFormat="1" x14ac:dyDescent="0.2">
      <c r="A248" s="423">
        <f t="shared" si="69"/>
        <v>243</v>
      </c>
      <c r="B248" s="721" t="s">
        <v>8267</v>
      </c>
      <c r="C248" s="771">
        <v>521707</v>
      </c>
      <c r="D248" s="771">
        <v>2006</v>
      </c>
      <c r="E248" s="771" t="s">
        <v>702</v>
      </c>
      <c r="F248" s="546">
        <v>2017</v>
      </c>
      <c r="G248" s="659">
        <v>43087</v>
      </c>
      <c r="H248" s="655"/>
      <c r="I248" s="655" t="s">
        <v>8577</v>
      </c>
      <c r="J248" s="712"/>
      <c r="K248" s="655" t="s">
        <v>1144</v>
      </c>
      <c r="L248" s="655" t="s">
        <v>8880</v>
      </c>
      <c r="M248" s="660">
        <v>183407.6</v>
      </c>
      <c r="N248" s="660">
        <v>0</v>
      </c>
      <c r="O248" s="660">
        <v>29345.22</v>
      </c>
      <c r="P248" s="660">
        <v>212752.82</v>
      </c>
      <c r="Q248" s="548"/>
      <c r="R248" s="660">
        <v>183052.26</v>
      </c>
      <c r="S248" s="549">
        <f t="shared" si="68"/>
        <v>29700.559999999998</v>
      </c>
      <c r="T248" s="267" t="s">
        <v>283</v>
      </c>
      <c r="U248" s="374"/>
      <c r="V248" s="374"/>
      <c r="W248" s="374"/>
      <c r="X248" s="374"/>
      <c r="Y248" s="374"/>
      <c r="Z248" s="374"/>
      <c r="AA248" s="374"/>
      <c r="AB248" s="805"/>
      <c r="AC248" s="374"/>
      <c r="AD248" s="374"/>
      <c r="AE248" s="374"/>
      <c r="AF248" s="374"/>
      <c r="AG248" s="374"/>
      <c r="AH248" s="361"/>
      <c r="AI248" s="313"/>
      <c r="AJ248" s="374"/>
      <c r="AK248" s="374"/>
      <c r="AL248" s="374"/>
      <c r="AM248" s="374"/>
      <c r="AN248" s="296"/>
      <c r="AO248" s="296"/>
      <c r="AP248" s="296"/>
      <c r="AQ248" s="296"/>
      <c r="AR248" s="296"/>
      <c r="AS248" s="296"/>
      <c r="AT248" s="296"/>
      <c r="AU248" s="296"/>
    </row>
    <row r="249" spans="1:47" s="351" customFormat="1" x14ac:dyDescent="0.2">
      <c r="A249" s="423">
        <f t="shared" si="69"/>
        <v>244</v>
      </c>
      <c r="B249" s="721" t="s">
        <v>8276</v>
      </c>
      <c r="C249" s="771">
        <v>521707</v>
      </c>
      <c r="D249" s="771">
        <v>2006</v>
      </c>
      <c r="E249" s="771" t="s">
        <v>702</v>
      </c>
      <c r="F249" s="546">
        <v>2017</v>
      </c>
      <c r="G249" s="659">
        <v>43090</v>
      </c>
      <c r="H249" s="655"/>
      <c r="I249" s="655" t="s">
        <v>8586</v>
      </c>
      <c r="J249" s="712"/>
      <c r="K249" s="655" t="s">
        <v>1710</v>
      </c>
      <c r="L249" s="655" t="s">
        <v>8889</v>
      </c>
      <c r="M249" s="660">
        <v>183407.6</v>
      </c>
      <c r="N249" s="660">
        <v>0</v>
      </c>
      <c r="O249" s="660">
        <v>29345.22</v>
      </c>
      <c r="P249" s="660">
        <v>212752.82</v>
      </c>
      <c r="Q249" s="548"/>
      <c r="R249" s="660">
        <v>183052.26</v>
      </c>
      <c r="S249" s="549">
        <f t="shared" si="68"/>
        <v>29700.559999999998</v>
      </c>
      <c r="T249" s="113" t="s">
        <v>283</v>
      </c>
      <c r="U249" s="331"/>
      <c r="V249" s="331"/>
      <c r="W249" s="331"/>
      <c r="X249" s="331"/>
      <c r="Y249" s="331"/>
      <c r="Z249" s="331"/>
      <c r="AA249" s="331"/>
      <c r="AB249" s="805"/>
      <c r="AC249" s="331"/>
      <c r="AD249" s="331"/>
      <c r="AE249" s="331"/>
      <c r="AF249" s="331"/>
      <c r="AG249" s="331"/>
      <c r="AH249" s="361"/>
      <c r="AI249" s="313"/>
      <c r="AJ249" s="374"/>
      <c r="AK249" s="331"/>
      <c r="AL249" s="331"/>
      <c r="AM249" s="331"/>
      <c r="AN249" s="352"/>
      <c r="AO249" s="352"/>
      <c r="AP249" s="352"/>
      <c r="AQ249" s="352"/>
      <c r="AR249" s="352"/>
      <c r="AS249" s="352"/>
      <c r="AT249" s="352"/>
      <c r="AU249" s="352"/>
    </row>
    <row r="250" spans="1:47" s="351" customFormat="1" x14ac:dyDescent="0.2">
      <c r="A250" s="423">
        <f t="shared" si="69"/>
        <v>245</v>
      </c>
      <c r="B250" s="721" t="s">
        <v>8277</v>
      </c>
      <c r="C250" s="771">
        <v>521707</v>
      </c>
      <c r="D250" s="771">
        <v>2006</v>
      </c>
      <c r="E250" s="771" t="s">
        <v>702</v>
      </c>
      <c r="F250" s="546">
        <v>2017</v>
      </c>
      <c r="G250" s="659">
        <v>43090</v>
      </c>
      <c r="H250" s="655"/>
      <c r="I250" s="655" t="s">
        <v>8587</v>
      </c>
      <c r="J250" s="712"/>
      <c r="K250" s="655" t="s">
        <v>1710</v>
      </c>
      <c r="L250" s="655" t="s">
        <v>8890</v>
      </c>
      <c r="M250" s="660">
        <v>183407.6</v>
      </c>
      <c r="N250" s="660">
        <v>0</v>
      </c>
      <c r="O250" s="660">
        <v>29345.22</v>
      </c>
      <c r="P250" s="660">
        <v>212752.82</v>
      </c>
      <c r="Q250" s="548"/>
      <c r="R250" s="660">
        <v>183052.26</v>
      </c>
      <c r="S250" s="549">
        <f t="shared" si="68"/>
        <v>29700.559999999998</v>
      </c>
      <c r="T250" s="267" t="s">
        <v>283</v>
      </c>
      <c r="U250" s="331"/>
      <c r="V250" s="331"/>
      <c r="W250" s="331"/>
      <c r="X250" s="331"/>
      <c r="Y250" s="331"/>
      <c r="Z250" s="331"/>
      <c r="AA250" s="331"/>
      <c r="AB250" s="805"/>
      <c r="AC250" s="331"/>
      <c r="AD250" s="331"/>
      <c r="AE250" s="331"/>
      <c r="AF250" s="331"/>
      <c r="AG250" s="331"/>
      <c r="AH250" s="361"/>
      <c r="AI250" s="313"/>
      <c r="AJ250" s="374"/>
      <c r="AK250" s="331"/>
      <c r="AL250" s="331"/>
      <c r="AM250" s="331"/>
      <c r="AN250" s="352"/>
      <c r="AO250" s="352"/>
      <c r="AP250" s="352"/>
      <c r="AQ250" s="352"/>
      <c r="AR250" s="352"/>
      <c r="AS250" s="352"/>
      <c r="AT250" s="352"/>
      <c r="AU250" s="352"/>
    </row>
    <row r="251" spans="1:47" s="291" customFormat="1" x14ac:dyDescent="0.2">
      <c r="A251" s="423">
        <f t="shared" si="69"/>
        <v>246</v>
      </c>
      <c r="B251" s="721" t="s">
        <v>8283</v>
      </c>
      <c r="C251" s="771">
        <v>521707</v>
      </c>
      <c r="D251" s="771">
        <v>2006</v>
      </c>
      <c r="E251" s="771" t="s">
        <v>702</v>
      </c>
      <c r="F251" s="546">
        <v>2017</v>
      </c>
      <c r="G251" s="659">
        <v>43096</v>
      </c>
      <c r="H251" s="655"/>
      <c r="I251" s="655" t="s">
        <v>8590</v>
      </c>
      <c r="J251" s="712"/>
      <c r="K251" s="655" t="s">
        <v>1710</v>
      </c>
      <c r="L251" s="655" t="s">
        <v>8893</v>
      </c>
      <c r="M251" s="660">
        <v>183407.6</v>
      </c>
      <c r="N251" s="660">
        <v>0</v>
      </c>
      <c r="O251" s="660">
        <v>29345.22</v>
      </c>
      <c r="P251" s="660">
        <v>212752.82</v>
      </c>
      <c r="Q251" s="548"/>
      <c r="R251" s="660">
        <v>183052.26</v>
      </c>
      <c r="S251" s="549">
        <f t="shared" si="68"/>
        <v>29700.559999999998</v>
      </c>
      <c r="T251" s="113" t="s">
        <v>283</v>
      </c>
      <c r="U251" s="374"/>
      <c r="V251" s="374"/>
      <c r="W251" s="374"/>
      <c r="X251" s="374"/>
      <c r="Y251" s="374"/>
      <c r="Z251" s="374"/>
      <c r="AA251" s="374"/>
      <c r="AB251" s="805"/>
      <c r="AC251" s="374"/>
      <c r="AD251" s="374"/>
      <c r="AE251" s="374"/>
      <c r="AF251" s="374"/>
      <c r="AG251" s="374"/>
      <c r="AH251" s="361"/>
      <c r="AI251" s="313"/>
      <c r="AJ251" s="330"/>
      <c r="AK251" s="374"/>
      <c r="AL251" s="374"/>
      <c r="AM251" s="374"/>
      <c r="AN251" s="296"/>
      <c r="AO251" s="296"/>
      <c r="AP251" s="296"/>
      <c r="AQ251" s="296"/>
      <c r="AR251" s="296"/>
      <c r="AS251" s="296"/>
      <c r="AT251" s="296"/>
      <c r="AU251" s="296"/>
    </row>
    <row r="252" spans="1:47" s="351" customFormat="1" x14ac:dyDescent="0.2">
      <c r="A252" s="423">
        <f t="shared" si="69"/>
        <v>247</v>
      </c>
      <c r="B252" s="786" t="s">
        <v>8290</v>
      </c>
      <c r="C252" s="771">
        <v>521707</v>
      </c>
      <c r="D252" s="771">
        <v>2006</v>
      </c>
      <c r="E252" s="771" t="s">
        <v>702</v>
      </c>
      <c r="F252" s="546">
        <v>2017</v>
      </c>
      <c r="G252" s="659">
        <v>43098</v>
      </c>
      <c r="H252" s="655"/>
      <c r="I252" s="655" t="s">
        <v>4258</v>
      </c>
      <c r="J252" s="712"/>
      <c r="K252" s="655" t="s">
        <v>1710</v>
      </c>
      <c r="L252" s="655" t="s">
        <v>4259</v>
      </c>
      <c r="M252" s="660">
        <v>183407.6</v>
      </c>
      <c r="N252" s="660">
        <v>0</v>
      </c>
      <c r="O252" s="660">
        <v>29345.22</v>
      </c>
      <c r="P252" s="660">
        <v>212752.82</v>
      </c>
      <c r="Q252" s="548"/>
      <c r="R252" s="660">
        <v>183052.26</v>
      </c>
      <c r="S252" s="549">
        <f t="shared" si="68"/>
        <v>29700.559999999998</v>
      </c>
      <c r="T252" s="444" t="s">
        <v>283</v>
      </c>
      <c r="U252" s="331"/>
      <c r="V252" s="331"/>
      <c r="W252" s="331"/>
      <c r="X252" s="331"/>
      <c r="Y252" s="331"/>
      <c r="Z252" s="331"/>
      <c r="AA252" s="331"/>
      <c r="AB252" s="805"/>
      <c r="AC252" s="331"/>
      <c r="AD252" s="331"/>
      <c r="AE252" s="331"/>
      <c r="AF252" s="331"/>
      <c r="AG252" s="331"/>
      <c r="AH252" s="361"/>
      <c r="AI252" s="313"/>
      <c r="AJ252" s="331"/>
      <c r="AK252" s="331"/>
      <c r="AL252" s="331"/>
      <c r="AM252" s="331"/>
      <c r="AN252" s="352"/>
      <c r="AO252" s="352"/>
      <c r="AP252" s="352"/>
      <c r="AQ252" s="352"/>
      <c r="AR252" s="352"/>
      <c r="AS252" s="352"/>
      <c r="AT252" s="352"/>
      <c r="AU252" s="352"/>
    </row>
    <row r="253" spans="1:47" s="348" customFormat="1" x14ac:dyDescent="0.2">
      <c r="A253" s="423">
        <f t="shared" si="69"/>
        <v>248</v>
      </c>
      <c r="B253" s="721" t="s">
        <v>8291</v>
      </c>
      <c r="C253" s="771">
        <v>521707</v>
      </c>
      <c r="D253" s="771">
        <v>2006</v>
      </c>
      <c r="E253" s="771" t="s">
        <v>702</v>
      </c>
      <c r="F253" s="546">
        <v>2017</v>
      </c>
      <c r="G253" s="659">
        <v>43098</v>
      </c>
      <c r="H253" s="655"/>
      <c r="I253" s="655" t="s">
        <v>8593</v>
      </c>
      <c r="J253" s="712"/>
      <c r="K253" s="655" t="s">
        <v>1710</v>
      </c>
      <c r="L253" s="655" t="s">
        <v>8896</v>
      </c>
      <c r="M253" s="660">
        <v>183407.6</v>
      </c>
      <c r="N253" s="660">
        <v>0</v>
      </c>
      <c r="O253" s="660">
        <v>29345.22</v>
      </c>
      <c r="P253" s="660">
        <v>212752.82</v>
      </c>
      <c r="Q253" s="548"/>
      <c r="R253" s="660">
        <v>183052.26</v>
      </c>
      <c r="S253" s="549">
        <f t="shared" si="68"/>
        <v>29700.559999999998</v>
      </c>
      <c r="T253" s="113" t="s">
        <v>283</v>
      </c>
      <c r="U253" s="330"/>
      <c r="V253" s="330"/>
      <c r="W253" s="330"/>
      <c r="X253" s="330"/>
      <c r="Y253" s="330"/>
      <c r="Z253" s="330"/>
      <c r="AA253" s="330"/>
      <c r="AB253" s="805"/>
      <c r="AC253" s="330"/>
      <c r="AD253" s="330"/>
      <c r="AE253" s="330"/>
      <c r="AF253" s="330"/>
      <c r="AG253" s="330"/>
      <c r="AH253" s="361"/>
      <c r="AI253" s="313"/>
      <c r="AJ253" s="330"/>
      <c r="AK253" s="330"/>
      <c r="AL253" s="330"/>
      <c r="AM253" s="330"/>
      <c r="AN253" s="353"/>
      <c r="AO253" s="353"/>
      <c r="AP253" s="353"/>
      <c r="AQ253" s="353"/>
      <c r="AR253" s="353"/>
      <c r="AS253" s="353"/>
      <c r="AT253" s="353"/>
      <c r="AU253" s="353"/>
    </row>
    <row r="254" spans="1:47" s="351" customFormat="1" x14ac:dyDescent="0.2">
      <c r="A254" s="423">
        <f t="shared" si="69"/>
        <v>249</v>
      </c>
      <c r="B254" s="721" t="s">
        <v>8292</v>
      </c>
      <c r="C254" s="771">
        <v>521707</v>
      </c>
      <c r="D254" s="771">
        <v>2006</v>
      </c>
      <c r="E254" s="771" t="s">
        <v>702</v>
      </c>
      <c r="F254" s="546">
        <v>2017</v>
      </c>
      <c r="G254" s="659">
        <v>43098</v>
      </c>
      <c r="H254" s="655"/>
      <c r="I254" s="655" t="s">
        <v>8594</v>
      </c>
      <c r="J254" s="712"/>
      <c r="K254" s="655" t="s">
        <v>392</v>
      </c>
      <c r="L254" s="655" t="s">
        <v>8897</v>
      </c>
      <c r="M254" s="660">
        <v>184004.08</v>
      </c>
      <c r="N254" s="660">
        <v>0</v>
      </c>
      <c r="O254" s="660">
        <v>29440.65</v>
      </c>
      <c r="P254" s="660">
        <v>213444.73</v>
      </c>
      <c r="Q254" s="548"/>
      <c r="R254" s="660">
        <v>183648.73</v>
      </c>
      <c r="S254" s="549">
        <f t="shared" si="68"/>
        <v>29796</v>
      </c>
      <c r="T254" s="113" t="s">
        <v>283</v>
      </c>
      <c r="U254" s="331"/>
      <c r="V254" s="331"/>
      <c r="W254" s="331"/>
      <c r="X254" s="331"/>
      <c r="Y254" s="331"/>
      <c r="Z254" s="331"/>
      <c r="AA254" s="331"/>
      <c r="AB254" s="805"/>
      <c r="AC254" s="331"/>
      <c r="AD254" s="331"/>
      <c r="AE254" s="331"/>
      <c r="AF254" s="331"/>
      <c r="AG254" s="331"/>
      <c r="AH254" s="361"/>
      <c r="AI254" s="313"/>
      <c r="AJ254" s="374"/>
      <c r="AK254" s="331"/>
      <c r="AL254" s="331"/>
      <c r="AM254" s="331"/>
      <c r="AN254" s="352"/>
      <c r="AO254" s="352"/>
      <c r="AP254" s="352"/>
      <c r="AQ254" s="352"/>
      <c r="AR254" s="352"/>
      <c r="AS254" s="352"/>
      <c r="AT254" s="352"/>
      <c r="AU254" s="352"/>
    </row>
    <row r="255" spans="1:47" s="348" customFormat="1" x14ac:dyDescent="0.2">
      <c r="A255" s="423">
        <f t="shared" si="69"/>
        <v>250</v>
      </c>
      <c r="B255" s="721" t="s">
        <v>8293</v>
      </c>
      <c r="C255" s="771">
        <v>521707</v>
      </c>
      <c r="D255" s="771">
        <v>2006</v>
      </c>
      <c r="E255" s="771" t="s">
        <v>702</v>
      </c>
      <c r="F255" s="546">
        <v>2017</v>
      </c>
      <c r="G255" s="659">
        <v>43098</v>
      </c>
      <c r="H255" s="655"/>
      <c r="I255" s="655" t="s">
        <v>8595</v>
      </c>
      <c r="J255" s="712"/>
      <c r="K255" s="655" t="s">
        <v>1710</v>
      </c>
      <c r="L255" s="655" t="s">
        <v>8898</v>
      </c>
      <c r="M255" s="660">
        <v>184004.08</v>
      </c>
      <c r="N255" s="660">
        <v>0</v>
      </c>
      <c r="O255" s="660">
        <v>29440.65</v>
      </c>
      <c r="P255" s="660">
        <v>213444.73</v>
      </c>
      <c r="Q255" s="548"/>
      <c r="R255" s="660">
        <v>183648.73</v>
      </c>
      <c r="S255" s="549">
        <f t="shared" si="68"/>
        <v>29796</v>
      </c>
      <c r="T255" s="113" t="s">
        <v>283</v>
      </c>
      <c r="U255" s="267"/>
      <c r="V255" s="93"/>
      <c r="W255" s="267"/>
      <c r="X255" s="267"/>
      <c r="Y255" s="93"/>
      <c r="Z255" s="618"/>
      <c r="AA255" s="424"/>
      <c r="AB255" s="803"/>
      <c r="AC255" s="424"/>
      <c r="AD255" s="425"/>
      <c r="AE255" s="424"/>
      <c r="AF255" s="424"/>
      <c r="AG255" s="396"/>
      <c r="AH255" s="361"/>
      <c r="AI255" s="313"/>
      <c r="AJ255" s="374"/>
      <c r="AK255" s="330"/>
      <c r="AL255" s="330"/>
      <c r="AM255" s="330"/>
      <c r="AN255" s="353"/>
      <c r="AO255" s="353"/>
      <c r="AP255" s="353"/>
      <c r="AQ255" s="353"/>
      <c r="AR255" s="353"/>
      <c r="AS255" s="353"/>
      <c r="AT255" s="353"/>
      <c r="AU255" s="353"/>
    </row>
    <row r="256" spans="1:47" s="291" customFormat="1" x14ac:dyDescent="0.2">
      <c r="A256" s="423">
        <f t="shared" si="69"/>
        <v>251</v>
      </c>
      <c r="B256" s="721" t="s">
        <v>8297</v>
      </c>
      <c r="C256" s="771">
        <v>520908</v>
      </c>
      <c r="D256" s="771">
        <v>2008</v>
      </c>
      <c r="E256" s="771" t="s">
        <v>697</v>
      </c>
      <c r="F256" s="546">
        <v>2017</v>
      </c>
      <c r="G256" s="659">
        <v>43090</v>
      </c>
      <c r="H256" s="655"/>
      <c r="I256" s="655" t="s">
        <v>8597</v>
      </c>
      <c r="J256" s="712"/>
      <c r="K256" s="655" t="s">
        <v>1710</v>
      </c>
      <c r="L256" s="655" t="s">
        <v>8900</v>
      </c>
      <c r="M256" s="660">
        <v>189108.4</v>
      </c>
      <c r="N256" s="660">
        <v>0</v>
      </c>
      <c r="O256" s="660">
        <v>30257.34</v>
      </c>
      <c r="P256" s="660">
        <v>219365.74</v>
      </c>
      <c r="Q256" s="548"/>
      <c r="R256" s="660">
        <v>188753.05</v>
      </c>
      <c r="S256" s="549">
        <f t="shared" si="68"/>
        <v>30612.690000000002</v>
      </c>
      <c r="T256" s="113" t="s">
        <v>283</v>
      </c>
      <c r="U256" s="267"/>
      <c r="V256" s="93"/>
      <c r="W256" s="267"/>
      <c r="X256" s="267"/>
      <c r="Y256" s="93"/>
      <c r="Z256" s="618"/>
      <c r="AA256" s="424"/>
      <c r="AB256" s="480"/>
      <c r="AC256" s="424"/>
      <c r="AD256" s="425"/>
      <c r="AE256" s="424"/>
      <c r="AF256" s="424"/>
      <c r="AG256" s="396"/>
      <c r="AH256" s="361"/>
      <c r="AI256" s="313"/>
      <c r="AJ256" s="331"/>
      <c r="AK256" s="374"/>
      <c r="AL256" s="374"/>
      <c r="AM256" s="374"/>
      <c r="AN256" s="296"/>
      <c r="AO256" s="296"/>
      <c r="AP256" s="296"/>
      <c r="AQ256" s="296"/>
      <c r="AR256" s="296"/>
      <c r="AS256" s="296"/>
      <c r="AT256" s="296"/>
      <c r="AU256" s="296"/>
    </row>
    <row r="257" spans="1:47" s="351" customFormat="1" x14ac:dyDescent="0.2">
      <c r="A257" s="423">
        <f t="shared" si="69"/>
        <v>252</v>
      </c>
      <c r="B257" s="721" t="s">
        <v>8298</v>
      </c>
      <c r="C257" s="771">
        <v>520908</v>
      </c>
      <c r="D257" s="771">
        <v>2008</v>
      </c>
      <c r="E257" s="771" t="s">
        <v>697</v>
      </c>
      <c r="F257" s="546">
        <v>2017</v>
      </c>
      <c r="G257" s="659">
        <v>43096</v>
      </c>
      <c r="H257" s="655"/>
      <c r="I257" s="655" t="s">
        <v>8598</v>
      </c>
      <c r="J257" s="712"/>
      <c r="K257" s="655" t="s">
        <v>1710</v>
      </c>
      <c r="L257" s="655" t="s">
        <v>8901</v>
      </c>
      <c r="M257" s="660">
        <v>189108.43</v>
      </c>
      <c r="N257" s="660">
        <v>0</v>
      </c>
      <c r="O257" s="660">
        <v>30257.35</v>
      </c>
      <c r="P257" s="660">
        <v>219365.78</v>
      </c>
      <c r="Q257" s="548"/>
      <c r="R257" s="660">
        <v>188753.05</v>
      </c>
      <c r="S257" s="549">
        <f t="shared" si="68"/>
        <v>30612.73000000001</v>
      </c>
      <c r="T257" s="113" t="s">
        <v>283</v>
      </c>
      <c r="U257" s="267"/>
      <c r="V257" s="93"/>
      <c r="W257" s="267"/>
      <c r="X257" s="267"/>
      <c r="Y257" s="93"/>
      <c r="Z257" s="618"/>
      <c r="AA257" s="424"/>
      <c r="AB257" s="480"/>
      <c r="AC257" s="424"/>
      <c r="AD257" s="425"/>
      <c r="AE257" s="424"/>
      <c r="AF257" s="424"/>
      <c r="AG257" s="396"/>
      <c r="AH257" s="361"/>
      <c r="AI257" s="313"/>
      <c r="AJ257" s="374"/>
      <c r="AK257" s="374"/>
      <c r="AL257" s="374"/>
      <c r="AM257" s="374"/>
      <c r="AN257" s="296"/>
      <c r="AO257" s="296"/>
      <c r="AP257" s="296"/>
      <c r="AQ257" s="296"/>
      <c r="AR257" s="296"/>
      <c r="AS257" s="296"/>
      <c r="AT257" s="352"/>
      <c r="AU257" s="352"/>
    </row>
    <row r="258" spans="1:47" s="348" customFormat="1" x14ac:dyDescent="0.2">
      <c r="A258" s="423">
        <f t="shared" si="69"/>
        <v>253</v>
      </c>
      <c r="B258" s="721" t="s">
        <v>8301</v>
      </c>
      <c r="C258" s="771">
        <v>521908</v>
      </c>
      <c r="D258" s="771">
        <v>2008</v>
      </c>
      <c r="E258" s="771" t="s">
        <v>697</v>
      </c>
      <c r="F258" s="546">
        <v>2017</v>
      </c>
      <c r="G258" s="659">
        <v>43098</v>
      </c>
      <c r="H258" s="655"/>
      <c r="I258" s="655" t="s">
        <v>8599</v>
      </c>
      <c r="J258" s="712"/>
      <c r="K258" s="655" t="s">
        <v>1710</v>
      </c>
      <c r="L258" s="655" t="s">
        <v>8902</v>
      </c>
      <c r="M258" s="660">
        <v>189108.4</v>
      </c>
      <c r="N258" s="660">
        <v>0</v>
      </c>
      <c r="O258" s="660">
        <v>30257.34</v>
      </c>
      <c r="P258" s="660">
        <v>219365.74</v>
      </c>
      <c r="Q258" s="548"/>
      <c r="R258" s="660">
        <v>188753.05</v>
      </c>
      <c r="S258" s="549">
        <f t="shared" si="68"/>
        <v>30612.690000000002</v>
      </c>
      <c r="T258" s="113" t="s">
        <v>283</v>
      </c>
      <c r="U258" s="267"/>
      <c r="V258" s="93"/>
      <c r="W258" s="267"/>
      <c r="X258" s="267"/>
      <c r="Y258" s="93"/>
      <c r="Z258" s="618"/>
      <c r="AA258" s="424"/>
      <c r="AB258" s="480"/>
      <c r="AC258" s="424"/>
      <c r="AD258" s="425"/>
      <c r="AE258" s="424"/>
      <c r="AF258" s="424"/>
      <c r="AG258" s="396"/>
      <c r="AH258" s="361"/>
      <c r="AI258" s="313"/>
      <c r="AJ258" s="374"/>
      <c r="AK258" s="374"/>
      <c r="AL258" s="374"/>
      <c r="AM258" s="374"/>
      <c r="AN258" s="296"/>
      <c r="AO258" s="296"/>
      <c r="AP258" s="296"/>
      <c r="AQ258" s="296"/>
      <c r="AR258" s="296"/>
      <c r="AS258" s="296"/>
      <c r="AT258" s="353"/>
      <c r="AU258" s="353"/>
    </row>
    <row r="259" spans="1:47" s="351" customFormat="1" x14ac:dyDescent="0.2">
      <c r="A259" s="423">
        <f t="shared" si="69"/>
        <v>254</v>
      </c>
      <c r="B259" s="721" t="s">
        <v>8305</v>
      </c>
      <c r="C259" s="771">
        <v>520909</v>
      </c>
      <c r="D259" s="771">
        <v>2009</v>
      </c>
      <c r="E259" s="771" t="s">
        <v>698</v>
      </c>
      <c r="F259" s="546">
        <v>2017</v>
      </c>
      <c r="G259" s="659">
        <v>43075</v>
      </c>
      <c r="H259" s="655"/>
      <c r="I259" s="655" t="s">
        <v>7619</v>
      </c>
      <c r="J259" s="712"/>
      <c r="K259" s="655" t="s">
        <v>1147</v>
      </c>
      <c r="L259" s="655" t="s">
        <v>7427</v>
      </c>
      <c r="M259" s="660">
        <v>201678.35</v>
      </c>
      <c r="N259" s="660">
        <v>0</v>
      </c>
      <c r="O259" s="660">
        <v>32268.54</v>
      </c>
      <c r="P259" s="660">
        <v>233946.89</v>
      </c>
      <c r="Q259" s="548"/>
      <c r="R259" s="660">
        <v>201677.49</v>
      </c>
      <c r="S259" s="549">
        <f t="shared" si="68"/>
        <v>32269.400000000023</v>
      </c>
      <c r="T259" s="113" t="s">
        <v>283</v>
      </c>
      <c r="U259" s="267"/>
      <c r="V259" s="93"/>
      <c r="W259" s="267"/>
      <c r="X259" s="267"/>
      <c r="Y259" s="93"/>
      <c r="Z259" s="618"/>
      <c r="AA259" s="424"/>
      <c r="AB259" s="480"/>
      <c r="AC259" s="424"/>
      <c r="AD259" s="425"/>
      <c r="AE259" s="424"/>
      <c r="AF259" s="424"/>
      <c r="AG259" s="396"/>
      <c r="AH259" s="361"/>
      <c r="AI259" s="313"/>
      <c r="AJ259" s="331"/>
      <c r="AK259" s="374"/>
      <c r="AL259" s="374"/>
      <c r="AM259" s="374"/>
      <c r="AN259" s="296"/>
      <c r="AO259" s="296"/>
      <c r="AP259" s="296"/>
      <c r="AQ259" s="296"/>
      <c r="AR259" s="296"/>
      <c r="AS259" s="296"/>
      <c r="AT259" s="352"/>
      <c r="AU259" s="352"/>
    </row>
    <row r="260" spans="1:47" s="351" customFormat="1" x14ac:dyDescent="0.2">
      <c r="A260" s="423">
        <f t="shared" si="69"/>
        <v>255</v>
      </c>
      <c r="B260" s="721" t="s">
        <v>8306</v>
      </c>
      <c r="C260" s="771">
        <v>520909</v>
      </c>
      <c r="D260" s="771">
        <v>2009</v>
      </c>
      <c r="E260" s="771" t="s">
        <v>698</v>
      </c>
      <c r="F260" s="546">
        <v>2017</v>
      </c>
      <c r="G260" s="659">
        <v>43090</v>
      </c>
      <c r="H260" s="655"/>
      <c r="I260" s="655" t="s">
        <v>8600</v>
      </c>
      <c r="J260" s="712"/>
      <c r="K260" s="655" t="s">
        <v>1710</v>
      </c>
      <c r="L260" s="655" t="s">
        <v>8903</v>
      </c>
      <c r="M260" s="660">
        <v>202739.28</v>
      </c>
      <c r="N260" s="660">
        <v>0</v>
      </c>
      <c r="O260" s="660">
        <v>32438.28</v>
      </c>
      <c r="P260" s="660">
        <v>235177.56</v>
      </c>
      <c r="Q260" s="548"/>
      <c r="R260" s="660">
        <v>202383.93</v>
      </c>
      <c r="S260" s="549">
        <f t="shared" si="68"/>
        <v>32793.630000000005</v>
      </c>
      <c r="T260" s="113" t="s">
        <v>283</v>
      </c>
      <c r="U260" s="267"/>
      <c r="V260" s="93"/>
      <c r="W260" s="267"/>
      <c r="X260" s="267"/>
      <c r="Y260" s="93"/>
      <c r="Z260" s="618"/>
      <c r="AA260" s="424"/>
      <c r="AB260" s="480"/>
      <c r="AC260" s="424"/>
      <c r="AD260" s="425"/>
      <c r="AE260" s="424"/>
      <c r="AF260" s="424"/>
      <c r="AG260" s="396"/>
      <c r="AH260" s="361"/>
      <c r="AI260" s="313"/>
      <c r="AJ260" s="331"/>
      <c r="AK260" s="374"/>
      <c r="AL260" s="374"/>
      <c r="AM260" s="374"/>
      <c r="AN260" s="296"/>
      <c r="AO260" s="296"/>
      <c r="AP260" s="296"/>
      <c r="AQ260" s="296"/>
      <c r="AR260" s="296"/>
      <c r="AS260" s="296"/>
      <c r="AT260" s="352"/>
      <c r="AU260" s="352"/>
    </row>
    <row r="261" spans="1:47" s="291" customFormat="1" x14ac:dyDescent="0.2">
      <c r="A261" s="423">
        <f t="shared" si="69"/>
        <v>256</v>
      </c>
      <c r="B261" s="721" t="s">
        <v>8307</v>
      </c>
      <c r="C261" s="771">
        <v>520909</v>
      </c>
      <c r="D261" s="771">
        <v>2009</v>
      </c>
      <c r="E261" s="771" t="s">
        <v>698</v>
      </c>
      <c r="F261" s="546">
        <v>2017</v>
      </c>
      <c r="G261" s="659">
        <v>43090</v>
      </c>
      <c r="H261" s="655"/>
      <c r="I261" s="655" t="s">
        <v>8601</v>
      </c>
      <c r="J261" s="712"/>
      <c r="K261" s="655" t="s">
        <v>1155</v>
      </c>
      <c r="L261" s="655" t="s">
        <v>8904</v>
      </c>
      <c r="M261" s="660">
        <v>202739.28</v>
      </c>
      <c r="N261" s="660">
        <v>0</v>
      </c>
      <c r="O261" s="660">
        <v>32438.28</v>
      </c>
      <c r="P261" s="660">
        <v>235177.56</v>
      </c>
      <c r="Q261" s="548"/>
      <c r="R261" s="660">
        <v>202383.93</v>
      </c>
      <c r="S261" s="549">
        <f t="shared" ref="S261:S324" si="70">+P261-R261</f>
        <v>32793.630000000005</v>
      </c>
      <c r="T261" s="113" t="s">
        <v>283</v>
      </c>
      <c r="U261" s="267"/>
      <c r="V261" s="93"/>
      <c r="W261" s="267"/>
      <c r="X261" s="267"/>
      <c r="Y261" s="93"/>
      <c r="Z261" s="618"/>
      <c r="AA261" s="424"/>
      <c r="AB261" s="480"/>
      <c r="AC261" s="424"/>
      <c r="AD261" s="425"/>
      <c r="AE261" s="424"/>
      <c r="AF261" s="424"/>
      <c r="AG261" s="396"/>
      <c r="AH261" s="361"/>
      <c r="AI261" s="313"/>
      <c r="AJ261" s="374"/>
      <c r="AK261" s="374"/>
      <c r="AL261" s="374"/>
      <c r="AM261" s="374"/>
      <c r="AN261" s="296"/>
      <c r="AO261" s="296"/>
      <c r="AP261" s="296"/>
      <c r="AQ261" s="296"/>
      <c r="AR261" s="296"/>
      <c r="AS261" s="296"/>
      <c r="AT261" s="296"/>
      <c r="AU261" s="296"/>
    </row>
    <row r="262" spans="1:47" s="351" customFormat="1" x14ac:dyDescent="0.2">
      <c r="A262" s="423">
        <f t="shared" si="69"/>
        <v>257</v>
      </c>
      <c r="B262" s="721" t="s">
        <v>8308</v>
      </c>
      <c r="C262" s="771">
        <v>520909</v>
      </c>
      <c r="D262" s="771">
        <v>2009</v>
      </c>
      <c r="E262" s="771" t="s">
        <v>698</v>
      </c>
      <c r="F262" s="546">
        <v>2017</v>
      </c>
      <c r="G262" s="659">
        <v>43090</v>
      </c>
      <c r="H262" s="655"/>
      <c r="I262" s="655" t="s">
        <v>8602</v>
      </c>
      <c r="J262" s="712"/>
      <c r="K262" s="655" t="s">
        <v>1710</v>
      </c>
      <c r="L262" s="655" t="s">
        <v>8905</v>
      </c>
      <c r="M262" s="660">
        <v>202739.28</v>
      </c>
      <c r="N262" s="660">
        <v>0</v>
      </c>
      <c r="O262" s="660">
        <v>32438.28</v>
      </c>
      <c r="P262" s="660">
        <v>235177.56</v>
      </c>
      <c r="Q262" s="548"/>
      <c r="R262" s="660">
        <v>202383.93</v>
      </c>
      <c r="S262" s="549">
        <f t="shared" si="70"/>
        <v>32793.630000000005</v>
      </c>
      <c r="T262" s="113" t="s">
        <v>283</v>
      </c>
      <c r="U262" s="267"/>
      <c r="V262" s="93"/>
      <c r="W262" s="267"/>
      <c r="X262" s="267"/>
      <c r="Y262" s="93"/>
      <c r="Z262" s="618"/>
      <c r="AA262" s="424"/>
      <c r="AB262" s="480"/>
      <c r="AC262" s="424"/>
      <c r="AD262" s="425"/>
      <c r="AE262" s="424"/>
      <c r="AF262" s="424"/>
      <c r="AG262" s="396"/>
      <c r="AH262" s="361"/>
      <c r="AI262" s="313"/>
      <c r="AJ262" s="331"/>
      <c r="AK262" s="374"/>
      <c r="AL262" s="374"/>
      <c r="AM262" s="374"/>
      <c r="AN262" s="296"/>
      <c r="AO262" s="296"/>
      <c r="AP262" s="296"/>
      <c r="AQ262" s="296"/>
      <c r="AR262" s="296"/>
      <c r="AS262" s="296"/>
      <c r="AT262" s="352"/>
      <c r="AU262" s="352"/>
    </row>
    <row r="263" spans="1:47" s="291" customFormat="1" x14ac:dyDescent="0.2">
      <c r="A263" s="423">
        <f t="shared" si="69"/>
        <v>258</v>
      </c>
      <c r="B263" s="721" t="s">
        <v>8310</v>
      </c>
      <c r="C263" s="771">
        <v>520909</v>
      </c>
      <c r="D263" s="771">
        <v>2009</v>
      </c>
      <c r="E263" s="771" t="s">
        <v>698</v>
      </c>
      <c r="F263" s="546">
        <v>2017</v>
      </c>
      <c r="G263" s="659">
        <v>43098</v>
      </c>
      <c r="H263" s="655"/>
      <c r="I263" s="655" t="s">
        <v>8604</v>
      </c>
      <c r="J263" s="712"/>
      <c r="K263" s="655" t="s">
        <v>1710</v>
      </c>
      <c r="L263" s="655" t="s">
        <v>8907</v>
      </c>
      <c r="M263" s="660">
        <v>202739.28</v>
      </c>
      <c r="N263" s="660">
        <v>0</v>
      </c>
      <c r="O263" s="660">
        <v>32438.28</v>
      </c>
      <c r="P263" s="660">
        <v>235177.56</v>
      </c>
      <c r="Q263" s="548"/>
      <c r="R263" s="660">
        <v>202383.93</v>
      </c>
      <c r="S263" s="549">
        <f t="shared" si="70"/>
        <v>32793.630000000005</v>
      </c>
      <c r="T263" s="113" t="s">
        <v>283</v>
      </c>
      <c r="U263" s="267"/>
      <c r="V263" s="93"/>
      <c r="W263" s="267"/>
      <c r="X263" s="267"/>
      <c r="Y263" s="93"/>
      <c r="Z263" s="618"/>
      <c r="AA263" s="424"/>
      <c r="AB263" s="646"/>
      <c r="AC263" s="424"/>
      <c r="AD263" s="425"/>
      <c r="AE263" s="424"/>
      <c r="AF263" s="424"/>
      <c r="AG263" s="396"/>
      <c r="AH263" s="361"/>
      <c r="AI263" s="313"/>
      <c r="AJ263" s="331"/>
      <c r="AK263" s="374"/>
      <c r="AL263" s="374"/>
      <c r="AM263" s="374"/>
      <c r="AN263" s="296"/>
      <c r="AO263" s="296"/>
      <c r="AP263" s="296"/>
      <c r="AQ263" s="296"/>
      <c r="AR263" s="296"/>
      <c r="AS263" s="296"/>
      <c r="AT263" s="296"/>
      <c r="AU263" s="296"/>
    </row>
    <row r="264" spans="1:47" s="351" customFormat="1" x14ac:dyDescent="0.2">
      <c r="A264" s="423">
        <f t="shared" ref="A264:A327" si="71">+A263+1</f>
        <v>259</v>
      </c>
      <c r="B264" s="721" t="s">
        <v>8313</v>
      </c>
      <c r="C264" s="771">
        <v>521801</v>
      </c>
      <c r="D264" s="771">
        <v>2201</v>
      </c>
      <c r="E264" s="771" t="s">
        <v>704</v>
      </c>
      <c r="F264" s="546">
        <v>2018</v>
      </c>
      <c r="G264" s="659">
        <v>43075</v>
      </c>
      <c r="H264" s="655"/>
      <c r="I264" s="655" t="s">
        <v>8605</v>
      </c>
      <c r="J264" s="712"/>
      <c r="K264" s="655" t="s">
        <v>1147</v>
      </c>
      <c r="L264" s="655" t="s">
        <v>8908</v>
      </c>
      <c r="M264" s="660">
        <v>185980.66</v>
      </c>
      <c r="N264" s="660">
        <v>0</v>
      </c>
      <c r="O264" s="660">
        <v>29756.9</v>
      </c>
      <c r="P264" s="660">
        <v>215737.56</v>
      </c>
      <c r="Q264" s="548"/>
      <c r="R264" s="660">
        <v>185625.31</v>
      </c>
      <c r="S264" s="549">
        <f t="shared" si="70"/>
        <v>30112.25</v>
      </c>
      <c r="T264" s="113" t="s">
        <v>283</v>
      </c>
      <c r="U264" s="267"/>
      <c r="V264" s="93"/>
      <c r="W264" s="267"/>
      <c r="X264" s="267"/>
      <c r="Y264" s="93"/>
      <c r="Z264" s="618"/>
      <c r="AA264" s="424"/>
      <c r="AB264" s="480"/>
      <c r="AC264" s="424"/>
      <c r="AD264" s="425"/>
      <c r="AE264" s="424"/>
      <c r="AF264" s="424"/>
      <c r="AG264" s="396"/>
      <c r="AH264" s="361"/>
      <c r="AI264" s="313"/>
      <c r="AJ264" s="330"/>
      <c r="AK264" s="374"/>
      <c r="AL264" s="374"/>
      <c r="AM264" s="374"/>
      <c r="AN264" s="296"/>
      <c r="AO264" s="296"/>
      <c r="AP264" s="296"/>
      <c r="AQ264" s="296"/>
      <c r="AR264" s="296"/>
      <c r="AS264" s="296"/>
      <c r="AT264" s="352"/>
      <c r="AU264" s="352"/>
    </row>
    <row r="265" spans="1:47" s="351" customFormat="1" x14ac:dyDescent="0.2">
      <c r="A265" s="423">
        <f t="shared" si="71"/>
        <v>260</v>
      </c>
      <c r="B265" s="721" t="s">
        <v>8316</v>
      </c>
      <c r="C265" s="771">
        <v>521801</v>
      </c>
      <c r="D265" s="771">
        <v>2201</v>
      </c>
      <c r="E265" s="771" t="s">
        <v>704</v>
      </c>
      <c r="F265" s="546">
        <v>2018</v>
      </c>
      <c r="G265" s="659">
        <v>43096</v>
      </c>
      <c r="H265" s="655"/>
      <c r="I265" s="655" t="s">
        <v>8608</v>
      </c>
      <c r="J265" s="712"/>
      <c r="K265" s="655" t="s">
        <v>1672</v>
      </c>
      <c r="L265" s="655" t="s">
        <v>8911</v>
      </c>
      <c r="M265" s="660">
        <v>185980.66</v>
      </c>
      <c r="N265" s="660">
        <v>0</v>
      </c>
      <c r="O265" s="660">
        <v>29756.9</v>
      </c>
      <c r="P265" s="660">
        <v>215737.56</v>
      </c>
      <c r="Q265" s="548"/>
      <c r="R265" s="660">
        <v>185625.31</v>
      </c>
      <c r="S265" s="549">
        <f t="shared" si="70"/>
        <v>30112.25</v>
      </c>
      <c r="T265" s="444" t="s">
        <v>283</v>
      </c>
      <c r="U265" s="267"/>
      <c r="V265" s="93"/>
      <c r="W265" s="267"/>
      <c r="X265" s="267"/>
      <c r="Y265" s="93"/>
      <c r="Z265" s="618"/>
      <c r="AA265" s="424"/>
      <c r="AB265" s="480"/>
      <c r="AC265" s="424"/>
      <c r="AD265" s="425"/>
      <c r="AE265" s="424"/>
      <c r="AF265" s="424"/>
      <c r="AG265" s="396"/>
      <c r="AH265" s="361"/>
      <c r="AI265" s="313"/>
      <c r="AJ265" s="374"/>
      <c r="AK265" s="374"/>
      <c r="AL265" s="374"/>
      <c r="AM265" s="374"/>
      <c r="AN265" s="296"/>
      <c r="AO265" s="296"/>
      <c r="AP265" s="296"/>
      <c r="AQ265" s="296"/>
      <c r="AR265" s="296"/>
      <c r="AS265" s="296"/>
      <c r="AT265" s="352"/>
      <c r="AU265" s="352"/>
    </row>
    <row r="266" spans="1:47" s="291" customFormat="1" x14ac:dyDescent="0.2">
      <c r="A266" s="423">
        <f t="shared" si="71"/>
        <v>261</v>
      </c>
      <c r="B266" s="721" t="s">
        <v>8317</v>
      </c>
      <c r="C266" s="771">
        <v>521802</v>
      </c>
      <c r="D266" s="771">
        <v>2202</v>
      </c>
      <c r="E266" s="771" t="s">
        <v>703</v>
      </c>
      <c r="F266" s="546">
        <v>2018</v>
      </c>
      <c r="G266" s="659">
        <v>43075</v>
      </c>
      <c r="H266" s="655"/>
      <c r="I266" s="655" t="s">
        <v>8609</v>
      </c>
      <c r="J266" s="712"/>
      <c r="K266" s="655" t="s">
        <v>99</v>
      </c>
      <c r="L266" s="655" t="s">
        <v>8912</v>
      </c>
      <c r="M266" s="660">
        <v>190092.47</v>
      </c>
      <c r="N266" s="660">
        <v>0</v>
      </c>
      <c r="O266" s="660">
        <v>30414.79</v>
      </c>
      <c r="P266" s="660">
        <v>220507.26</v>
      </c>
      <c r="Q266" s="548"/>
      <c r="R266" s="660">
        <v>189737.38</v>
      </c>
      <c r="S266" s="549">
        <f t="shared" si="70"/>
        <v>30769.880000000005</v>
      </c>
      <c r="T266" s="113" t="s">
        <v>283</v>
      </c>
      <c r="U266" s="267"/>
      <c r="V266" s="93"/>
      <c r="W266" s="267"/>
      <c r="X266" s="267"/>
      <c r="Y266" s="93"/>
      <c r="Z266" s="618"/>
      <c r="AA266" s="424"/>
      <c r="AB266" s="480"/>
      <c r="AC266" s="424"/>
      <c r="AD266" s="425"/>
      <c r="AE266" s="424"/>
      <c r="AF266" s="424"/>
      <c r="AG266" s="396"/>
      <c r="AH266" s="361"/>
      <c r="AI266" s="313"/>
      <c r="AJ266" s="374"/>
      <c r="AK266" s="374"/>
      <c r="AL266" s="374"/>
      <c r="AM266" s="374"/>
      <c r="AN266" s="296"/>
      <c r="AO266" s="296"/>
      <c r="AP266" s="296"/>
      <c r="AQ266" s="296"/>
      <c r="AR266" s="296"/>
      <c r="AS266" s="296"/>
      <c r="AT266" s="296"/>
      <c r="AU266" s="296"/>
    </row>
    <row r="267" spans="1:47" s="348" customFormat="1" x14ac:dyDescent="0.2">
      <c r="A267" s="423">
        <f t="shared" si="71"/>
        <v>262</v>
      </c>
      <c r="B267" s="721" t="s">
        <v>8325</v>
      </c>
      <c r="C267" s="771">
        <v>521802</v>
      </c>
      <c r="D267" s="771">
        <v>2202</v>
      </c>
      <c r="E267" s="771" t="s">
        <v>703</v>
      </c>
      <c r="F267" s="546">
        <v>2018</v>
      </c>
      <c r="G267" s="659">
        <v>43098</v>
      </c>
      <c r="H267" s="655"/>
      <c r="I267" s="655" t="s">
        <v>8614</v>
      </c>
      <c r="J267" s="712"/>
      <c r="K267" s="655" t="s">
        <v>2411</v>
      </c>
      <c r="L267" s="655" t="s">
        <v>8917</v>
      </c>
      <c r="M267" s="660">
        <v>190092.72</v>
      </c>
      <c r="N267" s="660">
        <v>0</v>
      </c>
      <c r="O267" s="660">
        <v>30414.84</v>
      </c>
      <c r="P267" s="660">
        <v>220507.56</v>
      </c>
      <c r="Q267" s="548"/>
      <c r="R267" s="660">
        <v>189737.38</v>
      </c>
      <c r="S267" s="549">
        <f t="shared" si="70"/>
        <v>30770.179999999993</v>
      </c>
      <c r="T267" s="113" t="s">
        <v>283</v>
      </c>
      <c r="U267" s="267"/>
      <c r="V267" s="93"/>
      <c r="W267" s="267"/>
      <c r="X267" s="267"/>
      <c r="Y267" s="93"/>
      <c r="Z267" s="618"/>
      <c r="AA267" s="424"/>
      <c r="AB267" s="646"/>
      <c r="AC267" s="424"/>
      <c r="AD267" s="425"/>
      <c r="AE267" s="424"/>
      <c r="AF267" s="424"/>
      <c r="AG267" s="396"/>
      <c r="AH267" s="361"/>
      <c r="AI267" s="313"/>
      <c r="AJ267" s="331"/>
      <c r="AK267" s="374"/>
      <c r="AL267" s="374"/>
      <c r="AM267" s="374"/>
      <c r="AN267" s="296"/>
      <c r="AO267" s="296"/>
      <c r="AP267" s="296"/>
      <c r="AQ267" s="296"/>
      <c r="AR267" s="296"/>
      <c r="AS267" s="296"/>
      <c r="AT267" s="353"/>
      <c r="AU267" s="353"/>
    </row>
    <row r="268" spans="1:47" s="351" customFormat="1" x14ac:dyDescent="0.2">
      <c r="A268" s="423">
        <f t="shared" si="71"/>
        <v>263</v>
      </c>
      <c r="B268" s="721" t="s">
        <v>8347</v>
      </c>
      <c r="C268" s="771">
        <v>520115</v>
      </c>
      <c r="D268" s="771">
        <v>2620</v>
      </c>
      <c r="E268" s="771" t="s">
        <v>5618</v>
      </c>
      <c r="F268" s="546">
        <v>2018</v>
      </c>
      <c r="G268" s="659">
        <v>43075</v>
      </c>
      <c r="H268" s="655"/>
      <c r="I268" s="655" t="s">
        <v>8624</v>
      </c>
      <c r="J268" s="712"/>
      <c r="K268" s="655" t="s">
        <v>1698</v>
      </c>
      <c r="L268" s="655" t="s">
        <v>8927</v>
      </c>
      <c r="M268" s="660">
        <v>322205.63</v>
      </c>
      <c r="N268" s="660">
        <v>0</v>
      </c>
      <c r="O268" s="660">
        <v>51552.9</v>
      </c>
      <c r="P268" s="660">
        <v>373758.53</v>
      </c>
      <c r="Q268" s="548"/>
      <c r="R268" s="660">
        <v>321850.53999999998</v>
      </c>
      <c r="S268" s="549">
        <f t="shared" si="70"/>
        <v>51907.990000000049</v>
      </c>
      <c r="T268" s="113" t="s">
        <v>283</v>
      </c>
      <c r="U268" s="267"/>
      <c r="V268" s="93"/>
      <c r="W268" s="267"/>
      <c r="X268" s="267"/>
      <c r="Y268" s="93"/>
      <c r="Z268" s="618"/>
      <c r="AA268" s="424"/>
      <c r="AB268" s="646"/>
      <c r="AC268" s="424"/>
      <c r="AD268" s="425"/>
      <c r="AE268" s="424"/>
      <c r="AF268" s="424"/>
      <c r="AG268" s="396"/>
      <c r="AH268" s="361"/>
      <c r="AI268" s="313"/>
      <c r="AJ268" s="374"/>
      <c r="AK268" s="374"/>
      <c r="AL268" s="374"/>
      <c r="AM268" s="374"/>
      <c r="AN268" s="296"/>
      <c r="AO268" s="296"/>
      <c r="AP268" s="296"/>
      <c r="AQ268" s="296"/>
      <c r="AR268" s="296"/>
      <c r="AS268" s="296"/>
      <c r="AT268" s="352"/>
      <c r="AU268" s="352"/>
    </row>
    <row r="269" spans="1:47" s="348" customFormat="1" x14ac:dyDescent="0.2">
      <c r="A269" s="423">
        <f t="shared" si="71"/>
        <v>264</v>
      </c>
      <c r="B269" s="721" t="s">
        <v>8348</v>
      </c>
      <c r="C269" s="771">
        <v>520115</v>
      </c>
      <c r="D269" s="771">
        <v>2620</v>
      </c>
      <c r="E269" s="771" t="s">
        <v>5618</v>
      </c>
      <c r="F269" s="546">
        <v>2018</v>
      </c>
      <c r="G269" s="659">
        <v>43082</v>
      </c>
      <c r="H269" s="655"/>
      <c r="I269" s="655" t="s">
        <v>8624</v>
      </c>
      <c r="J269" s="712"/>
      <c r="K269" s="655" t="s">
        <v>1698</v>
      </c>
      <c r="L269" s="655" t="s">
        <v>8927</v>
      </c>
      <c r="M269" s="660">
        <v>-322205.63</v>
      </c>
      <c r="N269" s="660">
        <v>0</v>
      </c>
      <c r="O269" s="660">
        <v>-51552.9</v>
      </c>
      <c r="P269" s="660">
        <v>-373758.53</v>
      </c>
      <c r="Q269" s="548"/>
      <c r="R269" s="660">
        <v>-321850.53999999998</v>
      </c>
      <c r="S269" s="549">
        <f t="shared" si="70"/>
        <v>-51907.990000000049</v>
      </c>
      <c r="T269" s="113" t="s">
        <v>283</v>
      </c>
      <c r="U269" s="267"/>
      <c r="V269" s="93"/>
      <c r="W269" s="267"/>
      <c r="X269" s="267"/>
      <c r="Y269" s="93"/>
      <c r="Z269" s="618"/>
      <c r="AA269" s="424"/>
      <c r="AB269" s="646"/>
      <c r="AC269" s="424"/>
      <c r="AD269" s="425"/>
      <c r="AE269" s="424"/>
      <c r="AF269" s="424"/>
      <c r="AG269" s="396"/>
      <c r="AH269" s="361"/>
      <c r="AI269" s="313"/>
      <c r="AJ269" s="330"/>
      <c r="AK269" s="374"/>
      <c r="AL269" s="374"/>
      <c r="AM269" s="374"/>
      <c r="AN269" s="296"/>
      <c r="AO269" s="296"/>
      <c r="AP269" s="296"/>
      <c r="AQ269" s="296"/>
      <c r="AR269" s="296"/>
      <c r="AS269" s="296"/>
      <c r="AT269" s="353"/>
      <c r="AU269" s="353"/>
    </row>
    <row r="270" spans="1:47" s="348" customFormat="1" x14ac:dyDescent="0.2">
      <c r="A270" s="423">
        <f t="shared" si="71"/>
        <v>265</v>
      </c>
      <c r="B270" s="721" t="s">
        <v>8349</v>
      </c>
      <c r="C270" s="771">
        <v>520115</v>
      </c>
      <c r="D270" s="771">
        <v>2620</v>
      </c>
      <c r="E270" s="771" t="s">
        <v>5618</v>
      </c>
      <c r="F270" s="546">
        <v>2018</v>
      </c>
      <c r="G270" s="659">
        <v>43082</v>
      </c>
      <c r="H270" s="655"/>
      <c r="I270" s="655" t="s">
        <v>8624</v>
      </c>
      <c r="J270" s="712"/>
      <c r="K270" s="655" t="s">
        <v>1698</v>
      </c>
      <c r="L270" s="655" t="s">
        <v>8927</v>
      </c>
      <c r="M270" s="660">
        <v>322205.63</v>
      </c>
      <c r="N270" s="660">
        <v>0</v>
      </c>
      <c r="O270" s="660">
        <v>51552.9</v>
      </c>
      <c r="P270" s="660">
        <v>373758.53</v>
      </c>
      <c r="Q270" s="548"/>
      <c r="R270" s="660">
        <v>321850.53999999998</v>
      </c>
      <c r="S270" s="549">
        <f t="shared" si="70"/>
        <v>51907.990000000049</v>
      </c>
      <c r="T270" s="113" t="s">
        <v>283</v>
      </c>
      <c r="U270" s="267"/>
      <c r="V270" s="93"/>
      <c r="W270" s="267"/>
      <c r="X270" s="267"/>
      <c r="Y270" s="93"/>
      <c r="Z270" s="618"/>
      <c r="AA270" s="424"/>
      <c r="AB270" s="646"/>
      <c r="AC270" s="424"/>
      <c r="AD270" s="425"/>
      <c r="AE270" s="424"/>
      <c r="AF270" s="424"/>
      <c r="AG270" s="396"/>
      <c r="AH270" s="361"/>
      <c r="AI270" s="313"/>
      <c r="AJ270" s="374"/>
      <c r="AK270" s="374"/>
      <c r="AL270" s="374"/>
      <c r="AM270" s="374"/>
      <c r="AN270" s="296"/>
      <c r="AO270" s="296"/>
      <c r="AP270" s="296"/>
      <c r="AQ270" s="296"/>
      <c r="AR270" s="296"/>
      <c r="AS270" s="296"/>
      <c r="AT270" s="353"/>
      <c r="AU270" s="353"/>
    </row>
    <row r="271" spans="1:47" s="351" customFormat="1" x14ac:dyDescent="0.2">
      <c r="A271" s="423">
        <f t="shared" si="71"/>
        <v>266</v>
      </c>
      <c r="B271" s="721" t="s">
        <v>8350</v>
      </c>
      <c r="C271" s="771">
        <v>520111</v>
      </c>
      <c r="D271" s="771">
        <v>2620</v>
      </c>
      <c r="E271" s="771" t="s">
        <v>5618</v>
      </c>
      <c r="F271" s="546">
        <v>2018</v>
      </c>
      <c r="G271" s="659">
        <v>43087</v>
      </c>
      <c r="H271" s="655"/>
      <c r="I271" s="655" t="s">
        <v>8625</v>
      </c>
      <c r="J271" s="712"/>
      <c r="K271" s="655" t="s">
        <v>392</v>
      </c>
      <c r="L271" s="655" t="s">
        <v>8928</v>
      </c>
      <c r="M271" s="660">
        <v>321988.65999999997</v>
      </c>
      <c r="N271" s="660">
        <v>0</v>
      </c>
      <c r="O271" s="660">
        <v>51518.19</v>
      </c>
      <c r="P271" s="660">
        <v>373506.85</v>
      </c>
      <c r="Q271" s="548"/>
      <c r="R271" s="660">
        <v>321987.8</v>
      </c>
      <c r="S271" s="549">
        <f t="shared" si="70"/>
        <v>51519.049999999988</v>
      </c>
      <c r="T271" s="113" t="s">
        <v>283</v>
      </c>
      <c r="U271" s="267"/>
      <c r="V271" s="93"/>
      <c r="W271" s="267"/>
      <c r="X271" s="267"/>
      <c r="Y271" s="93"/>
      <c r="Z271" s="618"/>
      <c r="AA271" s="424"/>
      <c r="AB271" s="646"/>
      <c r="AC271" s="424"/>
      <c r="AD271" s="425"/>
      <c r="AE271" s="424"/>
      <c r="AF271" s="424"/>
      <c r="AG271" s="396"/>
      <c r="AH271" s="361"/>
      <c r="AI271" s="313"/>
      <c r="AJ271" s="331"/>
      <c r="AK271" s="374"/>
      <c r="AL271" s="374"/>
      <c r="AM271" s="374"/>
      <c r="AN271" s="296"/>
      <c r="AO271" s="296"/>
      <c r="AP271" s="296"/>
      <c r="AQ271" s="296"/>
      <c r="AR271" s="296"/>
      <c r="AS271" s="296"/>
      <c r="AT271" s="352"/>
      <c r="AU271" s="352"/>
    </row>
    <row r="272" spans="1:47" s="351" customFormat="1" x14ac:dyDescent="0.2">
      <c r="A272" s="423">
        <f t="shared" si="71"/>
        <v>267</v>
      </c>
      <c r="B272" s="721" t="s">
        <v>8351</v>
      </c>
      <c r="C272" s="771">
        <v>520115</v>
      </c>
      <c r="D272" s="771">
        <v>2620</v>
      </c>
      <c r="E272" s="771" t="s">
        <v>5618</v>
      </c>
      <c r="F272" s="546">
        <v>2018</v>
      </c>
      <c r="G272" s="659">
        <v>43091</v>
      </c>
      <c r="H272" s="655"/>
      <c r="I272" s="655" t="s">
        <v>8626</v>
      </c>
      <c r="J272" s="712"/>
      <c r="K272" s="655" t="s">
        <v>1670</v>
      </c>
      <c r="L272" s="655" t="s">
        <v>8929</v>
      </c>
      <c r="M272" s="660">
        <v>322205.89</v>
      </c>
      <c r="N272" s="660">
        <v>0</v>
      </c>
      <c r="O272" s="660">
        <v>51552.94</v>
      </c>
      <c r="P272" s="660">
        <v>373758.83</v>
      </c>
      <c r="Q272" s="548"/>
      <c r="R272" s="660">
        <v>321850.53999999998</v>
      </c>
      <c r="S272" s="549">
        <f t="shared" si="70"/>
        <v>51908.290000000037</v>
      </c>
      <c r="T272" s="113" t="s">
        <v>283</v>
      </c>
      <c r="U272" s="267"/>
      <c r="V272" s="93"/>
      <c r="W272" s="267"/>
      <c r="X272" s="267"/>
      <c r="Y272" s="93"/>
      <c r="Z272" s="618"/>
      <c r="AA272" s="424"/>
      <c r="AB272" s="646"/>
      <c r="AC272" s="424"/>
      <c r="AD272" s="425"/>
      <c r="AE272" s="424"/>
      <c r="AF272" s="424"/>
      <c r="AG272" s="396"/>
      <c r="AH272" s="361"/>
      <c r="AI272" s="313"/>
      <c r="AJ272" s="331"/>
      <c r="AK272" s="374"/>
      <c r="AL272" s="374"/>
      <c r="AM272" s="374"/>
      <c r="AN272" s="296"/>
      <c r="AO272" s="296"/>
      <c r="AP272" s="296"/>
      <c r="AQ272" s="296"/>
      <c r="AR272" s="296"/>
      <c r="AS272" s="296"/>
      <c r="AT272" s="352"/>
      <c r="AU272" s="352"/>
    </row>
    <row r="273" spans="1:47" s="351" customFormat="1" x14ac:dyDescent="0.2">
      <c r="A273" s="423">
        <f t="shared" si="71"/>
        <v>268</v>
      </c>
      <c r="B273" s="721" t="s">
        <v>8352</v>
      </c>
      <c r="C273" s="771">
        <v>520115</v>
      </c>
      <c r="D273" s="771">
        <v>2620</v>
      </c>
      <c r="E273" s="771" t="s">
        <v>5618</v>
      </c>
      <c r="F273" s="546">
        <v>2018</v>
      </c>
      <c r="G273" s="659">
        <v>43098</v>
      </c>
      <c r="H273" s="655"/>
      <c r="I273" s="655" t="s">
        <v>8627</v>
      </c>
      <c r="J273" s="712"/>
      <c r="K273" s="655" t="s">
        <v>1754</v>
      </c>
      <c r="L273" s="655" t="s">
        <v>8930</v>
      </c>
      <c r="M273" s="660">
        <v>322205.89</v>
      </c>
      <c r="N273" s="660">
        <v>0</v>
      </c>
      <c r="O273" s="660">
        <v>51552.94</v>
      </c>
      <c r="P273" s="660">
        <v>373758.83</v>
      </c>
      <c r="Q273" s="548"/>
      <c r="R273" s="660">
        <v>321850.53999999998</v>
      </c>
      <c r="S273" s="549">
        <f t="shared" si="70"/>
        <v>51908.290000000037</v>
      </c>
      <c r="T273" s="113" t="s">
        <v>283</v>
      </c>
      <c r="U273" s="267"/>
      <c r="V273" s="93"/>
      <c r="W273" s="267"/>
      <c r="X273" s="267"/>
      <c r="Y273" s="93"/>
      <c r="Z273" s="618"/>
      <c r="AA273" s="424"/>
      <c r="AB273" s="803"/>
      <c r="AC273" s="424"/>
      <c r="AD273" s="425"/>
      <c r="AE273" s="424"/>
      <c r="AF273" s="424"/>
      <c r="AG273" s="396"/>
      <c r="AI273" s="313"/>
      <c r="AJ273" s="331"/>
      <c r="AK273" s="374"/>
      <c r="AL273" s="374"/>
      <c r="AM273" s="374"/>
      <c r="AN273" s="296"/>
      <c r="AO273" s="296"/>
      <c r="AP273" s="296"/>
      <c r="AQ273" s="296"/>
      <c r="AR273" s="296"/>
      <c r="AS273" s="296"/>
      <c r="AT273" s="352"/>
      <c r="AU273" s="352"/>
    </row>
    <row r="274" spans="1:47" s="291" customFormat="1" x14ac:dyDescent="0.2">
      <c r="A274" s="423">
        <f t="shared" si="71"/>
        <v>269</v>
      </c>
      <c r="B274" s="721" t="s">
        <v>8360</v>
      </c>
      <c r="C274" s="771">
        <v>520815</v>
      </c>
      <c r="D274" s="771">
        <v>4492</v>
      </c>
      <c r="E274" s="771" t="s">
        <v>694</v>
      </c>
      <c r="F274" s="546">
        <v>2018</v>
      </c>
      <c r="G274" s="659">
        <v>43090</v>
      </c>
      <c r="H274" s="655"/>
      <c r="I274" s="655" t="s">
        <v>8630</v>
      </c>
      <c r="J274" s="712"/>
      <c r="K274" s="655" t="s">
        <v>1155</v>
      </c>
      <c r="L274" s="655" t="s">
        <v>8933</v>
      </c>
      <c r="M274" s="660">
        <v>315880.53000000003</v>
      </c>
      <c r="N274" s="660">
        <v>0</v>
      </c>
      <c r="O274" s="660">
        <v>50540.89</v>
      </c>
      <c r="P274" s="660">
        <v>366421.42</v>
      </c>
      <c r="Q274" s="548"/>
      <c r="R274" s="660">
        <v>315525.19</v>
      </c>
      <c r="S274" s="549">
        <f t="shared" si="70"/>
        <v>50896.229999999981</v>
      </c>
      <c r="T274" s="113" t="s">
        <v>283</v>
      </c>
      <c r="U274" s="267"/>
      <c r="V274" s="93"/>
      <c r="W274" s="267"/>
      <c r="X274" s="267"/>
      <c r="Y274" s="93"/>
      <c r="Z274" s="618"/>
      <c r="AA274" s="424"/>
      <c r="AB274" s="803"/>
      <c r="AC274" s="424"/>
      <c r="AD274" s="425"/>
      <c r="AE274" s="424"/>
      <c r="AF274" s="424"/>
      <c r="AG274" s="396"/>
      <c r="AI274" s="313"/>
      <c r="AJ274" s="374"/>
      <c r="AK274" s="374"/>
      <c r="AL274" s="374"/>
      <c r="AM274" s="374"/>
      <c r="AN274" s="296"/>
      <c r="AO274" s="296"/>
      <c r="AP274" s="296"/>
      <c r="AQ274" s="296"/>
      <c r="AR274" s="296"/>
      <c r="AS274" s="296"/>
      <c r="AT274" s="296"/>
      <c r="AU274" s="296"/>
    </row>
    <row r="275" spans="1:47" s="291" customFormat="1" x14ac:dyDescent="0.2">
      <c r="A275" s="423">
        <f t="shared" si="71"/>
        <v>270</v>
      </c>
      <c r="B275" s="721" t="s">
        <v>8368</v>
      </c>
      <c r="C275" s="771">
        <v>520818</v>
      </c>
      <c r="D275" s="771">
        <v>4495</v>
      </c>
      <c r="E275" s="771" t="s">
        <v>1519</v>
      </c>
      <c r="F275" s="546">
        <v>2018</v>
      </c>
      <c r="G275" s="659">
        <v>43098</v>
      </c>
      <c r="H275" s="655"/>
      <c r="I275" s="655" t="s">
        <v>8635</v>
      </c>
      <c r="J275" s="655"/>
      <c r="K275" s="655" t="s">
        <v>1710</v>
      </c>
      <c r="L275" s="655" t="s">
        <v>8938</v>
      </c>
      <c r="M275" s="660">
        <v>371380.53</v>
      </c>
      <c r="N275" s="660">
        <v>0</v>
      </c>
      <c r="O275" s="660">
        <v>59420.89</v>
      </c>
      <c r="P275" s="660">
        <v>430801.42</v>
      </c>
      <c r="Q275" s="548"/>
      <c r="R275" s="660">
        <v>371025.19</v>
      </c>
      <c r="S275" s="549">
        <f t="shared" si="70"/>
        <v>59776.229999999981</v>
      </c>
      <c r="T275" s="113" t="s">
        <v>283</v>
      </c>
      <c r="U275" s="267"/>
      <c r="V275" s="93"/>
      <c r="W275" s="267"/>
      <c r="X275" s="267"/>
      <c r="Y275" s="93"/>
      <c r="Z275" s="618"/>
      <c r="AA275" s="424"/>
      <c r="AB275" s="803"/>
      <c r="AC275" s="424"/>
      <c r="AD275" s="425"/>
      <c r="AE275" s="424"/>
      <c r="AF275" s="424"/>
      <c r="AG275" s="396"/>
      <c r="AI275" s="313"/>
      <c r="AK275" s="296"/>
      <c r="AL275" s="374"/>
      <c r="AM275" s="374"/>
    </row>
    <row r="276" spans="1:47" s="291" customFormat="1" x14ac:dyDescent="0.2">
      <c r="A276" s="423">
        <f t="shared" si="71"/>
        <v>271</v>
      </c>
      <c r="B276" s="721" t="s">
        <v>8369</v>
      </c>
      <c r="C276" s="771">
        <v>520819</v>
      </c>
      <c r="D276" s="771">
        <v>4498</v>
      </c>
      <c r="E276" s="771" t="s">
        <v>696</v>
      </c>
      <c r="F276" s="546">
        <v>2017</v>
      </c>
      <c r="G276" s="659">
        <v>43076</v>
      </c>
      <c r="H276" s="655"/>
      <c r="I276" s="655" t="s">
        <v>7665</v>
      </c>
      <c r="J276" s="655"/>
      <c r="K276" s="655" t="s">
        <v>1164</v>
      </c>
      <c r="L276" s="655" t="s">
        <v>7473</v>
      </c>
      <c r="M276" s="660">
        <v>-250275.37</v>
      </c>
      <c r="N276" s="660">
        <v>0</v>
      </c>
      <c r="O276" s="660">
        <v>-40044.06</v>
      </c>
      <c r="P276" s="660">
        <v>-290319.43</v>
      </c>
      <c r="Q276" s="548"/>
      <c r="R276" s="660">
        <v>-336126.92</v>
      </c>
      <c r="S276" s="549">
        <f t="shared" si="70"/>
        <v>45807.489999999991</v>
      </c>
      <c r="T276" s="113" t="s">
        <v>283</v>
      </c>
      <c r="U276" s="374"/>
      <c r="V276" s="374"/>
      <c r="W276" s="374"/>
      <c r="X276" s="374"/>
      <c r="Y276" s="374"/>
      <c r="Z276" s="374"/>
      <c r="AA276" s="374"/>
      <c r="AB276" s="804"/>
      <c r="AC276" s="374"/>
      <c r="AD276" s="374"/>
      <c r="AE276" s="374"/>
      <c r="AF276" s="374"/>
      <c r="AG276" s="374"/>
      <c r="AI276" s="313"/>
      <c r="AK276" s="296"/>
      <c r="AL276" s="374"/>
      <c r="AM276" s="374"/>
    </row>
    <row r="277" spans="1:47" s="291" customFormat="1" x14ac:dyDescent="0.2">
      <c r="A277" s="423">
        <f t="shared" si="71"/>
        <v>272</v>
      </c>
      <c r="B277" s="721" t="s">
        <v>8370</v>
      </c>
      <c r="C277" s="771">
        <v>520819</v>
      </c>
      <c r="D277" s="771">
        <v>4498</v>
      </c>
      <c r="E277" s="771" t="s">
        <v>696</v>
      </c>
      <c r="F277" s="546">
        <v>2017</v>
      </c>
      <c r="G277" s="659">
        <v>43076</v>
      </c>
      <c r="H277" s="655"/>
      <c r="I277" s="655" t="s">
        <v>7665</v>
      </c>
      <c r="J277" s="712"/>
      <c r="K277" s="655" t="s">
        <v>1164</v>
      </c>
      <c r="L277" s="655" t="s">
        <v>7473</v>
      </c>
      <c r="M277" s="660">
        <v>336482.27</v>
      </c>
      <c r="N277" s="660">
        <v>0</v>
      </c>
      <c r="O277" s="660">
        <v>53837.16</v>
      </c>
      <c r="P277" s="660">
        <v>390319.43</v>
      </c>
      <c r="Q277" s="548"/>
      <c r="R277" s="660">
        <v>336126.92</v>
      </c>
      <c r="S277" s="549">
        <f t="shared" si="70"/>
        <v>54192.510000000009</v>
      </c>
      <c r="T277" s="113" t="s">
        <v>283</v>
      </c>
      <c r="U277" s="374"/>
      <c r="V277" s="374"/>
      <c r="W277" s="374"/>
      <c r="X277" s="374"/>
      <c r="Y277" s="374"/>
      <c r="Z277" s="374"/>
      <c r="AA277" s="374"/>
      <c r="AB277" s="804"/>
      <c r="AC277" s="374"/>
      <c r="AD277" s="374"/>
      <c r="AE277" s="374"/>
      <c r="AF277" s="374"/>
      <c r="AG277" s="374"/>
      <c r="AI277" s="313"/>
      <c r="AJ277" s="374"/>
      <c r="AK277" s="374"/>
      <c r="AL277" s="374"/>
      <c r="AM277" s="374"/>
    </row>
    <row r="278" spans="1:47" s="348" customFormat="1" x14ac:dyDescent="0.2">
      <c r="A278" s="423">
        <f t="shared" si="71"/>
        <v>273</v>
      </c>
      <c r="B278" s="721" t="s">
        <v>8379</v>
      </c>
      <c r="C278" s="771">
        <v>520504</v>
      </c>
      <c r="D278" s="771">
        <v>5396</v>
      </c>
      <c r="E278" s="771" t="s">
        <v>132</v>
      </c>
      <c r="F278" s="546">
        <v>2017</v>
      </c>
      <c r="G278" s="659">
        <v>43090</v>
      </c>
      <c r="H278" s="655"/>
      <c r="I278" s="655" t="s">
        <v>8640</v>
      </c>
      <c r="J278" s="712"/>
      <c r="K278" s="655" t="s">
        <v>1146</v>
      </c>
      <c r="L278" s="655" t="s">
        <v>8943</v>
      </c>
      <c r="M278" s="660">
        <v>426603.53</v>
      </c>
      <c r="N278" s="660">
        <v>0</v>
      </c>
      <c r="O278" s="660">
        <v>68256.570000000007</v>
      </c>
      <c r="P278" s="660">
        <v>494860.1</v>
      </c>
      <c r="Q278" s="548"/>
      <c r="R278" s="660">
        <v>426248.19</v>
      </c>
      <c r="S278" s="549">
        <f t="shared" si="70"/>
        <v>68611.909999999974</v>
      </c>
      <c r="T278" s="113" t="s">
        <v>283</v>
      </c>
      <c r="U278" s="330"/>
      <c r="V278" s="330"/>
      <c r="W278" s="330"/>
      <c r="X278" s="330"/>
      <c r="Y278" s="330"/>
      <c r="Z278" s="330"/>
      <c r="AA278" s="330"/>
      <c r="AB278" s="804"/>
      <c r="AC278" s="330"/>
      <c r="AD278" s="330"/>
      <c r="AE278" s="330"/>
      <c r="AF278" s="330"/>
      <c r="AG278" s="330"/>
      <c r="AI278" s="363"/>
      <c r="AJ278" s="330"/>
      <c r="AK278" s="330"/>
      <c r="AL278" s="330"/>
      <c r="AM278" s="330"/>
    </row>
    <row r="279" spans="1:47" s="351" customFormat="1" x14ac:dyDescent="0.2">
      <c r="A279" s="423">
        <f t="shared" si="71"/>
        <v>274</v>
      </c>
      <c r="B279" s="721" t="s">
        <v>8386</v>
      </c>
      <c r="C279" s="771">
        <v>520518</v>
      </c>
      <c r="D279" s="771">
        <v>5398</v>
      </c>
      <c r="E279" s="771" t="s">
        <v>117</v>
      </c>
      <c r="F279" s="546">
        <v>2018</v>
      </c>
      <c r="G279" s="659">
        <v>43098</v>
      </c>
      <c r="H279" s="655"/>
      <c r="I279" s="655" t="s">
        <v>8643</v>
      </c>
      <c r="J279" s="712"/>
      <c r="K279" s="655" t="s">
        <v>62</v>
      </c>
      <c r="L279" s="655" t="s">
        <v>8946</v>
      </c>
      <c r="M279" s="660">
        <v>473741.76</v>
      </c>
      <c r="N279" s="660">
        <v>0</v>
      </c>
      <c r="O279" s="660">
        <v>75798.679999999993</v>
      </c>
      <c r="P279" s="660">
        <v>549540.43999999994</v>
      </c>
      <c r="Q279" s="548"/>
      <c r="R279" s="660">
        <v>473386.41</v>
      </c>
      <c r="S279" s="549">
        <f t="shared" si="70"/>
        <v>76154.02999999997</v>
      </c>
      <c r="T279" s="113" t="s">
        <v>283</v>
      </c>
      <c r="U279" s="331"/>
      <c r="V279" s="331"/>
      <c r="W279" s="331"/>
      <c r="X279" s="331"/>
      <c r="Y279" s="331"/>
      <c r="Z279" s="331"/>
      <c r="AA279" s="331"/>
      <c r="AB279" s="804"/>
      <c r="AC279" s="331"/>
      <c r="AD279" s="331"/>
      <c r="AE279" s="331"/>
      <c r="AF279" s="331"/>
      <c r="AG279" s="331"/>
      <c r="AI279" s="313"/>
      <c r="AJ279" s="374"/>
      <c r="AK279" s="374"/>
      <c r="AL279" s="374"/>
      <c r="AM279" s="374"/>
      <c r="AN279" s="291"/>
      <c r="AO279" s="291"/>
      <c r="AP279" s="291"/>
      <c r="AQ279" s="291"/>
      <c r="AR279" s="291"/>
      <c r="AS279" s="291"/>
    </row>
    <row r="280" spans="1:47" s="348" customFormat="1" x14ac:dyDescent="0.2">
      <c r="A280" s="423">
        <f t="shared" si="71"/>
        <v>275</v>
      </c>
      <c r="B280" s="721" t="s">
        <v>8388</v>
      </c>
      <c r="C280" s="771">
        <v>1520204</v>
      </c>
      <c r="D280" s="771">
        <v>5603</v>
      </c>
      <c r="E280" s="771" t="s">
        <v>713</v>
      </c>
      <c r="F280" s="546">
        <v>2018</v>
      </c>
      <c r="G280" s="659">
        <v>43074</v>
      </c>
      <c r="H280" s="655"/>
      <c r="I280" s="655" t="s">
        <v>8645</v>
      </c>
      <c r="J280" s="712"/>
      <c r="K280" s="655" t="s">
        <v>1189</v>
      </c>
      <c r="L280" s="655" t="s">
        <v>8948</v>
      </c>
      <c r="M280" s="660">
        <v>289651.93</v>
      </c>
      <c r="N280" s="660">
        <v>0</v>
      </c>
      <c r="O280" s="660">
        <v>46344.31</v>
      </c>
      <c r="P280" s="660">
        <v>335996.24</v>
      </c>
      <c r="Q280" s="548"/>
      <c r="R280" s="660">
        <v>289296.59000000003</v>
      </c>
      <c r="S280" s="549">
        <f t="shared" si="70"/>
        <v>46699.649999999965</v>
      </c>
      <c r="T280" s="113" t="s">
        <v>283</v>
      </c>
      <c r="U280" s="330"/>
      <c r="V280" s="330"/>
      <c r="W280" s="330"/>
      <c r="X280" s="330"/>
      <c r="Y280" s="330"/>
      <c r="Z280" s="330"/>
      <c r="AA280" s="330"/>
      <c r="AB280" s="804"/>
      <c r="AC280" s="330"/>
      <c r="AD280" s="330"/>
      <c r="AE280" s="330"/>
      <c r="AF280" s="330"/>
      <c r="AG280" s="330"/>
      <c r="AI280" s="313"/>
      <c r="AJ280" s="331"/>
      <c r="AK280" s="330"/>
      <c r="AL280" s="330"/>
      <c r="AM280" s="330"/>
    </row>
    <row r="281" spans="1:47" s="291" customFormat="1" x14ac:dyDescent="0.2">
      <c r="A281" s="423">
        <f t="shared" si="71"/>
        <v>276</v>
      </c>
      <c r="B281" s="721" t="s">
        <v>8393</v>
      </c>
      <c r="C281" s="771">
        <v>1520204</v>
      </c>
      <c r="D281" s="771">
        <v>5603</v>
      </c>
      <c r="E281" s="771" t="s">
        <v>713</v>
      </c>
      <c r="F281" s="546">
        <v>2018</v>
      </c>
      <c r="G281" s="659">
        <v>43082</v>
      </c>
      <c r="H281" s="655"/>
      <c r="I281" s="655" t="s">
        <v>8648</v>
      </c>
      <c r="J281" s="712"/>
      <c r="K281" s="655" t="s">
        <v>1189</v>
      </c>
      <c r="L281" s="655" t="s">
        <v>8951</v>
      </c>
      <c r="M281" s="660">
        <v>289651.93</v>
      </c>
      <c r="N281" s="660">
        <v>0</v>
      </c>
      <c r="O281" s="660">
        <v>46344.31</v>
      </c>
      <c r="P281" s="660">
        <v>335996.24</v>
      </c>
      <c r="Q281" s="548"/>
      <c r="R281" s="660">
        <v>289296.59000000003</v>
      </c>
      <c r="S281" s="549">
        <f t="shared" si="70"/>
        <v>46699.649999999965</v>
      </c>
      <c r="T281" s="113" t="s">
        <v>283</v>
      </c>
      <c r="U281" s="267"/>
      <c r="V281" s="93"/>
      <c r="W281" s="267"/>
      <c r="X281" s="267"/>
      <c r="Y281" s="93"/>
      <c r="Z281" s="618"/>
      <c r="AA281" s="424"/>
      <c r="AB281" s="803"/>
      <c r="AC281" s="424"/>
      <c r="AD281" s="425"/>
      <c r="AE281" s="424"/>
      <c r="AF281" s="424"/>
      <c r="AG281" s="396"/>
      <c r="AI281" s="313"/>
      <c r="AJ281" s="331"/>
      <c r="AK281" s="374"/>
      <c r="AL281" s="374"/>
      <c r="AM281" s="374"/>
    </row>
    <row r="282" spans="1:47" s="351" customFormat="1" x14ac:dyDescent="0.2">
      <c r="A282" s="423">
        <f t="shared" si="71"/>
        <v>277</v>
      </c>
      <c r="B282" s="721" t="s">
        <v>8398</v>
      </c>
      <c r="C282" s="771">
        <v>521502</v>
      </c>
      <c r="D282" s="771">
        <v>5611</v>
      </c>
      <c r="E282" s="771" t="s">
        <v>225</v>
      </c>
      <c r="F282" s="546">
        <v>2018</v>
      </c>
      <c r="G282" s="659">
        <v>43083</v>
      </c>
      <c r="H282" s="655"/>
      <c r="I282" s="655" t="s">
        <v>8651</v>
      </c>
      <c r="J282" s="712"/>
      <c r="K282" s="655" t="s">
        <v>8144</v>
      </c>
      <c r="L282" s="655" t="s">
        <v>8954</v>
      </c>
      <c r="M282" s="660">
        <v>349548.76</v>
      </c>
      <c r="N282" s="660">
        <v>0</v>
      </c>
      <c r="O282" s="660">
        <v>55927.8</v>
      </c>
      <c r="P282" s="660">
        <v>405476.56</v>
      </c>
      <c r="Q282" s="548"/>
      <c r="R282" s="660">
        <v>349547.9</v>
      </c>
      <c r="S282" s="549">
        <f t="shared" si="70"/>
        <v>55928.659999999974</v>
      </c>
      <c r="T282" s="113" t="s">
        <v>283</v>
      </c>
      <c r="U282" s="267"/>
      <c r="V282" s="93"/>
      <c r="W282" s="267"/>
      <c r="X282" s="267"/>
      <c r="Y282" s="93"/>
      <c r="Z282" s="618"/>
      <c r="AA282" s="424"/>
      <c r="AB282" s="803"/>
      <c r="AC282" s="424"/>
      <c r="AD282" s="425"/>
      <c r="AE282" s="424"/>
      <c r="AF282" s="424"/>
      <c r="AG282" s="396"/>
      <c r="AI282" s="313"/>
      <c r="AJ282" s="330"/>
      <c r="AK282" s="374"/>
      <c r="AL282" s="374"/>
      <c r="AM282" s="374"/>
      <c r="AN282" s="291"/>
      <c r="AO282" s="291"/>
      <c r="AP282" s="291"/>
      <c r="AQ282" s="291"/>
      <c r="AR282" s="291"/>
      <c r="AS282" s="291"/>
    </row>
    <row r="283" spans="1:47" s="348" customFormat="1" x14ac:dyDescent="0.2">
      <c r="A283" s="423">
        <f t="shared" si="71"/>
        <v>278</v>
      </c>
      <c r="B283" s="721" t="s">
        <v>8423</v>
      </c>
      <c r="C283" s="771">
        <v>521909</v>
      </c>
      <c r="D283" s="771">
        <v>6987</v>
      </c>
      <c r="E283" s="771" t="s">
        <v>708</v>
      </c>
      <c r="F283" s="546">
        <v>2018</v>
      </c>
      <c r="G283" s="659">
        <v>43098</v>
      </c>
      <c r="H283" s="655"/>
      <c r="I283" s="655" t="s">
        <v>8663</v>
      </c>
      <c r="J283" s="712"/>
      <c r="K283" s="655" t="s">
        <v>1754</v>
      </c>
      <c r="L283" s="655" t="s">
        <v>8966</v>
      </c>
      <c r="M283" s="660">
        <v>501687.53</v>
      </c>
      <c r="N283" s="660">
        <v>0</v>
      </c>
      <c r="O283" s="660">
        <v>80270</v>
      </c>
      <c r="P283" s="660">
        <v>581957.53</v>
      </c>
      <c r="Q283" s="548"/>
      <c r="R283" s="660">
        <v>501332.18</v>
      </c>
      <c r="S283" s="549">
        <f t="shared" si="70"/>
        <v>80625.350000000035</v>
      </c>
      <c r="T283" s="113" t="s">
        <v>283</v>
      </c>
      <c r="U283" s="267"/>
      <c r="V283" s="93"/>
      <c r="W283" s="267"/>
      <c r="X283" s="267"/>
      <c r="Y283" s="93"/>
      <c r="Z283" s="618"/>
      <c r="AA283" s="424"/>
      <c r="AB283" s="803"/>
      <c r="AC283" s="424"/>
      <c r="AD283" s="425"/>
      <c r="AE283" s="424"/>
      <c r="AF283" s="424"/>
      <c r="AG283" s="396"/>
      <c r="AI283" s="313"/>
      <c r="AJ283" s="374"/>
      <c r="AK283" s="330"/>
      <c r="AL283" s="330"/>
      <c r="AM283" s="330"/>
    </row>
    <row r="284" spans="1:47" s="291" customFormat="1" x14ac:dyDescent="0.2">
      <c r="A284" s="423">
        <f t="shared" si="71"/>
        <v>279</v>
      </c>
      <c r="B284" s="721" t="s">
        <v>8424</v>
      </c>
      <c r="C284" s="771">
        <v>521909</v>
      </c>
      <c r="D284" s="771">
        <v>6987</v>
      </c>
      <c r="E284" s="771" t="s">
        <v>708</v>
      </c>
      <c r="F284" s="546">
        <v>2018</v>
      </c>
      <c r="G284" s="659">
        <v>43099</v>
      </c>
      <c r="H284" s="655"/>
      <c r="I284" s="655" t="s">
        <v>8663</v>
      </c>
      <c r="J284" s="712"/>
      <c r="K284" s="655" t="s">
        <v>1754</v>
      </c>
      <c r="L284" s="655" t="s">
        <v>8966</v>
      </c>
      <c r="M284" s="660">
        <v>-501687.53</v>
      </c>
      <c r="N284" s="660">
        <v>0</v>
      </c>
      <c r="O284" s="660">
        <v>-80270</v>
      </c>
      <c r="P284" s="660">
        <v>-581957.53</v>
      </c>
      <c r="Q284" s="548"/>
      <c r="R284" s="660">
        <v>-501332.18</v>
      </c>
      <c r="S284" s="549">
        <f t="shared" si="70"/>
        <v>-80625.350000000035</v>
      </c>
      <c r="T284" s="113" t="s">
        <v>283</v>
      </c>
      <c r="U284" s="267"/>
      <c r="V284" s="93"/>
      <c r="W284" s="267"/>
      <c r="X284" s="267"/>
      <c r="Y284" s="93"/>
      <c r="Z284" s="618"/>
      <c r="AA284" s="424"/>
      <c r="AB284" s="803"/>
      <c r="AC284" s="424"/>
      <c r="AD284" s="425"/>
      <c r="AE284" s="424"/>
      <c r="AF284" s="424"/>
      <c r="AG284" s="396"/>
      <c r="AI284" s="313"/>
      <c r="AJ284" s="331"/>
      <c r="AK284" s="374"/>
      <c r="AL284" s="374"/>
      <c r="AM284" s="374"/>
    </row>
    <row r="285" spans="1:47" s="291" customFormat="1" x14ac:dyDescent="0.2">
      <c r="A285" s="423">
        <f t="shared" si="71"/>
        <v>280</v>
      </c>
      <c r="B285" s="721" t="s">
        <v>8425</v>
      </c>
      <c r="C285" s="771">
        <v>521909</v>
      </c>
      <c r="D285" s="771">
        <v>6987</v>
      </c>
      <c r="E285" s="771" t="s">
        <v>708</v>
      </c>
      <c r="F285" s="546">
        <v>2018</v>
      </c>
      <c r="G285" s="659">
        <v>43099</v>
      </c>
      <c r="H285" s="655"/>
      <c r="I285" s="655" t="s">
        <v>8663</v>
      </c>
      <c r="J285" s="712"/>
      <c r="K285" s="655" t="s">
        <v>1754</v>
      </c>
      <c r="L285" s="655" t="s">
        <v>8966</v>
      </c>
      <c r="M285" s="660">
        <v>501687.53</v>
      </c>
      <c r="N285" s="660">
        <v>0</v>
      </c>
      <c r="O285" s="660">
        <v>80270</v>
      </c>
      <c r="P285" s="660">
        <v>581957.53</v>
      </c>
      <c r="Q285" s="548"/>
      <c r="R285" s="660">
        <v>501332.18</v>
      </c>
      <c r="S285" s="549">
        <f t="shared" si="70"/>
        <v>80625.350000000035</v>
      </c>
      <c r="T285" s="113" t="s">
        <v>283</v>
      </c>
      <c r="U285" s="267"/>
      <c r="V285" s="93"/>
      <c r="W285" s="267"/>
      <c r="X285" s="267"/>
      <c r="Y285" s="93"/>
      <c r="Z285" s="618"/>
      <c r="AA285" s="424"/>
      <c r="AB285" s="803"/>
      <c r="AC285" s="424"/>
      <c r="AD285" s="425"/>
      <c r="AE285" s="424"/>
      <c r="AF285" s="424"/>
      <c r="AG285" s="396"/>
      <c r="AI285" s="313"/>
      <c r="AJ285" s="374"/>
      <c r="AK285" s="374"/>
      <c r="AL285" s="374"/>
      <c r="AM285" s="374"/>
    </row>
    <row r="286" spans="1:47" s="348" customFormat="1" x14ac:dyDescent="0.2">
      <c r="A286" s="423">
        <f t="shared" si="71"/>
        <v>281</v>
      </c>
      <c r="B286" s="721" t="s">
        <v>8426</v>
      </c>
      <c r="C286" s="771">
        <v>1520302</v>
      </c>
      <c r="D286" s="771">
        <v>7401</v>
      </c>
      <c r="E286" s="771" t="s">
        <v>714</v>
      </c>
      <c r="F286" s="546">
        <v>2017</v>
      </c>
      <c r="G286" s="659">
        <v>43090</v>
      </c>
      <c r="H286" s="655"/>
      <c r="I286" s="655" t="s">
        <v>8664</v>
      </c>
      <c r="J286" s="712"/>
      <c r="K286" s="655" t="s">
        <v>1710</v>
      </c>
      <c r="L286" s="655" t="s">
        <v>8967</v>
      </c>
      <c r="M286" s="660">
        <v>433735.09</v>
      </c>
      <c r="N286" s="660">
        <v>0</v>
      </c>
      <c r="O286" s="660">
        <v>69397.61</v>
      </c>
      <c r="P286" s="660">
        <v>503132.7</v>
      </c>
      <c r="Q286" s="548"/>
      <c r="R286" s="660">
        <v>433379.74</v>
      </c>
      <c r="S286" s="549">
        <f t="shared" si="70"/>
        <v>69752.960000000021</v>
      </c>
      <c r="T286" s="113" t="s">
        <v>283</v>
      </c>
      <c r="U286" s="267"/>
      <c r="V286" s="93"/>
      <c r="W286" s="267"/>
      <c r="X286" s="267"/>
      <c r="Y286" s="93"/>
      <c r="Z286" s="618"/>
      <c r="AA286" s="424"/>
      <c r="AB286" s="803"/>
      <c r="AC286" s="424"/>
      <c r="AD286" s="425"/>
      <c r="AE286" s="424"/>
      <c r="AF286" s="424"/>
      <c r="AG286" s="396"/>
      <c r="AI286" s="313"/>
      <c r="AJ286" s="331"/>
      <c r="AK286" s="374"/>
      <c r="AL286" s="374"/>
      <c r="AM286" s="374"/>
      <c r="AN286" s="291"/>
      <c r="AO286" s="291"/>
      <c r="AP286" s="291"/>
      <c r="AQ286" s="291"/>
      <c r="AR286" s="291"/>
      <c r="AS286" s="291"/>
    </row>
    <row r="287" spans="1:47" s="348" customFormat="1" x14ac:dyDescent="0.2">
      <c r="A287" s="423">
        <f t="shared" si="71"/>
        <v>282</v>
      </c>
      <c r="B287" s="721" t="s">
        <v>8427</v>
      </c>
      <c r="C287" s="771">
        <v>1520305</v>
      </c>
      <c r="D287" s="771">
        <v>7401</v>
      </c>
      <c r="E287" s="771" t="s">
        <v>714</v>
      </c>
      <c r="F287" s="546">
        <v>2018</v>
      </c>
      <c r="G287" s="659">
        <v>43098</v>
      </c>
      <c r="H287" s="655"/>
      <c r="I287" s="655" t="s">
        <v>8665</v>
      </c>
      <c r="J287" s="712"/>
      <c r="K287" s="655" t="s">
        <v>1710</v>
      </c>
      <c r="L287" s="655" t="s">
        <v>8968</v>
      </c>
      <c r="M287" s="660">
        <v>434024.09</v>
      </c>
      <c r="N287" s="660">
        <v>0</v>
      </c>
      <c r="O287" s="660">
        <v>69443.850000000006</v>
      </c>
      <c r="P287" s="660">
        <v>503467.94</v>
      </c>
      <c r="Q287" s="548"/>
      <c r="R287" s="660">
        <v>433668.74</v>
      </c>
      <c r="S287" s="549">
        <f t="shared" si="70"/>
        <v>69799.200000000012</v>
      </c>
      <c r="T287" s="113" t="s">
        <v>283</v>
      </c>
      <c r="U287" s="267"/>
      <c r="V287" s="93"/>
      <c r="W287" s="267"/>
      <c r="X287" s="267"/>
      <c r="Y287" s="93"/>
      <c r="Z287" s="618"/>
      <c r="AA287" s="424"/>
      <c r="AB287" s="803"/>
      <c r="AC287" s="424"/>
      <c r="AD287" s="425"/>
      <c r="AE287" s="424"/>
      <c r="AF287" s="424"/>
      <c r="AG287" s="396"/>
      <c r="AI287" s="313"/>
      <c r="AJ287" s="374"/>
      <c r="AK287" s="330"/>
      <c r="AL287" s="330"/>
      <c r="AM287" s="330"/>
    </row>
    <row r="288" spans="1:47" s="348" customFormat="1" x14ac:dyDescent="0.2">
      <c r="A288" s="423">
        <f t="shared" si="71"/>
        <v>283</v>
      </c>
      <c r="B288" s="786" t="s">
        <v>8448</v>
      </c>
      <c r="C288" s="771">
        <v>1520606</v>
      </c>
      <c r="D288" s="771">
        <v>7490</v>
      </c>
      <c r="E288" s="771" t="s">
        <v>6935</v>
      </c>
      <c r="F288" s="546">
        <v>2018</v>
      </c>
      <c r="G288" s="659">
        <v>43089</v>
      </c>
      <c r="H288" s="655"/>
      <c r="I288" s="655" t="s">
        <v>8677</v>
      </c>
      <c r="J288" s="712"/>
      <c r="K288" s="655" t="s">
        <v>8144</v>
      </c>
      <c r="L288" s="655" t="s">
        <v>8980</v>
      </c>
      <c r="M288" s="660">
        <v>305702.84000000003</v>
      </c>
      <c r="N288" s="660">
        <v>0</v>
      </c>
      <c r="O288" s="660">
        <v>48912.45</v>
      </c>
      <c r="P288" s="660">
        <v>354615.29</v>
      </c>
      <c r="Q288" s="548"/>
      <c r="R288" s="660">
        <v>305347.49</v>
      </c>
      <c r="S288" s="549">
        <f t="shared" si="70"/>
        <v>49267.799999999988</v>
      </c>
      <c r="T288" s="113" t="s">
        <v>283</v>
      </c>
      <c r="U288" s="360"/>
      <c r="V288" s="360"/>
      <c r="W288" s="358"/>
      <c r="X288" s="331"/>
      <c r="Y288" s="360"/>
      <c r="Z288" s="334"/>
      <c r="AA288" s="334"/>
      <c r="AB288" s="673"/>
      <c r="AC288" s="349"/>
      <c r="AD288" s="335"/>
      <c r="AE288" s="349"/>
      <c r="AF288" s="349"/>
      <c r="AG288" s="349"/>
      <c r="AH288" s="313"/>
      <c r="AI288" s="313"/>
      <c r="AJ288" s="374"/>
      <c r="AK288" s="330"/>
      <c r="AL288" s="330"/>
      <c r="AM288" s="330"/>
    </row>
    <row r="289" spans="1:45" s="348" customFormat="1" x14ac:dyDescent="0.2">
      <c r="A289" s="423">
        <f t="shared" si="71"/>
        <v>284</v>
      </c>
      <c r="B289" s="786" t="s">
        <v>8449</v>
      </c>
      <c r="C289" s="771">
        <v>1520606</v>
      </c>
      <c r="D289" s="771">
        <v>7490</v>
      </c>
      <c r="E289" s="771" t="s">
        <v>6935</v>
      </c>
      <c r="F289" s="546">
        <v>2018</v>
      </c>
      <c r="G289" s="659">
        <v>43098</v>
      </c>
      <c r="H289" s="655"/>
      <c r="I289" s="655" t="s">
        <v>8678</v>
      </c>
      <c r="J289" s="712"/>
      <c r="K289" s="655" t="s">
        <v>8144</v>
      </c>
      <c r="L289" s="655" t="s">
        <v>8981</v>
      </c>
      <c r="M289" s="660">
        <v>305702.84000000003</v>
      </c>
      <c r="N289" s="660">
        <v>0</v>
      </c>
      <c r="O289" s="660">
        <v>48912.45</v>
      </c>
      <c r="P289" s="660">
        <v>354615.29</v>
      </c>
      <c r="Q289" s="548"/>
      <c r="R289" s="660">
        <v>305347.49</v>
      </c>
      <c r="S289" s="549">
        <f t="shared" si="70"/>
        <v>49267.799999999988</v>
      </c>
      <c r="T289" s="113" t="s">
        <v>283</v>
      </c>
      <c r="U289" s="370"/>
      <c r="V289" s="370"/>
      <c r="W289" s="375"/>
      <c r="X289" s="374"/>
      <c r="Y289" s="370"/>
      <c r="Z289" s="371"/>
      <c r="AA289" s="371"/>
      <c r="AB289" s="673"/>
      <c r="AC289" s="270"/>
      <c r="AD289" s="372"/>
      <c r="AE289" s="270"/>
      <c r="AF289" s="270"/>
      <c r="AG289" s="270"/>
      <c r="AH289" s="313"/>
      <c r="AI289" s="313"/>
      <c r="AJ289" s="374"/>
      <c r="AK289" s="330"/>
      <c r="AL289" s="330"/>
      <c r="AM289" s="330"/>
    </row>
    <row r="290" spans="1:45" s="353" customFormat="1" x14ac:dyDescent="0.2">
      <c r="A290" s="423">
        <f t="shared" si="71"/>
        <v>285</v>
      </c>
      <c r="B290" s="721" t="s">
        <v>8464</v>
      </c>
      <c r="C290" s="771">
        <v>1520104</v>
      </c>
      <c r="D290" s="771">
        <v>7493</v>
      </c>
      <c r="E290" s="771" t="s">
        <v>6945</v>
      </c>
      <c r="F290" s="546">
        <v>2017</v>
      </c>
      <c r="G290" s="659">
        <v>43090</v>
      </c>
      <c r="H290" s="655"/>
      <c r="I290" s="655" t="s">
        <v>7713</v>
      </c>
      <c r="J290" s="712"/>
      <c r="K290" s="655" t="s">
        <v>1710</v>
      </c>
      <c r="L290" s="655" t="s">
        <v>7521</v>
      </c>
      <c r="M290" s="660">
        <v>229416.4</v>
      </c>
      <c r="N290" s="660">
        <v>0</v>
      </c>
      <c r="O290" s="660">
        <v>36706.620000000003</v>
      </c>
      <c r="P290" s="660">
        <v>266123.02</v>
      </c>
      <c r="Q290" s="548"/>
      <c r="R290" s="660">
        <v>229061.05</v>
      </c>
      <c r="S290" s="549">
        <f t="shared" si="70"/>
        <v>37061.97000000003</v>
      </c>
      <c r="T290" s="113" t="s">
        <v>283</v>
      </c>
      <c r="U290" s="267"/>
      <c r="V290" s="93"/>
      <c r="W290" s="267"/>
      <c r="X290" s="267"/>
      <c r="Y290" s="93"/>
      <c r="Z290" s="618"/>
      <c r="AA290" s="424"/>
      <c r="AB290" s="646"/>
      <c r="AC290" s="424"/>
      <c r="AD290" s="425"/>
      <c r="AE290" s="424"/>
      <c r="AF290" s="424"/>
      <c r="AG290" s="396"/>
      <c r="AH290" s="313"/>
      <c r="AI290" s="313"/>
      <c r="AJ290" s="374"/>
      <c r="AK290" s="374"/>
      <c r="AL290" s="374"/>
      <c r="AM290" s="374"/>
      <c r="AN290" s="296"/>
      <c r="AO290" s="296"/>
      <c r="AP290" s="296"/>
      <c r="AQ290" s="296"/>
      <c r="AR290" s="296"/>
      <c r="AS290" s="296"/>
    </row>
    <row r="291" spans="1:45" s="291" customFormat="1" x14ac:dyDescent="0.2">
      <c r="A291" s="423">
        <f t="shared" si="71"/>
        <v>286</v>
      </c>
      <c r="B291" s="721" t="s">
        <v>8470</v>
      </c>
      <c r="C291" s="771">
        <v>1520105</v>
      </c>
      <c r="D291" s="771">
        <v>7494</v>
      </c>
      <c r="E291" s="771" t="s">
        <v>712</v>
      </c>
      <c r="F291" s="546">
        <v>2018</v>
      </c>
      <c r="G291" s="659">
        <v>43096</v>
      </c>
      <c r="H291" s="655"/>
      <c r="I291" s="655" t="s">
        <v>8684</v>
      </c>
      <c r="J291" s="712"/>
      <c r="K291" s="655" t="s">
        <v>1146</v>
      </c>
      <c r="L291" s="655" t="s">
        <v>8987</v>
      </c>
      <c r="M291" s="660">
        <v>219060.03</v>
      </c>
      <c r="N291" s="660">
        <v>0</v>
      </c>
      <c r="O291" s="660">
        <v>35049.599999999999</v>
      </c>
      <c r="P291" s="660">
        <v>254109.63</v>
      </c>
      <c r="Q291" s="548"/>
      <c r="R291" s="660">
        <v>218704.68</v>
      </c>
      <c r="S291" s="549">
        <f t="shared" si="70"/>
        <v>35404.950000000012</v>
      </c>
      <c r="T291" s="113" t="s">
        <v>283</v>
      </c>
      <c r="U291" s="267"/>
      <c r="V291" s="93"/>
      <c r="W291" s="267"/>
      <c r="X291" s="267"/>
      <c r="Y291" s="93"/>
      <c r="Z291" s="618"/>
      <c r="AA291" s="424"/>
      <c r="AB291" s="646"/>
      <c r="AC291" s="424"/>
      <c r="AD291" s="425"/>
      <c r="AE291" s="424"/>
      <c r="AF291" s="424"/>
      <c r="AG291" s="396"/>
      <c r="AH291" s="313"/>
      <c r="AI291" s="313"/>
      <c r="AJ291" s="374"/>
      <c r="AK291" s="374"/>
      <c r="AL291" s="374"/>
      <c r="AM291" s="374"/>
    </row>
    <row r="292" spans="1:45" s="291" customFormat="1" x14ac:dyDescent="0.2">
      <c r="A292" s="423">
        <f t="shared" si="71"/>
        <v>287</v>
      </c>
      <c r="B292" s="721" t="s">
        <v>8477</v>
      </c>
      <c r="C292" s="771">
        <v>1520107</v>
      </c>
      <c r="D292" s="771">
        <v>7495</v>
      </c>
      <c r="E292" s="771" t="s">
        <v>718</v>
      </c>
      <c r="F292" s="546">
        <v>2018</v>
      </c>
      <c r="G292" s="659">
        <v>43074</v>
      </c>
      <c r="H292" s="655"/>
      <c r="I292" s="655" t="s">
        <v>8689</v>
      </c>
      <c r="J292" s="712"/>
      <c r="K292" s="655" t="s">
        <v>59</v>
      </c>
      <c r="L292" s="655" t="s">
        <v>8992</v>
      </c>
      <c r="M292" s="660">
        <v>267627.3</v>
      </c>
      <c r="N292" s="660">
        <v>0</v>
      </c>
      <c r="O292" s="660">
        <v>42820.37</v>
      </c>
      <c r="P292" s="660">
        <v>310447.67</v>
      </c>
      <c r="Q292" s="548"/>
      <c r="R292" s="660">
        <v>267271.96000000002</v>
      </c>
      <c r="S292" s="549">
        <f t="shared" si="70"/>
        <v>43175.709999999963</v>
      </c>
      <c r="T292" s="113" t="s">
        <v>283</v>
      </c>
      <c r="U292" s="267"/>
      <c r="V292" s="93"/>
      <c r="W292" s="267"/>
      <c r="X292" s="267"/>
      <c r="Y292" s="93"/>
      <c r="Z292" s="618"/>
      <c r="AA292" s="424"/>
      <c r="AB292" s="646"/>
      <c r="AC292" s="424"/>
      <c r="AD292" s="425"/>
      <c r="AE292" s="424"/>
      <c r="AF292" s="424"/>
      <c r="AG292" s="396"/>
      <c r="AH292" s="313"/>
      <c r="AI292" s="313"/>
      <c r="AJ292" s="374"/>
      <c r="AK292" s="374"/>
      <c r="AL292" s="374"/>
      <c r="AM292" s="374"/>
    </row>
    <row r="293" spans="1:45" s="291" customFormat="1" x14ac:dyDescent="0.2">
      <c r="A293" s="423">
        <f t="shared" si="71"/>
        <v>288</v>
      </c>
      <c r="B293" s="721" t="s">
        <v>8482</v>
      </c>
      <c r="C293" s="771">
        <v>1520107</v>
      </c>
      <c r="D293" s="771">
        <v>7495</v>
      </c>
      <c r="E293" s="771" t="s">
        <v>718</v>
      </c>
      <c r="F293" s="546">
        <v>2018</v>
      </c>
      <c r="G293" s="659">
        <v>43080</v>
      </c>
      <c r="H293" s="655"/>
      <c r="I293" s="655" t="s">
        <v>8693</v>
      </c>
      <c r="J293" s="712"/>
      <c r="K293" s="655" t="s">
        <v>1710</v>
      </c>
      <c r="L293" s="655" t="s">
        <v>8996</v>
      </c>
      <c r="M293" s="660">
        <v>267627.3</v>
      </c>
      <c r="N293" s="660">
        <v>0</v>
      </c>
      <c r="O293" s="660">
        <v>42820.37</v>
      </c>
      <c r="P293" s="660">
        <v>310447.67</v>
      </c>
      <c r="Q293" s="548"/>
      <c r="R293" s="660">
        <v>267271.96000000002</v>
      </c>
      <c r="S293" s="549">
        <f t="shared" si="70"/>
        <v>43175.709999999963</v>
      </c>
      <c r="T293" s="113" t="s">
        <v>283</v>
      </c>
      <c r="U293" s="267"/>
      <c r="V293" s="93"/>
      <c r="W293" s="267"/>
      <c r="X293" s="267"/>
      <c r="Y293" s="93"/>
      <c r="Z293" s="618"/>
      <c r="AA293" s="424"/>
      <c r="AB293" s="646"/>
      <c r="AC293" s="424"/>
      <c r="AD293" s="425"/>
      <c r="AE293" s="424"/>
      <c r="AF293" s="424"/>
      <c r="AG293" s="396"/>
      <c r="AH293" s="363"/>
      <c r="AI293" s="363"/>
      <c r="AJ293" s="374"/>
      <c r="AK293" s="374"/>
      <c r="AL293" s="374"/>
      <c r="AM293" s="374"/>
    </row>
    <row r="294" spans="1:45" s="348" customFormat="1" x14ac:dyDescent="0.2">
      <c r="A294" s="423">
        <f t="shared" si="71"/>
        <v>289</v>
      </c>
      <c r="B294" s="721" t="s">
        <v>8491</v>
      </c>
      <c r="C294" s="771">
        <v>1520107</v>
      </c>
      <c r="D294" s="771">
        <v>7495</v>
      </c>
      <c r="E294" s="771" t="s">
        <v>718</v>
      </c>
      <c r="F294" s="546">
        <v>2018</v>
      </c>
      <c r="G294" s="659">
        <v>43090</v>
      </c>
      <c r="H294" s="655"/>
      <c r="I294" s="655" t="s">
        <v>8700</v>
      </c>
      <c r="J294" s="712"/>
      <c r="K294" s="655" t="s">
        <v>6490</v>
      </c>
      <c r="L294" s="655" t="s">
        <v>9003</v>
      </c>
      <c r="M294" s="660">
        <v>267627.3</v>
      </c>
      <c r="N294" s="660">
        <v>0</v>
      </c>
      <c r="O294" s="660">
        <v>42820.37</v>
      </c>
      <c r="P294" s="660">
        <v>310447.67</v>
      </c>
      <c r="Q294" s="548"/>
      <c r="R294" s="660">
        <v>267271.96000000002</v>
      </c>
      <c r="S294" s="549">
        <f t="shared" si="70"/>
        <v>43175.709999999963</v>
      </c>
      <c r="T294" s="113" t="s">
        <v>283</v>
      </c>
      <c r="U294" s="267"/>
      <c r="V294" s="93"/>
      <c r="W294" s="267"/>
      <c r="X294" s="267"/>
      <c r="Y294" s="93"/>
      <c r="Z294" s="618"/>
      <c r="AA294" s="424"/>
      <c r="AB294" s="646"/>
      <c r="AC294" s="424"/>
      <c r="AD294" s="425"/>
      <c r="AE294" s="424"/>
      <c r="AF294" s="424"/>
      <c r="AG294" s="396"/>
      <c r="AH294" s="272"/>
      <c r="AI294" s="313"/>
      <c r="AJ294" s="331"/>
      <c r="AK294" s="330"/>
      <c r="AL294" s="330"/>
      <c r="AM294" s="330"/>
    </row>
    <row r="295" spans="1:45" s="291" customFormat="1" x14ac:dyDescent="0.2">
      <c r="A295" s="423">
        <f t="shared" si="71"/>
        <v>290</v>
      </c>
      <c r="B295" s="721" t="s">
        <v>8492</v>
      </c>
      <c r="C295" s="771">
        <v>1520107</v>
      </c>
      <c r="D295" s="771">
        <v>7495</v>
      </c>
      <c r="E295" s="771" t="s">
        <v>718</v>
      </c>
      <c r="F295" s="546">
        <v>2018</v>
      </c>
      <c r="G295" s="659">
        <v>43090</v>
      </c>
      <c r="H295" s="655"/>
      <c r="I295" s="655" t="s">
        <v>8701</v>
      </c>
      <c r="J295" s="712"/>
      <c r="K295" s="655" t="s">
        <v>1710</v>
      </c>
      <c r="L295" s="655" t="s">
        <v>9004</v>
      </c>
      <c r="M295" s="660">
        <v>267627.3</v>
      </c>
      <c r="N295" s="660">
        <v>0</v>
      </c>
      <c r="O295" s="660">
        <v>42820.37</v>
      </c>
      <c r="P295" s="660">
        <v>310447.67</v>
      </c>
      <c r="Q295" s="548"/>
      <c r="R295" s="660">
        <v>267271.96000000002</v>
      </c>
      <c r="S295" s="549">
        <f t="shared" si="70"/>
        <v>43175.709999999963</v>
      </c>
      <c r="T295" s="113" t="s">
        <v>283</v>
      </c>
      <c r="U295" s="370"/>
      <c r="V295" s="370"/>
      <c r="W295" s="375"/>
      <c r="X295" s="374"/>
      <c r="Y295" s="370"/>
      <c r="Z295" s="371"/>
      <c r="AA295" s="371"/>
      <c r="AB295" s="673"/>
      <c r="AC295" s="270"/>
      <c r="AD295" s="372"/>
      <c r="AE295" s="270"/>
      <c r="AF295" s="270"/>
      <c r="AG295" s="270"/>
      <c r="AH295" s="347"/>
      <c r="AI295" s="363"/>
      <c r="AJ295" s="331"/>
      <c r="AK295" s="374"/>
      <c r="AL295" s="374"/>
      <c r="AM295" s="374"/>
    </row>
    <row r="296" spans="1:45" s="291" customFormat="1" x14ac:dyDescent="0.2">
      <c r="A296" s="423">
        <f t="shared" si="71"/>
        <v>291</v>
      </c>
      <c r="B296" s="721" t="s">
        <v>8493</v>
      </c>
      <c r="C296" s="771">
        <v>1520107</v>
      </c>
      <c r="D296" s="771">
        <v>7495</v>
      </c>
      <c r="E296" s="771" t="s">
        <v>718</v>
      </c>
      <c r="F296" s="546">
        <v>2018</v>
      </c>
      <c r="G296" s="659">
        <v>43091</v>
      </c>
      <c r="H296" s="655"/>
      <c r="I296" s="655" t="s">
        <v>8702</v>
      </c>
      <c r="J296" s="712"/>
      <c r="K296" s="655" t="s">
        <v>99</v>
      </c>
      <c r="L296" s="655" t="s">
        <v>9005</v>
      </c>
      <c r="M296" s="660">
        <v>267627.3</v>
      </c>
      <c r="N296" s="660">
        <v>0</v>
      </c>
      <c r="O296" s="660">
        <v>42820.37</v>
      </c>
      <c r="P296" s="660">
        <v>310447.67</v>
      </c>
      <c r="Q296" s="548"/>
      <c r="R296" s="660">
        <v>267271.96000000002</v>
      </c>
      <c r="S296" s="549">
        <f t="shared" si="70"/>
        <v>43175.709999999963</v>
      </c>
      <c r="T296" s="113" t="s">
        <v>283</v>
      </c>
      <c r="U296" s="360"/>
      <c r="V296" s="360"/>
      <c r="W296" s="358"/>
      <c r="X296" s="331"/>
      <c r="Y296" s="360"/>
      <c r="Z296" s="334"/>
      <c r="AA296" s="334"/>
      <c r="AB296" s="673"/>
      <c r="AC296" s="349"/>
      <c r="AD296" s="335"/>
      <c r="AE296" s="349"/>
      <c r="AF296" s="349"/>
      <c r="AG296" s="349"/>
      <c r="AH296" s="350"/>
      <c r="AI296" s="313"/>
      <c r="AJ296" s="331"/>
      <c r="AK296" s="374"/>
      <c r="AL296" s="374"/>
      <c r="AM296" s="374"/>
    </row>
    <row r="297" spans="1:45" s="291" customFormat="1" x14ac:dyDescent="0.2">
      <c r="A297" s="423">
        <f t="shared" si="71"/>
        <v>292</v>
      </c>
      <c r="B297" s="721" t="s">
        <v>8496</v>
      </c>
      <c r="C297" s="771">
        <v>1520107</v>
      </c>
      <c r="D297" s="771">
        <v>7495</v>
      </c>
      <c r="E297" s="771" t="s">
        <v>718</v>
      </c>
      <c r="F297" s="546">
        <v>2018</v>
      </c>
      <c r="G297" s="659">
        <v>43096</v>
      </c>
      <c r="H297" s="655"/>
      <c r="I297" s="655" t="s">
        <v>8705</v>
      </c>
      <c r="J297" s="712"/>
      <c r="K297" s="655" t="s">
        <v>1155</v>
      </c>
      <c r="L297" s="655" t="s">
        <v>9008</v>
      </c>
      <c r="M297" s="660">
        <v>267627.3</v>
      </c>
      <c r="N297" s="660">
        <v>0</v>
      </c>
      <c r="O297" s="660">
        <v>42820.37</v>
      </c>
      <c r="P297" s="660">
        <v>310447.67</v>
      </c>
      <c r="Q297" s="548"/>
      <c r="R297" s="660">
        <v>267271.96000000002</v>
      </c>
      <c r="S297" s="549">
        <f t="shared" si="70"/>
        <v>43175.709999999963</v>
      </c>
      <c r="T297" s="113" t="s">
        <v>283</v>
      </c>
      <c r="U297" s="370"/>
      <c r="V297" s="370"/>
      <c r="W297" s="375"/>
      <c r="X297" s="374"/>
      <c r="Y297" s="370"/>
      <c r="Z297" s="371"/>
      <c r="AA297" s="371"/>
      <c r="AB297" s="673"/>
      <c r="AC297" s="270"/>
      <c r="AD297" s="372"/>
      <c r="AE297" s="270"/>
      <c r="AF297" s="270"/>
      <c r="AG297" s="270"/>
      <c r="AH297" s="272"/>
      <c r="AI297" s="313"/>
      <c r="AJ297" s="331"/>
      <c r="AK297" s="374"/>
      <c r="AL297" s="374"/>
      <c r="AM297" s="374"/>
    </row>
    <row r="298" spans="1:45" s="291" customFormat="1" x14ac:dyDescent="0.2">
      <c r="A298" s="423">
        <f t="shared" si="71"/>
        <v>293</v>
      </c>
      <c r="B298" s="721" t="s">
        <v>8499</v>
      </c>
      <c r="C298" s="771">
        <v>1520107</v>
      </c>
      <c r="D298" s="771">
        <v>7497</v>
      </c>
      <c r="E298" s="771" t="s">
        <v>5619</v>
      </c>
      <c r="F298" s="546">
        <v>2018</v>
      </c>
      <c r="G298" s="659">
        <v>43075</v>
      </c>
      <c r="H298" s="655"/>
      <c r="I298" s="655" t="s">
        <v>8708</v>
      </c>
      <c r="J298" s="712"/>
      <c r="K298" s="655" t="s">
        <v>1745</v>
      </c>
      <c r="L298" s="655" t="s">
        <v>9011</v>
      </c>
      <c r="M298" s="660">
        <v>257240.98</v>
      </c>
      <c r="N298" s="660">
        <v>0</v>
      </c>
      <c r="O298" s="660">
        <v>41158.559999999998</v>
      </c>
      <c r="P298" s="660">
        <v>298399.53999999998</v>
      </c>
      <c r="Q298" s="548"/>
      <c r="R298" s="660">
        <v>256885.64</v>
      </c>
      <c r="S298" s="549">
        <f t="shared" si="70"/>
        <v>41513.899999999965</v>
      </c>
      <c r="T298" s="267" t="s">
        <v>283</v>
      </c>
      <c r="U298" s="267"/>
      <c r="V298" s="93"/>
      <c r="W298" s="267"/>
      <c r="X298" s="267"/>
      <c r="Y298" s="93"/>
      <c r="Z298" s="618"/>
      <c r="AA298" s="424"/>
      <c r="AB298" s="646"/>
      <c r="AC298" s="424"/>
      <c r="AD298" s="425"/>
      <c r="AE298" s="424"/>
      <c r="AF298" s="424"/>
      <c r="AG298" s="396"/>
      <c r="AH298" s="272"/>
      <c r="AI298" s="313"/>
      <c r="AJ298" s="331"/>
      <c r="AK298" s="374"/>
      <c r="AL298" s="374"/>
      <c r="AM298" s="374"/>
    </row>
    <row r="299" spans="1:45" s="291" customFormat="1" x14ac:dyDescent="0.2">
      <c r="A299" s="423">
        <f t="shared" si="71"/>
        <v>294</v>
      </c>
      <c r="B299" s="721" t="s">
        <v>8500</v>
      </c>
      <c r="C299" s="771">
        <v>1520107</v>
      </c>
      <c r="D299" s="771">
        <v>7497</v>
      </c>
      <c r="E299" s="771" t="s">
        <v>5619</v>
      </c>
      <c r="F299" s="546">
        <v>2018</v>
      </c>
      <c r="G299" s="659">
        <v>43084</v>
      </c>
      <c r="H299" s="655"/>
      <c r="I299" s="655" t="s">
        <v>8709</v>
      </c>
      <c r="J299" s="712"/>
      <c r="K299" s="655" t="s">
        <v>59</v>
      </c>
      <c r="L299" s="655" t="s">
        <v>9012</v>
      </c>
      <c r="M299" s="660">
        <v>257241.84</v>
      </c>
      <c r="N299" s="660">
        <v>0</v>
      </c>
      <c r="O299" s="660">
        <v>41158.699999999997</v>
      </c>
      <c r="P299" s="660">
        <v>298400.53999999998</v>
      </c>
      <c r="Q299" s="548"/>
      <c r="R299" s="660">
        <v>257240.98</v>
      </c>
      <c r="S299" s="549">
        <f t="shared" si="70"/>
        <v>41159.559999999969</v>
      </c>
      <c r="T299" s="113" t="s">
        <v>283</v>
      </c>
      <c r="U299" s="360"/>
      <c r="V299" s="360"/>
      <c r="W299" s="358"/>
      <c r="X299" s="331"/>
      <c r="Y299" s="360"/>
      <c r="Z299" s="334"/>
      <c r="AA299" s="334"/>
      <c r="AB299" s="673"/>
      <c r="AC299" s="349"/>
      <c r="AD299" s="335"/>
      <c r="AE299" s="349"/>
      <c r="AF299" s="349"/>
      <c r="AG299" s="349"/>
      <c r="AH299" s="350"/>
      <c r="AI299" s="365"/>
      <c r="AJ299" s="331"/>
      <c r="AK299" s="374"/>
      <c r="AL299" s="374"/>
      <c r="AM299" s="374"/>
    </row>
    <row r="300" spans="1:45" s="291" customFormat="1" x14ac:dyDescent="0.2">
      <c r="A300" s="423">
        <f t="shared" si="71"/>
        <v>295</v>
      </c>
      <c r="B300" s="721" t="s">
        <v>8501</v>
      </c>
      <c r="C300" s="771">
        <v>1520603</v>
      </c>
      <c r="D300" s="771">
        <v>7497</v>
      </c>
      <c r="E300" s="771" t="s">
        <v>5619</v>
      </c>
      <c r="F300" s="546">
        <v>2018</v>
      </c>
      <c r="G300" s="659">
        <v>43090</v>
      </c>
      <c r="H300" s="655"/>
      <c r="I300" s="655" t="s">
        <v>8710</v>
      </c>
      <c r="J300" s="712"/>
      <c r="K300" s="655" t="s">
        <v>1672</v>
      </c>
      <c r="L300" s="655" t="s">
        <v>9013</v>
      </c>
      <c r="M300" s="660">
        <v>257240.98</v>
      </c>
      <c r="N300" s="660">
        <v>0</v>
      </c>
      <c r="O300" s="660">
        <v>41158.559999999998</v>
      </c>
      <c r="P300" s="660">
        <v>298399.53999999998</v>
      </c>
      <c r="Q300" s="548"/>
      <c r="R300" s="660">
        <v>257240.12</v>
      </c>
      <c r="S300" s="549">
        <f t="shared" si="70"/>
        <v>41159.419999999984</v>
      </c>
      <c r="T300" s="113" t="s">
        <v>283</v>
      </c>
      <c r="U300" s="267"/>
      <c r="V300" s="93"/>
      <c r="W300" s="267"/>
      <c r="X300" s="267"/>
      <c r="Y300" s="93"/>
      <c r="Z300" s="618"/>
      <c r="AA300" s="424"/>
      <c r="AB300" s="646"/>
      <c r="AC300" s="424"/>
      <c r="AD300" s="425"/>
      <c r="AE300" s="424"/>
      <c r="AF300" s="424"/>
      <c r="AG300" s="396"/>
      <c r="AH300" s="350"/>
      <c r="AI300" s="365"/>
      <c r="AJ300" s="331"/>
      <c r="AK300" s="374"/>
      <c r="AL300" s="374"/>
      <c r="AM300" s="374"/>
    </row>
    <row r="301" spans="1:45" s="291" customFormat="1" x14ac:dyDescent="0.2">
      <c r="A301" s="423">
        <f t="shared" si="71"/>
        <v>296</v>
      </c>
      <c r="B301" s="721" t="s">
        <v>8502</v>
      </c>
      <c r="C301" s="771">
        <v>1520603</v>
      </c>
      <c r="D301" s="771">
        <v>7497</v>
      </c>
      <c r="E301" s="771" t="s">
        <v>5619</v>
      </c>
      <c r="F301" s="546">
        <v>2018</v>
      </c>
      <c r="G301" s="659">
        <v>43090</v>
      </c>
      <c r="H301" s="655"/>
      <c r="I301" s="655" t="s">
        <v>8711</v>
      </c>
      <c r="J301" s="712"/>
      <c r="K301" s="655" t="s">
        <v>1672</v>
      </c>
      <c r="L301" s="655" t="s">
        <v>9014</v>
      </c>
      <c r="M301" s="660">
        <v>257240.98</v>
      </c>
      <c r="N301" s="660">
        <v>0</v>
      </c>
      <c r="O301" s="660">
        <v>41158.559999999998</v>
      </c>
      <c r="P301" s="660">
        <v>298399.53999999998</v>
      </c>
      <c r="Q301" s="548"/>
      <c r="R301" s="660">
        <v>256885.64</v>
      </c>
      <c r="S301" s="549">
        <f t="shared" si="70"/>
        <v>41513.899999999965</v>
      </c>
      <c r="T301" s="113" t="s">
        <v>283</v>
      </c>
      <c r="U301" s="354"/>
      <c r="V301" s="354"/>
      <c r="W301" s="355"/>
      <c r="X301" s="330"/>
      <c r="Y301" s="354"/>
      <c r="Z301" s="328"/>
      <c r="AA301" s="328"/>
      <c r="AB301" s="673"/>
      <c r="AC301" s="346"/>
      <c r="AD301" s="333"/>
      <c r="AE301" s="346"/>
      <c r="AF301" s="346"/>
      <c r="AG301" s="346"/>
      <c r="AH301" s="272"/>
      <c r="AI301" s="313"/>
      <c r="AJ301" s="331"/>
      <c r="AK301" s="374"/>
      <c r="AL301" s="374"/>
      <c r="AM301" s="374"/>
    </row>
    <row r="302" spans="1:45" s="291" customFormat="1" x14ac:dyDescent="0.2">
      <c r="A302" s="423">
        <f t="shared" si="71"/>
        <v>297</v>
      </c>
      <c r="B302" s="721" t="s">
        <v>8503</v>
      </c>
      <c r="C302" s="771">
        <v>1520603</v>
      </c>
      <c r="D302" s="771">
        <v>7497</v>
      </c>
      <c r="E302" s="771" t="s">
        <v>5619</v>
      </c>
      <c r="F302" s="546">
        <v>2018</v>
      </c>
      <c r="G302" s="659">
        <v>43090</v>
      </c>
      <c r="H302" s="655"/>
      <c r="I302" s="655" t="s">
        <v>8712</v>
      </c>
      <c r="J302" s="712"/>
      <c r="K302" s="655" t="s">
        <v>1672</v>
      </c>
      <c r="L302" s="655" t="s">
        <v>9015</v>
      </c>
      <c r="M302" s="660">
        <v>257240.98</v>
      </c>
      <c r="N302" s="660">
        <v>0</v>
      </c>
      <c r="O302" s="660">
        <v>41158.559999999998</v>
      </c>
      <c r="P302" s="660">
        <v>298399.53999999998</v>
      </c>
      <c r="Q302" s="548"/>
      <c r="R302" s="660">
        <v>256885.64</v>
      </c>
      <c r="S302" s="549">
        <f t="shared" si="70"/>
        <v>41513.899999999965</v>
      </c>
      <c r="T302" s="267" t="s">
        <v>283</v>
      </c>
      <c r="U302" s="370"/>
      <c r="V302" s="370"/>
      <c r="W302" s="375"/>
      <c r="X302" s="374"/>
      <c r="Y302" s="370"/>
      <c r="Z302" s="371"/>
      <c r="AA302" s="371"/>
      <c r="AB302" s="673"/>
      <c r="AC302" s="270"/>
      <c r="AD302" s="372"/>
      <c r="AE302" s="270"/>
      <c r="AF302" s="270"/>
      <c r="AG302" s="270"/>
      <c r="AH302" s="272"/>
      <c r="AI302" s="313"/>
      <c r="AJ302" s="331"/>
      <c r="AK302" s="374"/>
      <c r="AL302" s="374"/>
      <c r="AM302" s="374"/>
    </row>
    <row r="303" spans="1:45" s="291" customFormat="1" x14ac:dyDescent="0.2">
      <c r="A303" s="423">
        <f t="shared" si="71"/>
        <v>298</v>
      </c>
      <c r="B303" s="721" t="s">
        <v>8504</v>
      </c>
      <c r="C303" s="771">
        <v>1520107</v>
      </c>
      <c r="D303" s="771">
        <v>7497</v>
      </c>
      <c r="E303" s="771" t="s">
        <v>5619</v>
      </c>
      <c r="F303" s="546">
        <v>2018</v>
      </c>
      <c r="G303" s="659">
        <v>43091</v>
      </c>
      <c r="H303" s="655"/>
      <c r="I303" s="655" t="s">
        <v>8713</v>
      </c>
      <c r="J303" s="712"/>
      <c r="K303" s="655" t="s">
        <v>2438</v>
      </c>
      <c r="L303" s="655" t="s">
        <v>9016</v>
      </c>
      <c r="M303" s="660">
        <v>257240.98</v>
      </c>
      <c r="N303" s="660">
        <v>0</v>
      </c>
      <c r="O303" s="660">
        <v>41158.559999999998</v>
      </c>
      <c r="P303" s="660">
        <v>298399.53999999998</v>
      </c>
      <c r="Q303" s="548"/>
      <c r="R303" s="660">
        <v>256885.64</v>
      </c>
      <c r="S303" s="549">
        <f t="shared" si="70"/>
        <v>41513.899999999965</v>
      </c>
      <c r="T303" s="113" t="s">
        <v>283</v>
      </c>
      <c r="U303" s="267"/>
      <c r="V303" s="93"/>
      <c r="W303" s="267"/>
      <c r="X303" s="267"/>
      <c r="Y303" s="93"/>
      <c r="Z303" s="618"/>
      <c r="AA303" s="424"/>
      <c r="AB303" s="646"/>
      <c r="AC303" s="424"/>
      <c r="AD303" s="425"/>
      <c r="AE303" s="424"/>
      <c r="AF303" s="424"/>
      <c r="AG303" s="396"/>
      <c r="AH303" s="350"/>
      <c r="AI303" s="365"/>
      <c r="AJ303" s="331"/>
      <c r="AK303" s="374"/>
      <c r="AL303" s="374"/>
      <c r="AM303" s="374"/>
    </row>
    <row r="304" spans="1:45" s="291" customFormat="1" x14ac:dyDescent="0.2">
      <c r="A304" s="423">
        <f t="shared" si="71"/>
        <v>299</v>
      </c>
      <c r="B304" s="721" t="s">
        <v>8506</v>
      </c>
      <c r="C304" s="771">
        <v>491318</v>
      </c>
      <c r="D304" s="771" t="s">
        <v>721</v>
      </c>
      <c r="E304" s="771" t="s">
        <v>720</v>
      </c>
      <c r="F304" s="546">
        <v>2017</v>
      </c>
      <c r="G304" s="659">
        <v>43070</v>
      </c>
      <c r="H304" s="655" t="s">
        <v>751</v>
      </c>
      <c r="I304" s="655" t="s">
        <v>8714</v>
      </c>
      <c r="J304" s="712"/>
      <c r="K304" s="655" t="s">
        <v>8816</v>
      </c>
      <c r="L304" s="655" t="s">
        <v>9017</v>
      </c>
      <c r="M304" s="660">
        <v>200299.86</v>
      </c>
      <c r="N304" s="660">
        <v>0</v>
      </c>
      <c r="O304" s="660">
        <v>0.14000000000000001</v>
      </c>
      <c r="P304" s="660">
        <v>200300</v>
      </c>
      <c r="Q304" s="548"/>
      <c r="R304" s="660">
        <v>200299</v>
      </c>
      <c r="S304" s="549">
        <f t="shared" si="70"/>
        <v>1</v>
      </c>
      <c r="T304" s="113" t="s">
        <v>263</v>
      </c>
      <c r="U304" s="370"/>
      <c r="V304" s="370"/>
      <c r="W304" s="375"/>
      <c r="X304" s="374"/>
      <c r="Y304" s="370"/>
      <c r="Z304" s="371"/>
      <c r="AA304" s="371"/>
      <c r="AB304" s="673"/>
      <c r="AC304" s="270"/>
      <c r="AD304" s="372"/>
      <c r="AE304" s="270"/>
      <c r="AF304" s="270"/>
      <c r="AG304" s="270"/>
      <c r="AH304" s="272"/>
      <c r="AI304" s="313"/>
      <c r="AJ304" s="331"/>
      <c r="AK304" s="374"/>
      <c r="AL304" s="374"/>
      <c r="AM304" s="374"/>
    </row>
    <row r="305" spans="1:39" s="291" customFormat="1" x14ac:dyDescent="0.2">
      <c r="A305" s="423">
        <f t="shared" si="71"/>
        <v>300</v>
      </c>
      <c r="B305" s="721" t="s">
        <v>8507</v>
      </c>
      <c r="C305" s="771">
        <v>37707</v>
      </c>
      <c r="D305" s="771" t="s">
        <v>721</v>
      </c>
      <c r="E305" s="771" t="s">
        <v>720</v>
      </c>
      <c r="F305" s="546">
        <v>2017</v>
      </c>
      <c r="G305" s="659">
        <v>43073</v>
      </c>
      <c r="H305" s="655" t="s">
        <v>8846</v>
      </c>
      <c r="I305" s="655" t="s">
        <v>8715</v>
      </c>
      <c r="J305" s="712"/>
      <c r="K305" s="655" t="s">
        <v>8817</v>
      </c>
      <c r="L305" s="655" t="s">
        <v>9018</v>
      </c>
      <c r="M305" s="660">
        <v>221551.72</v>
      </c>
      <c r="N305" s="660">
        <v>0</v>
      </c>
      <c r="O305" s="660">
        <v>3448.28</v>
      </c>
      <c r="P305" s="660">
        <v>225000</v>
      </c>
      <c r="Q305" s="548"/>
      <c r="R305" s="660">
        <v>200000</v>
      </c>
      <c r="S305" s="549">
        <f t="shared" si="70"/>
        <v>25000</v>
      </c>
      <c r="T305" s="113" t="s">
        <v>263</v>
      </c>
      <c r="U305" s="370"/>
      <c r="V305" s="370"/>
      <c r="W305" s="375"/>
      <c r="X305" s="374"/>
      <c r="Y305" s="370"/>
      <c r="Z305" s="371"/>
      <c r="AA305" s="371"/>
      <c r="AB305" s="673"/>
      <c r="AC305" s="270"/>
      <c r="AD305" s="372"/>
      <c r="AE305" s="270"/>
      <c r="AF305" s="270"/>
      <c r="AG305" s="270"/>
      <c r="AH305" s="272"/>
      <c r="AI305" s="313"/>
      <c r="AJ305" s="331"/>
      <c r="AK305" s="374"/>
      <c r="AL305" s="374"/>
      <c r="AM305" s="374"/>
    </row>
    <row r="306" spans="1:39" s="291" customFormat="1" x14ac:dyDescent="0.2">
      <c r="A306" s="423">
        <f t="shared" si="71"/>
        <v>301</v>
      </c>
      <c r="B306" s="721" t="s">
        <v>8508</v>
      </c>
      <c r="C306" s="771">
        <v>52062</v>
      </c>
      <c r="D306" s="771" t="s">
        <v>721</v>
      </c>
      <c r="E306" s="771" t="s">
        <v>720</v>
      </c>
      <c r="F306" s="546">
        <v>2017</v>
      </c>
      <c r="G306" s="659">
        <v>43075</v>
      </c>
      <c r="H306" s="655" t="s">
        <v>912</v>
      </c>
      <c r="I306" s="655" t="s">
        <v>8716</v>
      </c>
      <c r="J306" s="712"/>
      <c r="K306" s="655" t="s">
        <v>8818</v>
      </c>
      <c r="L306" s="655" t="s">
        <v>9019</v>
      </c>
      <c r="M306" s="660">
        <v>175862.07</v>
      </c>
      <c r="N306" s="660">
        <v>0</v>
      </c>
      <c r="O306" s="660">
        <v>4137.93</v>
      </c>
      <c r="P306" s="660">
        <v>180000</v>
      </c>
      <c r="Q306" s="548"/>
      <c r="R306" s="660">
        <v>150000</v>
      </c>
      <c r="S306" s="549">
        <f t="shared" si="70"/>
        <v>30000</v>
      </c>
      <c r="T306" s="113" t="s">
        <v>263</v>
      </c>
      <c r="U306" s="370"/>
      <c r="V306" s="370"/>
      <c r="W306" s="375"/>
      <c r="X306" s="374"/>
      <c r="Y306" s="370"/>
      <c r="Z306" s="371"/>
      <c r="AA306" s="371"/>
      <c r="AB306" s="673"/>
      <c r="AC306" s="270"/>
      <c r="AD306" s="372"/>
      <c r="AE306" s="270"/>
      <c r="AF306" s="270"/>
      <c r="AG306" s="270"/>
      <c r="AH306" s="347"/>
      <c r="AI306" s="363"/>
      <c r="AJ306" s="331"/>
      <c r="AK306" s="374"/>
      <c r="AL306" s="374"/>
      <c r="AM306" s="374"/>
    </row>
    <row r="307" spans="1:39" s="291" customFormat="1" x14ac:dyDescent="0.2">
      <c r="A307" s="423">
        <f t="shared" si="71"/>
        <v>302</v>
      </c>
      <c r="B307" s="721" t="s">
        <v>8509</v>
      </c>
      <c r="C307" s="771">
        <v>490504</v>
      </c>
      <c r="D307" s="771" t="s">
        <v>721</v>
      </c>
      <c r="E307" s="771" t="s">
        <v>720</v>
      </c>
      <c r="F307" s="546">
        <v>2017</v>
      </c>
      <c r="G307" s="659">
        <v>43075</v>
      </c>
      <c r="H307" s="655" t="s">
        <v>8847</v>
      </c>
      <c r="I307" s="655" t="s">
        <v>8717</v>
      </c>
      <c r="J307" s="712"/>
      <c r="K307" s="655" t="s">
        <v>8819</v>
      </c>
      <c r="L307" s="655" t="s">
        <v>9020</v>
      </c>
      <c r="M307" s="660">
        <v>133620.69</v>
      </c>
      <c r="N307" s="660">
        <v>0</v>
      </c>
      <c r="O307" s="660">
        <v>1379.31</v>
      </c>
      <c r="P307" s="660">
        <v>135000</v>
      </c>
      <c r="Q307" s="548"/>
      <c r="R307" s="660">
        <v>125000</v>
      </c>
      <c r="S307" s="549">
        <f t="shared" si="70"/>
        <v>10000</v>
      </c>
      <c r="T307" s="113" t="s">
        <v>263</v>
      </c>
      <c r="U307" s="267"/>
      <c r="V307" s="93"/>
      <c r="W307" s="267"/>
      <c r="X307" s="267"/>
      <c r="Y307" s="93"/>
      <c r="Z307" s="618"/>
      <c r="AA307" s="424"/>
      <c r="AB307" s="646"/>
      <c r="AC307" s="424"/>
      <c r="AD307" s="425"/>
      <c r="AE307" s="424"/>
      <c r="AF307" s="424"/>
      <c r="AG307" s="396"/>
      <c r="AH307" s="350"/>
      <c r="AI307" s="365"/>
      <c r="AJ307" s="331"/>
      <c r="AK307" s="374"/>
      <c r="AL307" s="374"/>
      <c r="AM307" s="374"/>
    </row>
    <row r="308" spans="1:39" s="291" customFormat="1" x14ac:dyDescent="0.2">
      <c r="A308" s="423">
        <f t="shared" si="71"/>
        <v>303</v>
      </c>
      <c r="B308" s="721" t="s">
        <v>8510</v>
      </c>
      <c r="C308" s="771">
        <v>41432</v>
      </c>
      <c r="D308" s="771" t="s">
        <v>721</v>
      </c>
      <c r="E308" s="771" t="s">
        <v>720</v>
      </c>
      <c r="F308" s="546">
        <v>2017</v>
      </c>
      <c r="G308" s="659">
        <v>43075</v>
      </c>
      <c r="H308" s="655" t="s">
        <v>912</v>
      </c>
      <c r="I308" s="655" t="s">
        <v>8718</v>
      </c>
      <c r="J308" s="712"/>
      <c r="K308" s="655" t="s">
        <v>8820</v>
      </c>
      <c r="L308" s="655" t="s">
        <v>9021</v>
      </c>
      <c r="M308" s="660">
        <v>250862.07</v>
      </c>
      <c r="N308" s="660">
        <v>0</v>
      </c>
      <c r="O308" s="660">
        <v>4137.93</v>
      </c>
      <c r="P308" s="660">
        <v>255000</v>
      </c>
      <c r="Q308" s="548"/>
      <c r="R308" s="660">
        <v>225000</v>
      </c>
      <c r="S308" s="549">
        <f t="shared" si="70"/>
        <v>30000</v>
      </c>
      <c r="T308" s="267" t="s">
        <v>263</v>
      </c>
      <c r="U308" s="370"/>
      <c r="V308" s="370"/>
      <c r="W308" s="375"/>
      <c r="X308" s="374"/>
      <c r="Y308" s="370"/>
      <c r="Z308" s="371"/>
      <c r="AA308" s="371"/>
      <c r="AB308" s="673"/>
      <c r="AC308" s="270"/>
      <c r="AD308" s="372"/>
      <c r="AE308" s="270"/>
      <c r="AF308" s="270"/>
      <c r="AG308" s="270"/>
      <c r="AH308" s="350"/>
      <c r="AI308" s="365"/>
      <c r="AJ308" s="331"/>
      <c r="AK308" s="374"/>
      <c r="AL308" s="374"/>
      <c r="AM308" s="374"/>
    </row>
    <row r="309" spans="1:39" s="348" customFormat="1" x14ac:dyDescent="0.2">
      <c r="A309" s="423">
        <f t="shared" si="71"/>
        <v>304</v>
      </c>
      <c r="B309" s="721" t="s">
        <v>8511</v>
      </c>
      <c r="C309" s="771">
        <v>264712</v>
      </c>
      <c r="D309" s="771" t="s">
        <v>721</v>
      </c>
      <c r="E309" s="771" t="s">
        <v>720</v>
      </c>
      <c r="F309" s="546">
        <v>2017</v>
      </c>
      <c r="G309" s="659">
        <v>43076</v>
      </c>
      <c r="H309" s="655" t="s">
        <v>6820</v>
      </c>
      <c r="I309" s="655" t="s">
        <v>8719</v>
      </c>
      <c r="J309" s="712"/>
      <c r="K309" s="655" t="s">
        <v>8821</v>
      </c>
      <c r="L309" s="655" t="s">
        <v>9022</v>
      </c>
      <c r="M309" s="660">
        <v>425862.07</v>
      </c>
      <c r="N309" s="660">
        <v>0</v>
      </c>
      <c r="O309" s="660">
        <v>4137.93</v>
      </c>
      <c r="P309" s="660">
        <v>430000</v>
      </c>
      <c r="Q309" s="548"/>
      <c r="R309" s="660">
        <v>400000</v>
      </c>
      <c r="S309" s="549">
        <f t="shared" si="70"/>
        <v>30000</v>
      </c>
      <c r="T309" s="267" t="s">
        <v>263</v>
      </c>
      <c r="U309" s="370"/>
      <c r="V309" s="370"/>
      <c r="W309" s="375"/>
      <c r="X309" s="374"/>
      <c r="Y309" s="370"/>
      <c r="Z309" s="371"/>
      <c r="AA309" s="371"/>
      <c r="AB309" s="673"/>
      <c r="AC309" s="270"/>
      <c r="AD309" s="372"/>
      <c r="AE309" s="270"/>
      <c r="AF309" s="270"/>
      <c r="AG309" s="270"/>
      <c r="AH309" s="350"/>
      <c r="AI309" s="365"/>
      <c r="AJ309" s="330"/>
      <c r="AK309" s="330"/>
      <c r="AL309" s="330"/>
      <c r="AM309" s="330"/>
    </row>
    <row r="310" spans="1:39" s="348" customFormat="1" x14ac:dyDescent="0.2">
      <c r="A310" s="423">
        <f t="shared" si="71"/>
        <v>305</v>
      </c>
      <c r="B310" s="721" t="s">
        <v>8512</v>
      </c>
      <c r="C310" s="771">
        <v>520515</v>
      </c>
      <c r="D310" s="771" t="s">
        <v>721</v>
      </c>
      <c r="E310" s="771" t="s">
        <v>720</v>
      </c>
      <c r="F310" s="546">
        <v>2016</v>
      </c>
      <c r="G310" s="659">
        <v>43077</v>
      </c>
      <c r="H310" s="655" t="s">
        <v>1211</v>
      </c>
      <c r="I310" s="655" t="s">
        <v>6421</v>
      </c>
      <c r="J310" s="712"/>
      <c r="K310" s="655" t="s">
        <v>6524</v>
      </c>
      <c r="L310" s="655" t="s">
        <v>6682</v>
      </c>
      <c r="M310" s="660">
        <v>-373206.9</v>
      </c>
      <c r="N310" s="660">
        <v>0</v>
      </c>
      <c r="O310" s="660">
        <v>-1793.1</v>
      </c>
      <c r="P310" s="660">
        <v>-375000</v>
      </c>
      <c r="Q310" s="548"/>
      <c r="R310" s="660">
        <v>-362000</v>
      </c>
      <c r="S310" s="549">
        <f t="shared" si="70"/>
        <v>-13000</v>
      </c>
      <c r="T310" s="267" t="s">
        <v>263</v>
      </c>
      <c r="U310" s="370"/>
      <c r="V310" s="370"/>
      <c r="W310" s="375"/>
      <c r="X310" s="374"/>
      <c r="Y310" s="370"/>
      <c r="Z310" s="371"/>
      <c r="AA310" s="371"/>
      <c r="AB310" s="673"/>
      <c r="AC310" s="270"/>
      <c r="AD310" s="372"/>
      <c r="AE310" s="270"/>
      <c r="AF310" s="270"/>
      <c r="AG310" s="270"/>
      <c r="AH310" s="350"/>
      <c r="AI310" s="365"/>
      <c r="AJ310" s="330"/>
      <c r="AK310" s="330"/>
      <c r="AL310" s="330"/>
      <c r="AM310" s="330"/>
    </row>
    <row r="311" spans="1:39" s="348" customFormat="1" x14ac:dyDescent="0.2">
      <c r="A311" s="423">
        <f t="shared" si="71"/>
        <v>306</v>
      </c>
      <c r="B311" s="721" t="s">
        <v>8513</v>
      </c>
      <c r="C311" s="771">
        <v>520515</v>
      </c>
      <c r="D311" s="771" t="s">
        <v>721</v>
      </c>
      <c r="E311" s="771" t="s">
        <v>720</v>
      </c>
      <c r="F311" s="546">
        <v>2016</v>
      </c>
      <c r="G311" s="659">
        <v>43077</v>
      </c>
      <c r="H311" s="655" t="s">
        <v>2216</v>
      </c>
      <c r="I311" s="655" t="s">
        <v>6421</v>
      </c>
      <c r="J311" s="712"/>
      <c r="K311" s="655" t="s">
        <v>8201</v>
      </c>
      <c r="L311" s="655" t="s">
        <v>6682</v>
      </c>
      <c r="M311" s="660">
        <v>-373206.9</v>
      </c>
      <c r="N311" s="660">
        <v>0</v>
      </c>
      <c r="O311" s="660">
        <v>-1793.1</v>
      </c>
      <c r="P311" s="660">
        <v>-375000</v>
      </c>
      <c r="Q311" s="548"/>
      <c r="R311" s="660">
        <v>-362000</v>
      </c>
      <c r="S311" s="549">
        <f t="shared" si="70"/>
        <v>-13000</v>
      </c>
      <c r="T311" s="267" t="s">
        <v>263</v>
      </c>
      <c r="U311" s="370"/>
      <c r="V311" s="370"/>
      <c r="W311" s="375"/>
      <c r="X311" s="374"/>
      <c r="Y311" s="370"/>
      <c r="Z311" s="371"/>
      <c r="AA311" s="371"/>
      <c r="AB311" s="673"/>
      <c r="AC311" s="270"/>
      <c r="AD311" s="372"/>
      <c r="AE311" s="270"/>
      <c r="AF311" s="270"/>
      <c r="AG311" s="270"/>
      <c r="AH311" s="350"/>
      <c r="AI311" s="365"/>
      <c r="AJ311" s="330"/>
      <c r="AK311" s="330"/>
      <c r="AL311" s="330"/>
      <c r="AM311" s="330"/>
    </row>
    <row r="312" spans="1:39" s="348" customFormat="1" x14ac:dyDescent="0.2">
      <c r="A312" s="423">
        <f t="shared" si="71"/>
        <v>307</v>
      </c>
      <c r="B312" s="721" t="s">
        <v>8514</v>
      </c>
      <c r="C312" s="771">
        <v>520515</v>
      </c>
      <c r="D312" s="771" t="s">
        <v>721</v>
      </c>
      <c r="E312" s="771" t="s">
        <v>720</v>
      </c>
      <c r="F312" s="546">
        <v>2016</v>
      </c>
      <c r="G312" s="659">
        <v>43077</v>
      </c>
      <c r="H312" s="655" t="s">
        <v>2216</v>
      </c>
      <c r="I312" s="655" t="s">
        <v>6421</v>
      </c>
      <c r="J312" s="712"/>
      <c r="K312" s="655" t="s">
        <v>8201</v>
      </c>
      <c r="L312" s="655" t="s">
        <v>6682</v>
      </c>
      <c r="M312" s="660">
        <v>373206.9</v>
      </c>
      <c r="N312" s="660">
        <v>0</v>
      </c>
      <c r="O312" s="660">
        <v>1793.1</v>
      </c>
      <c r="P312" s="660">
        <v>375000</v>
      </c>
      <c r="Q312" s="548"/>
      <c r="R312" s="660">
        <v>362000</v>
      </c>
      <c r="S312" s="549">
        <f t="shared" si="70"/>
        <v>13000</v>
      </c>
      <c r="T312" s="267" t="s">
        <v>263</v>
      </c>
      <c r="U312" s="370"/>
      <c r="V312" s="370"/>
      <c r="W312" s="375"/>
      <c r="X312" s="374"/>
      <c r="Y312" s="370"/>
      <c r="Z312" s="371"/>
      <c r="AA312" s="371"/>
      <c r="AB312" s="673"/>
      <c r="AC312" s="270"/>
      <c r="AD312" s="372"/>
      <c r="AE312" s="270"/>
      <c r="AF312" s="270"/>
      <c r="AG312" s="270"/>
      <c r="AH312" s="350"/>
      <c r="AI312" s="365"/>
      <c r="AJ312" s="330"/>
      <c r="AK312" s="330"/>
      <c r="AL312" s="330"/>
      <c r="AM312" s="330"/>
    </row>
    <row r="313" spans="1:39" s="348" customFormat="1" x14ac:dyDescent="0.2">
      <c r="A313" s="423">
        <f t="shared" si="71"/>
        <v>308</v>
      </c>
      <c r="B313" s="721" t="s">
        <v>8515</v>
      </c>
      <c r="C313" s="771">
        <v>520515</v>
      </c>
      <c r="D313" s="771" t="s">
        <v>721</v>
      </c>
      <c r="E313" s="771" t="s">
        <v>720</v>
      </c>
      <c r="F313" s="546">
        <v>2016</v>
      </c>
      <c r="G313" s="659">
        <v>43077</v>
      </c>
      <c r="H313" s="655" t="s">
        <v>2216</v>
      </c>
      <c r="I313" s="655" t="s">
        <v>6421</v>
      </c>
      <c r="J313" s="712"/>
      <c r="K313" s="655" t="s">
        <v>8201</v>
      </c>
      <c r="L313" s="655" t="s">
        <v>6682</v>
      </c>
      <c r="M313" s="660">
        <v>373206.9</v>
      </c>
      <c r="N313" s="660">
        <v>0</v>
      </c>
      <c r="O313" s="660">
        <v>1793.1</v>
      </c>
      <c r="P313" s="660">
        <v>375000</v>
      </c>
      <c r="Q313" s="548"/>
      <c r="R313" s="660">
        <v>362000</v>
      </c>
      <c r="S313" s="549">
        <f t="shared" si="70"/>
        <v>13000</v>
      </c>
      <c r="T313" s="267" t="s">
        <v>263</v>
      </c>
      <c r="U313" s="370"/>
      <c r="V313" s="370"/>
      <c r="W313" s="375"/>
      <c r="X313" s="374"/>
      <c r="Y313" s="370"/>
      <c r="Z313" s="371"/>
      <c r="AA313" s="371"/>
      <c r="AB313" s="673"/>
      <c r="AC313" s="270"/>
      <c r="AD313" s="372"/>
      <c r="AE313" s="270"/>
      <c r="AF313" s="270"/>
      <c r="AG313" s="270"/>
      <c r="AH313" s="350"/>
      <c r="AI313" s="365"/>
      <c r="AJ313" s="330"/>
      <c r="AK313" s="330"/>
      <c r="AL313" s="330"/>
      <c r="AM313" s="330"/>
    </row>
    <row r="314" spans="1:39" s="348" customFormat="1" x14ac:dyDescent="0.2">
      <c r="A314" s="423">
        <f t="shared" si="71"/>
        <v>309</v>
      </c>
      <c r="B314" s="721" t="s">
        <v>8516</v>
      </c>
      <c r="C314" s="771">
        <v>264712</v>
      </c>
      <c r="D314" s="771" t="s">
        <v>721</v>
      </c>
      <c r="E314" s="771" t="s">
        <v>720</v>
      </c>
      <c r="F314" s="546">
        <v>2017</v>
      </c>
      <c r="G314" s="659">
        <v>43080</v>
      </c>
      <c r="H314" s="655" t="s">
        <v>6820</v>
      </c>
      <c r="I314" s="655" t="s">
        <v>8719</v>
      </c>
      <c r="J314" s="712"/>
      <c r="K314" s="655" t="s">
        <v>8821</v>
      </c>
      <c r="L314" s="655" t="s">
        <v>9022</v>
      </c>
      <c r="M314" s="660">
        <v>-425862.07</v>
      </c>
      <c r="N314" s="660">
        <v>0</v>
      </c>
      <c r="O314" s="660">
        <v>-4137.93</v>
      </c>
      <c r="P314" s="660">
        <v>-430000</v>
      </c>
      <c r="Q314" s="548"/>
      <c r="R314" s="660">
        <v>-400000</v>
      </c>
      <c r="S314" s="549">
        <f t="shared" si="70"/>
        <v>-30000</v>
      </c>
      <c r="T314" s="113" t="s">
        <v>263</v>
      </c>
      <c r="U314" s="370"/>
      <c r="V314" s="370"/>
      <c r="W314" s="375"/>
      <c r="X314" s="374"/>
      <c r="Y314" s="370"/>
      <c r="Z314" s="371"/>
      <c r="AA314" s="371"/>
      <c r="AB314" s="673"/>
      <c r="AC314" s="270"/>
      <c r="AD314" s="372"/>
      <c r="AE314" s="270"/>
      <c r="AF314" s="270"/>
      <c r="AG314" s="270"/>
      <c r="AH314" s="350"/>
      <c r="AI314" s="365"/>
      <c r="AJ314" s="330"/>
      <c r="AK314" s="330"/>
      <c r="AL314" s="330"/>
      <c r="AM314" s="330"/>
    </row>
    <row r="315" spans="1:39" s="348" customFormat="1" x14ac:dyDescent="0.2">
      <c r="A315" s="423">
        <f t="shared" si="71"/>
        <v>310</v>
      </c>
      <c r="B315" s="721" t="s">
        <v>8517</v>
      </c>
      <c r="C315" s="771">
        <v>264712</v>
      </c>
      <c r="D315" s="771" t="s">
        <v>721</v>
      </c>
      <c r="E315" s="771" t="s">
        <v>720</v>
      </c>
      <c r="F315" s="546">
        <v>2017</v>
      </c>
      <c r="G315" s="659">
        <v>43080</v>
      </c>
      <c r="H315" s="655" t="s">
        <v>6880</v>
      </c>
      <c r="I315" s="655" t="s">
        <v>8719</v>
      </c>
      <c r="J315" s="712"/>
      <c r="K315" s="655" t="s">
        <v>8821</v>
      </c>
      <c r="L315" s="655" t="s">
        <v>9022</v>
      </c>
      <c r="M315" s="660">
        <v>425862.07</v>
      </c>
      <c r="N315" s="660">
        <v>0</v>
      </c>
      <c r="O315" s="660">
        <v>4137.93</v>
      </c>
      <c r="P315" s="660">
        <v>430000</v>
      </c>
      <c r="Q315" s="548"/>
      <c r="R315" s="660">
        <v>400000</v>
      </c>
      <c r="S315" s="549">
        <f t="shared" si="70"/>
        <v>30000</v>
      </c>
      <c r="T315" s="113" t="s">
        <v>263</v>
      </c>
      <c r="U315" s="370"/>
      <c r="V315" s="370"/>
      <c r="W315" s="375"/>
      <c r="X315" s="374"/>
      <c r="Y315" s="370"/>
      <c r="Z315" s="371"/>
      <c r="AA315" s="371"/>
      <c r="AB315" s="673"/>
      <c r="AC315" s="270"/>
      <c r="AD315" s="372"/>
      <c r="AE315" s="270"/>
      <c r="AF315" s="270"/>
      <c r="AG315" s="270"/>
      <c r="AH315" s="350"/>
      <c r="AI315" s="365"/>
      <c r="AJ315" s="330"/>
      <c r="AK315" s="330"/>
      <c r="AL315" s="330"/>
      <c r="AM315" s="330"/>
    </row>
    <row r="316" spans="1:39" s="348" customFormat="1" x14ac:dyDescent="0.2">
      <c r="A316" s="423">
        <f t="shared" si="71"/>
        <v>311</v>
      </c>
      <c r="B316" s="721" t="s">
        <v>8518</v>
      </c>
      <c r="C316" s="771">
        <v>52062</v>
      </c>
      <c r="D316" s="771" t="s">
        <v>721</v>
      </c>
      <c r="E316" s="771" t="s">
        <v>720</v>
      </c>
      <c r="F316" s="546">
        <v>2017</v>
      </c>
      <c r="G316" s="659">
        <v>43084</v>
      </c>
      <c r="H316" s="655" t="s">
        <v>912</v>
      </c>
      <c r="I316" s="655" t="s">
        <v>8716</v>
      </c>
      <c r="J316" s="712"/>
      <c r="K316" s="655" t="s">
        <v>8818</v>
      </c>
      <c r="L316" s="655" t="s">
        <v>9019</v>
      </c>
      <c r="M316" s="660">
        <v>-175862.07</v>
      </c>
      <c r="N316" s="660">
        <v>0</v>
      </c>
      <c r="O316" s="660">
        <v>-4137.93</v>
      </c>
      <c r="P316" s="660">
        <v>-180000</v>
      </c>
      <c r="Q316" s="548"/>
      <c r="R316" s="660">
        <v>-150000</v>
      </c>
      <c r="S316" s="549">
        <f t="shared" si="70"/>
        <v>-30000</v>
      </c>
      <c r="T316" s="113" t="s">
        <v>263</v>
      </c>
      <c r="U316" s="370"/>
      <c r="V316" s="370"/>
      <c r="W316" s="375"/>
      <c r="X316" s="374"/>
      <c r="Y316" s="370"/>
      <c r="Z316" s="371"/>
      <c r="AA316" s="371"/>
      <c r="AB316" s="673"/>
      <c r="AC316" s="270"/>
      <c r="AD316" s="372"/>
      <c r="AE316" s="270"/>
      <c r="AF316" s="270"/>
      <c r="AG316" s="270"/>
      <c r="AH316" s="350"/>
      <c r="AI316" s="365"/>
      <c r="AJ316" s="330"/>
      <c r="AK316" s="330"/>
      <c r="AL316" s="330"/>
      <c r="AM316" s="330"/>
    </row>
    <row r="317" spans="1:39" s="348" customFormat="1" x14ac:dyDescent="0.2">
      <c r="A317" s="423">
        <f t="shared" si="71"/>
        <v>312</v>
      </c>
      <c r="B317" s="721" t="s">
        <v>8519</v>
      </c>
      <c r="C317" s="771">
        <v>52062</v>
      </c>
      <c r="D317" s="771" t="s">
        <v>721</v>
      </c>
      <c r="E317" s="771" t="s">
        <v>720</v>
      </c>
      <c r="F317" s="546">
        <v>2017</v>
      </c>
      <c r="G317" s="659">
        <v>43084</v>
      </c>
      <c r="H317" s="655" t="s">
        <v>8845</v>
      </c>
      <c r="I317" s="655" t="s">
        <v>8716</v>
      </c>
      <c r="J317" s="712"/>
      <c r="K317" s="655" t="s">
        <v>8822</v>
      </c>
      <c r="L317" s="655" t="s">
        <v>9019</v>
      </c>
      <c r="M317" s="660">
        <v>175862.07</v>
      </c>
      <c r="N317" s="660">
        <v>0</v>
      </c>
      <c r="O317" s="660">
        <v>4137.93</v>
      </c>
      <c r="P317" s="660">
        <v>180000</v>
      </c>
      <c r="Q317" s="548"/>
      <c r="R317" s="660">
        <v>150000</v>
      </c>
      <c r="S317" s="549">
        <f t="shared" si="70"/>
        <v>30000</v>
      </c>
      <c r="T317" s="113" t="s">
        <v>263</v>
      </c>
      <c r="U317" s="370"/>
      <c r="V317" s="370"/>
      <c r="W317" s="375"/>
      <c r="X317" s="374"/>
      <c r="Y317" s="370"/>
      <c r="Z317" s="371"/>
      <c r="AA317" s="371"/>
      <c r="AB317" s="673"/>
      <c r="AC317" s="270"/>
      <c r="AD317" s="372"/>
      <c r="AE317" s="270"/>
      <c r="AF317" s="270"/>
      <c r="AG317" s="270"/>
      <c r="AH317" s="350"/>
      <c r="AI317" s="365"/>
      <c r="AJ317" s="330"/>
      <c r="AK317" s="330"/>
      <c r="AL317" s="330"/>
      <c r="AM317" s="330"/>
    </row>
    <row r="318" spans="1:39" s="348" customFormat="1" x14ac:dyDescent="0.2">
      <c r="A318" s="423">
        <f t="shared" si="71"/>
        <v>313</v>
      </c>
      <c r="B318" s="721" t="s">
        <v>8520</v>
      </c>
      <c r="C318" s="771">
        <v>42726</v>
      </c>
      <c r="D318" s="771" t="s">
        <v>721</v>
      </c>
      <c r="E318" s="771" t="s">
        <v>720</v>
      </c>
      <c r="F318" s="546">
        <v>2017</v>
      </c>
      <c r="G318" s="659">
        <v>43090</v>
      </c>
      <c r="H318" s="655" t="s">
        <v>6277</v>
      </c>
      <c r="I318" s="655" t="s">
        <v>8720</v>
      </c>
      <c r="J318" s="712"/>
      <c r="K318" s="655" t="s">
        <v>8823</v>
      </c>
      <c r="L318" s="655" t="s">
        <v>9023</v>
      </c>
      <c r="M318" s="660">
        <v>323793.09999999998</v>
      </c>
      <c r="N318" s="660">
        <v>0</v>
      </c>
      <c r="O318" s="660">
        <v>6206.9</v>
      </c>
      <c r="P318" s="660">
        <v>330000</v>
      </c>
      <c r="Q318" s="548"/>
      <c r="R318" s="660">
        <v>285000</v>
      </c>
      <c r="S318" s="549">
        <f t="shared" si="70"/>
        <v>45000</v>
      </c>
      <c r="T318" s="113" t="s">
        <v>263</v>
      </c>
      <c r="U318" s="370"/>
      <c r="V318" s="370"/>
      <c r="W318" s="375"/>
      <c r="X318" s="374"/>
      <c r="Y318" s="370"/>
      <c r="Z318" s="371"/>
      <c r="AA318" s="371"/>
      <c r="AB318" s="673"/>
      <c r="AC318" s="270"/>
      <c r="AD318" s="372"/>
      <c r="AE318" s="270"/>
      <c r="AF318" s="270"/>
      <c r="AG318" s="270"/>
      <c r="AH318" s="350"/>
      <c r="AI318" s="365"/>
      <c r="AJ318" s="330"/>
      <c r="AK318" s="330"/>
      <c r="AL318" s="330"/>
      <c r="AM318" s="330"/>
    </row>
    <row r="319" spans="1:39" s="348" customFormat="1" x14ac:dyDescent="0.2">
      <c r="A319" s="423">
        <f t="shared" si="71"/>
        <v>314</v>
      </c>
      <c r="B319" s="721" t="s">
        <v>8521</v>
      </c>
      <c r="C319" s="771">
        <v>44611</v>
      </c>
      <c r="D319" s="771" t="s">
        <v>721</v>
      </c>
      <c r="E319" s="771" t="s">
        <v>720</v>
      </c>
      <c r="F319" s="546">
        <v>2017</v>
      </c>
      <c r="G319" s="659">
        <v>43091</v>
      </c>
      <c r="H319" s="655" t="s">
        <v>912</v>
      </c>
      <c r="I319" s="655" t="s">
        <v>8721</v>
      </c>
      <c r="J319" s="712"/>
      <c r="K319" s="655" t="s">
        <v>8824</v>
      </c>
      <c r="L319" s="655" t="s">
        <v>9024</v>
      </c>
      <c r="M319" s="660">
        <v>146551.72</v>
      </c>
      <c r="N319" s="660">
        <v>0</v>
      </c>
      <c r="O319" s="660">
        <v>3448.28</v>
      </c>
      <c r="P319" s="660">
        <v>150000</v>
      </c>
      <c r="Q319" s="548"/>
      <c r="R319" s="660">
        <v>125000</v>
      </c>
      <c r="S319" s="549">
        <f t="shared" si="70"/>
        <v>25000</v>
      </c>
      <c r="T319" s="267" t="s">
        <v>263</v>
      </c>
      <c r="U319" s="370"/>
      <c r="V319" s="370"/>
      <c r="W319" s="375"/>
      <c r="X319" s="374"/>
      <c r="Y319" s="370"/>
      <c r="Z319" s="371"/>
      <c r="AA319" s="371"/>
      <c r="AB319" s="673"/>
      <c r="AC319" s="270"/>
      <c r="AD319" s="372"/>
      <c r="AE319" s="270"/>
      <c r="AF319" s="270"/>
      <c r="AG319" s="270"/>
      <c r="AH319" s="350"/>
      <c r="AI319" s="365"/>
      <c r="AJ319" s="330"/>
      <c r="AK319" s="330"/>
      <c r="AL319" s="330"/>
      <c r="AM319" s="330"/>
    </row>
    <row r="320" spans="1:39" s="348" customFormat="1" x14ac:dyDescent="0.2">
      <c r="A320" s="423">
        <f t="shared" si="71"/>
        <v>315</v>
      </c>
      <c r="B320" s="721" t="s">
        <v>8522</v>
      </c>
      <c r="C320" s="771">
        <v>56516</v>
      </c>
      <c r="D320" s="771" t="s">
        <v>721</v>
      </c>
      <c r="E320" s="771" t="s">
        <v>720</v>
      </c>
      <c r="F320" s="546">
        <v>2017</v>
      </c>
      <c r="G320" s="659">
        <v>43091</v>
      </c>
      <c r="H320" s="655" t="s">
        <v>8846</v>
      </c>
      <c r="I320" s="655" t="s">
        <v>8722</v>
      </c>
      <c r="J320" s="712"/>
      <c r="K320" s="655" t="s">
        <v>8825</v>
      </c>
      <c r="L320" s="655" t="s">
        <v>9025</v>
      </c>
      <c r="M320" s="660">
        <v>172413.79</v>
      </c>
      <c r="N320" s="660">
        <v>0</v>
      </c>
      <c r="O320" s="660">
        <v>27586.21</v>
      </c>
      <c r="P320" s="660">
        <v>200000</v>
      </c>
      <c r="Q320" s="548"/>
      <c r="R320" s="660">
        <v>146551.72</v>
      </c>
      <c r="S320" s="549">
        <f t="shared" si="70"/>
        <v>53448.28</v>
      </c>
      <c r="T320" s="444" t="s">
        <v>263</v>
      </c>
      <c r="U320" s="370"/>
      <c r="V320" s="370"/>
      <c r="W320" s="375"/>
      <c r="X320" s="374"/>
      <c r="Y320" s="370"/>
      <c r="Z320" s="371"/>
      <c r="AA320" s="371"/>
      <c r="AB320" s="673"/>
      <c r="AC320" s="270"/>
      <c r="AD320" s="372"/>
      <c r="AE320" s="270"/>
      <c r="AF320" s="270"/>
      <c r="AG320" s="270"/>
      <c r="AH320" s="350"/>
      <c r="AI320" s="365"/>
      <c r="AJ320" s="330"/>
      <c r="AK320" s="330"/>
      <c r="AL320" s="330"/>
      <c r="AM320" s="330"/>
    </row>
    <row r="321" spans="1:39" s="348" customFormat="1" x14ac:dyDescent="0.2">
      <c r="A321" s="423">
        <f t="shared" si="71"/>
        <v>316</v>
      </c>
      <c r="B321" s="721" t="s">
        <v>8523</v>
      </c>
      <c r="C321" s="771">
        <v>520111</v>
      </c>
      <c r="D321" s="771" t="s">
        <v>686</v>
      </c>
      <c r="E321" s="771" t="s">
        <v>720</v>
      </c>
      <c r="F321" s="546">
        <v>2017</v>
      </c>
      <c r="G321" s="659">
        <v>43074</v>
      </c>
      <c r="H321" s="655" t="s">
        <v>7763</v>
      </c>
      <c r="I321" s="655" t="s">
        <v>8723</v>
      </c>
      <c r="J321" s="712"/>
      <c r="K321" s="655" t="s">
        <v>8826</v>
      </c>
      <c r="L321" s="655" t="s">
        <v>9026</v>
      </c>
      <c r="M321" s="660">
        <v>188620.69</v>
      </c>
      <c r="N321" s="660">
        <v>0</v>
      </c>
      <c r="O321" s="660">
        <v>5379.31</v>
      </c>
      <c r="P321" s="660">
        <v>194000</v>
      </c>
      <c r="Q321" s="548"/>
      <c r="R321" s="660">
        <v>155000</v>
      </c>
      <c r="S321" s="549">
        <f t="shared" si="70"/>
        <v>39000</v>
      </c>
      <c r="T321" s="113" t="s">
        <v>263</v>
      </c>
      <c r="U321" s="370"/>
      <c r="V321" s="370"/>
      <c r="W321" s="375"/>
      <c r="X321" s="374"/>
      <c r="Y321" s="370"/>
      <c r="Z321" s="371"/>
      <c r="AA321" s="371"/>
      <c r="AB321" s="673"/>
      <c r="AC321" s="270"/>
      <c r="AD321" s="372"/>
      <c r="AE321" s="270"/>
      <c r="AF321" s="270"/>
      <c r="AG321" s="270"/>
      <c r="AH321" s="350"/>
      <c r="AI321" s="365"/>
      <c r="AJ321" s="330"/>
      <c r="AK321" s="330"/>
      <c r="AL321" s="330"/>
      <c r="AM321" s="330"/>
    </row>
    <row r="322" spans="1:39" s="348" customFormat="1" x14ac:dyDescent="0.2">
      <c r="A322" s="423">
        <f t="shared" si="71"/>
        <v>317</v>
      </c>
      <c r="B322" s="721" t="s">
        <v>8524</v>
      </c>
      <c r="C322" s="771">
        <v>521801</v>
      </c>
      <c r="D322" s="771" t="s">
        <v>686</v>
      </c>
      <c r="E322" s="771" t="s">
        <v>720</v>
      </c>
      <c r="F322" s="546">
        <v>2017</v>
      </c>
      <c r="G322" s="659">
        <v>43074</v>
      </c>
      <c r="H322" s="655" t="s">
        <v>2215</v>
      </c>
      <c r="I322" s="655" t="s">
        <v>8724</v>
      </c>
      <c r="J322" s="712"/>
      <c r="K322" s="655" t="s">
        <v>8827</v>
      </c>
      <c r="L322" s="655" t="s">
        <v>9027</v>
      </c>
      <c r="M322" s="660">
        <v>-107931.03</v>
      </c>
      <c r="N322" s="660">
        <v>0</v>
      </c>
      <c r="O322" s="660">
        <v>-2068.9699999999998</v>
      </c>
      <c r="P322" s="660">
        <v>-110000</v>
      </c>
      <c r="Q322" s="548"/>
      <c r="R322" s="660">
        <v>-95000</v>
      </c>
      <c r="S322" s="549">
        <f t="shared" si="70"/>
        <v>-15000</v>
      </c>
      <c r="T322" s="113" t="s">
        <v>263</v>
      </c>
      <c r="U322" s="370"/>
      <c r="V322" s="370"/>
      <c r="W322" s="375"/>
      <c r="X322" s="374"/>
      <c r="Y322" s="370"/>
      <c r="Z322" s="371"/>
      <c r="AA322" s="371"/>
      <c r="AB322" s="673"/>
      <c r="AC322" s="270"/>
      <c r="AD322" s="372"/>
      <c r="AE322" s="270"/>
      <c r="AF322" s="270"/>
      <c r="AG322" s="270"/>
      <c r="AH322" s="350"/>
      <c r="AI322" s="365"/>
      <c r="AJ322" s="330"/>
      <c r="AK322" s="330"/>
      <c r="AL322" s="330"/>
      <c r="AM322" s="330"/>
    </row>
    <row r="323" spans="1:39" s="348" customFormat="1" x14ac:dyDescent="0.2">
      <c r="A323" s="423">
        <f t="shared" si="71"/>
        <v>318</v>
      </c>
      <c r="B323" s="721" t="s">
        <v>8525</v>
      </c>
      <c r="C323" s="771">
        <v>521801</v>
      </c>
      <c r="D323" s="771" t="s">
        <v>686</v>
      </c>
      <c r="E323" s="771" t="s">
        <v>720</v>
      </c>
      <c r="F323" s="546">
        <v>2017</v>
      </c>
      <c r="G323" s="659">
        <v>43074</v>
      </c>
      <c r="H323" s="655" t="s">
        <v>2215</v>
      </c>
      <c r="I323" s="655" t="s">
        <v>8724</v>
      </c>
      <c r="J323" s="712"/>
      <c r="K323" s="655" t="s">
        <v>8827</v>
      </c>
      <c r="L323" s="655" t="s">
        <v>9027</v>
      </c>
      <c r="M323" s="660">
        <v>107931.03</v>
      </c>
      <c r="N323" s="660">
        <v>0</v>
      </c>
      <c r="O323" s="660">
        <v>2068.9699999999998</v>
      </c>
      <c r="P323" s="660">
        <v>110000</v>
      </c>
      <c r="Q323" s="548"/>
      <c r="R323" s="660">
        <v>95000</v>
      </c>
      <c r="S323" s="549">
        <f t="shared" si="70"/>
        <v>15000</v>
      </c>
      <c r="T323" s="113" t="s">
        <v>263</v>
      </c>
      <c r="U323" s="370"/>
      <c r="V323" s="370"/>
      <c r="W323" s="375"/>
      <c r="X323" s="374"/>
      <c r="Y323" s="370"/>
      <c r="Z323" s="371"/>
      <c r="AA323" s="371"/>
      <c r="AB323" s="673"/>
      <c r="AC323" s="270"/>
      <c r="AD323" s="372"/>
      <c r="AE323" s="270"/>
      <c r="AF323" s="270"/>
      <c r="AG323" s="270"/>
      <c r="AH323" s="350"/>
      <c r="AI323" s="365"/>
      <c r="AJ323" s="330"/>
      <c r="AK323" s="330"/>
      <c r="AL323" s="330"/>
      <c r="AM323" s="330"/>
    </row>
    <row r="324" spans="1:39" s="348" customFormat="1" x14ac:dyDescent="0.2">
      <c r="A324" s="423">
        <f t="shared" si="71"/>
        <v>319</v>
      </c>
      <c r="B324" s="721" t="s">
        <v>8526</v>
      </c>
      <c r="C324" s="771">
        <v>521801</v>
      </c>
      <c r="D324" s="771" t="s">
        <v>686</v>
      </c>
      <c r="E324" s="771" t="s">
        <v>720</v>
      </c>
      <c r="F324" s="546">
        <v>2017</v>
      </c>
      <c r="G324" s="659">
        <v>43074</v>
      </c>
      <c r="H324" s="655" t="s">
        <v>2215</v>
      </c>
      <c r="I324" s="655" t="s">
        <v>8724</v>
      </c>
      <c r="J324" s="712"/>
      <c r="K324" s="655" t="s">
        <v>8827</v>
      </c>
      <c r="L324" s="655" t="s">
        <v>9027</v>
      </c>
      <c r="M324" s="660">
        <v>107931.03</v>
      </c>
      <c r="N324" s="660">
        <v>0</v>
      </c>
      <c r="O324" s="660">
        <v>2068.9699999999998</v>
      </c>
      <c r="P324" s="660">
        <v>110000</v>
      </c>
      <c r="Q324" s="548"/>
      <c r="R324" s="660">
        <v>95000</v>
      </c>
      <c r="S324" s="549">
        <f t="shared" si="70"/>
        <v>15000</v>
      </c>
      <c r="T324" s="113" t="s">
        <v>263</v>
      </c>
      <c r="U324" s="370"/>
      <c r="V324" s="370"/>
      <c r="W324" s="375"/>
      <c r="X324" s="374"/>
      <c r="Y324" s="370"/>
      <c r="Z324" s="371"/>
      <c r="AA324" s="371"/>
      <c r="AB324" s="673"/>
      <c r="AC324" s="270"/>
      <c r="AD324" s="372"/>
      <c r="AE324" s="270"/>
      <c r="AF324" s="270"/>
      <c r="AG324" s="270"/>
      <c r="AH324" s="350"/>
      <c r="AI324" s="365"/>
      <c r="AJ324" s="330"/>
      <c r="AK324" s="330"/>
      <c r="AL324" s="330"/>
      <c r="AM324" s="330"/>
    </row>
    <row r="325" spans="1:39" s="348" customFormat="1" x14ac:dyDescent="0.2">
      <c r="A325" s="423">
        <f t="shared" si="71"/>
        <v>320</v>
      </c>
      <c r="B325" s="721" t="s">
        <v>8527</v>
      </c>
      <c r="C325" s="771">
        <v>520112</v>
      </c>
      <c r="D325" s="771" t="s">
        <v>686</v>
      </c>
      <c r="E325" s="771" t="s">
        <v>720</v>
      </c>
      <c r="F325" s="546">
        <v>2017</v>
      </c>
      <c r="G325" s="659">
        <v>43074</v>
      </c>
      <c r="H325" s="655" t="s">
        <v>8846</v>
      </c>
      <c r="I325" s="655" t="s">
        <v>8725</v>
      </c>
      <c r="J325" s="712"/>
      <c r="K325" s="655" t="s">
        <v>8828</v>
      </c>
      <c r="L325" s="655" t="s">
        <v>9028</v>
      </c>
      <c r="M325" s="660">
        <v>289482.76</v>
      </c>
      <c r="N325" s="660">
        <v>0</v>
      </c>
      <c r="O325" s="660">
        <v>5517.24</v>
      </c>
      <c r="P325" s="660">
        <v>295000</v>
      </c>
      <c r="Q325" s="548"/>
      <c r="R325" s="660">
        <v>255000</v>
      </c>
      <c r="S325" s="549">
        <f t="shared" ref="S325:S342" si="72">+P325-R325</f>
        <v>40000</v>
      </c>
      <c r="T325" s="113" t="s">
        <v>263</v>
      </c>
      <c r="U325" s="370"/>
      <c r="V325" s="370"/>
      <c r="W325" s="375"/>
      <c r="X325" s="374"/>
      <c r="Y325" s="370"/>
      <c r="Z325" s="371"/>
      <c r="AA325" s="371"/>
      <c r="AB325" s="673"/>
      <c r="AC325" s="270"/>
      <c r="AD325" s="372"/>
      <c r="AE325" s="270"/>
      <c r="AF325" s="270"/>
      <c r="AG325" s="270"/>
      <c r="AH325" s="350"/>
      <c r="AI325" s="365"/>
      <c r="AJ325" s="330"/>
      <c r="AK325" s="330"/>
      <c r="AL325" s="330"/>
      <c r="AM325" s="330"/>
    </row>
    <row r="326" spans="1:39" s="348" customFormat="1" x14ac:dyDescent="0.2">
      <c r="A326" s="423">
        <f t="shared" si="71"/>
        <v>321</v>
      </c>
      <c r="B326" s="721" t="s">
        <v>8528</v>
      </c>
      <c r="C326" s="771">
        <v>520224</v>
      </c>
      <c r="D326" s="771" t="s">
        <v>686</v>
      </c>
      <c r="E326" s="771" t="s">
        <v>720</v>
      </c>
      <c r="F326" s="546">
        <v>2017</v>
      </c>
      <c r="G326" s="659">
        <v>43077</v>
      </c>
      <c r="H326" s="655" t="s">
        <v>2216</v>
      </c>
      <c r="I326" s="655" t="s">
        <v>7758</v>
      </c>
      <c r="J326" s="712"/>
      <c r="K326" s="655" t="s">
        <v>8201</v>
      </c>
      <c r="L326" s="655" t="s">
        <v>7564</v>
      </c>
      <c r="M326" s="660">
        <v>-241000</v>
      </c>
      <c r="N326" s="660">
        <v>0</v>
      </c>
      <c r="O326" s="660">
        <v>-4000</v>
      </c>
      <c r="P326" s="660">
        <v>-245000</v>
      </c>
      <c r="Q326" s="548"/>
      <c r="R326" s="660">
        <v>-216000</v>
      </c>
      <c r="S326" s="549">
        <f t="shared" si="72"/>
        <v>-29000</v>
      </c>
      <c r="T326" s="113" t="s">
        <v>263</v>
      </c>
      <c r="U326" s="370"/>
      <c r="V326" s="370"/>
      <c r="W326" s="375"/>
      <c r="X326" s="374"/>
      <c r="Y326" s="370"/>
      <c r="Z326" s="371"/>
      <c r="AA326" s="371"/>
      <c r="AB326" s="673"/>
      <c r="AC326" s="270"/>
      <c r="AD326" s="372"/>
      <c r="AE326" s="270"/>
      <c r="AF326" s="270"/>
      <c r="AG326" s="270"/>
      <c r="AH326" s="350"/>
      <c r="AI326" s="365"/>
      <c r="AJ326" s="330"/>
      <c r="AK326" s="330"/>
      <c r="AL326" s="330"/>
      <c r="AM326" s="330"/>
    </row>
    <row r="327" spans="1:39" s="348" customFormat="1" x14ac:dyDescent="0.2">
      <c r="A327" s="423">
        <f t="shared" si="71"/>
        <v>322</v>
      </c>
      <c r="B327" s="721" t="s">
        <v>8529</v>
      </c>
      <c r="C327" s="771">
        <v>521705</v>
      </c>
      <c r="D327" s="771" t="s">
        <v>686</v>
      </c>
      <c r="E327" s="771" t="s">
        <v>720</v>
      </c>
      <c r="F327" s="546">
        <v>2017</v>
      </c>
      <c r="G327" s="659">
        <v>43077</v>
      </c>
      <c r="H327" s="655" t="s">
        <v>6277</v>
      </c>
      <c r="I327" s="655" t="s">
        <v>8726</v>
      </c>
      <c r="J327" s="712"/>
      <c r="K327" s="655" t="s">
        <v>8829</v>
      </c>
      <c r="L327" s="655" t="s">
        <v>9029</v>
      </c>
      <c r="M327" s="660">
        <v>172241.38</v>
      </c>
      <c r="N327" s="660">
        <v>0</v>
      </c>
      <c r="O327" s="660">
        <v>2758.62</v>
      </c>
      <c r="P327" s="660">
        <v>175000</v>
      </c>
      <c r="Q327" s="548"/>
      <c r="R327" s="660">
        <v>155000</v>
      </c>
      <c r="S327" s="549">
        <f t="shared" si="72"/>
        <v>20000</v>
      </c>
      <c r="T327" s="113" t="s">
        <v>263</v>
      </c>
      <c r="U327" s="370"/>
      <c r="V327" s="370"/>
      <c r="W327" s="375"/>
      <c r="X327" s="374"/>
      <c r="Y327" s="370"/>
      <c r="Z327" s="371"/>
      <c r="AA327" s="371"/>
      <c r="AB327" s="673"/>
      <c r="AC327" s="270"/>
      <c r="AD327" s="372"/>
      <c r="AE327" s="270"/>
      <c r="AF327" s="270"/>
      <c r="AG327" s="270"/>
      <c r="AH327" s="350"/>
      <c r="AI327" s="365"/>
      <c r="AJ327" s="330"/>
      <c r="AK327" s="330"/>
      <c r="AL327" s="330"/>
      <c r="AM327" s="330"/>
    </row>
    <row r="328" spans="1:39" s="348" customFormat="1" x14ac:dyDescent="0.2">
      <c r="A328" s="423">
        <f t="shared" ref="A328:A342" si="73">+A327+1</f>
        <v>323</v>
      </c>
      <c r="B328" s="721" t="s">
        <v>8530</v>
      </c>
      <c r="C328" s="771">
        <v>1520604</v>
      </c>
      <c r="D328" s="771" t="s">
        <v>686</v>
      </c>
      <c r="E328" s="771" t="s">
        <v>720</v>
      </c>
      <c r="F328" s="546">
        <v>2017</v>
      </c>
      <c r="G328" s="659">
        <v>43077</v>
      </c>
      <c r="H328" s="655" t="s">
        <v>8846</v>
      </c>
      <c r="I328" s="655" t="s">
        <v>8727</v>
      </c>
      <c r="J328" s="712"/>
      <c r="K328" s="655" t="s">
        <v>8830</v>
      </c>
      <c r="L328" s="655" t="s">
        <v>9030</v>
      </c>
      <c r="M328" s="660">
        <v>279482.76</v>
      </c>
      <c r="N328" s="660">
        <v>0</v>
      </c>
      <c r="O328" s="660">
        <v>5517.24</v>
      </c>
      <c r="P328" s="660">
        <v>285000</v>
      </c>
      <c r="Q328" s="548"/>
      <c r="R328" s="660">
        <v>245000</v>
      </c>
      <c r="S328" s="549">
        <f t="shared" si="72"/>
        <v>40000</v>
      </c>
      <c r="T328" s="113" t="s">
        <v>263</v>
      </c>
      <c r="U328" s="370"/>
      <c r="V328" s="370"/>
      <c r="W328" s="375"/>
      <c r="X328" s="374"/>
      <c r="Y328" s="370"/>
      <c r="Z328" s="371"/>
      <c r="AA328" s="371"/>
      <c r="AB328" s="673"/>
      <c r="AC328" s="270"/>
      <c r="AD328" s="372"/>
      <c r="AE328" s="270"/>
      <c r="AF328" s="270"/>
      <c r="AG328" s="270"/>
      <c r="AH328" s="350"/>
      <c r="AI328" s="365"/>
      <c r="AJ328" s="330"/>
      <c r="AK328" s="330"/>
      <c r="AL328" s="330"/>
      <c r="AM328" s="330"/>
    </row>
    <row r="329" spans="1:39" s="348" customFormat="1" x14ac:dyDescent="0.2">
      <c r="A329" s="423">
        <f t="shared" si="73"/>
        <v>324</v>
      </c>
      <c r="B329" s="721" t="s">
        <v>8531</v>
      </c>
      <c r="C329" s="771">
        <v>521802</v>
      </c>
      <c r="D329" s="771" t="s">
        <v>686</v>
      </c>
      <c r="E329" s="771" t="s">
        <v>720</v>
      </c>
      <c r="F329" s="546">
        <v>2017</v>
      </c>
      <c r="G329" s="659">
        <v>43080</v>
      </c>
      <c r="H329" s="655" t="s">
        <v>8847</v>
      </c>
      <c r="I329" s="655" t="s">
        <v>8728</v>
      </c>
      <c r="J329" s="712"/>
      <c r="K329" s="655" t="s">
        <v>8831</v>
      </c>
      <c r="L329" s="655" t="s">
        <v>9031</v>
      </c>
      <c r="M329" s="660">
        <v>202931.03</v>
      </c>
      <c r="N329" s="660">
        <v>0</v>
      </c>
      <c r="O329" s="660">
        <v>2068.9699999999998</v>
      </c>
      <c r="P329" s="660">
        <v>205000</v>
      </c>
      <c r="Q329" s="548"/>
      <c r="R329" s="660">
        <v>190000</v>
      </c>
      <c r="S329" s="549">
        <f t="shared" si="72"/>
        <v>15000</v>
      </c>
      <c r="T329" s="113" t="s">
        <v>263</v>
      </c>
      <c r="U329" s="370"/>
      <c r="V329" s="370"/>
      <c r="W329" s="375"/>
      <c r="X329" s="374"/>
      <c r="Y329" s="370"/>
      <c r="Z329" s="371"/>
      <c r="AA329" s="371"/>
      <c r="AB329" s="673"/>
      <c r="AC329" s="270"/>
      <c r="AD329" s="372"/>
      <c r="AE329" s="270"/>
      <c r="AF329" s="270"/>
      <c r="AG329" s="270"/>
      <c r="AH329" s="350"/>
      <c r="AI329" s="365"/>
      <c r="AJ329" s="330"/>
      <c r="AK329" s="330"/>
      <c r="AL329" s="330"/>
      <c r="AM329" s="330"/>
    </row>
    <row r="330" spans="1:39" s="348" customFormat="1" x14ac:dyDescent="0.2">
      <c r="A330" s="423">
        <f t="shared" si="73"/>
        <v>325</v>
      </c>
      <c r="B330" s="721" t="s">
        <v>8532</v>
      </c>
      <c r="C330" s="771">
        <v>1520604</v>
      </c>
      <c r="D330" s="771" t="s">
        <v>686</v>
      </c>
      <c r="E330" s="771" t="s">
        <v>720</v>
      </c>
      <c r="F330" s="546">
        <v>2017</v>
      </c>
      <c r="G330" s="659">
        <v>43084</v>
      </c>
      <c r="H330" s="655" t="s">
        <v>8847</v>
      </c>
      <c r="I330" s="655" t="s">
        <v>8729</v>
      </c>
      <c r="J330" s="712"/>
      <c r="K330" s="655" t="s">
        <v>8832</v>
      </c>
      <c r="L330" s="655" t="s">
        <v>9032</v>
      </c>
      <c r="M330" s="660">
        <v>250000</v>
      </c>
      <c r="N330" s="660">
        <v>0</v>
      </c>
      <c r="O330" s="660">
        <v>40000</v>
      </c>
      <c r="P330" s="660">
        <v>290000</v>
      </c>
      <c r="Q330" s="548"/>
      <c r="R330" s="660">
        <v>231206.9</v>
      </c>
      <c r="S330" s="549">
        <f t="shared" si="72"/>
        <v>58793.100000000006</v>
      </c>
      <c r="T330" s="113" t="s">
        <v>263</v>
      </c>
      <c r="U330" s="370"/>
      <c r="V330" s="370"/>
      <c r="W330" s="375"/>
      <c r="X330" s="374"/>
      <c r="Y330" s="370"/>
      <c r="Z330" s="371"/>
      <c r="AA330" s="371"/>
      <c r="AB330" s="673"/>
      <c r="AC330" s="270"/>
      <c r="AD330" s="372"/>
      <c r="AE330" s="270"/>
      <c r="AF330" s="270"/>
      <c r="AG330" s="270"/>
      <c r="AH330" s="350"/>
      <c r="AI330" s="365"/>
      <c r="AJ330" s="330"/>
      <c r="AK330" s="330"/>
      <c r="AL330" s="330"/>
      <c r="AM330" s="330"/>
    </row>
    <row r="331" spans="1:39" s="348" customFormat="1" x14ac:dyDescent="0.2">
      <c r="A331" s="423">
        <f t="shared" si="73"/>
        <v>326</v>
      </c>
      <c r="B331" s="721" t="s">
        <v>8533</v>
      </c>
      <c r="C331" s="771">
        <v>520224</v>
      </c>
      <c r="D331" s="771" t="s">
        <v>686</v>
      </c>
      <c r="E331" s="771" t="s">
        <v>720</v>
      </c>
      <c r="F331" s="546">
        <v>2017</v>
      </c>
      <c r="G331" s="659">
        <v>43087</v>
      </c>
      <c r="H331" s="655" t="s">
        <v>912</v>
      </c>
      <c r="I331" s="655" t="s">
        <v>7758</v>
      </c>
      <c r="J331" s="712"/>
      <c r="K331" s="655" t="s">
        <v>8833</v>
      </c>
      <c r="L331" s="655" t="s">
        <v>7564</v>
      </c>
      <c r="M331" s="660">
        <v>249620.69</v>
      </c>
      <c r="N331" s="660">
        <v>0</v>
      </c>
      <c r="O331" s="660">
        <v>5379.31</v>
      </c>
      <c r="P331" s="660">
        <v>255000</v>
      </c>
      <c r="Q331" s="548"/>
      <c r="R331" s="660">
        <v>216000</v>
      </c>
      <c r="S331" s="549">
        <f t="shared" si="72"/>
        <v>39000</v>
      </c>
      <c r="T331" s="113" t="s">
        <v>263</v>
      </c>
      <c r="U331" s="370"/>
      <c r="V331" s="370"/>
      <c r="W331" s="375"/>
      <c r="X331" s="374"/>
      <c r="Y331" s="370"/>
      <c r="Z331" s="371"/>
      <c r="AA331" s="371"/>
      <c r="AB331" s="673"/>
      <c r="AC331" s="270"/>
      <c r="AD331" s="372"/>
      <c r="AE331" s="270"/>
      <c r="AF331" s="270"/>
      <c r="AG331" s="270"/>
      <c r="AH331" s="350"/>
      <c r="AI331" s="365"/>
      <c r="AJ331" s="330"/>
      <c r="AK331" s="330"/>
      <c r="AL331" s="330"/>
      <c r="AM331" s="330"/>
    </row>
    <row r="332" spans="1:39" s="348" customFormat="1" x14ac:dyDescent="0.2">
      <c r="A332" s="423">
        <f t="shared" si="73"/>
        <v>327</v>
      </c>
      <c r="B332" s="721" t="s">
        <v>8534</v>
      </c>
      <c r="C332" s="771">
        <v>1520302</v>
      </c>
      <c r="D332" s="771" t="s">
        <v>686</v>
      </c>
      <c r="E332" s="771" t="s">
        <v>720</v>
      </c>
      <c r="F332" s="546">
        <v>2017</v>
      </c>
      <c r="G332" s="659">
        <v>43087</v>
      </c>
      <c r="H332" s="655" t="s">
        <v>6277</v>
      </c>
      <c r="I332" s="655" t="s">
        <v>8730</v>
      </c>
      <c r="J332" s="712"/>
      <c r="K332" s="655" t="s">
        <v>8834</v>
      </c>
      <c r="L332" s="655" t="s">
        <v>9033</v>
      </c>
      <c r="M332" s="660">
        <v>258793.1</v>
      </c>
      <c r="N332" s="660">
        <v>0</v>
      </c>
      <c r="O332" s="660">
        <v>6206.9</v>
      </c>
      <c r="P332" s="660">
        <v>265000</v>
      </c>
      <c r="Q332" s="548"/>
      <c r="R332" s="660">
        <v>220000</v>
      </c>
      <c r="S332" s="549">
        <f t="shared" si="72"/>
        <v>45000</v>
      </c>
      <c r="T332" s="113" t="s">
        <v>263</v>
      </c>
      <c r="U332" s="370"/>
      <c r="V332" s="370"/>
      <c r="W332" s="375"/>
      <c r="X332" s="374"/>
      <c r="Y332" s="370"/>
      <c r="Z332" s="371"/>
      <c r="AA332" s="371"/>
      <c r="AB332" s="673"/>
      <c r="AC332" s="270"/>
      <c r="AD332" s="372"/>
      <c r="AE332" s="270"/>
      <c r="AF332" s="270"/>
      <c r="AG332" s="270"/>
      <c r="AH332" s="350"/>
      <c r="AI332" s="365"/>
      <c r="AJ332" s="330"/>
      <c r="AK332" s="330"/>
      <c r="AL332" s="330"/>
      <c r="AM332" s="330"/>
    </row>
    <row r="333" spans="1:39" s="348" customFormat="1" x14ac:dyDescent="0.2">
      <c r="A333" s="423">
        <f t="shared" si="73"/>
        <v>328</v>
      </c>
      <c r="B333" s="721" t="s">
        <v>8535</v>
      </c>
      <c r="C333" s="771">
        <v>521101</v>
      </c>
      <c r="D333" s="771" t="s">
        <v>686</v>
      </c>
      <c r="E333" s="771" t="s">
        <v>720</v>
      </c>
      <c r="F333" s="546">
        <v>2017</v>
      </c>
      <c r="G333" s="659">
        <v>43089</v>
      </c>
      <c r="H333" s="655" t="s">
        <v>7763</v>
      </c>
      <c r="I333" s="655" t="s">
        <v>8731</v>
      </c>
      <c r="J333" s="712"/>
      <c r="K333" s="655" t="s">
        <v>8835</v>
      </c>
      <c r="L333" s="655" t="s">
        <v>9034</v>
      </c>
      <c r="M333" s="660">
        <v>284714.65999999997</v>
      </c>
      <c r="N333" s="660">
        <v>0</v>
      </c>
      <c r="O333" s="660">
        <v>3154.34</v>
      </c>
      <c r="P333" s="660">
        <v>287869</v>
      </c>
      <c r="Q333" s="548"/>
      <c r="R333" s="660">
        <v>265000</v>
      </c>
      <c r="S333" s="549">
        <f t="shared" si="72"/>
        <v>22869</v>
      </c>
      <c r="T333" s="113" t="s">
        <v>263</v>
      </c>
      <c r="U333" s="370"/>
      <c r="V333" s="370"/>
      <c r="W333" s="375"/>
      <c r="X333" s="374"/>
      <c r="Y333" s="370"/>
      <c r="Z333" s="371"/>
      <c r="AA333" s="371"/>
      <c r="AB333" s="673"/>
      <c r="AC333" s="270"/>
      <c r="AD333" s="372"/>
      <c r="AE333" s="270"/>
      <c r="AF333" s="270"/>
      <c r="AG333" s="270"/>
      <c r="AH333" s="350"/>
      <c r="AI333" s="365"/>
      <c r="AJ333" s="330"/>
      <c r="AK333" s="330"/>
      <c r="AL333" s="330"/>
      <c r="AM333" s="330"/>
    </row>
    <row r="334" spans="1:39" s="348" customFormat="1" x14ac:dyDescent="0.2">
      <c r="A334" s="423">
        <f t="shared" si="73"/>
        <v>329</v>
      </c>
      <c r="B334" s="721" t="s">
        <v>8536</v>
      </c>
      <c r="C334" s="771">
        <v>521802</v>
      </c>
      <c r="D334" s="771" t="s">
        <v>686</v>
      </c>
      <c r="E334" s="771" t="s">
        <v>720</v>
      </c>
      <c r="F334" s="546">
        <v>2017</v>
      </c>
      <c r="G334" s="659">
        <v>43089</v>
      </c>
      <c r="H334" s="655" t="s">
        <v>2954</v>
      </c>
      <c r="I334" s="655" t="s">
        <v>8732</v>
      </c>
      <c r="J334" s="712"/>
      <c r="K334" s="655" t="s">
        <v>8836</v>
      </c>
      <c r="L334" s="655" t="s">
        <v>9035</v>
      </c>
      <c r="M334" s="660">
        <v>166137.93</v>
      </c>
      <c r="N334" s="660">
        <v>0</v>
      </c>
      <c r="O334" s="660">
        <v>3862.07</v>
      </c>
      <c r="P334" s="660">
        <v>170000</v>
      </c>
      <c r="Q334" s="548"/>
      <c r="R334" s="660">
        <v>142000</v>
      </c>
      <c r="S334" s="549">
        <f t="shared" si="72"/>
        <v>28000</v>
      </c>
      <c r="T334" s="113" t="s">
        <v>263</v>
      </c>
      <c r="U334" s="370"/>
      <c r="V334" s="370"/>
      <c r="W334" s="375"/>
      <c r="X334" s="374"/>
      <c r="Y334" s="370"/>
      <c r="Z334" s="371"/>
      <c r="AA334" s="371"/>
      <c r="AB334" s="673"/>
      <c r="AC334" s="270"/>
      <c r="AD334" s="372"/>
      <c r="AE334" s="270"/>
      <c r="AF334" s="270"/>
      <c r="AG334" s="270"/>
      <c r="AH334" s="350"/>
      <c r="AI334" s="365"/>
      <c r="AJ334" s="330"/>
      <c r="AK334" s="330"/>
      <c r="AL334" s="330"/>
      <c r="AM334" s="330"/>
    </row>
    <row r="335" spans="1:39" s="348" customFormat="1" x14ac:dyDescent="0.2">
      <c r="A335" s="423">
        <f t="shared" si="73"/>
        <v>330</v>
      </c>
      <c r="B335" s="721" t="s">
        <v>8537</v>
      </c>
      <c r="C335" s="771">
        <v>520905</v>
      </c>
      <c r="D335" s="771" t="s">
        <v>686</v>
      </c>
      <c r="E335" s="771" t="s">
        <v>720</v>
      </c>
      <c r="F335" s="546">
        <v>2017</v>
      </c>
      <c r="G335" s="659">
        <v>43091</v>
      </c>
      <c r="H335" s="655" t="s">
        <v>912</v>
      </c>
      <c r="I335" s="655" t="s">
        <v>8733</v>
      </c>
      <c r="J335" s="712"/>
      <c r="K335" s="655" t="s">
        <v>8837</v>
      </c>
      <c r="L335" s="655" t="s">
        <v>9036</v>
      </c>
      <c r="M335" s="660">
        <v>170862.07</v>
      </c>
      <c r="N335" s="660">
        <v>0</v>
      </c>
      <c r="O335" s="660">
        <v>4137.93</v>
      </c>
      <c r="P335" s="660">
        <v>175000</v>
      </c>
      <c r="Q335" s="548"/>
      <c r="R335" s="660">
        <v>145000</v>
      </c>
      <c r="S335" s="549">
        <f t="shared" si="72"/>
        <v>30000</v>
      </c>
      <c r="T335" s="113" t="s">
        <v>263</v>
      </c>
      <c r="U335" s="370"/>
      <c r="V335" s="370"/>
      <c r="W335" s="375"/>
      <c r="X335" s="374"/>
      <c r="Y335" s="370"/>
      <c r="Z335" s="371"/>
      <c r="AA335" s="371"/>
      <c r="AB335" s="673"/>
      <c r="AC335" s="270"/>
      <c r="AD335" s="372"/>
      <c r="AE335" s="270"/>
      <c r="AF335" s="270"/>
      <c r="AG335" s="270"/>
      <c r="AH335" s="350"/>
      <c r="AI335" s="365"/>
      <c r="AJ335" s="330"/>
      <c r="AK335" s="330"/>
      <c r="AL335" s="330"/>
      <c r="AM335" s="330"/>
    </row>
    <row r="336" spans="1:39" s="348" customFormat="1" x14ac:dyDescent="0.2">
      <c r="A336" s="423">
        <f t="shared" si="73"/>
        <v>331</v>
      </c>
      <c r="B336" s="721" t="s">
        <v>8538</v>
      </c>
      <c r="C336" s="771">
        <v>520224</v>
      </c>
      <c r="D336" s="771" t="s">
        <v>686</v>
      </c>
      <c r="E336" s="771" t="s">
        <v>720</v>
      </c>
      <c r="F336" s="546">
        <v>2017</v>
      </c>
      <c r="G336" s="659">
        <v>43091</v>
      </c>
      <c r="H336" s="655" t="s">
        <v>8846</v>
      </c>
      <c r="I336" s="655" t="s">
        <v>8734</v>
      </c>
      <c r="J336" s="712"/>
      <c r="K336" s="655" t="s">
        <v>8838</v>
      </c>
      <c r="L336" s="655" t="s">
        <v>9037</v>
      </c>
      <c r="M336" s="660">
        <v>240862.07</v>
      </c>
      <c r="N336" s="660">
        <v>0</v>
      </c>
      <c r="O336" s="660">
        <v>4137.93</v>
      </c>
      <c r="P336" s="660">
        <v>245000</v>
      </c>
      <c r="Q336" s="548"/>
      <c r="R336" s="660">
        <v>215000</v>
      </c>
      <c r="S336" s="549">
        <f t="shared" si="72"/>
        <v>30000</v>
      </c>
      <c r="T336" s="113" t="s">
        <v>263</v>
      </c>
      <c r="U336" s="370"/>
      <c r="V336" s="370"/>
      <c r="W336" s="375"/>
      <c r="X336" s="374"/>
      <c r="Y336" s="370"/>
      <c r="Z336" s="371"/>
      <c r="AA336" s="371"/>
      <c r="AB336" s="673"/>
      <c r="AC336" s="270"/>
      <c r="AD336" s="372"/>
      <c r="AE336" s="270"/>
      <c r="AF336" s="270"/>
      <c r="AG336" s="270"/>
      <c r="AH336" s="350"/>
      <c r="AI336" s="365"/>
      <c r="AJ336" s="330"/>
      <c r="AK336" s="330"/>
      <c r="AL336" s="330"/>
      <c r="AM336" s="330"/>
    </row>
    <row r="337" spans="1:41" s="348" customFormat="1" x14ac:dyDescent="0.2">
      <c r="A337" s="423">
        <f t="shared" si="73"/>
        <v>332</v>
      </c>
      <c r="B337" s="721" t="s">
        <v>8539</v>
      </c>
      <c r="C337" s="771">
        <v>520905</v>
      </c>
      <c r="D337" s="771" t="s">
        <v>686</v>
      </c>
      <c r="E337" s="771" t="s">
        <v>720</v>
      </c>
      <c r="F337" s="546">
        <v>2017</v>
      </c>
      <c r="G337" s="659">
        <v>43095</v>
      </c>
      <c r="H337" s="655" t="s">
        <v>912</v>
      </c>
      <c r="I337" s="655" t="s">
        <v>8733</v>
      </c>
      <c r="J337" s="712"/>
      <c r="K337" s="655" t="s">
        <v>8837</v>
      </c>
      <c r="L337" s="655" t="s">
        <v>9036</v>
      </c>
      <c r="M337" s="660">
        <v>-170862.07</v>
      </c>
      <c r="N337" s="660">
        <v>0</v>
      </c>
      <c r="O337" s="660">
        <v>-4137.93</v>
      </c>
      <c r="P337" s="660">
        <v>-175000</v>
      </c>
      <c r="Q337" s="548"/>
      <c r="R337" s="660">
        <v>-145000</v>
      </c>
      <c r="S337" s="549">
        <f t="shared" si="72"/>
        <v>-30000</v>
      </c>
      <c r="T337" s="113" t="s">
        <v>263</v>
      </c>
      <c r="U337" s="370"/>
      <c r="V337" s="370"/>
      <c r="W337" s="375"/>
      <c r="X337" s="374"/>
      <c r="Y337" s="370"/>
      <c r="Z337" s="371"/>
      <c r="AA337" s="371"/>
      <c r="AB337" s="673"/>
      <c r="AC337" s="270"/>
      <c r="AD337" s="372"/>
      <c r="AE337" s="270"/>
      <c r="AF337" s="270"/>
      <c r="AG337" s="270"/>
      <c r="AH337" s="350"/>
      <c r="AI337" s="365"/>
      <c r="AJ337" s="330"/>
      <c r="AK337" s="330"/>
      <c r="AL337" s="330"/>
      <c r="AM337" s="330"/>
    </row>
    <row r="338" spans="1:41" s="348" customFormat="1" x14ac:dyDescent="0.2">
      <c r="A338" s="423">
        <f t="shared" si="73"/>
        <v>333</v>
      </c>
      <c r="B338" s="721" t="s">
        <v>8540</v>
      </c>
      <c r="C338" s="771">
        <v>520905</v>
      </c>
      <c r="D338" s="771" t="s">
        <v>686</v>
      </c>
      <c r="E338" s="771" t="s">
        <v>720</v>
      </c>
      <c r="F338" s="546">
        <v>2017</v>
      </c>
      <c r="G338" s="659">
        <v>43095</v>
      </c>
      <c r="H338" s="655" t="s">
        <v>912</v>
      </c>
      <c r="I338" s="655" t="s">
        <v>8733</v>
      </c>
      <c r="J338" s="712"/>
      <c r="K338" s="655" t="s">
        <v>8837</v>
      </c>
      <c r="L338" s="655" t="s">
        <v>9036</v>
      </c>
      <c r="M338" s="660">
        <v>170862.07</v>
      </c>
      <c r="N338" s="660">
        <v>0</v>
      </c>
      <c r="O338" s="660">
        <v>4137.93</v>
      </c>
      <c r="P338" s="660">
        <v>175000</v>
      </c>
      <c r="Q338" s="548"/>
      <c r="R338" s="660">
        <v>145000</v>
      </c>
      <c r="S338" s="549">
        <f t="shared" si="72"/>
        <v>30000</v>
      </c>
      <c r="T338" s="113" t="s">
        <v>263</v>
      </c>
      <c r="U338" s="370"/>
      <c r="V338" s="370"/>
      <c r="W338" s="375"/>
      <c r="X338" s="374"/>
      <c r="Y338" s="370"/>
      <c r="Z338" s="371"/>
      <c r="AA338" s="371"/>
      <c r="AB338" s="673"/>
      <c r="AC338" s="270"/>
      <c r="AD338" s="372"/>
      <c r="AE338" s="270"/>
      <c r="AF338" s="270"/>
      <c r="AG338" s="270"/>
      <c r="AH338" s="350"/>
      <c r="AI338" s="365"/>
      <c r="AJ338" s="330"/>
      <c r="AK338" s="330"/>
      <c r="AL338" s="330"/>
      <c r="AM338" s="330"/>
    </row>
    <row r="339" spans="1:41" s="348" customFormat="1" x14ac:dyDescent="0.2">
      <c r="A339" s="423">
        <f t="shared" si="73"/>
        <v>334</v>
      </c>
      <c r="B339" s="721" t="s">
        <v>8541</v>
      </c>
      <c r="C339" s="771">
        <v>1520604</v>
      </c>
      <c r="D339" s="771" t="s">
        <v>686</v>
      </c>
      <c r="E339" s="771" t="s">
        <v>720</v>
      </c>
      <c r="F339" s="546">
        <v>2017</v>
      </c>
      <c r="G339" s="659">
        <v>43095</v>
      </c>
      <c r="H339" s="655" t="s">
        <v>7763</v>
      </c>
      <c r="I339" s="655" t="s">
        <v>8735</v>
      </c>
      <c r="J339" s="712"/>
      <c r="K339" s="655" t="s">
        <v>8839</v>
      </c>
      <c r="L339" s="655" t="s">
        <v>9038</v>
      </c>
      <c r="M339" s="660">
        <v>283103.45</v>
      </c>
      <c r="N339" s="660">
        <v>0</v>
      </c>
      <c r="O339" s="660">
        <v>6896.55</v>
      </c>
      <c r="P339" s="660">
        <v>290000</v>
      </c>
      <c r="Q339" s="548"/>
      <c r="R339" s="660">
        <v>240000</v>
      </c>
      <c r="S339" s="549">
        <f t="shared" si="72"/>
        <v>50000</v>
      </c>
      <c r="T339" s="113" t="s">
        <v>263</v>
      </c>
      <c r="U339" s="370"/>
      <c r="V339" s="370"/>
      <c r="W339" s="375"/>
      <c r="X339" s="374"/>
      <c r="Y339" s="370"/>
      <c r="Z339" s="371"/>
      <c r="AA339" s="371"/>
      <c r="AB339" s="673"/>
      <c r="AC339" s="270"/>
      <c r="AD339" s="372"/>
      <c r="AE339" s="270"/>
      <c r="AF339" s="270"/>
      <c r="AG339" s="270"/>
      <c r="AH339" s="350"/>
      <c r="AI339" s="365"/>
      <c r="AJ339" s="330"/>
      <c r="AK339" s="330"/>
      <c r="AL339" s="330"/>
      <c r="AM339" s="330"/>
    </row>
    <row r="340" spans="1:41" s="348" customFormat="1" x14ac:dyDescent="0.2">
      <c r="A340" s="423">
        <f t="shared" si="73"/>
        <v>335</v>
      </c>
      <c r="B340" s="721" t="s">
        <v>8542</v>
      </c>
      <c r="C340" s="771">
        <v>521802</v>
      </c>
      <c r="D340" s="771" t="s">
        <v>686</v>
      </c>
      <c r="E340" s="771" t="s">
        <v>720</v>
      </c>
      <c r="F340" s="546">
        <v>2017</v>
      </c>
      <c r="G340" s="659">
        <v>43095</v>
      </c>
      <c r="H340" s="655" t="s">
        <v>3694</v>
      </c>
      <c r="I340" s="655" t="s">
        <v>8736</v>
      </c>
      <c r="J340" s="712"/>
      <c r="K340" s="655" t="s">
        <v>8840</v>
      </c>
      <c r="L340" s="655" t="s">
        <v>9039</v>
      </c>
      <c r="M340" s="660">
        <v>135862.07</v>
      </c>
      <c r="N340" s="660">
        <v>0</v>
      </c>
      <c r="O340" s="660">
        <v>4137.93</v>
      </c>
      <c r="P340" s="660">
        <v>140000</v>
      </c>
      <c r="Q340" s="548"/>
      <c r="R340" s="660">
        <v>110000</v>
      </c>
      <c r="S340" s="549">
        <f t="shared" si="72"/>
        <v>30000</v>
      </c>
      <c r="T340" s="113" t="s">
        <v>263</v>
      </c>
      <c r="U340" s="370"/>
      <c r="V340" s="370"/>
      <c r="W340" s="375"/>
      <c r="X340" s="374"/>
      <c r="Y340" s="370"/>
      <c r="Z340" s="371"/>
      <c r="AA340" s="371"/>
      <c r="AB340" s="673"/>
      <c r="AC340" s="270"/>
      <c r="AD340" s="372"/>
      <c r="AE340" s="270"/>
      <c r="AF340" s="270"/>
      <c r="AG340" s="270"/>
      <c r="AH340" s="350"/>
      <c r="AI340" s="365"/>
      <c r="AJ340" s="330"/>
      <c r="AK340" s="330"/>
      <c r="AL340" s="330"/>
      <c r="AM340" s="330"/>
    </row>
    <row r="341" spans="1:41" s="348" customFormat="1" x14ac:dyDescent="0.2">
      <c r="A341" s="423">
        <f t="shared" si="73"/>
        <v>336</v>
      </c>
      <c r="B341" s="721" t="s">
        <v>8543</v>
      </c>
      <c r="C341" s="771">
        <v>1520604</v>
      </c>
      <c r="D341" s="771" t="s">
        <v>686</v>
      </c>
      <c r="E341" s="771" t="s">
        <v>720</v>
      </c>
      <c r="F341" s="546">
        <v>2017</v>
      </c>
      <c r="G341" s="659">
        <v>43098</v>
      </c>
      <c r="H341" s="655" t="s">
        <v>7763</v>
      </c>
      <c r="I341" s="655" t="s">
        <v>8735</v>
      </c>
      <c r="J341" s="712"/>
      <c r="K341" s="655" t="s">
        <v>8839</v>
      </c>
      <c r="L341" s="655" t="s">
        <v>9038</v>
      </c>
      <c r="M341" s="660">
        <v>-283103.45</v>
      </c>
      <c r="N341" s="660">
        <v>0</v>
      </c>
      <c r="O341" s="660">
        <v>-6896.55</v>
      </c>
      <c r="P341" s="660">
        <v>-290000</v>
      </c>
      <c r="Q341" s="548"/>
      <c r="R341" s="660">
        <v>-240000</v>
      </c>
      <c r="S341" s="549">
        <f t="shared" si="72"/>
        <v>-50000</v>
      </c>
      <c r="T341" s="113" t="s">
        <v>263</v>
      </c>
      <c r="U341" s="370"/>
      <c r="AB341" s="647"/>
      <c r="AG341" s="270"/>
      <c r="AH341" s="350"/>
      <c r="AI341" s="365"/>
      <c r="AJ341" s="330"/>
      <c r="AK341" s="330"/>
      <c r="AL341" s="330"/>
      <c r="AM341" s="330"/>
    </row>
    <row r="342" spans="1:41" s="348" customFormat="1" x14ac:dyDescent="0.2">
      <c r="A342" s="423">
        <f t="shared" si="73"/>
        <v>337</v>
      </c>
      <c r="B342" s="721" t="s">
        <v>8544</v>
      </c>
      <c r="C342" s="771">
        <v>1520604</v>
      </c>
      <c r="D342" s="771" t="s">
        <v>686</v>
      </c>
      <c r="E342" s="771" t="s">
        <v>720</v>
      </c>
      <c r="F342" s="546">
        <v>2017</v>
      </c>
      <c r="G342" s="659">
        <v>43098</v>
      </c>
      <c r="H342" s="655" t="s">
        <v>7763</v>
      </c>
      <c r="I342" s="655" t="s">
        <v>8735</v>
      </c>
      <c r="J342" s="712"/>
      <c r="K342" s="655" t="s">
        <v>8841</v>
      </c>
      <c r="L342" s="655" t="s">
        <v>9038</v>
      </c>
      <c r="M342" s="660">
        <v>283103.45</v>
      </c>
      <c r="N342" s="660">
        <v>0</v>
      </c>
      <c r="O342" s="660">
        <v>6896.55</v>
      </c>
      <c r="P342" s="660">
        <v>290000</v>
      </c>
      <c r="Q342" s="548"/>
      <c r="R342" s="660">
        <v>240000</v>
      </c>
      <c r="S342" s="549">
        <f t="shared" si="72"/>
        <v>50000</v>
      </c>
      <c r="T342" s="113" t="s">
        <v>263</v>
      </c>
      <c r="U342" s="370"/>
      <c r="AB342" s="647"/>
      <c r="AG342" s="270"/>
      <c r="AH342" s="350"/>
      <c r="AI342" s="365"/>
      <c r="AJ342" s="330"/>
      <c r="AK342" s="330"/>
      <c r="AL342" s="330"/>
      <c r="AM342" s="330"/>
    </row>
    <row r="343" spans="1:41" s="348" customFormat="1" x14ac:dyDescent="0.2">
      <c r="A343" s="423"/>
      <c r="B343" s="657"/>
      <c r="C343" s="655"/>
      <c r="D343" s="658"/>
      <c r="E343" s="655"/>
      <c r="F343" s="546"/>
      <c r="G343" s="659"/>
      <c r="H343" s="655"/>
      <c r="I343" s="655"/>
      <c r="J343" s="712"/>
      <c r="K343" s="655"/>
      <c r="L343" s="655"/>
      <c r="M343" s="660"/>
      <c r="N343" s="660"/>
      <c r="O343" s="660"/>
      <c r="P343" s="660"/>
      <c r="Q343" s="548"/>
      <c r="R343" s="660"/>
      <c r="S343" s="549"/>
      <c r="T343" s="113"/>
      <c r="U343" s="370"/>
      <c r="AB343" s="647"/>
      <c r="AG343" s="270"/>
      <c r="AH343" s="350"/>
      <c r="AI343" s="365"/>
      <c r="AJ343" s="330"/>
      <c r="AK343" s="330"/>
      <c r="AL343" s="330"/>
      <c r="AM343" s="330"/>
    </row>
    <row r="344" spans="1:41" s="53" customFormat="1" ht="13.5" thickBot="1" x14ac:dyDescent="0.25">
      <c r="A344" s="48"/>
      <c r="B344" s="557"/>
      <c r="C344" s="558"/>
      <c r="D344" s="558"/>
      <c r="E344" s="559"/>
      <c r="F344" s="559"/>
      <c r="G344" s="560"/>
      <c r="H344" s="559"/>
      <c r="I344" s="559"/>
      <c r="J344" s="559"/>
      <c r="K344" s="559"/>
      <c r="L344" s="559"/>
      <c r="M344" s="561"/>
      <c r="N344" s="561"/>
      <c r="O344" s="561"/>
      <c r="P344" s="561"/>
      <c r="Q344" s="561"/>
      <c r="R344" s="561"/>
      <c r="S344" s="562"/>
      <c r="T344" s="13"/>
      <c r="AB344" s="806"/>
      <c r="AG344" s="396"/>
      <c r="AH344" s="346"/>
      <c r="AI344" s="313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592"/>
      <c r="C345" s="593"/>
      <c r="D345" s="593"/>
      <c r="E345" s="593"/>
      <c r="F345" s="594"/>
      <c r="G345" s="595"/>
      <c r="H345" s="596"/>
      <c r="I345" s="597"/>
      <c r="J345" s="598"/>
      <c r="K345" s="598"/>
      <c r="L345" s="594"/>
      <c r="M345" s="599"/>
      <c r="N345" s="600"/>
      <c r="O345" s="601"/>
      <c r="P345" s="601"/>
      <c r="Q345" s="601"/>
      <c r="R345" s="602"/>
      <c r="S345" s="603"/>
      <c r="T345" s="13"/>
      <c r="AB345" s="806"/>
      <c r="AG345" s="440"/>
      <c r="AH345" s="270"/>
      <c r="AI345" s="313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604"/>
      <c r="C346" s="262"/>
      <c r="D346" s="262"/>
      <c r="E346" s="129"/>
      <c r="F346" s="40"/>
      <c r="G346" s="81"/>
      <c r="H346" s="254"/>
      <c r="I346" s="90"/>
      <c r="J346" s="90"/>
      <c r="K346" s="90" t="s">
        <v>49</v>
      </c>
      <c r="L346" s="40"/>
      <c r="M346" s="209">
        <f t="shared" ref="M346:S346" si="74">SUM(M6:M344)</f>
        <v>56653448.790000007</v>
      </c>
      <c r="N346" s="209">
        <f t="shared" si="74"/>
        <v>1342185.5499999991</v>
      </c>
      <c r="O346" s="209">
        <f t="shared" si="74"/>
        <v>8616533.6300000027</v>
      </c>
      <c r="P346" s="209">
        <f t="shared" si="74"/>
        <v>66612167.970000021</v>
      </c>
      <c r="Q346" s="209">
        <f t="shared" si="74"/>
        <v>0</v>
      </c>
      <c r="R346" s="209">
        <f t="shared" si="74"/>
        <v>53106370.890000001</v>
      </c>
      <c r="S346" s="605">
        <f t="shared" si="74"/>
        <v>13505797.080000006</v>
      </c>
      <c r="T346" s="13"/>
      <c r="AB346" s="806"/>
      <c r="AG346" s="346"/>
      <c r="AH346" s="270"/>
      <c r="AI346" s="313"/>
      <c r="AJ346" s="21"/>
      <c r="AK346" s="21"/>
      <c r="AL346" s="21"/>
      <c r="AM346" s="21"/>
      <c r="AN346" s="21"/>
      <c r="AO346" s="21"/>
    </row>
    <row r="347" spans="1:41" s="53" customFormat="1" ht="13.5" thickBot="1" x14ac:dyDescent="0.25">
      <c r="A347" s="48"/>
      <c r="B347" s="606"/>
      <c r="C347" s="607"/>
      <c r="D347" s="607"/>
      <c r="E347" s="607"/>
      <c r="F347" s="608"/>
      <c r="G347" s="609"/>
      <c r="H347" s="610"/>
      <c r="I347" s="611"/>
      <c r="J347" s="612"/>
      <c r="K347" s="612"/>
      <c r="L347" s="608"/>
      <c r="M347" s="613"/>
      <c r="N347" s="614"/>
      <c r="O347" s="615"/>
      <c r="P347" s="615"/>
      <c r="Q347" s="615"/>
      <c r="R347" s="616"/>
      <c r="S347" s="617"/>
      <c r="T347" s="13"/>
      <c r="AB347" s="806"/>
      <c r="AG347" s="291"/>
      <c r="AH347" s="270"/>
      <c r="AI347" s="313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5"/>
      <c r="C348" s="233"/>
      <c r="D348" s="233"/>
      <c r="E348" s="113"/>
      <c r="F348" s="48"/>
      <c r="G348" s="49"/>
      <c r="H348" s="256"/>
      <c r="I348" s="133"/>
      <c r="J348" s="117"/>
      <c r="K348" s="133" t="s">
        <v>37</v>
      </c>
      <c r="L348" s="8" t="s">
        <v>75</v>
      </c>
      <c r="M348" s="410">
        <v>33252702.41</v>
      </c>
      <c r="N348" s="326">
        <f>+N346</f>
        <v>1342185.5499999991</v>
      </c>
      <c r="O348" s="201"/>
      <c r="P348" s="279"/>
      <c r="Q348" s="201"/>
      <c r="R348" s="326">
        <v>27364079.710000001</v>
      </c>
      <c r="S348" s="201">
        <f>SUM(R6:R291)+SUM(Q359:Q360)-R349+Q1</f>
        <v>37943631.530000001</v>
      </c>
      <c r="T348" s="13"/>
      <c r="AB348" s="806"/>
      <c r="AG348" s="351"/>
      <c r="AH348" s="270"/>
      <c r="AI348" s="313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5"/>
      <c r="C349" s="233"/>
      <c r="D349" s="233"/>
      <c r="E349" s="113"/>
      <c r="F349" s="48"/>
      <c r="G349" s="49"/>
      <c r="H349" s="256"/>
      <c r="I349" s="133"/>
      <c r="J349" s="117"/>
      <c r="K349" s="133" t="s">
        <v>74</v>
      </c>
      <c r="L349" s="8" t="s">
        <v>75</v>
      </c>
      <c r="M349" s="410">
        <v>18310283.600000001</v>
      </c>
      <c r="N349" s="326"/>
      <c r="O349" s="201"/>
      <c r="P349" s="279"/>
      <c r="Q349" s="201"/>
      <c r="R349" s="326">
        <v>7522946.3200000003</v>
      </c>
      <c r="S349" s="285"/>
      <c r="T349" s="13"/>
      <c r="AB349" s="806"/>
      <c r="AG349" s="348"/>
      <c r="AH349" s="346"/>
      <c r="AI349" s="363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E350" s="113"/>
      <c r="F350" s="48"/>
      <c r="G350" s="49"/>
      <c r="H350" s="256"/>
      <c r="I350" s="133"/>
      <c r="J350" s="117"/>
      <c r="K350" s="133" t="s">
        <v>38</v>
      </c>
      <c r="L350" s="8" t="s">
        <v>75</v>
      </c>
      <c r="M350" s="410">
        <v>5090462.78</v>
      </c>
      <c r="N350" s="201"/>
      <c r="O350" s="201"/>
      <c r="P350" s="279"/>
      <c r="Q350" s="332">
        <f>72*360</f>
        <v>25920</v>
      </c>
      <c r="R350" s="326">
        <v>5857317.5899999999</v>
      </c>
      <c r="S350" s="201" t="e">
        <f>SUM(#REF!)</f>
        <v>#REF!</v>
      </c>
      <c r="T350" s="13"/>
      <c r="U350" s="369"/>
      <c r="AB350" s="806"/>
      <c r="AG350" s="270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E351" s="113"/>
      <c r="F351" s="48"/>
      <c r="G351" s="49"/>
      <c r="H351" s="256"/>
      <c r="I351" s="133"/>
      <c r="J351" s="117"/>
      <c r="K351" s="117"/>
      <c r="L351" s="8"/>
      <c r="M351" s="326"/>
      <c r="N351" s="326"/>
      <c r="O351" s="326"/>
      <c r="P351" s="327"/>
      <c r="Q351" s="327"/>
      <c r="R351" s="400">
        <v>8200735.7800000003</v>
      </c>
      <c r="S351" s="401"/>
      <c r="T351" s="380"/>
      <c r="U351" s="369"/>
      <c r="AB351" s="806"/>
      <c r="AG351" s="270"/>
      <c r="AH351" s="272"/>
      <c r="AI351" s="313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E352" s="113"/>
      <c r="F352" s="48"/>
      <c r="G352" s="49"/>
      <c r="H352" s="256"/>
      <c r="I352" s="133"/>
      <c r="J352" s="117"/>
      <c r="K352" s="117"/>
      <c r="L352" s="8"/>
      <c r="M352" s="258">
        <v>0</v>
      </c>
      <c r="N352" s="258"/>
      <c r="O352" s="258"/>
      <c r="P352" s="280"/>
      <c r="Q352" s="280"/>
      <c r="R352" s="400">
        <v>604</v>
      </c>
      <c r="S352" s="401"/>
      <c r="T352" s="13"/>
      <c r="U352" s="320"/>
      <c r="AB352" s="806"/>
      <c r="AG352" s="346"/>
      <c r="AH352" s="347"/>
      <c r="AI352" s="363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E353" s="113"/>
      <c r="F353" s="48"/>
      <c r="G353" s="51"/>
      <c r="H353" s="257"/>
      <c r="I353" s="133"/>
      <c r="J353" s="117"/>
      <c r="K353" s="117"/>
      <c r="L353" s="8"/>
      <c r="M353" s="204">
        <f>+M348+M349+M350</f>
        <v>56653448.790000007</v>
      </c>
      <c r="N353" s="204">
        <f>SUM(N348:N352)</f>
        <v>1342185.5499999991</v>
      </c>
      <c r="O353" s="204"/>
      <c r="P353" s="204"/>
      <c r="Q353" s="204">
        <f>+Q346-Q348</f>
        <v>0</v>
      </c>
      <c r="R353" s="402">
        <f>+SUM(R348:R352)</f>
        <v>48945683.400000006</v>
      </c>
      <c r="S353" s="285"/>
      <c r="T353" s="13"/>
      <c r="U353" s="369"/>
      <c r="V353" s="370"/>
      <c r="W353" s="375"/>
      <c r="X353" s="375"/>
      <c r="Y353" s="375"/>
      <c r="Z353" s="376"/>
      <c r="AA353" s="371"/>
      <c r="AB353" s="673"/>
      <c r="AC353" s="371"/>
      <c r="AD353" s="372"/>
      <c r="AE353" s="371"/>
      <c r="AF353" s="371"/>
      <c r="AG353" s="270"/>
      <c r="AH353" s="272"/>
      <c r="AI353" s="313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E354" s="113"/>
      <c r="F354" s="48"/>
      <c r="G354" s="49"/>
      <c r="H354" s="256"/>
      <c r="I354" s="116"/>
      <c r="J354" s="117"/>
      <c r="K354" s="117"/>
      <c r="L354" s="8"/>
      <c r="M354" s="403"/>
      <c r="N354" s="201"/>
      <c r="O354" s="202"/>
      <c r="P354" s="200"/>
      <c r="Q354" s="200"/>
      <c r="R354" s="52"/>
      <c r="S354" s="285"/>
      <c r="T354" s="13"/>
      <c r="U354" s="369"/>
      <c r="V354" s="370"/>
      <c r="W354" s="375"/>
      <c r="X354" s="375"/>
      <c r="Y354" s="375"/>
      <c r="Z354" s="376"/>
      <c r="AA354" s="371"/>
      <c r="AB354" s="673"/>
      <c r="AC354" s="371"/>
      <c r="AD354" s="372"/>
      <c r="AE354" s="371"/>
      <c r="AF354" s="371"/>
      <c r="AG354" s="270"/>
      <c r="AH354" s="272"/>
      <c r="AI354" s="313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E355" s="113"/>
      <c r="F355" s="48"/>
      <c r="G355" s="49"/>
      <c r="H355" s="256"/>
      <c r="I355" s="116"/>
      <c r="J355" s="117"/>
      <c r="K355" s="117"/>
      <c r="L355" s="8" t="s">
        <v>40</v>
      </c>
      <c r="M355" s="404">
        <f>+M346-M353</f>
        <v>0</v>
      </c>
      <c r="N355" s="404"/>
      <c r="O355" s="202"/>
      <c r="P355" s="200"/>
      <c r="Q355" s="200"/>
      <c r="R355" s="52"/>
      <c r="S355" s="285"/>
      <c r="T355" s="13"/>
      <c r="U355" s="369"/>
      <c r="V355" s="370"/>
      <c r="W355" s="375"/>
      <c r="X355" s="375"/>
      <c r="Y355" s="375"/>
      <c r="Z355" s="376"/>
      <c r="AA355" s="371"/>
      <c r="AB355" s="673"/>
      <c r="AC355" s="371"/>
      <c r="AD355" s="372"/>
      <c r="AE355" s="371"/>
      <c r="AF355" s="371"/>
      <c r="AG355" s="270"/>
      <c r="AH355" s="272"/>
      <c r="AI355" s="313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69"/>
      <c r="C356" s="375"/>
      <c r="D356" s="374"/>
      <c r="E356" s="374"/>
      <c r="F356" s="374"/>
      <c r="G356" s="414"/>
      <c r="H356" s="415"/>
      <c r="I356" s="374"/>
      <c r="J356" s="374"/>
      <c r="K356" s="374"/>
      <c r="L356" s="374"/>
      <c r="M356" s="396"/>
      <c r="N356" s="396"/>
      <c r="O356" s="396"/>
      <c r="P356" s="396"/>
      <c r="Q356" s="401"/>
      <c r="R356" s="405"/>
      <c r="S356" s="406"/>
      <c r="T356" s="13"/>
      <c r="U356" s="369"/>
      <c r="V356" s="370"/>
      <c r="W356" s="375"/>
      <c r="X356" s="375"/>
      <c r="Y356" s="375"/>
      <c r="Z356" s="376"/>
      <c r="AA356" s="371"/>
      <c r="AB356" s="673"/>
      <c r="AC356" s="371"/>
      <c r="AD356" s="372"/>
      <c r="AE356" s="371"/>
      <c r="AF356" s="371"/>
      <c r="AG356" s="270"/>
      <c r="AH356" s="272"/>
      <c r="AI356" s="313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69"/>
      <c r="C357" s="375"/>
      <c r="D357" s="374"/>
      <c r="E357" s="374"/>
      <c r="F357" s="374"/>
      <c r="G357" s="414"/>
      <c r="H357" s="318"/>
      <c r="I357" s="374"/>
      <c r="J357" s="374"/>
      <c r="K357" s="374"/>
      <c r="L357" s="374"/>
      <c r="M357" s="396"/>
      <c r="N357" s="396"/>
      <c r="O357" s="396"/>
      <c r="P357" s="396"/>
      <c r="Q357" s="97"/>
      <c r="R357" s="407"/>
      <c r="S357" s="94"/>
      <c r="T357" s="13"/>
      <c r="U357" s="320"/>
      <c r="V357" s="354"/>
      <c r="W357" s="355"/>
      <c r="X357" s="355"/>
      <c r="Y357" s="355"/>
      <c r="Z357" s="356"/>
      <c r="AA357" s="328"/>
      <c r="AB357" s="673"/>
      <c r="AC357" s="328"/>
      <c r="AD357" s="333"/>
      <c r="AE357" s="328"/>
      <c r="AF357" s="328"/>
      <c r="AG357" s="346"/>
      <c r="AH357" s="272"/>
      <c r="AI357" s="313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69"/>
      <c r="C358" s="375"/>
      <c r="D358" s="374"/>
      <c r="E358" s="374"/>
      <c r="F358" s="374"/>
      <c r="G358" s="414"/>
      <c r="H358" s="318"/>
      <c r="I358" s="374"/>
      <c r="J358" s="374"/>
      <c r="K358" s="374"/>
      <c r="L358" s="297"/>
      <c r="M358" s="396"/>
      <c r="N358" s="396"/>
      <c r="O358" s="396"/>
      <c r="P358" s="396"/>
      <c r="Q358" s="21"/>
      <c r="R358" s="408"/>
      <c r="S358" s="94"/>
      <c r="T358" s="13"/>
      <c r="U358" s="320"/>
      <c r="V358" s="354"/>
      <c r="W358" s="355"/>
      <c r="X358" s="355"/>
      <c r="Y358" s="355"/>
      <c r="Z358" s="356"/>
      <c r="AA358" s="328"/>
      <c r="AB358" s="673"/>
      <c r="AC358" s="328"/>
      <c r="AD358" s="333"/>
      <c r="AE358" s="328"/>
      <c r="AF358" s="328"/>
      <c r="AG358" s="346"/>
      <c r="AH358" s="347"/>
      <c r="AI358" s="363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69"/>
      <c r="C359" s="375"/>
      <c r="D359" s="374"/>
      <c r="E359" s="374"/>
      <c r="F359" s="374"/>
      <c r="G359" s="414"/>
      <c r="H359" s="415"/>
      <c r="I359" s="291"/>
      <c r="J359" s="291"/>
      <c r="K359" s="374"/>
      <c r="L359" s="416"/>
      <c r="M359" s="403"/>
      <c r="N359" s="396"/>
      <c r="O359" s="396"/>
      <c r="P359" s="409"/>
      <c r="Q359" s="50"/>
      <c r="R359" s="407"/>
      <c r="S359" s="97"/>
      <c r="T359" s="13"/>
      <c r="U359" s="369"/>
      <c r="V359" s="370"/>
      <c r="W359" s="375"/>
      <c r="X359" s="375"/>
      <c r="Y359" s="375"/>
      <c r="Z359" s="376"/>
      <c r="AA359" s="371"/>
      <c r="AB359" s="673"/>
      <c r="AC359" s="371"/>
      <c r="AD359" s="372"/>
      <c r="AE359" s="371"/>
      <c r="AF359" s="371"/>
      <c r="AG359" s="270"/>
      <c r="AH359" s="347"/>
      <c r="AI359" s="363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69"/>
      <c r="C360" s="375"/>
      <c r="D360" s="374"/>
      <c r="E360" s="374"/>
      <c r="F360" s="374"/>
      <c r="G360" s="414"/>
      <c r="H360" s="415"/>
      <c r="I360" s="291"/>
      <c r="J360" s="291"/>
      <c r="K360" s="374"/>
      <c r="L360" s="377"/>
      <c r="M360" s="416"/>
      <c r="N360" s="270"/>
      <c r="O360" s="270"/>
      <c r="P360" s="296"/>
      <c r="Q360" s="78"/>
      <c r="S360" s="319"/>
      <c r="T360" s="13"/>
      <c r="U360" s="369"/>
      <c r="V360" s="370"/>
      <c r="W360" s="375"/>
      <c r="X360" s="375"/>
      <c r="Y360" s="375"/>
      <c r="Z360" s="376"/>
      <c r="AA360" s="371"/>
      <c r="AB360" s="673"/>
      <c r="AC360" s="371"/>
      <c r="AD360" s="372"/>
      <c r="AE360" s="371"/>
      <c r="AF360" s="371"/>
      <c r="AG360" s="270"/>
      <c r="AH360" s="272"/>
      <c r="AI360" s="313"/>
      <c r="AJ360" s="21"/>
      <c r="AK360" s="21"/>
      <c r="AL360" s="21"/>
      <c r="AM360" s="21"/>
      <c r="AN360" s="21"/>
      <c r="AO360" s="21"/>
    </row>
    <row r="361" spans="1:41" s="53" customFormat="1" ht="14.25" x14ac:dyDescent="0.2">
      <c r="A361" s="48"/>
      <c r="B361" s="369"/>
      <c r="C361" s="375"/>
      <c r="D361" s="374"/>
      <c r="E361" s="374"/>
      <c r="F361" s="374"/>
      <c r="G361" s="414"/>
      <c r="H361" s="415"/>
      <c r="I361" s="291"/>
      <c r="J361" s="291"/>
      <c r="K361" s="374"/>
      <c r="L361" s="291"/>
      <c r="M361" s="291"/>
      <c r="N361" s="270"/>
      <c r="O361" s="270"/>
      <c r="P361" s="387"/>
      <c r="Q361" s="417"/>
      <c r="T361" s="13"/>
      <c r="U361" s="369"/>
      <c r="V361" s="370"/>
      <c r="W361" s="375"/>
      <c r="X361" s="375"/>
      <c r="Y361" s="375"/>
      <c r="Z361" s="376"/>
      <c r="AA361" s="371"/>
      <c r="AB361" s="673"/>
      <c r="AC361" s="371"/>
      <c r="AD361" s="372"/>
      <c r="AE361" s="371"/>
      <c r="AF361" s="371"/>
      <c r="AG361" s="270"/>
      <c r="AH361" s="272"/>
      <c r="AI361" s="313"/>
      <c r="AJ361" s="21"/>
      <c r="AK361" s="21"/>
      <c r="AL361" s="21"/>
      <c r="AM361" s="21"/>
      <c r="AN361" s="21"/>
      <c r="AO361" s="21"/>
    </row>
    <row r="362" spans="1:41" s="53" customFormat="1" ht="14.25" x14ac:dyDescent="0.2">
      <c r="A362" s="48"/>
      <c r="B362" s="369"/>
      <c r="C362" s="375"/>
      <c r="D362" s="374"/>
      <c r="E362" s="374"/>
      <c r="F362" s="374"/>
      <c r="G362" s="414"/>
      <c r="H362" s="415"/>
      <c r="I362" s="291"/>
      <c r="J362" s="291"/>
      <c r="L362" s="374"/>
      <c r="M362" s="296"/>
      <c r="N362" s="316"/>
      <c r="O362" s="367"/>
      <c r="P362" s="387"/>
      <c r="Q362" s="417"/>
      <c r="T362" s="13"/>
      <c r="U362" s="369"/>
      <c r="V362" s="370"/>
      <c r="W362" s="375"/>
      <c r="X362" s="375"/>
      <c r="Y362" s="375"/>
      <c r="Z362" s="376"/>
      <c r="AA362" s="371"/>
      <c r="AB362" s="673"/>
      <c r="AC362" s="371"/>
      <c r="AD362" s="372"/>
      <c r="AE362" s="371"/>
      <c r="AF362" s="371"/>
      <c r="AG362" s="270"/>
      <c r="AH362" s="347"/>
      <c r="AI362" s="363"/>
      <c r="AJ362" s="21"/>
      <c r="AK362" s="21"/>
      <c r="AL362" s="21"/>
      <c r="AM362" s="21"/>
      <c r="AN362" s="21"/>
      <c r="AO362" s="21"/>
    </row>
    <row r="363" spans="1:41" s="53" customFormat="1" ht="14.25" x14ac:dyDescent="0.2">
      <c r="A363" s="48"/>
      <c r="B363" s="369"/>
      <c r="C363" s="375"/>
      <c r="D363" s="374"/>
      <c r="E363" s="374"/>
      <c r="F363" s="374"/>
      <c r="G363" s="414"/>
      <c r="H363" s="415"/>
      <c r="I363" s="291"/>
      <c r="J363" s="291"/>
      <c r="L363" s="384"/>
      <c r="M363" s="296"/>
      <c r="N363" s="316"/>
      <c r="O363" s="270"/>
      <c r="P363" s="387"/>
      <c r="Q363" s="417"/>
      <c r="T363" s="13"/>
      <c r="U363" s="369"/>
      <c r="V363" s="370"/>
      <c r="W363" s="375"/>
      <c r="X363" s="375"/>
      <c r="Y363" s="375"/>
      <c r="Z363" s="376"/>
      <c r="AA363" s="371"/>
      <c r="AB363" s="673"/>
      <c r="AC363" s="371"/>
      <c r="AD363" s="372"/>
      <c r="AE363" s="371"/>
      <c r="AF363" s="371"/>
      <c r="AG363" s="270"/>
      <c r="AH363" s="272"/>
      <c r="AI363" s="313"/>
      <c r="AJ363" s="21"/>
      <c r="AK363" s="21"/>
      <c r="AL363" s="21"/>
      <c r="AM363" s="21"/>
      <c r="AN363" s="21"/>
      <c r="AO363" s="21"/>
    </row>
    <row r="364" spans="1:41" s="53" customFormat="1" ht="14.25" x14ac:dyDescent="0.2">
      <c r="A364" s="48"/>
      <c r="B364" s="369"/>
      <c r="C364" s="375"/>
      <c r="D364" s="374"/>
      <c r="E364" s="374"/>
      <c r="F364" s="374"/>
      <c r="G364" s="414"/>
      <c r="H364" s="415"/>
      <c r="I364" s="291"/>
      <c r="J364" s="291"/>
      <c r="L364" s="374"/>
      <c r="M364" s="296"/>
      <c r="N364" s="316"/>
      <c r="O364" s="270"/>
      <c r="P364" s="387"/>
      <c r="Q364" s="417"/>
      <c r="T364" s="13"/>
      <c r="U364" s="369"/>
      <c r="V364" s="370"/>
      <c r="W364" s="375"/>
      <c r="X364" s="375"/>
      <c r="Y364" s="375"/>
      <c r="Z364" s="376"/>
      <c r="AA364" s="371"/>
      <c r="AB364" s="673"/>
      <c r="AC364" s="371"/>
      <c r="AD364" s="372"/>
      <c r="AE364" s="371"/>
      <c r="AF364" s="371"/>
      <c r="AG364" s="270"/>
      <c r="AH364" s="347"/>
      <c r="AI364" s="363"/>
      <c r="AJ364" s="21"/>
      <c r="AK364" s="21"/>
      <c r="AL364" s="21"/>
      <c r="AM364" s="21"/>
      <c r="AN364" s="21"/>
      <c r="AO364" s="21"/>
    </row>
    <row r="365" spans="1:41" s="53" customFormat="1" ht="14.25" x14ac:dyDescent="0.2">
      <c r="A365" s="48"/>
      <c r="B365" s="369"/>
      <c r="C365" s="375"/>
      <c r="D365" s="374"/>
      <c r="E365" s="374"/>
      <c r="F365" s="374"/>
      <c r="G365" s="414"/>
      <c r="H365" s="415"/>
      <c r="I365" s="291"/>
      <c r="J365" s="291"/>
      <c r="L365" s="374"/>
      <c r="M365" s="296"/>
      <c r="N365" s="316"/>
      <c r="O365" s="270"/>
      <c r="P365" s="387"/>
      <c r="Q365" s="417"/>
      <c r="T365" s="13"/>
      <c r="U365" s="369"/>
      <c r="V365" s="370"/>
      <c r="W365" s="375"/>
      <c r="X365" s="375"/>
      <c r="Y365" s="375"/>
      <c r="Z365" s="376"/>
      <c r="AA365" s="371"/>
      <c r="AB365" s="673"/>
      <c r="AC365" s="371"/>
      <c r="AD365" s="372"/>
      <c r="AE365" s="371"/>
      <c r="AF365" s="371"/>
      <c r="AG365" s="270"/>
      <c r="AH365" s="347"/>
      <c r="AI365" s="363"/>
      <c r="AJ365" s="21"/>
      <c r="AK365" s="21"/>
      <c r="AL365" s="21"/>
      <c r="AM365" s="21"/>
      <c r="AN365" s="21"/>
      <c r="AO365" s="21"/>
    </row>
    <row r="366" spans="1:41" s="53" customFormat="1" ht="14.25" x14ac:dyDescent="0.2">
      <c r="A366" s="48"/>
      <c r="B366" s="369"/>
      <c r="C366" s="375"/>
      <c r="D366" s="374"/>
      <c r="E366" s="374"/>
      <c r="F366" s="374"/>
      <c r="G366" s="414"/>
      <c r="H366" s="415"/>
      <c r="I366" s="78"/>
      <c r="J366" s="291"/>
      <c r="L366" s="374"/>
      <c r="M366" s="296"/>
      <c r="N366" s="316"/>
      <c r="O366" s="270"/>
      <c r="P366" s="418"/>
      <c r="Q366" s="417"/>
      <c r="T366" s="13"/>
      <c r="U366" s="366"/>
      <c r="V366" s="354"/>
      <c r="W366" s="355"/>
      <c r="X366" s="355"/>
      <c r="Y366" s="355"/>
      <c r="Z366" s="356" t="s">
        <v>8205</v>
      </c>
      <c r="AA366" s="328"/>
      <c r="AB366" s="673"/>
      <c r="AC366" s="328"/>
      <c r="AD366" s="333"/>
      <c r="AE366" s="328"/>
      <c r="AF366" s="328"/>
      <c r="AG366" s="346"/>
      <c r="AH366" s="347"/>
      <c r="AI366" s="363"/>
      <c r="AJ366" s="21"/>
      <c r="AK366" s="21"/>
      <c r="AL366" s="21"/>
      <c r="AM366" s="21"/>
      <c r="AN366" s="21"/>
      <c r="AO366" s="21"/>
    </row>
    <row r="367" spans="1:41" s="53" customFormat="1" ht="14.25" x14ac:dyDescent="0.2">
      <c r="A367" s="48"/>
      <c r="B367" s="369"/>
      <c r="C367" s="375"/>
      <c r="D367" s="374"/>
      <c r="E367" s="374"/>
      <c r="F367" s="374"/>
      <c r="G367" s="414"/>
      <c r="H367" s="415"/>
      <c r="I367" s="78"/>
      <c r="J367" s="291"/>
      <c r="L367" s="374"/>
      <c r="M367" s="296"/>
      <c r="N367" s="316"/>
      <c r="O367" s="270"/>
      <c r="P367" s="387"/>
      <c r="Q367" s="417"/>
      <c r="T367" s="13"/>
      <c r="U367" s="320"/>
      <c r="V367" s="354"/>
      <c r="W367" s="355"/>
      <c r="X367" s="355"/>
      <c r="Y367" s="355"/>
      <c r="Z367" s="356"/>
      <c r="AA367" s="328"/>
      <c r="AB367" s="673"/>
      <c r="AC367" s="328"/>
      <c r="AD367" s="333"/>
      <c r="AE367" s="328"/>
      <c r="AF367" s="328"/>
      <c r="AG367" s="346"/>
      <c r="AH367" s="272"/>
      <c r="AI367" s="313"/>
      <c r="AJ367" s="21"/>
      <c r="AK367" s="21"/>
      <c r="AL367" s="21"/>
      <c r="AM367" s="21"/>
      <c r="AN367" s="21"/>
      <c r="AO367" s="21"/>
    </row>
    <row r="368" spans="1:41" s="53" customFormat="1" ht="14.25" x14ac:dyDescent="0.2">
      <c r="A368" s="48"/>
      <c r="B368" s="369"/>
      <c r="C368" s="375"/>
      <c r="D368" s="374"/>
      <c r="E368" s="374"/>
      <c r="F368" s="374"/>
      <c r="G368" s="414"/>
      <c r="H368" s="415"/>
      <c r="I368" s="78"/>
      <c r="J368" s="291"/>
      <c r="L368" s="374"/>
      <c r="M368" s="296"/>
      <c r="N368" s="316"/>
      <c r="O368" s="270"/>
      <c r="P368" s="387"/>
      <c r="Q368" s="417"/>
      <c r="T368" s="13"/>
      <c r="U368" s="320"/>
      <c r="V368" s="354"/>
      <c r="W368" s="355"/>
      <c r="X368" s="355"/>
      <c r="Y368" s="355"/>
      <c r="Z368" s="356"/>
      <c r="AA368" s="328"/>
      <c r="AB368" s="673"/>
      <c r="AC368" s="328"/>
      <c r="AD368" s="333"/>
      <c r="AE368" s="328"/>
      <c r="AF368" s="328"/>
      <c r="AG368" s="346"/>
      <c r="AH368" s="347"/>
      <c r="AI368" s="363"/>
      <c r="AJ368" s="21"/>
      <c r="AK368" s="21"/>
      <c r="AL368" s="21"/>
      <c r="AM368" s="21"/>
      <c r="AN368" s="21"/>
      <c r="AO368" s="21"/>
    </row>
    <row r="369" spans="1:41" s="53" customFormat="1" ht="14.25" x14ac:dyDescent="0.2">
      <c r="A369" s="48"/>
      <c r="B369" s="369"/>
      <c r="C369" s="375"/>
      <c r="D369" s="374"/>
      <c r="E369" s="374"/>
      <c r="F369" s="374"/>
      <c r="G369" s="414"/>
      <c r="H369" s="415"/>
      <c r="I369" s="78"/>
      <c r="J369" s="291"/>
      <c r="L369" s="374"/>
      <c r="M369" s="296"/>
      <c r="N369" s="316"/>
      <c r="O369" s="377"/>
      <c r="P369" s="388"/>
      <c r="Q369" s="417"/>
      <c r="T369" s="13"/>
      <c r="U369" s="366"/>
      <c r="V369" s="354"/>
      <c r="W369" s="359"/>
      <c r="X369" s="355"/>
      <c r="Y369" s="355"/>
      <c r="Z369" s="356"/>
      <c r="AA369" s="328"/>
      <c r="AB369" s="673"/>
      <c r="AC369" s="328"/>
      <c r="AD369" s="333"/>
      <c r="AE369" s="328"/>
      <c r="AF369" s="328"/>
      <c r="AG369" s="346"/>
      <c r="AH369" s="272"/>
      <c r="AI369" s="313"/>
      <c r="AJ369" s="21"/>
      <c r="AK369" s="21"/>
      <c r="AL369" s="21"/>
      <c r="AM369" s="21"/>
      <c r="AN369" s="21"/>
      <c r="AO369" s="21"/>
    </row>
    <row r="370" spans="1:41" s="53" customFormat="1" ht="14.25" x14ac:dyDescent="0.2">
      <c r="A370" s="48"/>
      <c r="B370" s="307"/>
      <c r="C370" s="375"/>
      <c r="D370" s="266"/>
      <c r="E370" s="267"/>
      <c r="F370" s="93"/>
      <c r="G370" s="268"/>
      <c r="H370" s="269"/>
      <c r="I370" s="78"/>
      <c r="J370" s="271"/>
      <c r="L370" s="382"/>
      <c r="M370" s="296"/>
      <c r="N370" s="316"/>
      <c r="O370" s="419"/>
      <c r="P370" s="387"/>
      <c r="Q370" s="417"/>
      <c r="T370" s="13"/>
      <c r="U370" s="366"/>
      <c r="V370" s="354"/>
      <c r="W370" s="355"/>
      <c r="X370" s="355"/>
      <c r="Y370" s="355"/>
      <c r="Z370" s="356"/>
      <c r="AA370" s="328"/>
      <c r="AB370" s="673"/>
      <c r="AC370" s="328"/>
      <c r="AD370" s="333"/>
      <c r="AE370" s="328"/>
      <c r="AF370" s="328"/>
      <c r="AG370" s="346"/>
      <c r="AH370" s="272"/>
      <c r="AI370" s="313"/>
      <c r="AJ370" s="21"/>
      <c r="AK370" s="21"/>
      <c r="AL370" s="21"/>
      <c r="AM370" s="21"/>
      <c r="AN370" s="21"/>
      <c r="AO370" s="21"/>
    </row>
    <row r="371" spans="1:41" s="53" customFormat="1" ht="14.25" x14ac:dyDescent="0.2">
      <c r="A371" s="48"/>
      <c r="B371" s="307"/>
      <c r="C371" s="375"/>
      <c r="D371" s="266"/>
      <c r="E371" s="267"/>
      <c r="F371" s="93"/>
      <c r="G371" s="268"/>
      <c r="H371" s="269"/>
      <c r="I371" s="78"/>
      <c r="J371" s="271"/>
      <c r="L371" s="271"/>
      <c r="M371" s="296"/>
      <c r="N371" s="316"/>
      <c r="O371" s="419"/>
      <c r="P371" s="387"/>
      <c r="Q371" s="417"/>
      <c r="T371" s="13"/>
      <c r="U371" s="320"/>
      <c r="V371" s="354"/>
      <c r="W371" s="355"/>
      <c r="X371" s="355"/>
      <c r="Y371" s="355"/>
      <c r="Z371" s="356"/>
      <c r="AA371" s="328"/>
      <c r="AB371" s="673"/>
      <c r="AC371" s="328"/>
      <c r="AD371" s="333"/>
      <c r="AE371" s="328"/>
      <c r="AF371" s="328"/>
      <c r="AG371" s="346"/>
      <c r="AH371" s="272"/>
      <c r="AI371" s="313"/>
      <c r="AJ371" s="21"/>
      <c r="AK371" s="21"/>
      <c r="AL371" s="21"/>
      <c r="AM371" s="21"/>
      <c r="AN371" s="21"/>
      <c r="AO371" s="21"/>
    </row>
    <row r="372" spans="1:41" s="53" customFormat="1" ht="14.25" x14ac:dyDescent="0.2">
      <c r="A372" s="48"/>
      <c r="B372" s="307"/>
      <c r="C372" s="375"/>
      <c r="D372" s="266"/>
      <c r="E372" s="267"/>
      <c r="F372" s="93"/>
      <c r="G372" s="268"/>
      <c r="H372" s="269"/>
      <c r="I372" s="78"/>
      <c r="J372" s="271"/>
      <c r="L372" s="271"/>
      <c r="M372" s="296"/>
      <c r="N372" s="316"/>
      <c r="O372" s="419"/>
      <c r="P372" s="387"/>
      <c r="Q372" s="417"/>
      <c r="T372" s="13"/>
      <c r="U372" s="357"/>
      <c r="V372" s="354"/>
      <c r="W372" s="355"/>
      <c r="X372" s="330"/>
      <c r="Y372" s="354"/>
      <c r="Z372" s="356"/>
      <c r="AA372" s="328"/>
      <c r="AB372" s="673"/>
      <c r="AC372" s="346"/>
      <c r="AD372" s="333"/>
      <c r="AE372" s="346"/>
      <c r="AF372" s="346"/>
      <c r="AG372" s="346"/>
      <c r="AH372" s="272"/>
      <c r="AI372" s="313"/>
      <c r="AJ372" s="21"/>
      <c r="AK372" s="21"/>
      <c r="AL372" s="21"/>
      <c r="AM372" s="21"/>
      <c r="AN372" s="21"/>
      <c r="AO372" s="21"/>
    </row>
    <row r="373" spans="1:41" s="53" customFormat="1" ht="14.25" x14ac:dyDescent="0.2">
      <c r="A373" s="48"/>
      <c r="B373" s="307"/>
      <c r="C373" s="375"/>
      <c r="D373" s="266"/>
      <c r="E373" s="267"/>
      <c r="F373" s="93"/>
      <c r="G373" s="268"/>
      <c r="H373" s="269"/>
      <c r="I373" s="78"/>
      <c r="J373" s="271"/>
      <c r="L373" s="382"/>
      <c r="M373" s="296"/>
      <c r="N373" s="316"/>
      <c r="O373" s="377"/>
      <c r="P373" s="387"/>
      <c r="Q373" s="417"/>
      <c r="T373" s="13"/>
      <c r="U373" s="370"/>
      <c r="V373" s="370"/>
      <c r="W373" s="375"/>
      <c r="X373" s="374"/>
      <c r="Y373" s="370"/>
      <c r="Z373" s="376"/>
      <c r="AA373" s="371"/>
      <c r="AB373" s="673"/>
      <c r="AC373" s="270"/>
      <c r="AD373" s="372"/>
      <c r="AE373" s="270"/>
      <c r="AF373" s="270"/>
      <c r="AG373" s="270"/>
      <c r="AH373" s="272"/>
      <c r="AI373" s="313"/>
      <c r="AJ373" s="21"/>
      <c r="AK373" s="21"/>
      <c r="AL373" s="21"/>
      <c r="AM373" s="21"/>
      <c r="AN373" s="21"/>
      <c r="AO373" s="21"/>
    </row>
    <row r="374" spans="1:41" s="53" customFormat="1" ht="14.25" x14ac:dyDescent="0.2">
      <c r="A374" s="48"/>
      <c r="B374" s="369"/>
      <c r="C374" s="375"/>
      <c r="D374" s="374"/>
      <c r="E374" s="374"/>
      <c r="F374" s="374"/>
      <c r="G374" s="414"/>
      <c r="H374" s="415"/>
      <c r="I374" s="78"/>
      <c r="J374" s="291"/>
      <c r="L374" s="271"/>
      <c r="M374" s="296"/>
      <c r="N374" s="316"/>
      <c r="O374" s="377"/>
      <c r="P374" s="388"/>
      <c r="Q374" s="417"/>
      <c r="T374" s="13"/>
      <c r="U374" s="370"/>
      <c r="V374" s="370"/>
      <c r="W374" s="375"/>
      <c r="X374" s="374"/>
      <c r="Y374" s="370"/>
      <c r="Z374" s="376"/>
      <c r="AA374" s="371"/>
      <c r="AB374" s="673"/>
      <c r="AC374" s="270"/>
      <c r="AD374" s="372"/>
      <c r="AE374" s="270"/>
      <c r="AF374" s="270"/>
      <c r="AG374" s="270"/>
      <c r="AH374" s="272"/>
      <c r="AI374" s="313"/>
      <c r="AJ374" s="21"/>
      <c r="AK374" s="21"/>
      <c r="AL374" s="21"/>
      <c r="AM374" s="21"/>
      <c r="AN374" s="21"/>
      <c r="AO374" s="21"/>
    </row>
    <row r="375" spans="1:41" s="53" customFormat="1" ht="14.25" x14ac:dyDescent="0.2">
      <c r="A375" s="48"/>
      <c r="B375" s="306"/>
      <c r="C375" s="233"/>
      <c r="D375" s="233"/>
      <c r="F375" s="13"/>
      <c r="G375" s="13"/>
      <c r="I375" s="298"/>
      <c r="J375" s="21"/>
      <c r="L375" s="94"/>
      <c r="M375" s="296"/>
      <c r="N375" s="316"/>
      <c r="O375" s="377"/>
      <c r="P375" s="388"/>
      <c r="Q375" s="417"/>
      <c r="T375" s="13"/>
      <c r="U375" s="370"/>
      <c r="V375" s="370"/>
      <c r="W375" s="375"/>
      <c r="X375" s="374"/>
      <c r="Y375" s="370"/>
      <c r="Z375" s="376"/>
      <c r="AA375" s="371"/>
      <c r="AB375" s="673"/>
      <c r="AC375" s="270"/>
      <c r="AD375" s="372"/>
      <c r="AE375" s="270"/>
      <c r="AF375" s="270"/>
      <c r="AG375" s="270"/>
      <c r="AH375" s="272"/>
      <c r="AI375" s="313"/>
      <c r="AJ375" s="21"/>
      <c r="AK375" s="21"/>
      <c r="AL375" s="21"/>
      <c r="AM375" s="21"/>
      <c r="AN375" s="21"/>
      <c r="AO375" s="21"/>
    </row>
    <row r="376" spans="1:41" s="53" customFormat="1" ht="14.25" x14ac:dyDescent="0.2">
      <c r="A376" s="48"/>
      <c r="B376" s="306"/>
      <c r="C376" s="233"/>
      <c r="D376" s="233"/>
      <c r="F376" s="13"/>
      <c r="G376" s="13"/>
      <c r="I376" s="298"/>
      <c r="J376" s="21"/>
      <c r="L376" s="94"/>
      <c r="M376" s="296"/>
      <c r="N376" s="316"/>
      <c r="O376" s="377"/>
      <c r="P376" s="387"/>
      <c r="Q376" s="417"/>
      <c r="T376" s="13"/>
      <c r="U376" s="370"/>
      <c r="V376" s="370"/>
      <c r="W376" s="375"/>
      <c r="X376" s="374"/>
      <c r="Y376" s="370"/>
      <c r="Z376" s="376"/>
      <c r="AA376" s="371"/>
      <c r="AB376" s="673"/>
      <c r="AC376" s="270"/>
      <c r="AD376" s="372"/>
      <c r="AE376" s="270"/>
      <c r="AF376" s="270"/>
      <c r="AG376" s="270"/>
      <c r="AH376" s="272"/>
      <c r="AI376" s="313"/>
      <c r="AJ376" s="21"/>
      <c r="AK376" s="21"/>
      <c r="AL376" s="21"/>
      <c r="AM376" s="21"/>
      <c r="AN376" s="21"/>
      <c r="AO376" s="21"/>
    </row>
    <row r="377" spans="1:41" s="53" customFormat="1" ht="14.25" x14ac:dyDescent="0.2">
      <c r="A377" s="48"/>
      <c r="B377" s="306"/>
      <c r="C377" s="233"/>
      <c r="D377" s="233"/>
      <c r="F377" s="13"/>
      <c r="G377" s="13"/>
      <c r="I377" s="298"/>
      <c r="J377" s="21"/>
      <c r="L377" s="117"/>
      <c r="M377" s="296"/>
      <c r="N377" s="316"/>
      <c r="O377" s="377"/>
      <c r="P377" s="387"/>
      <c r="Q377" s="417"/>
      <c r="T377" s="13"/>
      <c r="U377" s="370"/>
      <c r="V377" s="370"/>
      <c r="W377" s="375"/>
      <c r="X377" s="374"/>
      <c r="Y377" s="370"/>
      <c r="Z377" s="376"/>
      <c r="AA377" s="371"/>
      <c r="AB377" s="673"/>
      <c r="AC377" s="270"/>
      <c r="AD377" s="372"/>
      <c r="AE377" s="270"/>
      <c r="AF377" s="270"/>
      <c r="AG377" s="270"/>
      <c r="AH377" s="272"/>
      <c r="AI377" s="313"/>
      <c r="AJ377" s="21"/>
      <c r="AK377" s="21"/>
      <c r="AL377" s="21"/>
      <c r="AM377" s="21"/>
      <c r="AN377" s="21"/>
      <c r="AO377" s="21"/>
    </row>
    <row r="378" spans="1:41" s="53" customFormat="1" ht="14.25" x14ac:dyDescent="0.2">
      <c r="A378" s="48"/>
      <c r="B378" s="306"/>
      <c r="C378" s="233"/>
      <c r="D378" s="233"/>
      <c r="F378" s="13"/>
      <c r="G378" s="13"/>
      <c r="I378" s="298"/>
      <c r="J378" s="21"/>
      <c r="L378" s="94"/>
      <c r="M378" s="296"/>
      <c r="N378" s="316"/>
      <c r="O378" s="377"/>
      <c r="P378" s="388"/>
      <c r="Q378" s="417"/>
      <c r="T378" s="13"/>
      <c r="U378" s="370"/>
      <c r="V378" s="370"/>
      <c r="W378" s="375"/>
      <c r="X378" s="374"/>
      <c r="Y378" s="370"/>
      <c r="Z378" s="376"/>
      <c r="AA378" s="371"/>
      <c r="AB378" s="673"/>
      <c r="AC378" s="270"/>
      <c r="AD378" s="372"/>
      <c r="AE378" s="270"/>
      <c r="AF378" s="270"/>
      <c r="AG378" s="270"/>
      <c r="AH378" s="272"/>
      <c r="AI378" s="313"/>
      <c r="AJ378" s="21"/>
      <c r="AK378" s="21"/>
      <c r="AL378" s="21"/>
      <c r="AM378" s="21"/>
      <c r="AN378" s="21"/>
      <c r="AO378" s="21"/>
    </row>
    <row r="379" spans="1:41" s="53" customFormat="1" ht="14.25" x14ac:dyDescent="0.2">
      <c r="A379" s="48"/>
      <c r="B379" s="306"/>
      <c r="C379" s="233"/>
      <c r="D379" s="233"/>
      <c r="F379" s="13"/>
      <c r="G379" s="13"/>
      <c r="I379" s="298"/>
      <c r="J379" s="21"/>
      <c r="L379" s="94"/>
      <c r="M379" s="296"/>
      <c r="N379" s="316"/>
      <c r="O379" s="296"/>
      <c r="P379" s="387"/>
      <c r="Q379" s="417"/>
      <c r="T379" s="13"/>
      <c r="U379" s="370"/>
      <c r="V379" s="370"/>
      <c r="W379" s="375"/>
      <c r="X379" s="374"/>
      <c r="Y379" s="370"/>
      <c r="Z379" s="376"/>
      <c r="AA379" s="371"/>
      <c r="AB379" s="673"/>
      <c r="AC379" s="270"/>
      <c r="AD379" s="372"/>
      <c r="AE379" s="270"/>
      <c r="AF379" s="270"/>
      <c r="AG379" s="270"/>
      <c r="AH379" s="272"/>
      <c r="AI379" s="313"/>
      <c r="AJ379" s="21"/>
      <c r="AK379" s="21"/>
      <c r="AL379" s="21"/>
      <c r="AM379" s="21"/>
      <c r="AN379" s="21"/>
      <c r="AO379" s="21"/>
    </row>
    <row r="380" spans="1:41" s="53" customFormat="1" ht="14.25" x14ac:dyDescent="0.2">
      <c r="A380" s="48"/>
      <c r="B380" s="306"/>
      <c r="C380" s="233"/>
      <c r="D380" s="233"/>
      <c r="F380" s="13"/>
      <c r="G380" s="13"/>
      <c r="I380" s="298"/>
      <c r="J380" s="21"/>
      <c r="L380" s="94"/>
      <c r="M380" s="296"/>
      <c r="N380" s="316"/>
      <c r="O380" s="296"/>
      <c r="P380" s="388"/>
      <c r="Q380" s="417"/>
      <c r="T380" s="13"/>
      <c r="U380" s="370"/>
      <c r="V380" s="370"/>
      <c r="W380" s="375"/>
      <c r="X380" s="374"/>
      <c r="Y380" s="370"/>
      <c r="Z380" s="376"/>
      <c r="AA380" s="371"/>
      <c r="AB380" s="673"/>
      <c r="AC380" s="270"/>
      <c r="AD380" s="372"/>
      <c r="AE380" s="270"/>
      <c r="AF380" s="270"/>
      <c r="AG380" s="270"/>
      <c r="AH380" s="272"/>
      <c r="AI380" s="313"/>
      <c r="AJ380" s="21"/>
      <c r="AK380" s="21"/>
      <c r="AL380" s="21"/>
      <c r="AM380" s="21"/>
      <c r="AN380" s="21"/>
      <c r="AO380" s="21"/>
    </row>
    <row r="381" spans="1:41" s="53" customFormat="1" ht="14.25" x14ac:dyDescent="0.2">
      <c r="A381" s="48"/>
      <c r="B381" s="306"/>
      <c r="C381" s="233"/>
      <c r="D381" s="233"/>
      <c r="F381" s="13"/>
      <c r="G381" s="13"/>
      <c r="I381" s="298"/>
      <c r="J381" s="21"/>
      <c r="L381" s="94"/>
      <c r="M381" s="296"/>
      <c r="N381" s="316"/>
      <c r="O381" s="377"/>
      <c r="P381" s="387"/>
      <c r="Q381" s="417"/>
      <c r="T381" s="13"/>
      <c r="U381" s="370"/>
      <c r="V381" s="370"/>
      <c r="W381" s="375"/>
      <c r="X381" s="374"/>
      <c r="Y381" s="370"/>
      <c r="Z381" s="376"/>
      <c r="AA381" s="371"/>
      <c r="AB381" s="673"/>
      <c r="AC381" s="270"/>
      <c r="AD381" s="372"/>
      <c r="AE381" s="270"/>
      <c r="AF381" s="270"/>
      <c r="AG381" s="270"/>
      <c r="AH381" s="272"/>
      <c r="AI381" s="313"/>
      <c r="AJ381" s="21"/>
      <c r="AK381" s="21"/>
      <c r="AL381" s="21"/>
      <c r="AM381" s="21"/>
      <c r="AN381" s="21"/>
      <c r="AO381" s="21"/>
    </row>
    <row r="382" spans="1:41" s="53" customFormat="1" ht="14.25" x14ac:dyDescent="0.2">
      <c r="A382" s="48"/>
      <c r="B382" s="306"/>
      <c r="C382" s="233"/>
      <c r="D382" s="233"/>
      <c r="F382" s="13"/>
      <c r="G382" s="13"/>
      <c r="I382" s="298"/>
      <c r="J382" s="21"/>
      <c r="L382" s="385"/>
      <c r="M382" s="296"/>
      <c r="N382" s="316"/>
      <c r="O382" s="377"/>
      <c r="P382" s="387"/>
      <c r="Q382" s="417"/>
      <c r="T382" s="13"/>
      <c r="U382" s="370"/>
      <c r="V382" s="370"/>
      <c r="W382" s="375"/>
      <c r="X382" s="374"/>
      <c r="Y382" s="370"/>
      <c r="Z382" s="376"/>
      <c r="AA382" s="371"/>
      <c r="AB382" s="673"/>
      <c r="AC382" s="270"/>
      <c r="AD382" s="372"/>
      <c r="AE382" s="270"/>
      <c r="AF382" s="270"/>
      <c r="AG382" s="270"/>
      <c r="AH382" s="272"/>
      <c r="AI382" s="313"/>
      <c r="AJ382" s="21"/>
      <c r="AK382" s="21"/>
      <c r="AL382" s="21"/>
      <c r="AM382" s="21"/>
      <c r="AN382" s="21"/>
      <c r="AO382" s="21"/>
    </row>
    <row r="383" spans="1:41" s="53" customFormat="1" ht="14.25" x14ac:dyDescent="0.2">
      <c r="A383" s="48"/>
      <c r="B383" s="306"/>
      <c r="C383" s="233"/>
      <c r="D383" s="233"/>
      <c r="F383" s="13"/>
      <c r="G383" s="13"/>
      <c r="I383" s="298"/>
      <c r="J383" s="21"/>
      <c r="L383" s="94"/>
      <c r="M383" s="296"/>
      <c r="N383" s="316"/>
      <c r="O383" s="377"/>
      <c r="P383" s="387"/>
      <c r="Q383" s="417"/>
      <c r="T383" s="13"/>
      <c r="U383" s="370"/>
      <c r="V383" s="370"/>
      <c r="W383" s="375"/>
      <c r="X383" s="374"/>
      <c r="Y383" s="370"/>
      <c r="Z383" s="376"/>
      <c r="AA383" s="371"/>
      <c r="AB383" s="673"/>
      <c r="AC383" s="270"/>
      <c r="AD383" s="372"/>
      <c r="AE383" s="270"/>
      <c r="AF383" s="270"/>
      <c r="AG383" s="270"/>
      <c r="AH383" s="272"/>
      <c r="AI383" s="313"/>
      <c r="AJ383" s="21"/>
      <c r="AK383" s="21"/>
      <c r="AL383" s="21"/>
      <c r="AM383" s="21"/>
      <c r="AN383" s="21"/>
      <c r="AO383" s="21"/>
    </row>
    <row r="384" spans="1:41" s="53" customFormat="1" ht="14.25" x14ac:dyDescent="0.2">
      <c r="A384" s="48"/>
      <c r="B384" s="306"/>
      <c r="C384" s="233"/>
      <c r="D384" s="233"/>
      <c r="F384" s="13"/>
      <c r="G384" s="13"/>
      <c r="I384" s="298"/>
      <c r="J384" s="21"/>
      <c r="L384" s="94"/>
      <c r="M384" s="296"/>
      <c r="N384" s="316"/>
      <c r="O384" s="377"/>
      <c r="P384" s="387"/>
      <c r="Q384" s="417"/>
      <c r="T384" s="13"/>
      <c r="U384" s="370"/>
      <c r="V384" s="370"/>
      <c r="W384" s="375"/>
      <c r="X384" s="374"/>
      <c r="Y384" s="370"/>
      <c r="Z384" s="376"/>
      <c r="AA384" s="371"/>
      <c r="AB384" s="673"/>
      <c r="AC384" s="270"/>
      <c r="AD384" s="372"/>
      <c r="AE384" s="270"/>
      <c r="AF384" s="270"/>
      <c r="AG384" s="270"/>
      <c r="AH384" s="272"/>
      <c r="AI384" s="313"/>
      <c r="AJ384" s="21"/>
      <c r="AK384" s="21"/>
      <c r="AL384" s="21"/>
      <c r="AM384" s="21"/>
      <c r="AN384" s="21"/>
      <c r="AO384" s="21"/>
    </row>
    <row r="385" spans="1:41" s="53" customFormat="1" ht="14.25" x14ac:dyDescent="0.2">
      <c r="A385" s="48"/>
      <c r="B385" s="306"/>
      <c r="C385" s="233"/>
      <c r="D385" s="233"/>
      <c r="F385" s="13"/>
      <c r="G385" s="13"/>
      <c r="I385" s="298"/>
      <c r="J385" s="21"/>
      <c r="L385" s="94"/>
      <c r="M385" s="296"/>
      <c r="N385" s="316"/>
      <c r="O385" s="377"/>
      <c r="P385" s="387"/>
      <c r="Q385" s="417"/>
      <c r="T385" s="13"/>
      <c r="U385" s="370"/>
      <c r="V385" s="370"/>
      <c r="W385" s="375"/>
      <c r="X385" s="374"/>
      <c r="Y385" s="370"/>
      <c r="Z385" s="376"/>
      <c r="AA385" s="371"/>
      <c r="AB385" s="673"/>
      <c r="AC385" s="270"/>
      <c r="AD385" s="372"/>
      <c r="AE385" s="270"/>
      <c r="AF385" s="270"/>
      <c r="AG385" s="270"/>
      <c r="AH385" s="272"/>
      <c r="AI385" s="313"/>
      <c r="AJ385" s="21"/>
      <c r="AK385" s="21"/>
      <c r="AL385" s="21"/>
      <c r="AM385" s="21"/>
      <c r="AN385" s="21"/>
      <c r="AO385" s="21"/>
    </row>
    <row r="386" spans="1:41" s="53" customFormat="1" ht="14.25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O386" s="296"/>
      <c r="P386" s="387"/>
      <c r="Q386" s="417"/>
      <c r="T386" s="13"/>
      <c r="U386" s="370"/>
      <c r="V386" s="370"/>
      <c r="W386" s="375"/>
      <c r="X386" s="374"/>
      <c r="Y386" s="370"/>
      <c r="Z386" s="376"/>
      <c r="AA386" s="371"/>
      <c r="AB386" s="673"/>
      <c r="AC386" s="270"/>
      <c r="AD386" s="372"/>
      <c r="AE386" s="270"/>
      <c r="AF386" s="270"/>
      <c r="AG386" s="270"/>
      <c r="AH386" s="272"/>
      <c r="AI386" s="313"/>
      <c r="AJ386" s="21"/>
      <c r="AK386" s="21"/>
      <c r="AL386" s="21"/>
      <c r="AM386" s="21"/>
      <c r="AN386" s="21"/>
      <c r="AO386" s="21"/>
    </row>
    <row r="387" spans="1:41" s="53" customFormat="1" ht="14.25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O387" s="296"/>
      <c r="P387" s="387"/>
      <c r="Q387" s="417"/>
      <c r="T387" s="13"/>
      <c r="U387" s="370"/>
      <c r="V387" s="370"/>
      <c r="W387" s="375"/>
      <c r="X387" s="374"/>
      <c r="Y387" s="370"/>
      <c r="Z387" s="376"/>
      <c r="AA387" s="371"/>
      <c r="AB387" s="673"/>
      <c r="AC387" s="270"/>
      <c r="AD387" s="372"/>
      <c r="AE387" s="270"/>
      <c r="AF387" s="270"/>
      <c r="AG387" s="270"/>
      <c r="AH387" s="272"/>
      <c r="AI387" s="313"/>
      <c r="AJ387" s="21"/>
      <c r="AK387" s="21"/>
      <c r="AL387" s="21"/>
      <c r="AM387" s="21"/>
      <c r="AN387" s="21"/>
      <c r="AO387" s="21"/>
    </row>
    <row r="388" spans="1:41" s="53" customFormat="1" ht="14.25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O388" s="296"/>
      <c r="P388" s="387"/>
      <c r="Q388" s="417"/>
      <c r="T388" s="13"/>
      <c r="U388" s="370"/>
      <c r="V388" s="370"/>
      <c r="W388" s="375"/>
      <c r="X388" s="374"/>
      <c r="Y388" s="370"/>
      <c r="Z388" s="376"/>
      <c r="AA388" s="371"/>
      <c r="AB388" s="673"/>
      <c r="AC388" s="270"/>
      <c r="AD388" s="372"/>
      <c r="AE388" s="270"/>
      <c r="AF388" s="270"/>
      <c r="AG388" s="270"/>
      <c r="AH388" s="272"/>
      <c r="AI388" s="313"/>
      <c r="AJ388" s="21"/>
      <c r="AK388" s="21"/>
      <c r="AL388" s="21"/>
      <c r="AM388" s="21"/>
      <c r="AN388" s="21"/>
      <c r="AO388" s="21"/>
    </row>
    <row r="389" spans="1:41" s="53" customFormat="1" ht="14.25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296"/>
      <c r="P389" s="387"/>
      <c r="Q389" s="417"/>
      <c r="T389" s="13"/>
      <c r="U389" s="370"/>
      <c r="V389" s="370"/>
      <c r="W389" s="375"/>
      <c r="X389" s="374"/>
      <c r="Y389" s="370"/>
      <c r="Z389" s="376"/>
      <c r="AA389" s="371"/>
      <c r="AB389" s="673"/>
      <c r="AC389" s="270"/>
      <c r="AD389" s="372"/>
      <c r="AE389" s="270"/>
      <c r="AF389" s="270"/>
      <c r="AG389" s="270"/>
      <c r="AH389" s="272"/>
      <c r="AI389" s="313"/>
      <c r="AJ389" s="21"/>
      <c r="AK389" s="21"/>
      <c r="AL389" s="21"/>
      <c r="AM389" s="21"/>
      <c r="AN389" s="21"/>
      <c r="AO389" s="21"/>
    </row>
    <row r="390" spans="1:41" s="53" customFormat="1" ht="14.25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362"/>
      <c r="P390" s="387"/>
      <c r="Q390" s="417"/>
      <c r="T390" s="13"/>
      <c r="U390" s="370"/>
      <c r="V390" s="370"/>
      <c r="W390" s="375"/>
      <c r="X390" s="374"/>
      <c r="Y390" s="370"/>
      <c r="Z390" s="376"/>
      <c r="AA390" s="371"/>
      <c r="AB390" s="673"/>
      <c r="AC390" s="270"/>
      <c r="AD390" s="372"/>
      <c r="AE390" s="270"/>
      <c r="AF390" s="270"/>
      <c r="AG390" s="270"/>
      <c r="AH390" s="272"/>
      <c r="AI390" s="313"/>
      <c r="AJ390" s="21"/>
      <c r="AK390" s="21"/>
      <c r="AL390" s="21"/>
      <c r="AM390" s="21"/>
      <c r="AN390" s="21"/>
      <c r="AO390" s="21"/>
    </row>
    <row r="391" spans="1:41" s="53" customFormat="1" ht="14.25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296"/>
      <c r="P391" s="387"/>
      <c r="Q391" s="417"/>
      <c r="T391" s="13"/>
      <c r="U391" s="370"/>
      <c r="V391" s="370"/>
      <c r="W391" s="375"/>
      <c r="X391" s="374"/>
      <c r="Y391" s="370"/>
      <c r="Z391" s="376"/>
      <c r="AA391" s="371"/>
      <c r="AB391" s="673"/>
      <c r="AC391" s="270"/>
      <c r="AD391" s="372"/>
      <c r="AE391" s="270"/>
      <c r="AF391" s="270"/>
      <c r="AG391" s="270"/>
      <c r="AH391" s="272"/>
      <c r="AI391" s="313"/>
      <c r="AJ391" s="21"/>
      <c r="AK391" s="21"/>
      <c r="AL391" s="21"/>
      <c r="AM391" s="21"/>
      <c r="AN391" s="21"/>
      <c r="AO391" s="21"/>
    </row>
    <row r="392" spans="1:41" s="53" customFormat="1" ht="14.25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296"/>
      <c r="P392" s="387"/>
      <c r="Q392" s="417"/>
      <c r="T392" s="13"/>
      <c r="U392" s="370"/>
      <c r="V392" s="370"/>
      <c r="W392" s="375"/>
      <c r="X392" s="374"/>
      <c r="Y392" s="370"/>
      <c r="Z392" s="376"/>
      <c r="AA392" s="371"/>
      <c r="AB392" s="673"/>
      <c r="AC392" s="270"/>
      <c r="AD392" s="372"/>
      <c r="AE392" s="270"/>
      <c r="AF392" s="270"/>
      <c r="AG392" s="270"/>
      <c r="AH392" s="272"/>
      <c r="AI392" s="313"/>
      <c r="AJ392" s="21"/>
      <c r="AK392" s="21"/>
      <c r="AL392" s="21"/>
      <c r="AM392" s="21"/>
      <c r="AN392" s="21"/>
      <c r="AO392" s="21"/>
    </row>
    <row r="393" spans="1:41" s="53" customFormat="1" ht="14.25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296"/>
      <c r="P393" s="387"/>
      <c r="Q393" s="417"/>
      <c r="T393" s="13"/>
      <c r="U393" s="370"/>
      <c r="V393" s="370"/>
      <c r="W393" s="375"/>
      <c r="X393" s="374"/>
      <c r="Y393" s="370"/>
      <c r="Z393" s="376"/>
      <c r="AA393" s="371"/>
      <c r="AB393" s="673"/>
      <c r="AC393" s="270"/>
      <c r="AD393" s="372"/>
      <c r="AE393" s="270"/>
      <c r="AF393" s="270"/>
      <c r="AG393" s="270"/>
      <c r="AH393" s="272"/>
      <c r="AI393" s="313"/>
      <c r="AJ393" s="21"/>
      <c r="AK393" s="21"/>
      <c r="AL393" s="21"/>
      <c r="AM393" s="21"/>
      <c r="AN393" s="21"/>
      <c r="AO393" s="21"/>
    </row>
    <row r="394" spans="1:41" s="53" customFormat="1" ht="14.25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296"/>
      <c r="P394" s="388"/>
      <c r="Q394" s="417"/>
      <c r="T394" s="13"/>
      <c r="U394" s="370"/>
      <c r="V394" s="370"/>
      <c r="W394" s="375"/>
      <c r="X394" s="374"/>
      <c r="Y394" s="370"/>
      <c r="Z394" s="376"/>
      <c r="AA394" s="371"/>
      <c r="AB394" s="673"/>
      <c r="AC394" s="270"/>
      <c r="AD394" s="372"/>
      <c r="AE394" s="270"/>
      <c r="AF394" s="270"/>
      <c r="AG394" s="270"/>
      <c r="AH394" s="272"/>
      <c r="AI394" s="313"/>
      <c r="AJ394" s="21"/>
      <c r="AK394" s="21"/>
      <c r="AL394" s="21"/>
      <c r="AM394" s="21"/>
      <c r="AN394" s="21"/>
      <c r="AO394" s="21"/>
    </row>
    <row r="395" spans="1:41" s="53" customFormat="1" ht="14.25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296"/>
      <c r="P395" s="386"/>
      <c r="Q395" s="420"/>
      <c r="T395" s="13"/>
      <c r="U395" s="370"/>
      <c r="V395" s="370"/>
      <c r="W395" s="375"/>
      <c r="X395" s="374"/>
      <c r="Y395" s="370"/>
      <c r="Z395" s="376"/>
      <c r="AA395" s="371"/>
      <c r="AB395" s="673"/>
      <c r="AC395" s="270"/>
      <c r="AD395" s="372"/>
      <c r="AE395" s="270"/>
      <c r="AF395" s="270"/>
      <c r="AG395" s="270"/>
      <c r="AH395" s="272"/>
      <c r="AI395" s="313"/>
      <c r="AJ395" s="21"/>
      <c r="AK395" s="21"/>
      <c r="AL395" s="21"/>
      <c r="AM395" s="21"/>
      <c r="AN395" s="21"/>
      <c r="AO395" s="21"/>
    </row>
    <row r="396" spans="1:41" s="53" customFormat="1" ht="14.25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296"/>
      <c r="P396" s="387"/>
      <c r="Q396" s="417"/>
      <c r="T396" s="13"/>
      <c r="U396" s="370"/>
      <c r="V396" s="370"/>
      <c r="W396" s="375"/>
      <c r="X396" s="374"/>
      <c r="Y396" s="370"/>
      <c r="Z396" s="376"/>
      <c r="AA396" s="371"/>
      <c r="AB396" s="673"/>
      <c r="AC396" s="270"/>
      <c r="AD396" s="372"/>
      <c r="AE396" s="270"/>
      <c r="AF396" s="270"/>
      <c r="AG396" s="270"/>
      <c r="AH396" s="272"/>
      <c r="AI396" s="313"/>
      <c r="AJ396" s="21"/>
      <c r="AK396" s="21"/>
      <c r="AL396" s="21"/>
      <c r="AM396" s="21"/>
      <c r="AN396" s="21"/>
      <c r="AO396" s="21"/>
    </row>
    <row r="397" spans="1:41" s="53" customFormat="1" ht="14.25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296"/>
      <c r="P397" s="387"/>
      <c r="Q397" s="417"/>
      <c r="T397" s="13"/>
      <c r="U397" s="370"/>
      <c r="V397" s="370"/>
      <c r="W397" s="375"/>
      <c r="X397" s="374"/>
      <c r="Y397" s="370"/>
      <c r="Z397" s="376"/>
      <c r="AA397" s="371"/>
      <c r="AB397" s="673"/>
      <c r="AC397" s="270"/>
      <c r="AD397" s="372"/>
      <c r="AE397" s="270"/>
      <c r="AF397" s="270"/>
      <c r="AG397" s="270"/>
      <c r="AH397" s="272"/>
      <c r="AI397" s="313"/>
      <c r="AJ397" s="21"/>
      <c r="AK397" s="21"/>
      <c r="AL397" s="21"/>
      <c r="AM397" s="21"/>
      <c r="AN397" s="21"/>
      <c r="AO397" s="21"/>
    </row>
    <row r="398" spans="1:41" s="53" customFormat="1" ht="14.25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296"/>
      <c r="P398" s="387"/>
      <c r="Q398" s="417"/>
      <c r="T398" s="13"/>
      <c r="U398" s="370"/>
      <c r="V398" s="370"/>
      <c r="W398" s="375"/>
      <c r="X398" s="374"/>
      <c r="Y398" s="370"/>
      <c r="Z398" s="376"/>
      <c r="AA398" s="371"/>
      <c r="AB398" s="673"/>
      <c r="AC398" s="270"/>
      <c r="AD398" s="372"/>
      <c r="AE398" s="270"/>
      <c r="AF398" s="270"/>
      <c r="AG398" s="270"/>
      <c r="AH398" s="272"/>
      <c r="AI398" s="313"/>
      <c r="AJ398" s="21"/>
      <c r="AK398" s="21"/>
      <c r="AL398" s="21"/>
      <c r="AM398" s="21"/>
      <c r="AN398" s="21"/>
      <c r="AO398" s="21"/>
    </row>
    <row r="399" spans="1:41" s="53" customFormat="1" ht="14.25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296"/>
      <c r="P399" s="387"/>
      <c r="Q399" s="417"/>
      <c r="T399" s="13"/>
      <c r="U399" s="370"/>
      <c r="V399" s="370"/>
      <c r="W399" s="375"/>
      <c r="X399" s="374"/>
      <c r="Y399" s="370"/>
      <c r="Z399" s="376"/>
      <c r="AA399" s="371"/>
      <c r="AB399" s="673"/>
      <c r="AC399" s="270"/>
      <c r="AD399" s="372"/>
      <c r="AE399" s="270"/>
      <c r="AF399" s="270"/>
      <c r="AG399" s="270"/>
      <c r="AH399" s="272"/>
      <c r="AI399" s="313"/>
      <c r="AJ399" s="21"/>
      <c r="AK399" s="21"/>
      <c r="AL399" s="21"/>
      <c r="AM399" s="21"/>
      <c r="AN399" s="21"/>
      <c r="AO399" s="21"/>
    </row>
    <row r="400" spans="1:41" s="53" customFormat="1" ht="14.25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296"/>
      <c r="P400" s="387"/>
      <c r="Q400" s="417"/>
      <c r="T400" s="13"/>
      <c r="U400" s="370"/>
      <c r="V400" s="370"/>
      <c r="W400" s="375"/>
      <c r="X400" s="374"/>
      <c r="Y400" s="370"/>
      <c r="Z400" s="376"/>
      <c r="AA400" s="371"/>
      <c r="AB400" s="673"/>
      <c r="AC400" s="270"/>
      <c r="AD400" s="372"/>
      <c r="AE400" s="270"/>
      <c r="AF400" s="270"/>
      <c r="AG400" s="270"/>
      <c r="AH400" s="272"/>
      <c r="AI400" s="313"/>
      <c r="AJ400" s="21"/>
      <c r="AK400" s="21"/>
      <c r="AL400" s="21"/>
      <c r="AM400" s="21"/>
      <c r="AN400" s="21"/>
      <c r="AO400" s="21"/>
    </row>
    <row r="401" spans="1:41" s="53" customFormat="1" ht="14.25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296"/>
      <c r="P401" s="388"/>
      <c r="Q401" s="417"/>
      <c r="T401" s="13"/>
      <c r="U401" s="370"/>
      <c r="V401" s="370"/>
      <c r="W401" s="375"/>
      <c r="X401" s="374"/>
      <c r="Y401" s="370"/>
      <c r="Z401" s="376"/>
      <c r="AA401" s="371"/>
      <c r="AB401" s="673"/>
      <c r="AC401" s="270"/>
      <c r="AD401" s="372"/>
      <c r="AE401" s="270"/>
      <c r="AF401" s="270"/>
      <c r="AG401" s="270"/>
      <c r="AH401" s="272"/>
      <c r="AI401" s="313"/>
      <c r="AJ401" s="21"/>
      <c r="AK401" s="21"/>
      <c r="AL401" s="21"/>
      <c r="AM401" s="21"/>
      <c r="AN401" s="21"/>
      <c r="AO401" s="21"/>
    </row>
    <row r="402" spans="1:41" s="53" customFormat="1" ht="14.25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296"/>
      <c r="P402" s="387"/>
      <c r="Q402" s="417"/>
      <c r="T402" s="13"/>
      <c r="U402" s="370"/>
      <c r="V402" s="370"/>
      <c r="W402" s="375"/>
      <c r="X402" s="374"/>
      <c r="Y402" s="370"/>
      <c r="Z402" s="376"/>
      <c r="AA402" s="371"/>
      <c r="AB402" s="673"/>
      <c r="AC402" s="270"/>
      <c r="AD402" s="372"/>
      <c r="AE402" s="270"/>
      <c r="AF402" s="270"/>
      <c r="AG402" s="270"/>
      <c r="AH402" s="272"/>
      <c r="AI402" s="313"/>
      <c r="AJ402" s="21"/>
      <c r="AK402" s="21"/>
      <c r="AL402" s="21"/>
      <c r="AM402" s="21"/>
      <c r="AN402" s="21"/>
      <c r="AO402" s="21"/>
    </row>
    <row r="403" spans="1:41" s="53" customFormat="1" ht="14.25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296"/>
      <c r="P403" s="387"/>
      <c r="Q403" s="417"/>
      <c r="T403" s="13"/>
      <c r="U403" s="370"/>
      <c r="V403" s="370"/>
      <c r="W403" s="375"/>
      <c r="X403" s="374"/>
      <c r="Y403" s="370"/>
      <c r="Z403" s="376"/>
      <c r="AA403" s="371"/>
      <c r="AB403" s="673"/>
      <c r="AC403" s="270"/>
      <c r="AD403" s="372"/>
      <c r="AE403" s="270"/>
      <c r="AF403" s="270"/>
      <c r="AG403" s="270"/>
      <c r="AH403" s="272"/>
      <c r="AI403" s="313"/>
      <c r="AJ403" s="21"/>
      <c r="AK403" s="21"/>
      <c r="AL403" s="21"/>
      <c r="AM403" s="21"/>
      <c r="AN403" s="21"/>
      <c r="AO403" s="21"/>
    </row>
    <row r="404" spans="1:41" s="53" customFormat="1" ht="14.25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296"/>
      <c r="P404" s="387"/>
      <c r="Q404" s="417"/>
      <c r="T404" s="13"/>
      <c r="U404" s="370"/>
      <c r="V404" s="370"/>
      <c r="W404" s="375"/>
      <c r="X404" s="374"/>
      <c r="Y404" s="370"/>
      <c r="Z404" s="376"/>
      <c r="AA404" s="371"/>
      <c r="AB404" s="673"/>
      <c r="AC404" s="270"/>
      <c r="AD404" s="372"/>
      <c r="AE404" s="270"/>
      <c r="AF404" s="270"/>
      <c r="AG404" s="270"/>
      <c r="AH404" s="272"/>
      <c r="AI404" s="313"/>
      <c r="AJ404" s="21"/>
      <c r="AK404" s="21"/>
      <c r="AL404" s="21"/>
      <c r="AM404" s="21"/>
      <c r="AN404" s="21"/>
      <c r="AO404" s="21"/>
    </row>
    <row r="405" spans="1:41" s="53" customFormat="1" ht="14.25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296"/>
      <c r="P405" s="387"/>
      <c r="Q405" s="417"/>
      <c r="T405" s="13"/>
      <c r="U405" s="370"/>
      <c r="V405" s="370"/>
      <c r="W405" s="375"/>
      <c r="X405" s="374"/>
      <c r="Y405" s="370"/>
      <c r="Z405" s="376"/>
      <c r="AA405" s="371"/>
      <c r="AB405" s="673"/>
      <c r="AC405" s="270"/>
      <c r="AD405" s="372"/>
      <c r="AE405" s="270"/>
      <c r="AF405" s="270"/>
      <c r="AG405" s="270"/>
      <c r="AH405" s="272"/>
      <c r="AI405" s="313"/>
      <c r="AJ405" s="21"/>
      <c r="AK405" s="21"/>
      <c r="AL405" s="21"/>
      <c r="AM405" s="21"/>
      <c r="AN405" s="21"/>
      <c r="AO405" s="21"/>
    </row>
    <row r="406" spans="1:41" s="53" customFormat="1" ht="14.25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97"/>
      <c r="P406" s="387"/>
      <c r="Q406" s="417"/>
      <c r="T406" s="13"/>
      <c r="U406" s="370"/>
      <c r="V406" s="370"/>
      <c r="W406" s="375"/>
      <c r="X406" s="374"/>
      <c r="Y406" s="370"/>
      <c r="Z406" s="376"/>
      <c r="AA406" s="371"/>
      <c r="AB406" s="673"/>
      <c r="AC406" s="270"/>
      <c r="AD406" s="372"/>
      <c r="AE406" s="270"/>
      <c r="AF406" s="270"/>
      <c r="AG406" s="270"/>
      <c r="AH406" s="272"/>
      <c r="AI406" s="313"/>
      <c r="AJ406" s="21"/>
      <c r="AK406" s="21"/>
      <c r="AL406" s="21"/>
      <c r="AM406" s="21"/>
      <c r="AN406" s="21"/>
      <c r="AO406" s="21"/>
    </row>
    <row r="407" spans="1:41" s="53" customFormat="1" ht="14.25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97"/>
      <c r="P407" s="387"/>
      <c r="Q407" s="417"/>
      <c r="T407" s="13"/>
      <c r="U407" s="370"/>
      <c r="V407" s="370"/>
      <c r="W407" s="375"/>
      <c r="X407" s="374"/>
      <c r="Y407" s="370"/>
      <c r="Z407" s="376"/>
      <c r="AA407" s="371"/>
      <c r="AB407" s="673"/>
      <c r="AC407" s="270"/>
      <c r="AD407" s="372"/>
      <c r="AE407" s="270"/>
      <c r="AF407" s="270"/>
      <c r="AG407" s="270"/>
      <c r="AH407" s="272"/>
      <c r="AI407" s="313"/>
      <c r="AJ407" s="21"/>
      <c r="AK407" s="21"/>
      <c r="AL407" s="21"/>
      <c r="AM407" s="21"/>
      <c r="AN407" s="21"/>
      <c r="AO407" s="21"/>
    </row>
    <row r="408" spans="1:41" s="53" customFormat="1" ht="14.25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97"/>
      <c r="P408" s="388"/>
      <c r="Q408" s="417"/>
      <c r="T408" s="13"/>
      <c r="U408" s="370"/>
      <c r="V408" s="370"/>
      <c r="W408" s="375"/>
      <c r="X408" s="374"/>
      <c r="Y408" s="370"/>
      <c r="Z408" s="376"/>
      <c r="AA408" s="371"/>
      <c r="AB408" s="673"/>
      <c r="AC408" s="270"/>
      <c r="AD408" s="372"/>
      <c r="AE408" s="270"/>
      <c r="AF408" s="270"/>
      <c r="AG408" s="270"/>
      <c r="AH408" s="272"/>
      <c r="AI408" s="313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97"/>
      <c r="P409" s="296"/>
      <c r="Q409" s="316"/>
      <c r="R409" s="362"/>
      <c r="S409" s="291"/>
      <c r="T409" s="13"/>
      <c r="U409" s="370"/>
      <c r="V409" s="370"/>
      <c r="W409" s="375"/>
      <c r="X409" s="374"/>
      <c r="Y409" s="370"/>
      <c r="Z409" s="376"/>
      <c r="AA409" s="371"/>
      <c r="AB409" s="673"/>
      <c r="AC409" s="270"/>
      <c r="AD409" s="372"/>
      <c r="AE409" s="270"/>
      <c r="AF409" s="270"/>
      <c r="AG409" s="270"/>
      <c r="AH409" s="272"/>
      <c r="AI409" s="313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97"/>
      <c r="P410" s="296"/>
      <c r="Q410" s="421"/>
      <c r="R410" s="362"/>
      <c r="S410" s="291"/>
      <c r="T410" s="13"/>
      <c r="U410" s="370"/>
      <c r="V410" s="370"/>
      <c r="W410" s="375"/>
      <c r="X410" s="374"/>
      <c r="Y410" s="370"/>
      <c r="Z410" s="376"/>
      <c r="AA410" s="371"/>
      <c r="AB410" s="673"/>
      <c r="AC410" s="270"/>
      <c r="AD410" s="372"/>
      <c r="AE410" s="270"/>
      <c r="AF410" s="270"/>
      <c r="AG410" s="270"/>
      <c r="AH410" s="272"/>
      <c r="AI410" s="313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97"/>
      <c r="P411" s="296"/>
      <c r="Q411" s="421"/>
      <c r="R411" s="362"/>
      <c r="S411" s="291"/>
      <c r="T411" s="13"/>
      <c r="U411" s="370"/>
      <c r="V411" s="370"/>
      <c r="W411" s="375"/>
      <c r="X411" s="374"/>
      <c r="Y411" s="370"/>
      <c r="Z411" s="376"/>
      <c r="AA411" s="371"/>
      <c r="AB411" s="673"/>
      <c r="AC411" s="270"/>
      <c r="AD411" s="372"/>
      <c r="AE411" s="270"/>
      <c r="AF411" s="270"/>
      <c r="AG411" s="270"/>
      <c r="AH411" s="272"/>
      <c r="AI411" s="313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97"/>
      <c r="P412" s="296"/>
      <c r="Q412" s="421"/>
      <c r="R412" s="362"/>
      <c r="S412" s="291"/>
      <c r="T412" s="13"/>
      <c r="U412" s="370"/>
      <c r="V412" s="370"/>
      <c r="W412" s="375"/>
      <c r="X412" s="374"/>
      <c r="Y412" s="370"/>
      <c r="Z412" s="376"/>
      <c r="AA412" s="371"/>
      <c r="AB412" s="673"/>
      <c r="AC412" s="270"/>
      <c r="AD412" s="372"/>
      <c r="AE412" s="270"/>
      <c r="AF412" s="270"/>
      <c r="AG412" s="270"/>
      <c r="AH412" s="272"/>
      <c r="AI412" s="313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97"/>
      <c r="P413" s="296"/>
      <c r="Q413" s="421"/>
      <c r="R413" s="383"/>
      <c r="S413" s="21"/>
      <c r="T413" s="13"/>
      <c r="U413" s="370"/>
      <c r="V413" s="370"/>
      <c r="W413" s="375"/>
      <c r="X413" s="374"/>
      <c r="Y413" s="370"/>
      <c r="Z413" s="376"/>
      <c r="AA413" s="371"/>
      <c r="AB413" s="673"/>
      <c r="AC413" s="270"/>
      <c r="AD413" s="372"/>
      <c r="AE413" s="270"/>
      <c r="AF413" s="270"/>
      <c r="AG413" s="270"/>
      <c r="AH413" s="272"/>
      <c r="AI413" s="313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97"/>
      <c r="P414" s="296"/>
      <c r="Q414" s="421"/>
      <c r="R414" s="383"/>
      <c r="S414" s="21"/>
      <c r="T414" s="13"/>
      <c r="U414" s="354"/>
      <c r="V414" s="354"/>
      <c r="W414" s="355"/>
      <c r="X414" s="330"/>
      <c r="Y414" s="354"/>
      <c r="Z414" s="356"/>
      <c r="AA414" s="328"/>
      <c r="AB414" s="673"/>
      <c r="AC414" s="346"/>
      <c r="AD414" s="333"/>
      <c r="AE414" s="346"/>
      <c r="AF414" s="346"/>
      <c r="AG414" s="346"/>
      <c r="AH414" s="272"/>
      <c r="AI414" s="313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O415" s="97"/>
      <c r="P415" s="296"/>
      <c r="Q415" s="421"/>
      <c r="R415" s="383"/>
      <c r="S415" s="21"/>
      <c r="T415" s="13"/>
      <c r="U415" s="354"/>
      <c r="V415" s="354"/>
      <c r="W415" s="355"/>
      <c r="X415" s="330"/>
      <c r="Y415" s="354"/>
      <c r="Z415" s="356"/>
      <c r="AA415" s="328"/>
      <c r="AB415" s="673"/>
      <c r="AC415" s="346"/>
      <c r="AD415" s="333"/>
      <c r="AE415" s="346"/>
      <c r="AF415" s="346"/>
      <c r="AG415" s="346"/>
      <c r="AH415" s="272"/>
      <c r="AI415" s="313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O416" s="97"/>
      <c r="P416" s="296"/>
      <c r="Q416" s="421"/>
      <c r="R416" s="383"/>
      <c r="S416" s="21"/>
      <c r="T416" s="13"/>
      <c r="U416" s="381"/>
      <c r="V416" s="381"/>
      <c r="W416" s="375"/>
      <c r="X416" s="374"/>
      <c r="Y416" s="370"/>
      <c r="Z416" s="376"/>
      <c r="AA416" s="371"/>
      <c r="AB416" s="673"/>
      <c r="AC416" s="270"/>
      <c r="AD416" s="372"/>
      <c r="AE416" s="270"/>
      <c r="AF416" s="270"/>
      <c r="AG416" s="270"/>
      <c r="AH416" s="272"/>
      <c r="AI416" s="313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97"/>
      <c r="P417" s="296"/>
      <c r="Q417" s="421"/>
      <c r="R417" s="383"/>
      <c r="S417" s="21"/>
      <c r="T417" s="13"/>
      <c r="U417" s="381"/>
      <c r="V417" s="381"/>
      <c r="W417" s="375"/>
      <c r="X417" s="374"/>
      <c r="Y417" s="370"/>
      <c r="Z417" s="376"/>
      <c r="AA417" s="371"/>
      <c r="AB417" s="673"/>
      <c r="AC417" s="270"/>
      <c r="AD417" s="372"/>
      <c r="AE417" s="270"/>
      <c r="AF417" s="270"/>
      <c r="AG417" s="270"/>
      <c r="AH417" s="272"/>
      <c r="AI417" s="389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97"/>
      <c r="P418" s="296"/>
      <c r="Q418" s="421"/>
      <c r="R418" s="383"/>
      <c r="S418" s="21"/>
      <c r="T418" s="13"/>
      <c r="U418" s="381"/>
      <c r="V418" s="381"/>
      <c r="W418" s="375"/>
      <c r="X418" s="374"/>
      <c r="Y418" s="370"/>
      <c r="Z418" s="376"/>
      <c r="AA418" s="371"/>
      <c r="AB418" s="673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97"/>
      <c r="P419" s="296"/>
      <c r="Q419" s="421"/>
      <c r="R419" s="383"/>
      <c r="S419" s="21"/>
      <c r="T419" s="13"/>
      <c r="U419" s="381"/>
      <c r="V419" s="381"/>
      <c r="W419" s="375"/>
      <c r="X419" s="374"/>
      <c r="Y419" s="370"/>
      <c r="Z419" s="376"/>
      <c r="AA419" s="371"/>
      <c r="AB419" s="673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97"/>
      <c r="P420" s="296"/>
      <c r="Q420" s="421"/>
      <c r="R420" s="383"/>
      <c r="S420" s="21"/>
      <c r="T420" s="13"/>
      <c r="U420" s="381"/>
      <c r="V420" s="381"/>
      <c r="W420" s="375"/>
      <c r="X420" s="374"/>
      <c r="Y420" s="370"/>
      <c r="Z420" s="376"/>
      <c r="AA420" s="371"/>
      <c r="AB420" s="673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O421" s="97"/>
      <c r="P421" s="296"/>
      <c r="Q421" s="421"/>
      <c r="R421" s="383"/>
      <c r="S421" s="21"/>
      <c r="T421" s="13"/>
      <c r="U421" s="381"/>
      <c r="V421" s="381"/>
      <c r="W421" s="375"/>
      <c r="X421" s="374"/>
      <c r="Y421" s="370"/>
      <c r="Z421" s="376"/>
      <c r="AA421" s="371"/>
      <c r="AB421" s="673"/>
      <c r="AC421" s="270"/>
      <c r="AD421" s="372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97"/>
      <c r="P422" s="296"/>
      <c r="Q422" s="421"/>
      <c r="R422" s="383"/>
      <c r="S422" s="21"/>
      <c r="T422" s="13"/>
      <c r="U422" s="381"/>
      <c r="V422" s="381"/>
      <c r="W422" s="375"/>
      <c r="X422" s="374"/>
      <c r="Y422" s="370"/>
      <c r="Z422" s="376"/>
      <c r="AA422" s="371"/>
      <c r="AB422" s="673"/>
      <c r="AC422" s="270"/>
      <c r="AD422" s="372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97"/>
      <c r="P423" s="296"/>
      <c r="Q423" s="421"/>
      <c r="R423" s="383"/>
      <c r="S423" s="21"/>
      <c r="T423" s="13"/>
      <c r="U423" s="381"/>
      <c r="V423" s="381"/>
      <c r="W423" s="375"/>
      <c r="X423" s="374"/>
      <c r="Y423" s="370"/>
      <c r="Z423" s="376"/>
      <c r="AA423" s="371"/>
      <c r="AB423" s="673"/>
      <c r="AC423" s="270"/>
      <c r="AD423" s="372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97"/>
      <c r="P424" s="296"/>
      <c r="Q424" s="421"/>
      <c r="R424" s="383"/>
      <c r="S424" s="21"/>
      <c r="T424" s="13"/>
      <c r="U424" s="381"/>
      <c r="V424" s="381"/>
      <c r="W424" s="375"/>
      <c r="X424" s="374"/>
      <c r="Y424" s="370"/>
      <c r="Z424" s="376"/>
      <c r="AA424" s="371"/>
      <c r="AB424" s="673"/>
      <c r="AC424" s="270"/>
      <c r="AD424" s="372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97"/>
      <c r="P425" s="296"/>
      <c r="Q425" s="421"/>
      <c r="R425" s="383"/>
      <c r="S425" s="21"/>
      <c r="T425" s="13"/>
      <c r="U425" s="381"/>
      <c r="V425" s="381"/>
      <c r="W425" s="375"/>
      <c r="X425" s="374"/>
      <c r="Y425" s="370"/>
      <c r="Z425" s="376"/>
      <c r="AA425" s="371"/>
      <c r="AB425" s="673"/>
      <c r="AC425" s="270"/>
      <c r="AD425" s="372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97"/>
      <c r="P426" s="296"/>
      <c r="Q426" s="421"/>
      <c r="R426" s="383"/>
      <c r="S426" s="1"/>
      <c r="T426" s="13"/>
      <c r="U426" s="381"/>
      <c r="V426" s="381"/>
      <c r="W426" s="375"/>
      <c r="X426" s="374"/>
      <c r="Y426" s="370"/>
      <c r="Z426" s="376"/>
      <c r="AA426" s="371"/>
      <c r="AB426" s="673"/>
      <c r="AC426" s="270"/>
      <c r="AD426" s="372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97"/>
      <c r="P427" s="296"/>
      <c r="Q427" s="421"/>
      <c r="R427" s="383"/>
      <c r="S427" s="21"/>
      <c r="T427" s="13"/>
      <c r="U427" s="381"/>
      <c r="V427" s="381"/>
      <c r="W427" s="375"/>
      <c r="X427" s="374"/>
      <c r="Y427" s="370"/>
      <c r="Z427" s="376"/>
      <c r="AA427" s="371"/>
      <c r="AB427" s="673"/>
      <c r="AC427" s="270"/>
      <c r="AD427" s="372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97"/>
      <c r="P428" s="296"/>
      <c r="Q428" s="421"/>
      <c r="R428" s="383"/>
      <c r="S428" s="21"/>
      <c r="T428" s="13"/>
      <c r="U428" s="381"/>
      <c r="V428" s="381"/>
      <c r="W428" s="375"/>
      <c r="X428" s="374"/>
      <c r="Y428" s="370"/>
      <c r="Z428" s="376"/>
      <c r="AA428" s="371"/>
      <c r="AB428" s="673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97"/>
      <c r="P429" s="296"/>
      <c r="Q429" s="421"/>
      <c r="R429" s="383"/>
      <c r="S429" s="21"/>
      <c r="T429" s="13"/>
      <c r="U429" s="381"/>
      <c r="V429" s="381"/>
      <c r="W429" s="375"/>
      <c r="X429" s="374"/>
      <c r="Y429" s="370"/>
      <c r="Z429" s="376"/>
      <c r="AA429" s="371"/>
      <c r="AB429" s="673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97"/>
      <c r="P430" s="296"/>
      <c r="Q430" s="421"/>
      <c r="R430" s="383"/>
      <c r="S430" s="21"/>
      <c r="T430" s="13"/>
      <c r="U430" s="381"/>
      <c r="V430" s="381"/>
      <c r="W430" s="375"/>
      <c r="X430" s="374"/>
      <c r="Y430" s="370"/>
      <c r="Z430" s="376"/>
      <c r="AA430" s="371"/>
      <c r="AB430" s="673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97"/>
      <c r="P431" s="296"/>
      <c r="Q431" s="421"/>
      <c r="R431" s="383"/>
      <c r="S431" s="21"/>
      <c r="T431" s="13"/>
      <c r="U431" s="381"/>
      <c r="V431" s="381"/>
      <c r="W431" s="375"/>
      <c r="X431" s="374"/>
      <c r="Y431" s="370"/>
      <c r="Z431" s="376"/>
      <c r="AA431" s="371"/>
      <c r="AB431" s="673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97"/>
      <c r="P432" s="296"/>
      <c r="Q432" s="421"/>
      <c r="R432" s="383"/>
      <c r="S432" s="21"/>
      <c r="T432" s="13"/>
      <c r="U432" s="381"/>
      <c r="V432" s="381"/>
      <c r="W432" s="375"/>
      <c r="X432" s="374"/>
      <c r="Y432" s="370"/>
      <c r="Z432" s="376"/>
      <c r="AA432" s="371"/>
      <c r="AB432" s="673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97"/>
      <c r="P433" s="296"/>
      <c r="Q433" s="421"/>
      <c r="R433" s="383"/>
      <c r="S433" s="21"/>
      <c r="T433" s="13"/>
      <c r="U433" s="381"/>
      <c r="V433" s="381"/>
      <c r="W433" s="375"/>
      <c r="X433" s="374"/>
      <c r="Y433" s="370"/>
      <c r="Z433" s="376"/>
      <c r="AA433" s="371"/>
      <c r="AB433" s="673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97"/>
      <c r="P434" s="296"/>
      <c r="Q434" s="421"/>
      <c r="R434" s="383"/>
      <c r="S434" s="21"/>
      <c r="T434" s="13"/>
      <c r="U434" s="381"/>
      <c r="V434" s="381"/>
      <c r="W434" s="375"/>
      <c r="X434" s="374"/>
      <c r="Y434" s="370"/>
      <c r="Z434" s="376"/>
      <c r="AA434" s="371"/>
      <c r="AB434" s="673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97"/>
      <c r="P435" s="296"/>
      <c r="Q435" s="421"/>
      <c r="R435" s="383"/>
      <c r="S435" s="21"/>
      <c r="T435" s="13"/>
      <c r="U435" s="381"/>
      <c r="V435" s="381"/>
      <c r="W435" s="375"/>
      <c r="X435" s="374"/>
      <c r="Y435" s="370"/>
      <c r="Z435" s="376"/>
      <c r="AA435" s="371"/>
      <c r="AB435" s="673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97"/>
      <c r="P436" s="296"/>
      <c r="Q436" s="421"/>
      <c r="R436" s="383"/>
      <c r="S436" s="21"/>
      <c r="T436" s="13"/>
      <c r="U436" s="381"/>
      <c r="V436" s="381"/>
      <c r="W436" s="375"/>
      <c r="X436" s="374"/>
      <c r="Y436" s="370"/>
      <c r="Z436" s="376"/>
      <c r="AA436" s="371"/>
      <c r="AB436" s="673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97"/>
      <c r="P437" s="296"/>
      <c r="Q437" s="421"/>
      <c r="R437" s="383"/>
      <c r="S437" s="21"/>
      <c r="T437" s="13"/>
      <c r="U437" s="381"/>
      <c r="V437" s="381"/>
      <c r="W437" s="375"/>
      <c r="X437" s="374"/>
      <c r="Y437" s="370"/>
      <c r="Z437" s="376"/>
      <c r="AA437" s="371"/>
      <c r="AB437" s="673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97"/>
      <c r="P438" s="296"/>
      <c r="Q438" s="421"/>
      <c r="R438" s="383"/>
      <c r="S438" s="21"/>
      <c r="T438" s="13"/>
      <c r="U438" s="381"/>
      <c r="V438" s="381"/>
      <c r="W438" s="375"/>
      <c r="X438" s="374"/>
      <c r="Y438" s="370"/>
      <c r="Z438" s="376"/>
      <c r="AA438" s="371"/>
      <c r="AB438" s="673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97"/>
      <c r="P439" s="296"/>
      <c r="Q439" s="421"/>
      <c r="R439" s="383"/>
      <c r="S439" s="21"/>
      <c r="T439" s="13"/>
      <c r="U439" s="381"/>
      <c r="V439" s="381"/>
      <c r="W439" s="375"/>
      <c r="X439" s="374"/>
      <c r="Y439" s="370"/>
      <c r="Z439" s="376"/>
      <c r="AA439" s="371"/>
      <c r="AB439" s="673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97"/>
      <c r="P440" s="296"/>
      <c r="Q440" s="421"/>
      <c r="R440" s="383"/>
      <c r="S440" s="21"/>
      <c r="T440" s="13"/>
      <c r="U440" s="381"/>
      <c r="V440" s="381"/>
      <c r="W440" s="375"/>
      <c r="X440" s="374"/>
      <c r="Y440" s="370"/>
      <c r="Z440" s="376"/>
      <c r="AA440" s="371"/>
      <c r="AB440" s="673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97"/>
      <c r="P441" s="296"/>
      <c r="Q441" s="421"/>
      <c r="R441" s="383"/>
      <c r="S441" s="21"/>
      <c r="T441" s="13"/>
      <c r="U441" s="381"/>
      <c r="V441" s="381"/>
      <c r="W441" s="375"/>
      <c r="X441" s="374"/>
      <c r="Y441" s="370"/>
      <c r="Z441" s="376"/>
      <c r="AA441" s="371"/>
      <c r="AB441" s="673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296"/>
      <c r="Q442" s="421"/>
      <c r="R442" s="383"/>
      <c r="S442" s="21"/>
      <c r="T442" s="13"/>
      <c r="U442" s="381"/>
      <c r="V442" s="381"/>
      <c r="W442" s="375"/>
      <c r="X442" s="374"/>
      <c r="Y442" s="370"/>
      <c r="Z442" s="376"/>
      <c r="AA442" s="371"/>
      <c r="AB442" s="673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296"/>
      <c r="Q443" s="421"/>
      <c r="R443" s="383"/>
      <c r="S443" s="21"/>
      <c r="T443" s="13"/>
      <c r="U443" s="381"/>
      <c r="V443" s="381"/>
      <c r="W443" s="375"/>
      <c r="X443" s="374"/>
      <c r="Y443" s="370"/>
      <c r="Z443" s="376"/>
      <c r="AA443" s="371"/>
      <c r="AB443" s="673"/>
      <c r="AC443" s="270"/>
      <c r="AD443" s="372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296"/>
      <c r="Q444" s="421"/>
      <c r="R444" s="383"/>
      <c r="S444" s="21"/>
      <c r="T444" s="13"/>
      <c r="U444" s="381"/>
      <c r="V444" s="381"/>
      <c r="W444" s="375"/>
      <c r="X444" s="374"/>
      <c r="Y444" s="370"/>
      <c r="Z444" s="376"/>
      <c r="AA444" s="371"/>
      <c r="AB444" s="673"/>
      <c r="AC444" s="270"/>
      <c r="AD444" s="372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296"/>
      <c r="Q445" s="421"/>
      <c r="R445" s="383"/>
      <c r="S445" s="21"/>
      <c r="T445" s="13"/>
      <c r="U445" s="381"/>
      <c r="V445" s="381"/>
      <c r="W445" s="375"/>
      <c r="X445" s="374"/>
      <c r="Y445" s="370"/>
      <c r="Z445" s="376"/>
      <c r="AA445" s="371"/>
      <c r="AB445" s="673"/>
      <c r="AC445" s="270"/>
      <c r="AD445" s="372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296"/>
      <c r="Q446" s="421"/>
      <c r="R446" s="383"/>
      <c r="S446" s="21"/>
      <c r="T446" s="13"/>
      <c r="U446" s="381"/>
      <c r="V446" s="381"/>
      <c r="W446" s="375"/>
      <c r="X446" s="374"/>
      <c r="Y446" s="370"/>
      <c r="Z446" s="376"/>
      <c r="AA446" s="371"/>
      <c r="AB446" s="673"/>
      <c r="AC446" s="270"/>
      <c r="AD446" s="372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296"/>
      <c r="Q447" s="421"/>
      <c r="R447" s="383"/>
      <c r="S447" s="21"/>
      <c r="T447" s="13"/>
      <c r="U447" s="381"/>
      <c r="V447" s="381"/>
      <c r="W447" s="375"/>
      <c r="X447" s="374"/>
      <c r="Y447" s="370"/>
      <c r="Z447" s="376"/>
      <c r="AA447" s="371"/>
      <c r="AB447" s="673"/>
      <c r="AC447" s="270"/>
      <c r="AD447" s="372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296"/>
      <c r="Q448" s="421"/>
      <c r="R448" s="383"/>
      <c r="S448" s="21"/>
      <c r="T448" s="13"/>
      <c r="U448" s="381"/>
      <c r="V448" s="381"/>
      <c r="W448" s="375"/>
      <c r="X448" s="374"/>
      <c r="Y448" s="370"/>
      <c r="Z448" s="376"/>
      <c r="AA448" s="371"/>
      <c r="AB448" s="673"/>
      <c r="AC448" s="270"/>
      <c r="AD448" s="372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296"/>
      <c r="Q449" s="421"/>
      <c r="R449" s="383"/>
      <c r="S449" s="21"/>
      <c r="T449" s="13"/>
      <c r="U449" s="381"/>
      <c r="V449" s="381"/>
      <c r="W449" s="375"/>
      <c r="X449" s="374"/>
      <c r="Y449" s="370"/>
      <c r="Z449" s="376"/>
      <c r="AA449" s="371"/>
      <c r="AB449" s="673"/>
      <c r="AC449" s="270"/>
      <c r="AD449" s="372"/>
      <c r="AE449" s="270"/>
      <c r="AF449" s="270"/>
      <c r="AG449" s="270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296"/>
      <c r="Q450" s="421"/>
      <c r="R450" s="383"/>
      <c r="S450" s="21"/>
      <c r="T450" s="13"/>
      <c r="U450" s="381"/>
      <c r="V450" s="381"/>
      <c r="W450" s="375"/>
      <c r="X450" s="374"/>
      <c r="Y450" s="370"/>
      <c r="Z450" s="376"/>
      <c r="AA450" s="371"/>
      <c r="AB450" s="673"/>
      <c r="AC450" s="270"/>
      <c r="AD450" s="372"/>
      <c r="AE450" s="270"/>
      <c r="AF450" s="270"/>
      <c r="AG450" s="270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296"/>
      <c r="Q451" s="421"/>
      <c r="R451" s="383"/>
      <c r="S451" s="21"/>
      <c r="T451" s="13"/>
      <c r="U451" s="381"/>
      <c r="V451" s="381"/>
      <c r="W451" s="375"/>
      <c r="X451" s="374"/>
      <c r="Y451" s="370"/>
      <c r="Z451" s="376"/>
      <c r="AA451" s="371"/>
      <c r="AB451" s="673"/>
      <c r="AC451" s="270"/>
      <c r="AD451" s="372"/>
      <c r="AE451" s="270"/>
      <c r="AF451" s="270"/>
      <c r="AG451" s="270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296"/>
      <c r="Q452" s="421"/>
      <c r="R452" s="383"/>
      <c r="S452" s="21"/>
      <c r="T452" s="13"/>
      <c r="U452" s="381"/>
      <c r="V452" s="381"/>
      <c r="W452" s="375"/>
      <c r="X452" s="374"/>
      <c r="Y452" s="370"/>
      <c r="Z452" s="376"/>
      <c r="AA452" s="371"/>
      <c r="AB452" s="673"/>
      <c r="AC452" s="270"/>
      <c r="AD452" s="372"/>
      <c r="AE452" s="270"/>
      <c r="AF452" s="270"/>
      <c r="AG452" s="270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296"/>
      <c r="Q453" s="421"/>
      <c r="R453" s="383"/>
      <c r="S453" s="21"/>
      <c r="T453" s="13"/>
      <c r="U453" s="381"/>
      <c r="V453" s="381"/>
      <c r="W453" s="375"/>
      <c r="X453" s="374"/>
      <c r="Y453" s="370"/>
      <c r="Z453" s="376"/>
      <c r="AA453" s="371"/>
      <c r="AB453" s="673"/>
      <c r="AC453" s="270"/>
      <c r="AD453" s="372"/>
      <c r="AE453" s="270"/>
      <c r="AF453" s="270"/>
      <c r="AG453" s="270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296"/>
      <c r="Q454" s="421"/>
      <c r="R454" s="383"/>
      <c r="S454" s="21"/>
      <c r="T454" s="13"/>
      <c r="U454" s="381"/>
      <c r="V454" s="381"/>
      <c r="W454" s="375"/>
      <c r="X454" s="374"/>
      <c r="Y454" s="370"/>
      <c r="Z454" s="376"/>
      <c r="AA454" s="371"/>
      <c r="AB454" s="673"/>
      <c r="AC454" s="270"/>
      <c r="AD454" s="372"/>
      <c r="AE454" s="270"/>
      <c r="AF454" s="270"/>
      <c r="AG454" s="270"/>
      <c r="AH454" s="272"/>
      <c r="AI454" s="1"/>
      <c r="AJ454" s="21"/>
      <c r="AK454" s="21"/>
      <c r="AL454" s="21"/>
      <c r="AM454" s="21"/>
      <c r="AN454" s="21"/>
      <c r="AO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296"/>
      <c r="Q455" s="421"/>
      <c r="R455" s="383"/>
      <c r="S455" s="21"/>
      <c r="T455" s="13"/>
      <c r="U455" s="381"/>
      <c r="V455" s="381"/>
      <c r="W455" s="375"/>
      <c r="X455" s="374"/>
      <c r="Y455" s="370"/>
      <c r="Z455" s="376"/>
      <c r="AA455" s="371"/>
      <c r="AB455" s="673"/>
      <c r="AC455" s="270"/>
      <c r="AD455" s="372"/>
      <c r="AE455" s="270"/>
      <c r="AF455" s="270"/>
      <c r="AG455" s="270"/>
      <c r="AH455" s="272"/>
      <c r="AI455" s="1"/>
      <c r="AJ455" s="21"/>
      <c r="AK455" s="21"/>
      <c r="AL455" s="21"/>
      <c r="AM455" s="21"/>
      <c r="AN455" s="21"/>
      <c r="AO455" s="21"/>
    </row>
    <row r="456" spans="1:44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296"/>
      <c r="Q456" s="421"/>
      <c r="R456" s="383"/>
      <c r="S456" s="21"/>
      <c r="T456" s="13"/>
      <c r="U456" s="381"/>
      <c r="V456" s="321"/>
      <c r="W456" s="322"/>
      <c r="X456" s="322"/>
      <c r="Y456" s="322"/>
      <c r="Z456" s="323"/>
      <c r="AA456" s="371"/>
      <c r="AB456" s="673"/>
      <c r="AC456" s="371"/>
      <c r="AD456" s="372"/>
      <c r="AE456" s="371"/>
      <c r="AF456" s="371"/>
      <c r="AG456" s="270"/>
      <c r="AH456" s="272"/>
      <c r="AI456" s="1"/>
      <c r="AJ456" s="21"/>
      <c r="AK456" s="21"/>
      <c r="AL456" s="21"/>
      <c r="AM456" s="21"/>
      <c r="AN456" s="21"/>
      <c r="AO456" s="21"/>
    </row>
    <row r="457" spans="1:44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296"/>
      <c r="Q457" s="421"/>
      <c r="R457" s="383"/>
      <c r="S457" s="21"/>
      <c r="T457" s="13"/>
      <c r="U457" s="381"/>
      <c r="V457" s="321"/>
      <c r="W457" s="322"/>
      <c r="X457" s="322"/>
      <c r="Y457" s="322"/>
      <c r="Z457" s="323"/>
      <c r="AA457" s="371"/>
      <c r="AB457" s="673"/>
      <c r="AC457" s="371"/>
      <c r="AD457" s="372"/>
      <c r="AE457" s="371"/>
      <c r="AF457" s="371"/>
      <c r="AG457" s="270"/>
      <c r="AH457" s="272"/>
      <c r="AI457" s="1"/>
      <c r="AJ457" s="21"/>
      <c r="AK457" s="21"/>
      <c r="AL457" s="21"/>
      <c r="AM457" s="21"/>
      <c r="AN457" s="21"/>
      <c r="AO457" s="21"/>
      <c r="AQ457" s="21"/>
      <c r="AR457" s="21"/>
    </row>
    <row r="458" spans="1:44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296"/>
      <c r="Q458" s="421"/>
      <c r="R458" s="383"/>
      <c r="S458" s="21"/>
      <c r="T458" s="13"/>
      <c r="U458" s="381"/>
      <c r="V458" s="321"/>
      <c r="W458" s="322"/>
      <c r="X458" s="322"/>
      <c r="Y458" s="322"/>
      <c r="Z458" s="323"/>
      <c r="AA458" s="371"/>
      <c r="AB458" s="673"/>
      <c r="AC458" s="371"/>
      <c r="AD458" s="372"/>
      <c r="AE458" s="371"/>
      <c r="AF458" s="371"/>
      <c r="AG458" s="270"/>
      <c r="AH458" s="272"/>
      <c r="AI458" s="1"/>
      <c r="AJ458" s="21"/>
      <c r="AK458" s="21"/>
      <c r="AL458" s="21"/>
      <c r="AM458" s="21"/>
      <c r="AN458" s="21"/>
      <c r="AO458" s="21"/>
      <c r="AQ458" s="21"/>
      <c r="AR458" s="21"/>
    </row>
    <row r="459" spans="1:44" x14ac:dyDescent="0.2">
      <c r="A459" s="48"/>
      <c r="B459" s="306"/>
      <c r="C459" s="233"/>
      <c r="D459" s="233"/>
      <c r="P459" s="296"/>
      <c r="Q459" s="421"/>
      <c r="R459" s="383"/>
      <c r="U459" s="381"/>
      <c r="V459" s="321"/>
      <c r="W459" s="322"/>
      <c r="X459" s="322"/>
      <c r="Y459" s="322"/>
      <c r="Z459" s="323"/>
      <c r="AA459" s="371"/>
      <c r="AB459" s="673"/>
      <c r="AC459" s="371"/>
      <c r="AD459" s="372"/>
      <c r="AE459" s="371"/>
      <c r="AF459" s="371"/>
      <c r="AG459" s="270"/>
      <c r="AH459" s="272"/>
      <c r="AP459" s="53"/>
    </row>
    <row r="460" spans="1:44" x14ac:dyDescent="0.2">
      <c r="A460" s="48"/>
      <c r="B460" s="306"/>
      <c r="C460" s="233"/>
      <c r="D460" s="233"/>
      <c r="P460" s="296"/>
      <c r="Q460" s="421"/>
      <c r="R460" s="383"/>
      <c r="U460" s="381"/>
      <c r="V460" s="321"/>
      <c r="W460" s="322"/>
      <c r="X460" s="322"/>
      <c r="Y460" s="322"/>
      <c r="Z460" s="323"/>
      <c r="AA460" s="371"/>
      <c r="AB460" s="673"/>
      <c r="AC460" s="371"/>
      <c r="AD460" s="372"/>
      <c r="AE460" s="371"/>
      <c r="AF460" s="371"/>
      <c r="AG460" s="270"/>
      <c r="AH460" s="272"/>
      <c r="AP460" s="53"/>
    </row>
    <row r="461" spans="1:44" x14ac:dyDescent="0.2">
      <c r="A461" s="48"/>
      <c r="B461" s="306"/>
      <c r="C461" s="233"/>
      <c r="D461" s="233"/>
      <c r="P461" s="296"/>
      <c r="Q461" s="421"/>
      <c r="R461" s="383"/>
      <c r="U461" s="381"/>
      <c r="V461" s="370"/>
      <c r="W461" s="375"/>
      <c r="X461" s="375"/>
      <c r="Y461" s="375"/>
      <c r="Z461" s="376"/>
      <c r="AA461" s="371"/>
      <c r="AB461" s="673"/>
      <c r="AC461" s="371"/>
      <c r="AD461" s="372"/>
      <c r="AE461" s="371"/>
      <c r="AF461" s="371"/>
      <c r="AG461" s="270"/>
      <c r="AH461" s="272"/>
      <c r="AP461" s="53"/>
    </row>
    <row r="462" spans="1:44" x14ac:dyDescent="0.2">
      <c r="A462" s="48"/>
      <c r="B462" s="306"/>
      <c r="C462" s="233"/>
      <c r="D462" s="233"/>
      <c r="P462" s="296"/>
      <c r="Q462" s="421"/>
      <c r="R462" s="383"/>
      <c r="U462" s="381"/>
      <c r="V462" s="370"/>
      <c r="W462" s="375"/>
      <c r="X462" s="374"/>
      <c r="Y462" s="370"/>
      <c r="Z462" s="376"/>
      <c r="AA462" s="371"/>
      <c r="AB462" s="673"/>
      <c r="AC462" s="270"/>
      <c r="AD462" s="372"/>
      <c r="AE462" s="270"/>
      <c r="AF462" s="270"/>
      <c r="AG462" s="270"/>
      <c r="AH462" s="272"/>
      <c r="AP462" s="53"/>
    </row>
    <row r="463" spans="1:44" x14ac:dyDescent="0.2">
      <c r="A463" s="48"/>
      <c r="B463" s="306"/>
      <c r="C463" s="233"/>
      <c r="D463" s="233"/>
      <c r="P463" s="296"/>
      <c r="Q463" s="421"/>
      <c r="R463" s="383"/>
      <c r="U463" s="381"/>
      <c r="V463" s="370"/>
      <c r="W463" s="375"/>
      <c r="X463" s="374"/>
      <c r="Y463" s="370"/>
      <c r="Z463" s="376"/>
      <c r="AA463" s="371"/>
      <c r="AB463" s="673"/>
      <c r="AC463" s="270"/>
      <c r="AD463" s="372"/>
      <c r="AE463" s="270"/>
      <c r="AF463" s="270"/>
      <c r="AG463" s="270"/>
      <c r="AH463" s="272"/>
      <c r="AP463" s="53"/>
    </row>
    <row r="464" spans="1:44" x14ac:dyDescent="0.2">
      <c r="A464" s="48"/>
      <c r="B464" s="306"/>
      <c r="C464" s="233"/>
      <c r="D464" s="233"/>
      <c r="P464" s="296"/>
      <c r="Q464" s="421"/>
      <c r="R464" s="383"/>
      <c r="U464" s="381"/>
      <c r="V464" s="370"/>
      <c r="W464" s="375"/>
      <c r="X464" s="374"/>
      <c r="Y464" s="370"/>
      <c r="Z464" s="376"/>
      <c r="AA464" s="371"/>
      <c r="AB464" s="673"/>
      <c r="AC464" s="270"/>
      <c r="AD464" s="372"/>
      <c r="AE464" s="270"/>
      <c r="AF464" s="270"/>
      <c r="AG464" s="270"/>
      <c r="AH464" s="272"/>
      <c r="AP464" s="53"/>
    </row>
    <row r="465" spans="1:44" x14ac:dyDescent="0.2">
      <c r="A465" s="48"/>
      <c r="B465" s="306"/>
      <c r="C465" s="233"/>
      <c r="D465" s="233"/>
      <c r="P465" s="296"/>
      <c r="Q465" s="421"/>
      <c r="R465" s="383"/>
      <c r="U465" s="381"/>
      <c r="V465" s="370"/>
      <c r="W465" s="375"/>
      <c r="X465" s="374"/>
      <c r="Y465" s="370"/>
      <c r="Z465" s="376"/>
      <c r="AA465" s="371"/>
      <c r="AB465" s="673"/>
      <c r="AC465" s="270"/>
      <c r="AD465" s="372"/>
      <c r="AE465" s="270"/>
      <c r="AF465" s="270"/>
      <c r="AG465" s="270"/>
      <c r="AH465" s="272"/>
      <c r="AP465" s="53"/>
    </row>
    <row r="466" spans="1:44" x14ac:dyDescent="0.2">
      <c r="A466" s="48"/>
      <c r="B466" s="306"/>
      <c r="C466" s="233"/>
      <c r="D466" s="233"/>
      <c r="P466" s="296"/>
      <c r="Q466" s="421"/>
      <c r="R466" s="383"/>
      <c r="U466" s="381"/>
      <c r="V466" s="370"/>
      <c r="W466" s="375"/>
      <c r="X466" s="374"/>
      <c r="Y466" s="370"/>
      <c r="Z466" s="376"/>
      <c r="AA466" s="371"/>
      <c r="AB466" s="673"/>
      <c r="AC466" s="270"/>
      <c r="AD466" s="372"/>
      <c r="AE466" s="270"/>
      <c r="AF466" s="270"/>
      <c r="AG466" s="270"/>
      <c r="AH466" s="272"/>
      <c r="AP466" s="53"/>
    </row>
    <row r="467" spans="1:44" x14ac:dyDescent="0.2">
      <c r="A467" s="48"/>
      <c r="B467" s="306"/>
      <c r="C467" s="233"/>
      <c r="D467" s="233"/>
      <c r="P467" s="296"/>
      <c r="Q467" s="421"/>
      <c r="R467" s="383"/>
      <c r="U467" s="381"/>
      <c r="V467" s="370"/>
      <c r="W467" s="375"/>
      <c r="X467" s="374"/>
      <c r="Y467" s="370"/>
      <c r="Z467" s="376"/>
      <c r="AA467" s="371"/>
      <c r="AB467" s="673"/>
      <c r="AC467" s="270"/>
      <c r="AD467" s="372"/>
      <c r="AE467" s="270"/>
      <c r="AF467" s="270"/>
      <c r="AG467" s="270"/>
      <c r="AH467" s="272"/>
      <c r="AP467" s="53"/>
      <c r="AQ467" s="53"/>
      <c r="AR467" s="53"/>
    </row>
    <row r="468" spans="1:44" x14ac:dyDescent="0.2">
      <c r="A468" s="48"/>
      <c r="B468" s="306"/>
      <c r="C468" s="233"/>
      <c r="D468" s="233"/>
      <c r="P468" s="296"/>
      <c r="Q468" s="421"/>
      <c r="R468" s="383"/>
      <c r="U468" s="381"/>
      <c r="V468" s="370"/>
      <c r="W468" s="375"/>
      <c r="X468" s="374"/>
      <c r="Y468" s="370"/>
      <c r="Z468" s="376"/>
      <c r="AA468" s="371"/>
      <c r="AB468" s="673"/>
      <c r="AC468" s="270"/>
      <c r="AD468" s="372"/>
      <c r="AE468" s="270"/>
      <c r="AF468" s="270"/>
      <c r="AG468" s="270"/>
      <c r="AH468" s="272"/>
      <c r="AP468" s="53"/>
      <c r="AQ468" s="53"/>
      <c r="AR468" s="53"/>
    </row>
    <row r="469" spans="1:44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296"/>
      <c r="Q469" s="421"/>
      <c r="R469" s="383"/>
      <c r="S469" s="21"/>
      <c r="T469" s="13"/>
      <c r="U469" s="381"/>
      <c r="V469" s="370"/>
      <c r="W469" s="375"/>
      <c r="X469" s="374"/>
      <c r="Y469" s="370"/>
      <c r="Z469" s="376"/>
      <c r="AA469" s="371"/>
      <c r="AB469" s="673"/>
      <c r="AC469" s="270"/>
      <c r="AD469" s="372"/>
      <c r="AE469" s="270"/>
      <c r="AF469" s="270"/>
      <c r="AG469" s="270"/>
      <c r="AH469" s="272"/>
      <c r="AI469" s="1"/>
      <c r="AJ469" s="21"/>
      <c r="AK469" s="21"/>
      <c r="AL469" s="21"/>
      <c r="AM469" s="21"/>
      <c r="AN469" s="21"/>
      <c r="AO469" s="21"/>
    </row>
    <row r="470" spans="1:44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296"/>
      <c r="Q470" s="421"/>
      <c r="R470" s="383"/>
      <c r="S470" s="21"/>
      <c r="T470" s="13"/>
      <c r="U470" s="381"/>
      <c r="V470" s="370"/>
      <c r="W470" s="375"/>
      <c r="X470" s="374"/>
      <c r="Y470" s="370"/>
      <c r="Z470" s="376"/>
      <c r="AA470" s="371"/>
      <c r="AB470" s="673"/>
      <c r="AC470" s="270"/>
      <c r="AD470" s="372"/>
      <c r="AE470" s="270"/>
      <c r="AF470" s="270"/>
      <c r="AG470" s="270"/>
      <c r="AH470" s="272"/>
      <c r="AI470" s="1"/>
      <c r="AJ470" s="21"/>
      <c r="AK470" s="21"/>
      <c r="AL470" s="21"/>
      <c r="AM470" s="21"/>
      <c r="AN470" s="21"/>
      <c r="AO470" s="21"/>
    </row>
    <row r="471" spans="1:44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296"/>
      <c r="Q471" s="421"/>
      <c r="R471" s="383"/>
      <c r="S471" s="21"/>
      <c r="T471" s="13"/>
      <c r="U471" s="381"/>
      <c r="V471" s="370"/>
      <c r="W471" s="375"/>
      <c r="X471" s="374"/>
      <c r="Y471" s="370"/>
      <c r="Z471" s="376"/>
      <c r="AA471" s="371"/>
      <c r="AB471" s="673"/>
      <c r="AC471" s="270"/>
      <c r="AD471" s="372"/>
      <c r="AE471" s="270"/>
      <c r="AF471" s="270"/>
      <c r="AG471" s="270"/>
      <c r="AH471" s="272"/>
      <c r="AI471" s="1"/>
      <c r="AJ471" s="21"/>
      <c r="AK471" s="21"/>
      <c r="AL471" s="21"/>
      <c r="AM471" s="21"/>
      <c r="AN471" s="21"/>
      <c r="AO471" s="21"/>
    </row>
    <row r="472" spans="1:44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296"/>
      <c r="Q472" s="421"/>
      <c r="R472" s="383"/>
      <c r="S472" s="21"/>
      <c r="T472" s="13"/>
      <c r="U472" s="381"/>
      <c r="V472" s="370"/>
      <c r="W472" s="375"/>
      <c r="X472" s="374"/>
      <c r="Y472" s="370"/>
      <c r="Z472" s="376"/>
      <c r="AA472" s="371"/>
      <c r="AB472" s="673"/>
      <c r="AC472" s="270"/>
      <c r="AD472" s="372"/>
      <c r="AE472" s="270"/>
      <c r="AF472" s="270"/>
      <c r="AG472" s="270"/>
      <c r="AH472" s="272"/>
      <c r="AI472" s="1"/>
      <c r="AJ472" s="21"/>
      <c r="AK472" s="21"/>
      <c r="AL472" s="21"/>
      <c r="AM472" s="21"/>
      <c r="AN472" s="21"/>
      <c r="AO472" s="21"/>
    </row>
    <row r="473" spans="1:44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296"/>
      <c r="Q473" s="421"/>
      <c r="R473" s="383"/>
      <c r="S473" s="21"/>
      <c r="T473" s="13"/>
      <c r="U473" s="381"/>
      <c r="V473" s="370"/>
      <c r="W473" s="375"/>
      <c r="X473" s="374"/>
      <c r="Y473" s="370"/>
      <c r="Z473" s="376"/>
      <c r="AA473" s="371"/>
      <c r="AB473" s="673"/>
      <c r="AC473" s="270"/>
      <c r="AD473" s="372"/>
      <c r="AE473" s="270"/>
      <c r="AF473" s="270"/>
      <c r="AG473" s="270"/>
      <c r="AH473" s="272"/>
      <c r="AI473" s="1"/>
      <c r="AJ473" s="21"/>
      <c r="AK473" s="21"/>
      <c r="AL473" s="21"/>
      <c r="AM473" s="21"/>
      <c r="AN473" s="21"/>
      <c r="AO473" s="21"/>
    </row>
    <row r="474" spans="1:44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296"/>
      <c r="Q474" s="421"/>
      <c r="R474" s="383"/>
      <c r="S474" s="21"/>
      <c r="T474" s="13"/>
      <c r="U474" s="381"/>
      <c r="V474" s="370"/>
      <c r="W474" s="375"/>
      <c r="X474" s="374"/>
      <c r="Y474" s="370"/>
      <c r="Z474" s="376"/>
      <c r="AA474" s="371"/>
      <c r="AB474" s="673"/>
      <c r="AC474" s="270"/>
      <c r="AD474" s="372"/>
      <c r="AE474" s="270"/>
      <c r="AF474" s="270"/>
      <c r="AG474" s="270"/>
      <c r="AH474" s="272"/>
      <c r="AI474" s="1"/>
      <c r="AJ474" s="21"/>
      <c r="AK474" s="21"/>
      <c r="AL474" s="21"/>
      <c r="AM474" s="21"/>
      <c r="AN474" s="21"/>
      <c r="AO474" s="21"/>
    </row>
    <row r="475" spans="1:44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296"/>
      <c r="Q475" s="421"/>
      <c r="R475" s="383"/>
      <c r="S475" s="21"/>
      <c r="T475" s="13"/>
      <c r="U475" s="381"/>
      <c r="V475" s="370"/>
      <c r="W475" s="375"/>
      <c r="X475" s="374"/>
      <c r="Y475" s="370"/>
      <c r="Z475" s="376"/>
      <c r="AA475" s="371"/>
      <c r="AB475" s="673"/>
      <c r="AC475" s="270"/>
      <c r="AD475" s="372"/>
      <c r="AE475" s="270"/>
      <c r="AF475" s="270"/>
      <c r="AG475" s="270"/>
      <c r="AH475" s="272"/>
      <c r="AI475" s="1"/>
      <c r="AJ475" s="21"/>
      <c r="AK475" s="21"/>
      <c r="AL475" s="21"/>
      <c r="AM475" s="21"/>
      <c r="AN475" s="21"/>
      <c r="AO475" s="21"/>
    </row>
    <row r="476" spans="1:44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296"/>
      <c r="Q476" s="421"/>
      <c r="R476" s="383"/>
      <c r="S476" s="21"/>
      <c r="T476" s="13"/>
      <c r="U476" s="381"/>
      <c r="V476" s="370"/>
      <c r="W476" s="375"/>
      <c r="X476" s="374"/>
      <c r="Y476" s="370"/>
      <c r="Z476" s="376"/>
      <c r="AA476" s="371"/>
      <c r="AB476" s="673"/>
      <c r="AC476" s="270"/>
      <c r="AD476" s="372"/>
      <c r="AE476" s="270"/>
      <c r="AF476" s="270"/>
      <c r="AG476" s="270"/>
      <c r="AH476" s="272"/>
      <c r="AI476" s="1"/>
      <c r="AJ476" s="21"/>
      <c r="AK476" s="21"/>
      <c r="AL476" s="21"/>
      <c r="AM476" s="21"/>
      <c r="AN476" s="21"/>
      <c r="AO476" s="21"/>
    </row>
    <row r="477" spans="1:44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296"/>
      <c r="Q477" s="421"/>
      <c r="R477" s="383"/>
      <c r="S477" s="21"/>
      <c r="T477" s="13"/>
      <c r="U477" s="381"/>
      <c r="V477" s="370"/>
      <c r="W477" s="375"/>
      <c r="X477" s="374"/>
      <c r="Y477" s="370"/>
      <c r="Z477" s="376"/>
      <c r="AA477" s="371"/>
      <c r="AB477" s="673"/>
      <c r="AC477" s="270"/>
      <c r="AD477" s="372"/>
      <c r="AE477" s="270"/>
      <c r="AF477" s="270"/>
      <c r="AG477" s="270"/>
      <c r="AH477" s="272"/>
      <c r="AI477" s="1"/>
      <c r="AJ477" s="21"/>
      <c r="AK477" s="21"/>
      <c r="AL477" s="21"/>
      <c r="AM477" s="21"/>
      <c r="AN477" s="21"/>
      <c r="AO477" s="21"/>
    </row>
    <row r="478" spans="1:44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296"/>
      <c r="Q478" s="421"/>
      <c r="R478" s="383"/>
      <c r="S478" s="21"/>
      <c r="T478" s="13"/>
      <c r="U478" s="381"/>
      <c r="V478" s="370"/>
      <c r="W478" s="375"/>
      <c r="X478" s="374"/>
      <c r="Y478" s="370"/>
      <c r="Z478" s="376"/>
      <c r="AA478" s="371"/>
      <c r="AB478" s="673"/>
      <c r="AC478" s="270"/>
      <c r="AD478" s="372"/>
      <c r="AE478" s="270"/>
      <c r="AF478" s="270"/>
      <c r="AG478" s="270"/>
      <c r="AH478" s="272"/>
      <c r="AI478" s="1"/>
      <c r="AJ478" s="21"/>
      <c r="AK478" s="21"/>
      <c r="AL478" s="21"/>
      <c r="AM478" s="21"/>
      <c r="AN478" s="21"/>
      <c r="AO478" s="21"/>
    </row>
    <row r="479" spans="1:44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296"/>
      <c r="Q479" s="421"/>
      <c r="R479" s="383"/>
      <c r="S479" s="21"/>
      <c r="T479" s="13"/>
      <c r="U479" s="381"/>
      <c r="V479" s="370"/>
      <c r="W479" s="375"/>
      <c r="X479" s="374"/>
      <c r="Y479" s="370"/>
      <c r="Z479" s="376"/>
      <c r="AA479" s="371"/>
      <c r="AB479" s="673"/>
      <c r="AC479" s="270"/>
      <c r="AD479" s="372"/>
      <c r="AE479" s="270"/>
      <c r="AF479" s="270"/>
      <c r="AG479" s="270"/>
      <c r="AH479" s="272"/>
      <c r="AI479" s="1"/>
      <c r="AJ479" s="21"/>
      <c r="AK479" s="21"/>
      <c r="AL479" s="21"/>
      <c r="AM479" s="21"/>
      <c r="AN479" s="21"/>
      <c r="AO479" s="21"/>
    </row>
    <row r="480" spans="1:44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296"/>
      <c r="Q480" s="421"/>
      <c r="R480" s="383"/>
      <c r="S480" s="21"/>
      <c r="T480" s="13"/>
      <c r="U480" s="381"/>
      <c r="V480" s="370"/>
      <c r="W480" s="375"/>
      <c r="X480" s="374"/>
      <c r="Y480" s="370"/>
      <c r="Z480" s="376"/>
      <c r="AA480" s="371"/>
      <c r="AB480" s="673"/>
      <c r="AC480" s="270"/>
      <c r="AD480" s="372"/>
      <c r="AE480" s="270"/>
      <c r="AF480" s="270"/>
      <c r="AG480" s="270"/>
      <c r="AH480" s="272"/>
      <c r="AI480" s="1"/>
      <c r="AJ480" s="21"/>
      <c r="AK480" s="21"/>
      <c r="AL480" s="21"/>
      <c r="AM480" s="21"/>
      <c r="AN480" s="21"/>
      <c r="AO480" s="21"/>
    </row>
    <row r="481" spans="1:41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296"/>
      <c r="Q481" s="421"/>
      <c r="R481" s="383"/>
      <c r="S481" s="21"/>
      <c r="T481" s="13"/>
      <c r="U481" s="381"/>
      <c r="V481" s="370"/>
      <c r="W481" s="375"/>
      <c r="X481" s="374"/>
      <c r="Y481" s="370"/>
      <c r="Z481" s="376"/>
      <c r="AA481" s="371"/>
      <c r="AB481" s="673"/>
      <c r="AC481" s="270"/>
      <c r="AD481" s="372"/>
      <c r="AE481" s="270"/>
      <c r="AF481" s="270"/>
      <c r="AG481" s="270"/>
      <c r="AH481" s="272"/>
      <c r="AI481" s="1"/>
      <c r="AJ481" s="21"/>
      <c r="AK481" s="21"/>
      <c r="AL481" s="21"/>
      <c r="AM481" s="21"/>
      <c r="AN481" s="21"/>
      <c r="AO481" s="21"/>
    </row>
    <row r="482" spans="1:41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296"/>
      <c r="Q482" s="421"/>
      <c r="R482" s="383"/>
      <c r="S482" s="21"/>
      <c r="T482" s="13"/>
      <c r="U482" s="381"/>
      <c r="V482" s="370"/>
      <c r="W482" s="375"/>
      <c r="X482" s="374"/>
      <c r="Y482" s="370"/>
      <c r="Z482" s="376"/>
      <c r="AA482" s="371"/>
      <c r="AB482" s="673"/>
      <c r="AC482" s="270"/>
      <c r="AD482" s="372"/>
      <c r="AE482" s="270"/>
      <c r="AF482" s="270"/>
      <c r="AG482" s="270"/>
      <c r="AH482" s="272"/>
      <c r="AI482" s="1"/>
      <c r="AJ482" s="21"/>
      <c r="AK482" s="21"/>
      <c r="AL482" s="21"/>
      <c r="AM482" s="21"/>
      <c r="AN482" s="21"/>
      <c r="AO482" s="21"/>
    </row>
    <row r="483" spans="1:41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296"/>
      <c r="Q483" s="421"/>
      <c r="R483" s="383"/>
      <c r="S483" s="21"/>
      <c r="T483" s="13"/>
      <c r="U483" s="381"/>
      <c r="V483" s="370"/>
      <c r="W483" s="375"/>
      <c r="X483" s="374"/>
      <c r="Y483" s="370"/>
      <c r="Z483" s="376"/>
      <c r="AA483" s="371"/>
      <c r="AB483" s="673"/>
      <c r="AC483" s="270"/>
      <c r="AD483" s="372"/>
      <c r="AE483" s="270"/>
      <c r="AF483" s="270"/>
      <c r="AG483" s="270"/>
      <c r="AH483" s="272"/>
      <c r="AI483" s="1"/>
      <c r="AJ483" s="21"/>
      <c r="AK483" s="21"/>
      <c r="AL483" s="21"/>
      <c r="AM483" s="21"/>
      <c r="AN483" s="21"/>
      <c r="AO483" s="21"/>
    </row>
    <row r="484" spans="1:41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296"/>
      <c r="Q484" s="421"/>
      <c r="R484" s="383"/>
      <c r="S484" s="21"/>
      <c r="T484" s="13"/>
      <c r="U484" s="381"/>
      <c r="V484" s="370"/>
      <c r="W484" s="375"/>
      <c r="X484" s="374"/>
      <c r="Y484" s="370"/>
      <c r="Z484" s="376"/>
      <c r="AA484" s="371"/>
      <c r="AB484" s="673"/>
      <c r="AC484" s="270"/>
      <c r="AD484" s="372"/>
      <c r="AE484" s="270"/>
      <c r="AF484" s="270"/>
      <c r="AG484" s="270"/>
      <c r="AH484" s="315"/>
      <c r="AI484" s="1"/>
      <c r="AJ484" s="21"/>
      <c r="AK484" s="21"/>
      <c r="AL484" s="21"/>
      <c r="AM484" s="21"/>
      <c r="AN484" s="21"/>
      <c r="AO484" s="21"/>
    </row>
    <row r="485" spans="1:41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296"/>
      <c r="Q485" s="316"/>
      <c r="R485" s="383"/>
      <c r="S485" s="21"/>
      <c r="T485" s="13"/>
      <c r="U485" s="381"/>
      <c r="V485" s="370"/>
      <c r="W485" s="375"/>
      <c r="X485" s="374"/>
      <c r="Y485" s="370"/>
      <c r="Z485" s="376"/>
      <c r="AA485" s="371"/>
      <c r="AB485" s="673"/>
      <c r="AC485" s="270"/>
      <c r="AD485" s="372"/>
      <c r="AE485" s="270"/>
      <c r="AF485" s="270"/>
      <c r="AG485" s="270"/>
      <c r="AH485" s="315"/>
      <c r="AI485" s="1"/>
      <c r="AJ485" s="21"/>
      <c r="AK485" s="21"/>
      <c r="AL485" s="21"/>
      <c r="AM485" s="21"/>
      <c r="AN485" s="21"/>
      <c r="AO485" s="21"/>
    </row>
    <row r="486" spans="1:41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296"/>
      <c r="Q486" s="316"/>
      <c r="R486" s="383"/>
      <c r="S486" s="21"/>
      <c r="T486" s="13"/>
      <c r="U486" s="381"/>
      <c r="V486" s="370"/>
      <c r="W486" s="375"/>
      <c r="X486" s="374"/>
      <c r="Y486" s="370"/>
      <c r="Z486" s="376"/>
      <c r="AA486" s="371"/>
      <c r="AB486" s="673"/>
      <c r="AC486" s="270"/>
      <c r="AD486" s="372"/>
      <c r="AE486" s="270"/>
      <c r="AF486" s="270"/>
      <c r="AG486" s="270"/>
      <c r="AH486" s="315"/>
      <c r="AI486" s="1"/>
      <c r="AJ486" s="21"/>
      <c r="AK486" s="21"/>
      <c r="AL486" s="21"/>
      <c r="AM486" s="21"/>
      <c r="AN486" s="21"/>
      <c r="AO486" s="21"/>
    </row>
    <row r="487" spans="1:41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296"/>
      <c r="Q487" s="316"/>
      <c r="R487" s="383"/>
      <c r="S487" s="21"/>
      <c r="T487" s="13"/>
      <c r="U487" s="381"/>
      <c r="V487" s="370"/>
      <c r="W487" s="375"/>
      <c r="X487" s="374"/>
      <c r="Y487" s="370"/>
      <c r="Z487" s="376"/>
      <c r="AA487" s="371"/>
      <c r="AB487" s="673"/>
      <c r="AC487" s="270"/>
      <c r="AD487" s="372"/>
      <c r="AE487" s="270"/>
      <c r="AF487" s="270"/>
      <c r="AG487" s="270"/>
      <c r="AH487" s="315"/>
      <c r="AI487" s="1"/>
      <c r="AJ487" s="21"/>
      <c r="AK487" s="21"/>
      <c r="AL487" s="21"/>
      <c r="AM487" s="21"/>
      <c r="AN487" s="21"/>
      <c r="AO487" s="21"/>
    </row>
    <row r="488" spans="1:41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296"/>
      <c r="Q488" s="316"/>
      <c r="R488" s="383"/>
      <c r="S488" s="21"/>
      <c r="T488" s="13"/>
      <c r="U488" s="381"/>
      <c r="V488" s="370"/>
      <c r="W488" s="375"/>
      <c r="X488" s="374"/>
      <c r="Y488" s="370"/>
      <c r="Z488" s="376"/>
      <c r="AA488" s="371"/>
      <c r="AB488" s="673"/>
      <c r="AC488" s="270"/>
      <c r="AD488" s="372"/>
      <c r="AE488" s="270"/>
      <c r="AF488" s="270"/>
      <c r="AG488" s="270"/>
      <c r="AH488" s="315"/>
      <c r="AI488" s="1"/>
      <c r="AJ488" s="21"/>
      <c r="AK488" s="21"/>
      <c r="AL488" s="21"/>
      <c r="AM488" s="21"/>
      <c r="AN488" s="21"/>
      <c r="AO488" s="21"/>
    </row>
    <row r="489" spans="1:41" s="53" customFormat="1" x14ac:dyDescent="0.2">
      <c r="A489" s="48"/>
      <c r="B489" s="306"/>
      <c r="C489" s="233"/>
      <c r="D489" s="233"/>
      <c r="F489" s="13"/>
      <c r="G489" s="13"/>
      <c r="I489" s="298"/>
      <c r="J489" s="21"/>
      <c r="K489" s="21"/>
      <c r="L489" s="13"/>
      <c r="M489" s="50"/>
      <c r="N489" s="97"/>
      <c r="O489" s="50"/>
      <c r="P489" s="97"/>
      <c r="Q489" s="316"/>
      <c r="R489" s="383"/>
      <c r="S489" s="21"/>
      <c r="T489" s="13"/>
      <c r="U489" s="381"/>
      <c r="V489" s="370"/>
      <c r="W489" s="375"/>
      <c r="X489" s="374"/>
      <c r="Y489" s="370"/>
      <c r="Z489" s="376"/>
      <c r="AA489" s="371"/>
      <c r="AB489" s="673"/>
      <c r="AC489" s="270"/>
      <c r="AD489" s="372"/>
      <c r="AE489" s="270"/>
      <c r="AF489" s="270"/>
      <c r="AG489" s="270"/>
      <c r="AH489" s="315"/>
      <c r="AI489" s="1"/>
      <c r="AJ489" s="21"/>
      <c r="AK489" s="21"/>
      <c r="AL489" s="21"/>
      <c r="AM489" s="21"/>
      <c r="AN489" s="21"/>
      <c r="AO489" s="21"/>
    </row>
    <row r="490" spans="1:41" s="53" customFormat="1" x14ac:dyDescent="0.2">
      <c r="A490" s="48"/>
      <c r="B490" s="306"/>
      <c r="C490" s="233"/>
      <c r="D490" s="233"/>
      <c r="F490" s="13"/>
      <c r="G490" s="13"/>
      <c r="I490" s="298"/>
      <c r="J490" s="21"/>
      <c r="K490" s="21"/>
      <c r="L490" s="13"/>
      <c r="M490" s="50"/>
      <c r="N490" s="97"/>
      <c r="O490" s="50"/>
      <c r="P490" s="97"/>
      <c r="Q490" s="316"/>
      <c r="R490" s="383"/>
      <c r="S490" s="21"/>
      <c r="T490" s="13"/>
      <c r="U490" s="381"/>
      <c r="V490" s="370"/>
      <c r="W490" s="375"/>
      <c r="X490" s="374"/>
      <c r="Y490" s="370"/>
      <c r="Z490" s="376"/>
      <c r="AA490" s="371"/>
      <c r="AB490" s="673"/>
      <c r="AC490" s="270"/>
      <c r="AD490" s="372"/>
      <c r="AE490" s="270"/>
      <c r="AF490" s="270"/>
      <c r="AG490" s="270"/>
      <c r="AH490" s="315"/>
      <c r="AI490" s="1"/>
      <c r="AJ490" s="21"/>
      <c r="AK490" s="21"/>
      <c r="AL490" s="21"/>
      <c r="AM490" s="21"/>
      <c r="AN490" s="21"/>
      <c r="AO490" s="21"/>
    </row>
    <row r="491" spans="1:41" s="53" customFormat="1" x14ac:dyDescent="0.2">
      <c r="A491" s="48"/>
      <c r="B491" s="306"/>
      <c r="C491" s="233"/>
      <c r="D491" s="233"/>
      <c r="F491" s="13"/>
      <c r="G491" s="13"/>
      <c r="I491" s="298"/>
      <c r="J491" s="21"/>
      <c r="K491" s="21"/>
      <c r="L491" s="13"/>
      <c r="M491" s="50"/>
      <c r="N491" s="97"/>
      <c r="O491" s="50"/>
      <c r="P491" s="97"/>
      <c r="Q491" s="316"/>
      <c r="R491" s="383"/>
      <c r="S491" s="21"/>
      <c r="T491" s="13"/>
      <c r="U491" s="381"/>
      <c r="V491" s="370"/>
      <c r="W491" s="375"/>
      <c r="X491" s="374"/>
      <c r="Y491" s="370"/>
      <c r="Z491" s="376"/>
      <c r="AA491" s="371"/>
      <c r="AB491" s="673"/>
      <c r="AC491" s="270"/>
      <c r="AD491" s="372"/>
      <c r="AE491" s="270"/>
      <c r="AF491" s="270"/>
      <c r="AG491" s="270"/>
      <c r="AH491" s="272"/>
      <c r="AI491" s="1"/>
      <c r="AJ491" s="21"/>
      <c r="AK491" s="21"/>
      <c r="AL491" s="21"/>
      <c r="AM491" s="21"/>
      <c r="AN491" s="21"/>
      <c r="AO491" s="21"/>
    </row>
    <row r="492" spans="1:41" s="53" customFormat="1" x14ac:dyDescent="0.2">
      <c r="A492" s="48"/>
      <c r="B492" s="306"/>
      <c r="C492" s="233"/>
      <c r="D492" s="233"/>
      <c r="F492" s="13"/>
      <c r="G492" s="13"/>
      <c r="I492" s="298"/>
      <c r="J492" s="21"/>
      <c r="K492" s="21"/>
      <c r="L492" s="13"/>
      <c r="M492" s="50"/>
      <c r="N492" s="97"/>
      <c r="O492" s="50"/>
      <c r="P492" s="97"/>
      <c r="Q492" s="316"/>
      <c r="R492" s="383"/>
      <c r="S492" s="21"/>
      <c r="T492" s="13"/>
      <c r="U492" s="381"/>
      <c r="V492" s="370"/>
      <c r="W492" s="375"/>
      <c r="X492" s="374"/>
      <c r="Y492" s="370"/>
      <c r="Z492" s="376"/>
      <c r="AA492" s="371"/>
      <c r="AB492" s="673"/>
      <c r="AC492" s="270"/>
      <c r="AD492" s="372"/>
      <c r="AE492" s="270"/>
      <c r="AF492" s="270"/>
      <c r="AG492" s="270"/>
      <c r="AH492" s="272"/>
      <c r="AI492" s="1"/>
      <c r="AJ492" s="21"/>
      <c r="AK492" s="21"/>
      <c r="AL492" s="21"/>
      <c r="AM492" s="21"/>
      <c r="AN492" s="21"/>
      <c r="AO492" s="21"/>
    </row>
    <row r="493" spans="1:41" s="53" customFormat="1" x14ac:dyDescent="0.2">
      <c r="A493" s="48"/>
      <c r="B493" s="306"/>
      <c r="C493" s="233"/>
      <c r="D493" s="233"/>
      <c r="F493" s="13"/>
      <c r="G493" s="13"/>
      <c r="I493" s="298"/>
      <c r="J493" s="21"/>
      <c r="K493" s="21"/>
      <c r="L493" s="13"/>
      <c r="M493" s="50"/>
      <c r="N493" s="97"/>
      <c r="O493" s="50"/>
      <c r="P493" s="97"/>
      <c r="Q493" s="316"/>
      <c r="R493" s="383"/>
      <c r="S493" s="21"/>
      <c r="T493" s="13"/>
      <c r="U493" s="381"/>
      <c r="V493" s="370"/>
      <c r="W493" s="375"/>
      <c r="X493" s="374"/>
      <c r="Y493" s="370"/>
      <c r="Z493" s="376"/>
      <c r="AA493" s="371"/>
      <c r="AB493" s="673"/>
      <c r="AC493" s="270"/>
      <c r="AD493" s="372"/>
      <c r="AE493" s="270"/>
      <c r="AF493" s="270"/>
      <c r="AG493" s="270"/>
      <c r="AH493" s="272"/>
      <c r="AI493" s="1"/>
      <c r="AJ493" s="21"/>
      <c r="AK493" s="21"/>
      <c r="AL493" s="21"/>
      <c r="AM493" s="21"/>
      <c r="AN493" s="21"/>
      <c r="AO493" s="21"/>
    </row>
    <row r="494" spans="1:41" s="53" customFormat="1" x14ac:dyDescent="0.2">
      <c r="A494" s="48"/>
      <c r="B494" s="306"/>
      <c r="C494" s="233"/>
      <c r="D494" s="233"/>
      <c r="F494" s="13"/>
      <c r="G494" s="13"/>
      <c r="I494" s="298"/>
      <c r="J494" s="21"/>
      <c r="K494" s="21"/>
      <c r="L494" s="13"/>
      <c r="M494" s="50"/>
      <c r="N494" s="97"/>
      <c r="O494" s="50"/>
      <c r="P494" s="97"/>
      <c r="Q494" s="316"/>
      <c r="R494" s="383"/>
      <c r="S494" s="21"/>
      <c r="T494" s="13"/>
      <c r="U494" s="381"/>
      <c r="V494" s="370"/>
      <c r="W494" s="375"/>
      <c r="X494" s="374"/>
      <c r="Y494" s="370"/>
      <c r="Z494" s="376"/>
      <c r="AA494" s="371"/>
      <c r="AB494" s="673"/>
      <c r="AC494" s="270"/>
      <c r="AD494" s="372"/>
      <c r="AE494" s="270"/>
      <c r="AF494" s="270"/>
      <c r="AG494" s="270"/>
      <c r="AH494" s="272"/>
      <c r="AI494" s="1"/>
      <c r="AJ494" s="21"/>
      <c r="AK494" s="21"/>
      <c r="AL494" s="21"/>
      <c r="AM494" s="21"/>
      <c r="AN494" s="21"/>
      <c r="AO494" s="21"/>
    </row>
    <row r="495" spans="1:41" s="53" customFormat="1" x14ac:dyDescent="0.2">
      <c r="A495" s="48"/>
      <c r="B495" s="306"/>
      <c r="C495" s="233"/>
      <c r="D495" s="233"/>
      <c r="F495" s="13"/>
      <c r="G495" s="13"/>
      <c r="I495" s="298"/>
      <c r="J495" s="21"/>
      <c r="K495" s="21"/>
      <c r="L495" s="13"/>
      <c r="M495" s="50"/>
      <c r="N495" s="97"/>
      <c r="O495" s="50"/>
      <c r="P495" s="97"/>
      <c r="Q495" s="316"/>
      <c r="R495" s="383"/>
      <c r="S495" s="21"/>
      <c r="T495" s="13"/>
      <c r="U495" s="381"/>
      <c r="V495" s="370"/>
      <c r="W495" s="375"/>
      <c r="X495" s="374"/>
      <c r="Y495" s="370"/>
      <c r="Z495" s="376"/>
      <c r="AA495" s="371"/>
      <c r="AB495" s="673"/>
      <c r="AC495" s="270"/>
      <c r="AD495" s="372"/>
      <c r="AE495" s="270"/>
      <c r="AF495" s="270"/>
      <c r="AG495" s="270"/>
      <c r="AH495" s="272"/>
      <c r="AI495" s="1"/>
      <c r="AJ495" s="21"/>
      <c r="AK495" s="21"/>
      <c r="AL495" s="21"/>
      <c r="AM495" s="21"/>
      <c r="AN495" s="21"/>
      <c r="AO495" s="21"/>
    </row>
    <row r="496" spans="1:41" s="53" customFormat="1" x14ac:dyDescent="0.2">
      <c r="A496" s="48"/>
      <c r="B496" s="306"/>
      <c r="C496" s="233"/>
      <c r="D496" s="233"/>
      <c r="F496" s="13"/>
      <c r="G496" s="13"/>
      <c r="I496" s="298"/>
      <c r="J496" s="21"/>
      <c r="K496" s="21"/>
      <c r="L496" s="13"/>
      <c r="M496" s="50"/>
      <c r="N496" s="97"/>
      <c r="O496" s="50"/>
      <c r="P496" s="97"/>
      <c r="Q496" s="316"/>
      <c r="R496" s="383"/>
      <c r="S496" s="21"/>
      <c r="T496" s="13"/>
      <c r="U496" s="381"/>
      <c r="V496" s="370"/>
      <c r="W496" s="375"/>
      <c r="X496" s="374"/>
      <c r="Y496" s="370"/>
      <c r="Z496" s="376"/>
      <c r="AA496" s="371"/>
      <c r="AB496" s="673"/>
      <c r="AC496" s="270"/>
      <c r="AD496" s="372"/>
      <c r="AE496" s="270"/>
      <c r="AF496" s="270"/>
      <c r="AG496" s="270"/>
      <c r="AH496" s="272"/>
      <c r="AI496" s="1"/>
      <c r="AJ496" s="21"/>
      <c r="AK496" s="21"/>
      <c r="AL496" s="21"/>
      <c r="AM496" s="21"/>
      <c r="AN496" s="21"/>
      <c r="AO496" s="21"/>
    </row>
    <row r="497" spans="1:42" s="53" customFormat="1" x14ac:dyDescent="0.2">
      <c r="A497" s="48"/>
      <c r="B497" s="306"/>
      <c r="C497" s="233"/>
      <c r="D497" s="233"/>
      <c r="F497" s="13"/>
      <c r="G497" s="13"/>
      <c r="I497" s="298"/>
      <c r="J497" s="21"/>
      <c r="K497" s="21"/>
      <c r="L497" s="13"/>
      <c r="M497" s="50"/>
      <c r="N497" s="97"/>
      <c r="O497" s="50"/>
      <c r="P497" s="97"/>
      <c r="Q497" s="316"/>
      <c r="R497" s="383"/>
      <c r="S497" s="21"/>
      <c r="T497" s="13"/>
      <c r="U497" s="381"/>
      <c r="V497" s="370"/>
      <c r="W497" s="375"/>
      <c r="X497" s="374"/>
      <c r="Y497" s="370"/>
      <c r="Z497" s="376"/>
      <c r="AA497" s="371"/>
      <c r="AB497" s="673"/>
      <c r="AC497" s="270"/>
      <c r="AD497" s="372"/>
      <c r="AE497" s="270"/>
      <c r="AF497" s="270"/>
      <c r="AG497" s="270"/>
      <c r="AH497" s="272"/>
      <c r="AI497" s="1"/>
      <c r="AJ497" s="21"/>
      <c r="AK497" s="21"/>
      <c r="AL497" s="21"/>
      <c r="AM497" s="21"/>
      <c r="AN497" s="21"/>
      <c r="AO497" s="21"/>
    </row>
    <row r="498" spans="1:42" s="53" customFormat="1" x14ac:dyDescent="0.2">
      <c r="A498" s="48"/>
      <c r="B498" s="306"/>
      <c r="C498" s="233"/>
      <c r="D498" s="233"/>
      <c r="F498" s="13"/>
      <c r="G498" s="13"/>
      <c r="I498" s="298"/>
      <c r="J498" s="21"/>
      <c r="K498" s="21"/>
      <c r="L498" s="13"/>
      <c r="M498" s="50"/>
      <c r="N498" s="97"/>
      <c r="O498" s="50"/>
      <c r="P498" s="97"/>
      <c r="Q498" s="316"/>
      <c r="R498" s="383"/>
      <c r="S498" s="21"/>
      <c r="T498" s="13"/>
      <c r="U498" s="381"/>
      <c r="V498" s="370"/>
      <c r="W498" s="375"/>
      <c r="X498" s="374"/>
      <c r="Y498" s="370"/>
      <c r="Z498" s="376"/>
      <c r="AA498" s="371"/>
      <c r="AB498" s="673"/>
      <c r="AC498" s="270"/>
      <c r="AD498" s="372"/>
      <c r="AE498" s="270"/>
      <c r="AF498" s="270"/>
      <c r="AG498" s="270"/>
      <c r="AH498" s="272"/>
      <c r="AI498" s="1"/>
      <c r="AJ498" s="21"/>
      <c r="AK498" s="21"/>
      <c r="AL498" s="21"/>
      <c r="AM498" s="21"/>
      <c r="AN498" s="21"/>
      <c r="AO498" s="21"/>
    </row>
    <row r="499" spans="1:42" s="53" customFormat="1" x14ac:dyDescent="0.2">
      <c r="A499" s="48"/>
      <c r="B499" s="306"/>
      <c r="C499" s="233"/>
      <c r="D499" s="233"/>
      <c r="F499" s="13"/>
      <c r="G499" s="13"/>
      <c r="I499" s="298"/>
      <c r="J499" s="21"/>
      <c r="K499" s="21"/>
      <c r="L499" s="13"/>
      <c r="M499" s="50"/>
      <c r="N499" s="97"/>
      <c r="O499" s="50"/>
      <c r="P499" s="97"/>
      <c r="Q499" s="316"/>
      <c r="R499" s="383"/>
      <c r="S499" s="21"/>
      <c r="T499" s="13"/>
      <c r="U499" s="381"/>
      <c r="V499" s="370"/>
      <c r="W499" s="375"/>
      <c r="X499" s="374"/>
      <c r="Y499" s="370"/>
      <c r="Z499" s="376"/>
      <c r="AA499" s="371"/>
      <c r="AB499" s="673"/>
      <c r="AC499" s="270"/>
      <c r="AD499" s="372"/>
      <c r="AE499" s="270"/>
      <c r="AF499" s="270"/>
      <c r="AG499" s="270"/>
      <c r="AH499" s="272"/>
      <c r="AI499" s="1"/>
      <c r="AJ499" s="21"/>
      <c r="AK499" s="21"/>
      <c r="AL499" s="21"/>
      <c r="AM499" s="21"/>
      <c r="AN499" s="21"/>
      <c r="AO499" s="21"/>
    </row>
    <row r="500" spans="1:42" s="53" customFormat="1" x14ac:dyDescent="0.2">
      <c r="A500" s="48"/>
      <c r="B500" s="306"/>
      <c r="C500" s="233"/>
      <c r="D500" s="233"/>
      <c r="F500" s="13"/>
      <c r="G500" s="13"/>
      <c r="I500" s="298"/>
      <c r="J500" s="21"/>
      <c r="K500" s="21"/>
      <c r="L500" s="13"/>
      <c r="M500" s="50"/>
      <c r="N500" s="97"/>
      <c r="O500" s="50"/>
      <c r="P500" s="97"/>
      <c r="Q500" s="316"/>
      <c r="R500" s="383"/>
      <c r="S500" s="21"/>
      <c r="T500" s="13"/>
      <c r="U500" s="381"/>
      <c r="V500" s="370"/>
      <c r="W500" s="375"/>
      <c r="X500" s="374"/>
      <c r="Y500" s="370"/>
      <c r="Z500" s="376"/>
      <c r="AA500" s="371"/>
      <c r="AB500" s="673"/>
      <c r="AC500" s="270"/>
      <c r="AD500" s="372"/>
      <c r="AE500" s="270"/>
      <c r="AF500" s="270"/>
      <c r="AG500" s="270"/>
      <c r="AH500" s="272"/>
      <c r="AI500" s="1"/>
      <c r="AJ500" s="21"/>
      <c r="AK500" s="21"/>
      <c r="AL500" s="21"/>
      <c r="AM500" s="21"/>
      <c r="AN500" s="21"/>
      <c r="AO500" s="21"/>
    </row>
    <row r="501" spans="1:42" s="53" customFormat="1" x14ac:dyDescent="0.2">
      <c r="A501" s="48"/>
      <c r="B501" s="306"/>
      <c r="C501" s="233"/>
      <c r="D501" s="233"/>
      <c r="F501" s="13"/>
      <c r="G501" s="13"/>
      <c r="I501" s="298"/>
      <c r="J501" s="21"/>
      <c r="K501" s="21"/>
      <c r="L501" s="13"/>
      <c r="M501" s="50"/>
      <c r="N501" s="97"/>
      <c r="O501" s="50"/>
      <c r="P501" s="97"/>
      <c r="Q501" s="316"/>
      <c r="R501" s="383"/>
      <c r="S501" s="21"/>
      <c r="T501" s="13"/>
      <c r="U501" s="381"/>
      <c r="V501" s="370"/>
      <c r="W501" s="375"/>
      <c r="X501" s="374"/>
      <c r="Y501" s="370"/>
      <c r="Z501" s="376"/>
      <c r="AA501" s="371"/>
      <c r="AB501" s="673"/>
      <c r="AC501" s="270"/>
      <c r="AD501" s="372"/>
      <c r="AE501" s="270"/>
      <c r="AF501" s="270"/>
      <c r="AG501" s="270"/>
      <c r="AH501" s="272"/>
      <c r="AI501" s="1"/>
      <c r="AJ501" s="21"/>
      <c r="AK501" s="21"/>
      <c r="AL501" s="21"/>
      <c r="AM501" s="21"/>
      <c r="AN501" s="21"/>
      <c r="AO501" s="21"/>
    </row>
    <row r="502" spans="1:42" s="53" customFormat="1" x14ac:dyDescent="0.2">
      <c r="A502" s="48"/>
      <c r="B502" s="306"/>
      <c r="C502" s="233"/>
      <c r="D502" s="233"/>
      <c r="F502" s="13"/>
      <c r="G502" s="13"/>
      <c r="I502" s="298"/>
      <c r="J502" s="21"/>
      <c r="K502" s="21"/>
      <c r="L502" s="13"/>
      <c r="M502" s="50"/>
      <c r="N502" s="97"/>
      <c r="O502" s="50"/>
      <c r="P502" s="97"/>
      <c r="Q502" s="316"/>
      <c r="R502" s="383"/>
      <c r="S502" s="21"/>
      <c r="T502" s="13"/>
      <c r="U502" s="381"/>
      <c r="V502" s="370"/>
      <c r="W502" s="375"/>
      <c r="X502" s="374"/>
      <c r="Y502" s="370"/>
      <c r="Z502" s="376"/>
      <c r="AA502" s="371"/>
      <c r="AB502" s="673"/>
      <c r="AC502" s="270"/>
      <c r="AD502" s="372"/>
      <c r="AE502" s="270"/>
      <c r="AF502" s="270"/>
      <c r="AG502" s="270"/>
      <c r="AH502" s="272"/>
      <c r="AI502" s="1"/>
      <c r="AJ502" s="21"/>
      <c r="AK502" s="21"/>
      <c r="AL502" s="21"/>
      <c r="AM502" s="21"/>
      <c r="AN502" s="21"/>
      <c r="AO502" s="21"/>
    </row>
    <row r="503" spans="1:42" s="53" customFormat="1" x14ac:dyDescent="0.2">
      <c r="A503" s="48"/>
      <c r="B503" s="306"/>
      <c r="C503" s="233"/>
      <c r="D503" s="233"/>
      <c r="F503" s="13"/>
      <c r="G503" s="13"/>
      <c r="I503" s="298"/>
      <c r="J503" s="21"/>
      <c r="K503" s="21"/>
      <c r="L503" s="13"/>
      <c r="M503" s="50"/>
      <c r="N503" s="97"/>
      <c r="O503" s="50"/>
      <c r="P503" s="97"/>
      <c r="Q503" s="316"/>
      <c r="R503" s="383"/>
      <c r="S503" s="21"/>
      <c r="T503" s="13"/>
      <c r="U503" s="381"/>
      <c r="V503" s="370"/>
      <c r="W503" s="375"/>
      <c r="X503" s="374"/>
      <c r="Y503" s="370"/>
      <c r="Z503" s="376"/>
      <c r="AA503" s="371"/>
      <c r="AB503" s="673"/>
      <c r="AC503" s="270"/>
      <c r="AD503" s="372"/>
      <c r="AE503" s="270"/>
      <c r="AF503" s="270"/>
      <c r="AG503" s="270"/>
      <c r="AH503" s="272"/>
      <c r="AI503" s="1"/>
      <c r="AJ503" s="21"/>
      <c r="AK503" s="21"/>
      <c r="AL503" s="21"/>
      <c r="AM503" s="21"/>
      <c r="AN503" s="21"/>
      <c r="AO503" s="21"/>
    </row>
    <row r="504" spans="1:42" s="53" customFormat="1" x14ac:dyDescent="0.2">
      <c r="A504" s="48"/>
      <c r="B504" s="306"/>
      <c r="C504" s="233"/>
      <c r="D504" s="233"/>
      <c r="F504" s="13"/>
      <c r="G504" s="13"/>
      <c r="I504" s="298"/>
      <c r="J504" s="21"/>
      <c r="K504" s="21"/>
      <c r="L504" s="13"/>
      <c r="M504" s="50"/>
      <c r="N504" s="97"/>
      <c r="O504" s="50"/>
      <c r="P504" s="97"/>
      <c r="Q504" s="316"/>
      <c r="R504" s="383"/>
      <c r="S504" s="21"/>
      <c r="T504" s="13"/>
      <c r="U504" s="381"/>
      <c r="V504" s="370"/>
      <c r="W504" s="375"/>
      <c r="X504" s="374"/>
      <c r="Y504" s="370"/>
      <c r="Z504" s="376"/>
      <c r="AA504" s="371"/>
      <c r="AB504" s="673"/>
      <c r="AC504" s="270"/>
      <c r="AD504" s="372"/>
      <c r="AE504" s="270"/>
      <c r="AF504" s="270"/>
      <c r="AG504" s="270"/>
      <c r="AH504" s="272"/>
      <c r="AI504" s="1"/>
      <c r="AJ504" s="21"/>
      <c r="AK504" s="21"/>
      <c r="AL504" s="21"/>
      <c r="AM504" s="21"/>
      <c r="AN504" s="21"/>
      <c r="AO504" s="21"/>
    </row>
    <row r="505" spans="1:42" s="53" customFormat="1" x14ac:dyDescent="0.2">
      <c r="A505" s="48"/>
      <c r="B505" s="306"/>
      <c r="C505" s="233"/>
      <c r="D505" s="233"/>
      <c r="F505" s="13"/>
      <c r="G505" s="13"/>
      <c r="I505" s="298"/>
      <c r="J505" s="21"/>
      <c r="K505" s="21"/>
      <c r="L505" s="13"/>
      <c r="M505" s="50"/>
      <c r="N505" s="97"/>
      <c r="O505" s="50"/>
      <c r="P505" s="97"/>
      <c r="Q505" s="316"/>
      <c r="R505" s="383"/>
      <c r="S505" s="21"/>
      <c r="T505" s="13"/>
      <c r="U505" s="381"/>
      <c r="V505" s="370"/>
      <c r="W505" s="375"/>
      <c r="X505" s="374"/>
      <c r="Y505" s="370"/>
      <c r="Z505" s="376"/>
      <c r="AA505" s="371"/>
      <c r="AB505" s="673"/>
      <c r="AC505" s="270"/>
      <c r="AD505" s="372"/>
      <c r="AE505" s="270"/>
      <c r="AF505" s="270"/>
      <c r="AG505" s="270"/>
      <c r="AH505" s="272"/>
      <c r="AI505" s="1"/>
      <c r="AJ505" s="21"/>
      <c r="AK505" s="21"/>
      <c r="AL505" s="21"/>
      <c r="AM505" s="21"/>
      <c r="AN505" s="21"/>
      <c r="AO505" s="21"/>
      <c r="AP505" s="21"/>
    </row>
    <row r="506" spans="1:42" s="53" customFormat="1" x14ac:dyDescent="0.2">
      <c r="A506" s="48"/>
      <c r="B506" s="306"/>
      <c r="C506" s="233"/>
      <c r="D506" s="233"/>
      <c r="F506" s="13"/>
      <c r="G506" s="13"/>
      <c r="I506" s="298"/>
      <c r="J506" s="21"/>
      <c r="K506" s="21"/>
      <c r="L506" s="13"/>
      <c r="M506" s="50"/>
      <c r="N506" s="97"/>
      <c r="O506" s="50"/>
      <c r="P506" s="97"/>
      <c r="Q506" s="316"/>
      <c r="R506" s="383"/>
      <c r="S506" s="21"/>
      <c r="T506" s="13"/>
      <c r="U506" s="381"/>
      <c r="V506" s="370"/>
      <c r="W506" s="375"/>
      <c r="X506" s="374"/>
      <c r="Y506" s="370"/>
      <c r="Z506" s="376"/>
      <c r="AA506" s="371"/>
      <c r="AB506" s="673"/>
      <c r="AC506" s="270"/>
      <c r="AD506" s="372"/>
      <c r="AE506" s="270"/>
      <c r="AF506" s="270"/>
      <c r="AG506" s="270"/>
      <c r="AH506" s="272"/>
      <c r="AI506" s="1"/>
      <c r="AJ506" s="21"/>
      <c r="AK506" s="21"/>
      <c r="AL506" s="21"/>
      <c r="AM506" s="21"/>
      <c r="AN506" s="21"/>
      <c r="AO506" s="21"/>
      <c r="AP506" s="21"/>
    </row>
    <row r="507" spans="1:42" s="53" customFormat="1" x14ac:dyDescent="0.2">
      <c r="A507" s="48"/>
      <c r="B507" s="306"/>
      <c r="C507" s="233"/>
      <c r="D507" s="233"/>
      <c r="F507" s="13"/>
      <c r="G507" s="13"/>
      <c r="I507" s="298"/>
      <c r="J507" s="21"/>
      <c r="K507" s="21"/>
      <c r="L507" s="13"/>
      <c r="M507" s="50"/>
      <c r="N507" s="97"/>
      <c r="O507" s="50"/>
      <c r="P507" s="97"/>
      <c r="Q507" s="316"/>
      <c r="R507" s="383"/>
      <c r="S507" s="21"/>
      <c r="T507" s="13"/>
      <c r="U507" s="381"/>
      <c r="V507" s="370"/>
      <c r="W507" s="375"/>
      <c r="X507" s="374"/>
      <c r="Y507" s="370"/>
      <c r="Z507" s="376"/>
      <c r="AA507" s="371"/>
      <c r="AB507" s="673"/>
      <c r="AC507" s="270"/>
      <c r="AD507" s="372"/>
      <c r="AE507" s="270"/>
      <c r="AF507" s="270"/>
      <c r="AG507" s="270"/>
      <c r="AH507" s="272"/>
      <c r="AI507" s="1"/>
      <c r="AJ507" s="21"/>
      <c r="AK507" s="21"/>
      <c r="AL507" s="21"/>
      <c r="AM507" s="21"/>
      <c r="AN507" s="21"/>
      <c r="AO507" s="21"/>
      <c r="AP507" s="21"/>
    </row>
    <row r="508" spans="1:42" s="53" customFormat="1" x14ac:dyDescent="0.2">
      <c r="A508" s="48"/>
      <c r="B508" s="306"/>
      <c r="C508" s="233"/>
      <c r="D508" s="233"/>
      <c r="F508" s="13"/>
      <c r="G508" s="13"/>
      <c r="I508" s="298"/>
      <c r="J508" s="21"/>
      <c r="K508" s="21"/>
      <c r="L508" s="13"/>
      <c r="M508" s="50"/>
      <c r="N508" s="97"/>
      <c r="O508" s="50"/>
      <c r="P508" s="97"/>
      <c r="Q508" s="316"/>
      <c r="R508" s="383"/>
      <c r="S508" s="21"/>
      <c r="T508" s="13"/>
      <c r="U508" s="381"/>
      <c r="V508" s="370"/>
      <c r="W508" s="375"/>
      <c r="X508" s="374"/>
      <c r="Y508" s="370"/>
      <c r="Z508" s="376"/>
      <c r="AA508" s="371"/>
      <c r="AB508" s="673"/>
      <c r="AC508" s="270"/>
      <c r="AD508" s="372"/>
      <c r="AE508" s="270"/>
      <c r="AF508" s="270"/>
      <c r="AG508" s="270"/>
      <c r="AH508" s="272"/>
      <c r="AI508" s="1"/>
      <c r="AJ508" s="21"/>
      <c r="AK508" s="21"/>
      <c r="AL508" s="21"/>
      <c r="AM508" s="21"/>
      <c r="AN508" s="21"/>
      <c r="AO508" s="21"/>
      <c r="AP508" s="21"/>
    </row>
    <row r="509" spans="1:42" s="53" customFormat="1" x14ac:dyDescent="0.2">
      <c r="A509" s="48"/>
      <c r="B509" s="306"/>
      <c r="C509" s="233"/>
      <c r="D509" s="233"/>
      <c r="F509" s="13"/>
      <c r="G509" s="13"/>
      <c r="I509" s="298"/>
      <c r="J509" s="21"/>
      <c r="K509" s="21"/>
      <c r="L509" s="13"/>
      <c r="M509" s="50"/>
      <c r="N509" s="97"/>
      <c r="O509" s="50"/>
      <c r="P509" s="97"/>
      <c r="Q509" s="316"/>
      <c r="R509" s="383"/>
      <c r="S509" s="21"/>
      <c r="T509" s="13"/>
      <c r="U509" s="381"/>
      <c r="V509" s="375"/>
      <c r="W509" s="374"/>
      <c r="X509" s="370"/>
      <c r="Y509" s="376"/>
      <c r="Z509" s="371"/>
      <c r="AA509" s="371"/>
      <c r="AB509" s="675"/>
      <c r="AC509" s="372"/>
      <c r="AD509" s="270"/>
      <c r="AE509" s="270"/>
      <c r="AF509" s="270"/>
      <c r="AG509" s="376"/>
      <c r="AH509" s="272"/>
      <c r="AI509" s="1"/>
      <c r="AJ509" s="21"/>
      <c r="AK509" s="21"/>
      <c r="AL509" s="21"/>
      <c r="AM509" s="21"/>
      <c r="AN509" s="21"/>
      <c r="AO509" s="21"/>
      <c r="AP509" s="21"/>
    </row>
    <row r="510" spans="1:42" s="53" customFormat="1" x14ac:dyDescent="0.2">
      <c r="A510" s="48"/>
      <c r="B510" s="306"/>
      <c r="C510" s="233"/>
      <c r="D510" s="233"/>
      <c r="F510" s="13"/>
      <c r="G510" s="13"/>
      <c r="I510" s="298"/>
      <c r="J510" s="21"/>
      <c r="K510" s="21"/>
      <c r="L510" s="13"/>
      <c r="M510" s="50"/>
      <c r="N510" s="97"/>
      <c r="O510" s="50"/>
      <c r="P510" s="97"/>
      <c r="Q510" s="316"/>
      <c r="R510" s="383"/>
      <c r="S510" s="21"/>
      <c r="T510" s="13"/>
      <c r="U510" s="381"/>
      <c r="V510" s="375"/>
      <c r="W510" s="374"/>
      <c r="X510" s="370"/>
      <c r="Y510" s="376"/>
      <c r="Z510" s="371"/>
      <c r="AA510" s="371"/>
      <c r="AB510" s="675"/>
      <c r="AC510" s="372"/>
      <c r="AD510" s="270"/>
      <c r="AE510" s="270"/>
      <c r="AF510" s="270"/>
      <c r="AG510" s="376"/>
      <c r="AH510" s="272"/>
      <c r="AI510" s="1"/>
      <c r="AJ510" s="21"/>
      <c r="AK510" s="21"/>
      <c r="AL510" s="21"/>
      <c r="AM510" s="21"/>
      <c r="AN510" s="21"/>
      <c r="AO510" s="21"/>
      <c r="AP510" s="21"/>
    </row>
    <row r="511" spans="1:42" s="53" customFormat="1" x14ac:dyDescent="0.2">
      <c r="A511" s="48"/>
      <c r="B511" s="306"/>
      <c r="C511" s="233"/>
      <c r="D511" s="233"/>
      <c r="F511" s="13"/>
      <c r="G511" s="13"/>
      <c r="I511" s="298"/>
      <c r="J511" s="21"/>
      <c r="K511" s="21"/>
      <c r="L511" s="13"/>
      <c r="M511" s="50"/>
      <c r="N511" s="97"/>
      <c r="O511" s="50"/>
      <c r="P511" s="97"/>
      <c r="Q511" s="316"/>
      <c r="R511" s="383"/>
      <c r="S511" s="21"/>
      <c r="T511" s="13"/>
      <c r="U511" s="381"/>
      <c r="V511" s="375"/>
      <c r="W511" s="374"/>
      <c r="X511" s="370"/>
      <c r="Y511" s="376"/>
      <c r="Z511" s="371"/>
      <c r="AA511" s="371"/>
      <c r="AB511" s="675"/>
      <c r="AC511" s="372"/>
      <c r="AD511" s="270"/>
      <c r="AE511" s="270"/>
      <c r="AF511" s="270"/>
      <c r="AG511" s="376"/>
      <c r="AH511" s="272"/>
      <c r="AI511" s="1"/>
      <c r="AJ511" s="21"/>
      <c r="AK511" s="21"/>
      <c r="AL511" s="21"/>
      <c r="AM511" s="21"/>
      <c r="AN511" s="21"/>
      <c r="AO511" s="21"/>
      <c r="AP511" s="21"/>
    </row>
    <row r="512" spans="1:42" s="53" customFormat="1" x14ac:dyDescent="0.2">
      <c r="A512" s="48"/>
      <c r="B512" s="306"/>
      <c r="C512" s="233"/>
      <c r="D512" s="233"/>
      <c r="F512" s="13"/>
      <c r="G512" s="13"/>
      <c r="I512" s="298"/>
      <c r="J512" s="21"/>
      <c r="K512" s="21"/>
      <c r="L512" s="13"/>
      <c r="M512" s="50"/>
      <c r="N512" s="97"/>
      <c r="O512" s="50"/>
      <c r="P512" s="97"/>
      <c r="Q512" s="316"/>
      <c r="R512" s="383"/>
      <c r="S512" s="21"/>
      <c r="T512" s="13"/>
      <c r="U512" s="381"/>
      <c r="V512" s="375"/>
      <c r="W512" s="374"/>
      <c r="X512" s="370"/>
      <c r="Y512" s="376"/>
      <c r="Z512" s="371"/>
      <c r="AA512" s="371"/>
      <c r="AB512" s="675"/>
      <c r="AC512" s="372"/>
      <c r="AD512" s="270"/>
      <c r="AE512" s="270"/>
      <c r="AF512" s="270"/>
      <c r="AG512" s="376"/>
      <c r="AH512" s="272"/>
      <c r="AI512" s="1"/>
      <c r="AJ512" s="21"/>
      <c r="AK512" s="21"/>
      <c r="AL512" s="21"/>
      <c r="AM512" s="21"/>
      <c r="AN512" s="21"/>
      <c r="AO512" s="21"/>
      <c r="AP512" s="21"/>
    </row>
    <row r="513" spans="1:42" s="53" customFormat="1" x14ac:dyDescent="0.2">
      <c r="A513" s="48"/>
      <c r="B513" s="306"/>
      <c r="C513" s="233"/>
      <c r="D513" s="233"/>
      <c r="F513" s="13"/>
      <c r="G513" s="13"/>
      <c r="I513" s="298"/>
      <c r="J513" s="21"/>
      <c r="K513" s="21"/>
      <c r="L513" s="13"/>
      <c r="M513" s="50"/>
      <c r="N513" s="97"/>
      <c r="O513" s="50"/>
      <c r="P513" s="97"/>
      <c r="Q513" s="316"/>
      <c r="R513" s="383"/>
      <c r="S513" s="21"/>
      <c r="T513" s="13"/>
      <c r="U513" s="381"/>
      <c r="V513" s="375"/>
      <c r="W513" s="374"/>
      <c r="X513" s="370"/>
      <c r="Y513" s="376"/>
      <c r="Z513" s="371"/>
      <c r="AA513" s="371"/>
      <c r="AB513" s="675"/>
      <c r="AC513" s="372"/>
      <c r="AD513" s="270"/>
      <c r="AE513" s="270"/>
      <c r="AF513" s="270"/>
      <c r="AG513" s="376"/>
      <c r="AH513" s="272"/>
      <c r="AI513" s="1"/>
      <c r="AJ513" s="21"/>
      <c r="AK513" s="21"/>
      <c r="AL513" s="21"/>
      <c r="AM513" s="21"/>
      <c r="AN513" s="21"/>
      <c r="AO513" s="21"/>
      <c r="AP513" s="21"/>
    </row>
    <row r="514" spans="1:42" s="53" customFormat="1" x14ac:dyDescent="0.2">
      <c r="A514" s="48"/>
      <c r="B514" s="306"/>
      <c r="C514" s="233"/>
      <c r="D514" s="233"/>
      <c r="F514" s="13"/>
      <c r="G514" s="13"/>
      <c r="I514" s="298"/>
      <c r="J514" s="21"/>
      <c r="K514" s="21"/>
      <c r="L514" s="13"/>
      <c r="M514" s="50"/>
      <c r="N514" s="97"/>
      <c r="O514" s="50"/>
      <c r="P514" s="97"/>
      <c r="Q514" s="316"/>
      <c r="R514" s="383"/>
      <c r="S514" s="21"/>
      <c r="T514" s="13"/>
      <c r="U514" s="381"/>
      <c r="V514" s="375"/>
      <c r="W514" s="374"/>
      <c r="X514" s="370"/>
      <c r="Y514" s="376"/>
      <c r="Z514" s="371"/>
      <c r="AA514" s="371"/>
      <c r="AB514" s="675"/>
      <c r="AC514" s="372"/>
      <c r="AD514" s="270"/>
      <c r="AE514" s="270"/>
      <c r="AF514" s="270"/>
      <c r="AG514" s="376"/>
      <c r="AH514" s="272"/>
      <c r="AI514" s="1"/>
      <c r="AJ514" s="21"/>
      <c r="AK514" s="21"/>
      <c r="AL514" s="21"/>
      <c r="AM514" s="21"/>
      <c r="AN514" s="21"/>
      <c r="AO514" s="21"/>
      <c r="AP514" s="21"/>
    </row>
    <row r="515" spans="1:42" s="53" customFormat="1" x14ac:dyDescent="0.2">
      <c r="A515" s="48"/>
      <c r="B515" s="306"/>
      <c r="C515" s="233"/>
      <c r="D515" s="233"/>
      <c r="F515" s="13"/>
      <c r="G515" s="13"/>
      <c r="I515" s="298"/>
      <c r="J515" s="21"/>
      <c r="K515" s="21"/>
      <c r="L515" s="13"/>
      <c r="M515" s="50"/>
      <c r="N515" s="97"/>
      <c r="O515" s="50"/>
      <c r="P515" s="97"/>
      <c r="Q515" s="362"/>
      <c r="R515" s="383"/>
      <c r="S515" s="21"/>
      <c r="T515" s="13"/>
      <c r="U515" s="381"/>
      <c r="V515" s="375"/>
      <c r="W515" s="374"/>
      <c r="X515" s="370"/>
      <c r="Y515" s="376"/>
      <c r="Z515" s="371"/>
      <c r="AA515" s="371"/>
      <c r="AB515" s="675"/>
      <c r="AC515" s="372"/>
      <c r="AD515" s="270"/>
      <c r="AE515" s="270"/>
      <c r="AF515" s="270"/>
      <c r="AG515" s="376"/>
      <c r="AH515" s="272"/>
      <c r="AI515" s="1"/>
      <c r="AJ515" s="21"/>
      <c r="AK515" s="21"/>
      <c r="AL515" s="21"/>
      <c r="AM515" s="21"/>
      <c r="AN515" s="21"/>
      <c r="AO515" s="21"/>
    </row>
    <row r="516" spans="1:42" s="53" customFormat="1" x14ac:dyDescent="0.2">
      <c r="A516" s="48"/>
      <c r="B516" s="306"/>
      <c r="C516" s="233"/>
      <c r="D516" s="233"/>
      <c r="F516" s="13"/>
      <c r="G516" s="13"/>
      <c r="I516" s="298"/>
      <c r="J516" s="21"/>
      <c r="K516" s="21"/>
      <c r="L516" s="13"/>
      <c r="M516" s="50"/>
      <c r="N516" s="97"/>
      <c r="O516" s="50"/>
      <c r="P516" s="97"/>
      <c r="R516" s="285"/>
      <c r="S516" s="21"/>
      <c r="T516" s="13"/>
      <c r="U516" s="381"/>
      <c r="V516" s="375"/>
      <c r="W516" s="374"/>
      <c r="X516" s="370"/>
      <c r="Y516" s="376"/>
      <c r="Z516" s="371"/>
      <c r="AA516" s="371"/>
      <c r="AB516" s="675"/>
      <c r="AC516" s="372"/>
      <c r="AD516" s="270"/>
      <c r="AE516" s="270"/>
      <c r="AF516" s="270"/>
      <c r="AG516" s="376"/>
      <c r="AH516" s="272"/>
      <c r="AI516" s="1"/>
      <c r="AJ516" s="21"/>
      <c r="AK516" s="21"/>
      <c r="AL516" s="21"/>
      <c r="AM516" s="21"/>
      <c r="AN516" s="21"/>
      <c r="AO516" s="21"/>
    </row>
    <row r="517" spans="1:42" s="53" customFormat="1" x14ac:dyDescent="0.2">
      <c r="A517" s="48"/>
      <c r="B517" s="306"/>
      <c r="C517" s="233"/>
      <c r="D517" s="233"/>
      <c r="F517" s="13"/>
      <c r="G517" s="13"/>
      <c r="I517" s="298"/>
      <c r="J517" s="21"/>
      <c r="K517" s="21"/>
      <c r="L517" s="13"/>
      <c r="M517" s="50"/>
      <c r="N517" s="97"/>
      <c r="O517" s="50"/>
      <c r="P517" s="97"/>
      <c r="R517" s="285"/>
      <c r="S517" s="21"/>
      <c r="T517" s="13"/>
      <c r="U517" s="381"/>
      <c r="V517" s="375"/>
      <c r="W517" s="374"/>
      <c r="X517" s="370"/>
      <c r="Y517" s="376"/>
      <c r="Z517" s="371"/>
      <c r="AA517" s="371"/>
      <c r="AB517" s="675"/>
      <c r="AC517" s="372"/>
      <c r="AD517" s="270"/>
      <c r="AE517" s="270"/>
      <c r="AF517" s="270"/>
      <c r="AG517" s="376"/>
      <c r="AH517" s="272"/>
      <c r="AI517" s="1"/>
      <c r="AJ517" s="21"/>
      <c r="AK517" s="21"/>
      <c r="AL517" s="21"/>
      <c r="AM517" s="21"/>
      <c r="AN517" s="21"/>
      <c r="AO517" s="21"/>
    </row>
    <row r="518" spans="1:42" s="53" customFormat="1" x14ac:dyDescent="0.2">
      <c r="A518" s="48"/>
      <c r="B518" s="306"/>
      <c r="C518" s="233"/>
      <c r="D518" s="233"/>
      <c r="F518" s="13"/>
      <c r="G518" s="13"/>
      <c r="I518" s="298"/>
      <c r="J518" s="21"/>
      <c r="K518" s="21"/>
      <c r="L518" s="13"/>
      <c r="M518" s="50"/>
      <c r="N518" s="97"/>
      <c r="O518" s="50"/>
      <c r="P518" s="97"/>
      <c r="R518" s="285"/>
      <c r="S518" s="21"/>
      <c r="T518" s="13"/>
      <c r="U518" s="381"/>
      <c r="V518" s="375"/>
      <c r="W518" s="374"/>
      <c r="X518" s="370"/>
      <c r="Y518" s="376"/>
      <c r="Z518" s="371"/>
      <c r="AA518" s="371"/>
      <c r="AB518" s="675"/>
      <c r="AC518" s="372"/>
      <c r="AD518" s="270"/>
      <c r="AE518" s="270"/>
      <c r="AF518" s="270"/>
      <c r="AG518" s="376"/>
      <c r="AH518" s="272"/>
      <c r="AI518" s="1"/>
      <c r="AJ518" s="21"/>
      <c r="AK518" s="21"/>
      <c r="AL518" s="21"/>
      <c r="AM518" s="21"/>
      <c r="AN518" s="21"/>
      <c r="AO518" s="21"/>
    </row>
    <row r="519" spans="1:42" s="53" customFormat="1" x14ac:dyDescent="0.2">
      <c r="A519" s="48"/>
      <c r="B519" s="306"/>
      <c r="C519" s="233"/>
      <c r="D519" s="233"/>
      <c r="F519" s="13"/>
      <c r="G519" s="13"/>
      <c r="I519" s="298"/>
      <c r="J519" s="21"/>
      <c r="K519" s="21"/>
      <c r="L519" s="13"/>
      <c r="M519" s="50"/>
      <c r="N519" s="97"/>
      <c r="O519" s="50"/>
      <c r="P519" s="97"/>
      <c r="R519" s="285"/>
      <c r="S519" s="21"/>
      <c r="T519" s="13"/>
      <c r="U519" s="381"/>
      <c r="V519" s="375"/>
      <c r="W519" s="374"/>
      <c r="X519" s="370"/>
      <c r="Y519" s="376"/>
      <c r="Z519" s="371"/>
      <c r="AA519" s="371"/>
      <c r="AB519" s="675"/>
      <c r="AC519" s="372"/>
      <c r="AD519" s="270"/>
      <c r="AE519" s="270"/>
      <c r="AF519" s="270"/>
      <c r="AG519" s="376"/>
      <c r="AH519" s="272"/>
      <c r="AI519" s="1"/>
      <c r="AJ519" s="21"/>
      <c r="AK519" s="21"/>
      <c r="AL519" s="21"/>
      <c r="AM519" s="21"/>
      <c r="AN519" s="21"/>
      <c r="AO519" s="21"/>
    </row>
    <row r="520" spans="1:42" s="53" customFormat="1" x14ac:dyDescent="0.2">
      <c r="A520" s="48"/>
      <c r="B520" s="306"/>
      <c r="C520" s="233"/>
      <c r="D520" s="233"/>
      <c r="F520" s="13"/>
      <c r="G520" s="13"/>
      <c r="I520" s="298"/>
      <c r="J520" s="21"/>
      <c r="K520" s="21"/>
      <c r="L520" s="13"/>
      <c r="M520" s="50"/>
      <c r="N520" s="97"/>
      <c r="O520" s="50"/>
      <c r="P520" s="97"/>
      <c r="R520" s="285"/>
      <c r="S520" s="21"/>
      <c r="T520" s="13"/>
      <c r="U520" s="381"/>
      <c r="V520" s="375"/>
      <c r="W520" s="374"/>
      <c r="X520" s="370"/>
      <c r="Y520" s="376"/>
      <c r="Z520" s="371"/>
      <c r="AA520" s="371"/>
      <c r="AB520" s="675"/>
      <c r="AC520" s="372"/>
      <c r="AD520" s="270"/>
      <c r="AE520" s="270"/>
      <c r="AF520" s="270"/>
      <c r="AG520" s="376"/>
      <c r="AH520" s="272"/>
      <c r="AI520" s="1"/>
      <c r="AJ520" s="21"/>
      <c r="AK520" s="21"/>
      <c r="AL520" s="21"/>
      <c r="AM520" s="21"/>
      <c r="AN520" s="21"/>
      <c r="AO520" s="21"/>
    </row>
    <row r="521" spans="1:42" s="53" customFormat="1" x14ac:dyDescent="0.2">
      <c r="A521" s="48"/>
      <c r="B521" s="306"/>
      <c r="C521" s="233"/>
      <c r="D521" s="233"/>
      <c r="F521" s="13"/>
      <c r="G521" s="13"/>
      <c r="I521" s="298"/>
      <c r="J521" s="21"/>
      <c r="K521" s="21"/>
      <c r="L521" s="13"/>
      <c r="M521" s="50"/>
      <c r="N521" s="97"/>
      <c r="O521" s="50"/>
      <c r="P521" s="97"/>
      <c r="R521" s="285"/>
      <c r="S521" s="21"/>
      <c r="T521" s="13"/>
      <c r="U521" s="381"/>
      <c r="V521" s="375"/>
      <c r="W521" s="374"/>
      <c r="X521" s="370"/>
      <c r="Y521" s="376"/>
      <c r="Z521" s="371"/>
      <c r="AA521" s="371"/>
      <c r="AB521" s="675"/>
      <c r="AC521" s="372"/>
      <c r="AD521" s="270"/>
      <c r="AE521" s="270"/>
      <c r="AF521" s="270"/>
      <c r="AG521" s="376"/>
      <c r="AH521" s="272"/>
      <c r="AI521" s="1"/>
      <c r="AJ521" s="21"/>
      <c r="AK521" s="21"/>
      <c r="AL521" s="21"/>
      <c r="AM521" s="21"/>
      <c r="AN521" s="21"/>
      <c r="AO521" s="21"/>
    </row>
    <row r="522" spans="1:42" s="53" customFormat="1" x14ac:dyDescent="0.2">
      <c r="A522" s="48"/>
      <c r="B522" s="306"/>
      <c r="C522" s="233"/>
      <c r="D522" s="233"/>
      <c r="F522" s="13"/>
      <c r="G522" s="13"/>
      <c r="I522" s="298"/>
      <c r="J522" s="21"/>
      <c r="K522" s="21"/>
      <c r="L522" s="13"/>
      <c r="M522" s="50"/>
      <c r="N522" s="97"/>
      <c r="O522" s="50"/>
      <c r="P522" s="97"/>
      <c r="R522" s="285"/>
      <c r="S522" s="21"/>
      <c r="T522" s="13"/>
      <c r="U522" s="381"/>
      <c r="V522" s="375"/>
      <c r="W522" s="374"/>
      <c r="X522" s="370"/>
      <c r="Y522" s="376"/>
      <c r="Z522" s="371"/>
      <c r="AA522" s="371"/>
      <c r="AB522" s="675"/>
      <c r="AC522" s="372"/>
      <c r="AD522" s="270"/>
      <c r="AE522" s="270"/>
      <c r="AF522" s="270"/>
      <c r="AG522" s="376"/>
      <c r="AH522" s="272"/>
      <c r="AI522" s="1"/>
      <c r="AJ522" s="21"/>
      <c r="AK522" s="21"/>
      <c r="AL522" s="21"/>
      <c r="AM522" s="21"/>
      <c r="AN522" s="21"/>
      <c r="AO522" s="21"/>
    </row>
    <row r="523" spans="1:42" s="53" customFormat="1" x14ac:dyDescent="0.2">
      <c r="A523" s="48"/>
      <c r="B523" s="306"/>
      <c r="C523" s="233"/>
      <c r="D523" s="233"/>
      <c r="F523" s="13"/>
      <c r="G523" s="1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381"/>
      <c r="V523" s="375"/>
      <c r="W523" s="374"/>
      <c r="X523" s="370"/>
      <c r="Y523" s="376"/>
      <c r="Z523" s="371"/>
      <c r="AA523" s="371"/>
      <c r="AB523" s="675"/>
      <c r="AC523" s="372"/>
      <c r="AD523" s="270"/>
      <c r="AE523" s="270"/>
      <c r="AF523" s="270"/>
      <c r="AG523" s="376"/>
      <c r="AH523" s="272"/>
      <c r="AI523" s="1"/>
      <c r="AJ523" s="21"/>
      <c r="AK523" s="21"/>
      <c r="AL523" s="21"/>
      <c r="AM523" s="21"/>
      <c r="AN523" s="21"/>
      <c r="AO523" s="21"/>
    </row>
    <row r="524" spans="1:42" s="53" customFormat="1" x14ac:dyDescent="0.2">
      <c r="A524" s="48"/>
      <c r="B524" s="306"/>
      <c r="C524" s="233"/>
      <c r="D524" s="233"/>
      <c r="F524" s="13"/>
      <c r="G524" s="1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381"/>
      <c r="V524" s="375"/>
      <c r="W524" s="374"/>
      <c r="X524" s="370"/>
      <c r="Y524" s="376"/>
      <c r="Z524" s="371"/>
      <c r="AA524" s="371"/>
      <c r="AB524" s="675"/>
      <c r="AC524" s="372"/>
      <c r="AD524" s="270"/>
      <c r="AE524" s="270"/>
      <c r="AF524" s="270"/>
      <c r="AG524" s="376"/>
      <c r="AH524" s="272"/>
      <c r="AI524" s="1"/>
      <c r="AJ524" s="21"/>
      <c r="AK524" s="21"/>
      <c r="AL524" s="21"/>
      <c r="AM524" s="21"/>
      <c r="AN524" s="21"/>
      <c r="AO524" s="21"/>
    </row>
    <row r="525" spans="1:42" s="53" customFormat="1" x14ac:dyDescent="0.2">
      <c r="A525" s="48"/>
      <c r="B525" s="306"/>
      <c r="C525" s="233"/>
      <c r="D525" s="233"/>
      <c r="F525" s="13"/>
      <c r="G525" s="1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381"/>
      <c r="V525" s="375"/>
      <c r="W525" s="374"/>
      <c r="X525" s="370"/>
      <c r="Y525" s="376"/>
      <c r="Z525" s="371"/>
      <c r="AA525" s="371"/>
      <c r="AB525" s="675"/>
      <c r="AC525" s="372"/>
      <c r="AD525" s="270"/>
      <c r="AE525" s="270"/>
      <c r="AF525" s="270"/>
      <c r="AG525" s="376"/>
      <c r="AH525" s="272"/>
      <c r="AI525" s="1"/>
      <c r="AJ525" s="21"/>
      <c r="AK525" s="21"/>
      <c r="AL525" s="21"/>
      <c r="AM525" s="21"/>
      <c r="AN525" s="21"/>
      <c r="AO525" s="21"/>
    </row>
    <row r="526" spans="1:42" s="53" customFormat="1" x14ac:dyDescent="0.2">
      <c r="A526" s="48"/>
      <c r="B526" s="306"/>
      <c r="C526" s="233"/>
      <c r="D526" s="233"/>
      <c r="F526" s="13"/>
      <c r="G526" s="1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381"/>
      <c r="V526" s="375"/>
      <c r="W526" s="374"/>
      <c r="X526" s="370"/>
      <c r="Y526" s="376"/>
      <c r="Z526" s="371"/>
      <c r="AA526" s="371"/>
      <c r="AB526" s="675"/>
      <c r="AC526" s="372"/>
      <c r="AD526" s="270"/>
      <c r="AE526" s="270"/>
      <c r="AF526" s="270"/>
      <c r="AG526" s="376"/>
      <c r="AH526" s="272"/>
      <c r="AI526" s="1"/>
      <c r="AJ526" s="21"/>
      <c r="AK526" s="21"/>
      <c r="AL526" s="21"/>
      <c r="AM526" s="21"/>
      <c r="AN526" s="21"/>
      <c r="AO526" s="21"/>
    </row>
    <row r="527" spans="1:42" s="53" customFormat="1" x14ac:dyDescent="0.2">
      <c r="A527" s="48"/>
      <c r="B527" s="306"/>
      <c r="C527" s="233"/>
      <c r="D527" s="233"/>
      <c r="F527" s="13"/>
      <c r="G527" s="1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381"/>
      <c r="V527" s="375"/>
      <c r="W527" s="374"/>
      <c r="X527" s="370"/>
      <c r="Y527" s="376"/>
      <c r="Z527" s="371"/>
      <c r="AA527" s="371"/>
      <c r="AB527" s="675"/>
      <c r="AC527" s="372"/>
      <c r="AD527" s="270"/>
      <c r="AE527" s="270"/>
      <c r="AF527" s="270"/>
      <c r="AG527" s="376"/>
      <c r="AH527" s="272"/>
      <c r="AI527" s="1"/>
      <c r="AJ527" s="21"/>
      <c r="AK527" s="21"/>
      <c r="AL527" s="21"/>
      <c r="AM527" s="21"/>
      <c r="AN527" s="21"/>
      <c r="AO527" s="21"/>
    </row>
    <row r="528" spans="1:42" s="53" customFormat="1" x14ac:dyDescent="0.2">
      <c r="A528" s="48"/>
      <c r="B528" s="306"/>
      <c r="C528" s="233"/>
      <c r="D528" s="233"/>
      <c r="F528" s="13"/>
      <c r="G528" s="1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370"/>
      <c r="V528" s="375"/>
      <c r="W528" s="374"/>
      <c r="X528" s="370"/>
      <c r="Y528" s="376"/>
      <c r="Z528" s="371"/>
      <c r="AA528" s="371"/>
      <c r="AB528" s="675"/>
      <c r="AC528" s="372"/>
      <c r="AD528" s="270"/>
      <c r="AE528" s="270"/>
      <c r="AF528" s="270"/>
      <c r="AG528" s="376"/>
      <c r="AH528" s="272"/>
      <c r="AI528" s="1"/>
      <c r="AJ528" s="21"/>
      <c r="AK528" s="21"/>
      <c r="AL528" s="21"/>
      <c r="AM528" s="21"/>
      <c r="AN528" s="21"/>
      <c r="AO528" s="21"/>
    </row>
    <row r="529" spans="1:41" s="53" customFormat="1" x14ac:dyDescent="0.2">
      <c r="A529" s="48"/>
      <c r="B529" s="306"/>
      <c r="C529" s="233"/>
      <c r="D529" s="233"/>
      <c r="F529" s="13"/>
      <c r="G529" s="1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370"/>
      <c r="V529" s="375"/>
      <c r="W529" s="374"/>
      <c r="X529" s="370"/>
      <c r="Y529" s="376"/>
      <c r="Z529" s="371"/>
      <c r="AA529" s="371"/>
      <c r="AB529" s="675"/>
      <c r="AC529" s="372"/>
      <c r="AD529" s="270"/>
      <c r="AE529" s="270"/>
      <c r="AF529" s="270"/>
      <c r="AG529" s="376"/>
      <c r="AH529" s="272"/>
      <c r="AI529" s="1"/>
      <c r="AJ529" s="21"/>
      <c r="AK529" s="21"/>
      <c r="AL529" s="21"/>
      <c r="AM529" s="21"/>
      <c r="AN529" s="21"/>
      <c r="AO529" s="21"/>
    </row>
    <row r="530" spans="1:41" s="53" customFormat="1" x14ac:dyDescent="0.2">
      <c r="A530" s="48"/>
      <c r="B530" s="306"/>
      <c r="C530" s="233"/>
      <c r="D530" s="233"/>
      <c r="F530" s="13"/>
      <c r="G530" s="1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370"/>
      <c r="V530" s="375"/>
      <c r="W530" s="374"/>
      <c r="X530" s="370"/>
      <c r="Y530" s="376"/>
      <c r="Z530" s="371"/>
      <c r="AA530" s="371"/>
      <c r="AB530" s="675"/>
      <c r="AC530" s="372"/>
      <c r="AD530" s="270"/>
      <c r="AE530" s="270"/>
      <c r="AF530" s="270"/>
      <c r="AG530" s="376"/>
      <c r="AH530" s="272"/>
      <c r="AI530" s="1"/>
      <c r="AJ530" s="21"/>
      <c r="AK530" s="21"/>
      <c r="AL530" s="21"/>
      <c r="AM530" s="21"/>
      <c r="AN530" s="21"/>
      <c r="AO530" s="21"/>
    </row>
    <row r="531" spans="1:41" s="53" customFormat="1" x14ac:dyDescent="0.2">
      <c r="A531" s="48"/>
      <c r="B531" s="306"/>
      <c r="C531" s="233"/>
      <c r="D531" s="233"/>
      <c r="F531" s="13"/>
      <c r="G531" s="1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370"/>
      <c r="V531" s="375"/>
      <c r="W531" s="374"/>
      <c r="X531" s="370"/>
      <c r="Y531" s="376"/>
      <c r="Z531" s="371"/>
      <c r="AA531" s="371"/>
      <c r="AB531" s="675"/>
      <c r="AC531" s="372"/>
      <c r="AD531" s="270"/>
      <c r="AE531" s="270"/>
      <c r="AF531" s="270"/>
      <c r="AG531" s="376"/>
      <c r="AH531" s="272"/>
      <c r="AI531" s="1"/>
      <c r="AJ531" s="21"/>
      <c r="AK531" s="21"/>
      <c r="AL531" s="21"/>
      <c r="AM531" s="21"/>
      <c r="AN531" s="21"/>
      <c r="AO531" s="21"/>
    </row>
    <row r="532" spans="1:41" s="53" customFormat="1" x14ac:dyDescent="0.2">
      <c r="A532" s="48"/>
      <c r="B532" s="306"/>
      <c r="C532" s="233"/>
      <c r="D532" s="233"/>
      <c r="F532" s="13"/>
      <c r="G532" s="1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370"/>
      <c r="V532" s="375"/>
      <c r="W532" s="374"/>
      <c r="X532" s="370"/>
      <c r="Y532" s="376"/>
      <c r="Z532" s="371"/>
      <c r="AA532" s="371"/>
      <c r="AB532" s="675"/>
      <c r="AC532" s="372"/>
      <c r="AD532" s="270"/>
      <c r="AE532" s="270"/>
      <c r="AF532" s="270"/>
      <c r="AG532" s="376"/>
      <c r="AH532" s="272"/>
      <c r="AI532" s="1"/>
      <c r="AJ532" s="21"/>
      <c r="AK532" s="21"/>
      <c r="AL532" s="21"/>
      <c r="AM532" s="21"/>
      <c r="AN532" s="21"/>
      <c r="AO532" s="21"/>
    </row>
    <row r="533" spans="1:41" s="53" customFormat="1" x14ac:dyDescent="0.2">
      <c r="A533" s="48"/>
      <c r="B533" s="306"/>
      <c r="C533" s="233"/>
      <c r="D533" s="233"/>
      <c r="F533" s="13"/>
      <c r="G533" s="1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370"/>
      <c r="V533" s="375"/>
      <c r="W533" s="374"/>
      <c r="X533" s="370"/>
      <c r="Y533" s="376"/>
      <c r="Z533" s="371"/>
      <c r="AA533" s="371"/>
      <c r="AB533" s="675"/>
      <c r="AC533" s="372"/>
      <c r="AD533" s="270"/>
      <c r="AE533" s="270"/>
      <c r="AF533" s="270"/>
      <c r="AG533" s="376"/>
      <c r="AH533" s="272"/>
      <c r="AI533" s="1"/>
      <c r="AJ533" s="21"/>
      <c r="AK533" s="21"/>
      <c r="AL533" s="21"/>
      <c r="AM533" s="21"/>
      <c r="AN533" s="21"/>
      <c r="AO533" s="21"/>
    </row>
    <row r="534" spans="1:41" s="53" customFormat="1" x14ac:dyDescent="0.2">
      <c r="A534" s="48"/>
      <c r="B534" s="306"/>
      <c r="C534" s="233"/>
      <c r="D534" s="233"/>
      <c r="F534" s="13"/>
      <c r="G534" s="1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422"/>
      <c r="V534" s="375"/>
      <c r="W534" s="374"/>
      <c r="X534" s="370"/>
      <c r="Y534" s="376"/>
      <c r="Z534" s="371"/>
      <c r="AA534" s="371"/>
      <c r="AB534" s="675"/>
      <c r="AC534" s="372"/>
      <c r="AD534" s="270"/>
      <c r="AE534" s="270"/>
      <c r="AF534" s="270"/>
      <c r="AG534" s="376"/>
      <c r="AH534" s="272"/>
      <c r="AI534" s="1"/>
      <c r="AJ534" s="21"/>
      <c r="AK534" s="21"/>
      <c r="AL534" s="21"/>
      <c r="AM534" s="21"/>
      <c r="AN534" s="21"/>
      <c r="AO534" s="21"/>
    </row>
    <row r="535" spans="1:41" s="53" customFormat="1" x14ac:dyDescent="0.2">
      <c r="A535" s="48"/>
      <c r="B535" s="306"/>
      <c r="C535" s="233"/>
      <c r="D535" s="233"/>
      <c r="F535" s="13"/>
      <c r="G535" s="1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422"/>
      <c r="V535" s="375"/>
      <c r="W535" s="374"/>
      <c r="X535" s="370"/>
      <c r="Y535" s="376"/>
      <c r="Z535" s="371"/>
      <c r="AA535" s="371"/>
      <c r="AB535" s="675"/>
      <c r="AC535" s="372"/>
      <c r="AD535" s="270"/>
      <c r="AE535" s="270"/>
      <c r="AF535" s="270"/>
      <c r="AG535" s="376"/>
      <c r="AH535" s="272"/>
      <c r="AI535" s="1"/>
      <c r="AJ535" s="21"/>
      <c r="AK535" s="21"/>
      <c r="AL535" s="21"/>
      <c r="AM535" s="21"/>
      <c r="AN535" s="21"/>
      <c r="AO535" s="21"/>
    </row>
    <row r="536" spans="1:41" s="53" customFormat="1" x14ac:dyDescent="0.2">
      <c r="A536" s="48"/>
      <c r="B536" s="306"/>
      <c r="C536" s="233"/>
      <c r="D536" s="233"/>
      <c r="F536" s="13"/>
      <c r="G536" s="1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422"/>
      <c r="V536" s="375"/>
      <c r="W536" s="374"/>
      <c r="X536" s="370"/>
      <c r="Y536" s="376"/>
      <c r="Z536" s="371"/>
      <c r="AA536" s="371"/>
      <c r="AB536" s="675"/>
      <c r="AC536" s="372"/>
      <c r="AD536" s="270"/>
      <c r="AE536" s="270"/>
      <c r="AF536" s="270"/>
      <c r="AG536" s="376"/>
      <c r="AH536" s="272"/>
      <c r="AI536" s="1"/>
      <c r="AJ536" s="21"/>
      <c r="AK536" s="21"/>
      <c r="AL536" s="21"/>
      <c r="AM536" s="21"/>
      <c r="AN536" s="21"/>
      <c r="AO536" s="21"/>
    </row>
    <row r="537" spans="1:41" s="53" customFormat="1" x14ac:dyDescent="0.2">
      <c r="A537" s="48"/>
      <c r="B537" s="306"/>
      <c r="C537" s="233"/>
      <c r="D537" s="233"/>
      <c r="F537" s="13"/>
      <c r="G537" s="1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422"/>
      <c r="V537" s="375"/>
      <c r="W537" s="374"/>
      <c r="X537" s="370"/>
      <c r="Y537" s="376"/>
      <c r="Z537" s="371"/>
      <c r="AA537" s="371"/>
      <c r="AB537" s="675"/>
      <c r="AC537" s="372"/>
      <c r="AD537" s="270"/>
      <c r="AE537" s="270"/>
      <c r="AF537" s="270"/>
      <c r="AG537" s="376"/>
      <c r="AH537" s="272"/>
      <c r="AI537" s="1"/>
      <c r="AJ537" s="21"/>
      <c r="AK537" s="21"/>
      <c r="AL537" s="21"/>
      <c r="AM537" s="21"/>
      <c r="AN537" s="21"/>
      <c r="AO537" s="21"/>
    </row>
    <row r="538" spans="1:41" s="53" customFormat="1" x14ac:dyDescent="0.2">
      <c r="A538" s="48"/>
      <c r="B538" s="306"/>
      <c r="C538" s="233"/>
      <c r="D538" s="233"/>
      <c r="F538" s="13"/>
      <c r="G538" s="1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422"/>
      <c r="V538" s="375"/>
      <c r="W538" s="374"/>
      <c r="X538" s="370"/>
      <c r="Y538" s="376"/>
      <c r="Z538" s="371"/>
      <c r="AA538" s="371"/>
      <c r="AB538" s="675"/>
      <c r="AC538" s="372"/>
      <c r="AD538" s="270"/>
      <c r="AE538" s="270"/>
      <c r="AF538" s="270"/>
      <c r="AG538" s="376"/>
      <c r="AH538" s="272"/>
      <c r="AI538" s="1"/>
      <c r="AJ538" s="21"/>
      <c r="AK538" s="21"/>
      <c r="AL538" s="21"/>
      <c r="AM538" s="21"/>
      <c r="AN538" s="21"/>
      <c r="AO538" s="21"/>
    </row>
    <row r="539" spans="1:41" s="53" customFormat="1" x14ac:dyDescent="0.2">
      <c r="A539" s="48"/>
      <c r="B539" s="306"/>
      <c r="C539" s="233"/>
      <c r="D539" s="233"/>
      <c r="F539" s="13"/>
      <c r="G539" s="1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422"/>
      <c r="V539" s="375"/>
      <c r="W539" s="374"/>
      <c r="X539" s="370"/>
      <c r="Y539" s="376"/>
      <c r="Z539" s="371"/>
      <c r="AA539" s="371"/>
      <c r="AB539" s="675"/>
      <c r="AC539" s="372"/>
      <c r="AD539" s="270"/>
      <c r="AE539" s="270"/>
      <c r="AF539" s="270"/>
      <c r="AG539" s="376"/>
      <c r="AH539" s="272"/>
      <c r="AI539" s="1"/>
      <c r="AJ539" s="21"/>
      <c r="AK539" s="21"/>
      <c r="AL539" s="21"/>
      <c r="AM539" s="21"/>
      <c r="AN539" s="21"/>
      <c r="AO539" s="21"/>
    </row>
    <row r="540" spans="1:41" s="53" customFormat="1" x14ac:dyDescent="0.2">
      <c r="A540" s="48"/>
      <c r="B540" s="306"/>
      <c r="C540" s="233"/>
      <c r="D540" s="233"/>
      <c r="F540" s="13"/>
      <c r="G540" s="1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422"/>
      <c r="V540" s="375"/>
      <c r="W540" s="374"/>
      <c r="X540" s="370"/>
      <c r="Y540" s="376"/>
      <c r="Z540" s="371"/>
      <c r="AA540" s="371"/>
      <c r="AB540" s="675"/>
      <c r="AC540" s="372"/>
      <c r="AD540" s="270"/>
      <c r="AE540" s="270"/>
      <c r="AF540" s="270"/>
      <c r="AG540" s="376"/>
      <c r="AH540" s="272"/>
      <c r="AI540" s="1"/>
      <c r="AJ540" s="21"/>
      <c r="AK540" s="21"/>
      <c r="AL540" s="21"/>
      <c r="AM540" s="21"/>
      <c r="AN540" s="21"/>
      <c r="AO540" s="21"/>
    </row>
    <row r="541" spans="1:41" s="53" customFormat="1" x14ac:dyDescent="0.2">
      <c r="A541" s="48"/>
      <c r="B541" s="306"/>
      <c r="C541" s="233"/>
      <c r="D541" s="233"/>
      <c r="F541" s="13"/>
      <c r="G541" s="1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422"/>
      <c r="V541" s="375"/>
      <c r="W541" s="374"/>
      <c r="X541" s="370"/>
      <c r="Y541" s="376"/>
      <c r="Z541" s="371"/>
      <c r="AA541" s="371"/>
      <c r="AB541" s="675"/>
      <c r="AC541" s="372"/>
      <c r="AD541" s="270"/>
      <c r="AE541" s="270"/>
      <c r="AF541" s="270"/>
      <c r="AG541" s="376"/>
      <c r="AH541" s="272"/>
      <c r="AI541" s="1"/>
      <c r="AJ541" s="21"/>
      <c r="AK541" s="21"/>
      <c r="AL541" s="21"/>
      <c r="AM541" s="21"/>
      <c r="AN541" s="21"/>
      <c r="AO541" s="21"/>
    </row>
    <row r="542" spans="1:41" s="53" customFormat="1" x14ac:dyDescent="0.2">
      <c r="A542" s="48"/>
      <c r="B542" s="306"/>
      <c r="C542" s="233"/>
      <c r="D542" s="233"/>
      <c r="F542" s="13"/>
      <c r="G542" s="1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422"/>
      <c r="V542" s="375"/>
      <c r="W542" s="374"/>
      <c r="X542" s="370"/>
      <c r="Y542" s="376"/>
      <c r="Z542" s="371"/>
      <c r="AA542" s="371"/>
      <c r="AB542" s="675"/>
      <c r="AC542" s="372"/>
      <c r="AD542" s="270"/>
      <c r="AE542" s="270"/>
      <c r="AF542" s="270"/>
      <c r="AG542" s="376"/>
      <c r="AH542" s="272"/>
      <c r="AI542" s="1"/>
      <c r="AJ542" s="21"/>
      <c r="AK542" s="21"/>
      <c r="AL542" s="21"/>
      <c r="AM542" s="21"/>
      <c r="AN542" s="21"/>
      <c r="AO542" s="21"/>
    </row>
    <row r="543" spans="1:41" s="53" customFormat="1" x14ac:dyDescent="0.2">
      <c r="A543" s="48"/>
      <c r="B543" s="306"/>
      <c r="C543" s="233"/>
      <c r="D543" s="233"/>
      <c r="F543" s="13"/>
      <c r="G543" s="1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422"/>
      <c r="V543" s="375"/>
      <c r="W543" s="374"/>
      <c r="X543" s="370"/>
      <c r="Y543" s="376"/>
      <c r="Z543" s="371"/>
      <c r="AA543" s="371"/>
      <c r="AB543" s="675"/>
      <c r="AC543" s="372"/>
      <c r="AD543" s="270"/>
      <c r="AE543" s="270"/>
      <c r="AF543" s="270"/>
      <c r="AG543" s="376"/>
      <c r="AH543" s="272"/>
      <c r="AI543" s="1"/>
      <c r="AJ543" s="21"/>
      <c r="AK543" s="21"/>
      <c r="AL543" s="21"/>
      <c r="AM543" s="21"/>
      <c r="AN543" s="21"/>
      <c r="AO543" s="21"/>
    </row>
    <row r="544" spans="1:41" s="53" customFormat="1" x14ac:dyDescent="0.2">
      <c r="A544" s="48"/>
      <c r="B544" s="306"/>
      <c r="C544" s="233"/>
      <c r="D544" s="233"/>
      <c r="F544" s="13"/>
      <c r="G544" s="1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76"/>
      <c r="AC544" s="64"/>
      <c r="AD544" s="50"/>
      <c r="AE544" s="50"/>
      <c r="AF544" s="19"/>
      <c r="AG544" s="376"/>
      <c r="AH544" s="272"/>
      <c r="AI544" s="1"/>
      <c r="AJ544" s="21"/>
      <c r="AK544" s="21"/>
      <c r="AL544" s="21"/>
      <c r="AM544" s="21"/>
      <c r="AN544" s="21"/>
      <c r="AO544" s="21"/>
    </row>
    <row r="545" spans="1:44" s="53" customFormat="1" x14ac:dyDescent="0.2">
      <c r="A545" s="48"/>
      <c r="B545" s="306"/>
      <c r="C545" s="233"/>
      <c r="D545" s="233"/>
      <c r="F545" s="13"/>
      <c r="G545" s="1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76"/>
      <c r="AC545" s="64"/>
      <c r="AD545" s="50"/>
      <c r="AE545" s="50"/>
      <c r="AF545" s="19"/>
      <c r="AG545" s="376"/>
      <c r="AH545" s="272"/>
      <c r="AI545" s="1"/>
      <c r="AJ545" s="21"/>
      <c r="AK545" s="21"/>
      <c r="AL545" s="21"/>
      <c r="AM545" s="21"/>
      <c r="AN545" s="21"/>
      <c r="AO545" s="21"/>
    </row>
    <row r="546" spans="1:44" s="53" customFormat="1" x14ac:dyDescent="0.2">
      <c r="A546" s="48"/>
      <c r="B546" s="306"/>
      <c r="C546" s="233"/>
      <c r="D546" s="233"/>
      <c r="F546" s="13"/>
      <c r="G546" s="1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76"/>
      <c r="AC546" s="64"/>
      <c r="AD546" s="50"/>
      <c r="AE546" s="50"/>
      <c r="AF546" s="19"/>
      <c r="AG546" s="376"/>
      <c r="AH546" s="272"/>
      <c r="AI546" s="1"/>
      <c r="AJ546" s="21"/>
      <c r="AK546" s="21"/>
      <c r="AL546" s="21"/>
      <c r="AM546" s="21"/>
      <c r="AN546" s="21"/>
      <c r="AO546" s="21"/>
    </row>
    <row r="547" spans="1:44" s="53" customFormat="1" x14ac:dyDescent="0.2">
      <c r="A547" s="48"/>
      <c r="B547" s="306"/>
      <c r="C547" s="233"/>
      <c r="D547" s="233"/>
      <c r="F547" s="13"/>
      <c r="G547" s="1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76"/>
      <c r="AC547" s="64"/>
      <c r="AD547" s="50"/>
      <c r="AE547" s="50"/>
      <c r="AF547" s="19"/>
      <c r="AG547" s="376"/>
      <c r="AH547" s="272"/>
      <c r="AI547" s="1"/>
      <c r="AJ547" s="21"/>
      <c r="AK547" s="21"/>
      <c r="AL547" s="21"/>
      <c r="AM547" s="21"/>
      <c r="AN547" s="21"/>
      <c r="AO547" s="21"/>
      <c r="AQ547" s="308"/>
      <c r="AR547" s="308"/>
    </row>
    <row r="548" spans="1:44" s="53" customFormat="1" x14ac:dyDescent="0.2">
      <c r="A548" s="48"/>
      <c r="B548" s="306"/>
      <c r="C548" s="233"/>
      <c r="D548" s="233"/>
      <c r="F548" s="13"/>
      <c r="G548" s="1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76"/>
      <c r="AC548" s="64"/>
      <c r="AD548" s="50"/>
      <c r="AE548" s="50"/>
      <c r="AF548" s="19"/>
      <c r="AG548" s="376"/>
      <c r="AH548" s="272"/>
      <c r="AI548" s="1"/>
      <c r="AJ548" s="21"/>
      <c r="AK548" s="21"/>
      <c r="AL548" s="21"/>
      <c r="AM548" s="21"/>
      <c r="AN548" s="21"/>
      <c r="AO548" s="21"/>
      <c r="AQ548" s="308"/>
      <c r="AR548" s="308"/>
    </row>
    <row r="549" spans="1:44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76"/>
      <c r="AC549" s="64"/>
      <c r="AD549" s="50"/>
      <c r="AE549" s="50"/>
      <c r="AF549" s="19"/>
      <c r="AG549" s="376"/>
      <c r="AH549" s="272"/>
      <c r="AI549" s="1"/>
      <c r="AJ549" s="21"/>
      <c r="AK549" s="21"/>
      <c r="AL549" s="21"/>
      <c r="AM549" s="21"/>
      <c r="AN549" s="21"/>
      <c r="AO549" s="21"/>
      <c r="AP549" s="53"/>
    </row>
    <row r="550" spans="1:44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76"/>
      <c r="AC550" s="64"/>
      <c r="AD550" s="50"/>
      <c r="AE550" s="50"/>
      <c r="AF550" s="19"/>
      <c r="AG550" s="376"/>
      <c r="AH550" s="272"/>
      <c r="AI550" s="1"/>
      <c r="AJ550" s="21"/>
      <c r="AK550" s="21"/>
      <c r="AL550" s="21"/>
      <c r="AM550" s="21"/>
      <c r="AN550" s="21"/>
      <c r="AO550" s="21"/>
      <c r="AP550" s="53"/>
    </row>
    <row r="551" spans="1:44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76"/>
      <c r="AC551" s="64"/>
      <c r="AD551" s="50"/>
      <c r="AE551" s="50"/>
      <c r="AF551" s="19"/>
      <c r="AG551" s="120"/>
      <c r="AH551" s="272"/>
      <c r="AI551" s="1"/>
      <c r="AJ551" s="21"/>
      <c r="AK551" s="21"/>
      <c r="AL551" s="21"/>
      <c r="AM551" s="21"/>
      <c r="AN551" s="21"/>
      <c r="AO551" s="21"/>
      <c r="AP551" s="53"/>
    </row>
    <row r="552" spans="1:44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76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  <c r="AP552" s="53"/>
    </row>
    <row r="553" spans="1:44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76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  <c r="AP553" s="53"/>
    </row>
    <row r="554" spans="1:44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76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  <c r="AP554" s="53"/>
    </row>
    <row r="555" spans="1:44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76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  <c r="AP555" s="53"/>
    </row>
    <row r="556" spans="1:44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76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  <c r="AP556" s="53"/>
    </row>
    <row r="557" spans="1:44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76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  <c r="AP557" s="53"/>
    </row>
    <row r="558" spans="1:44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76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  <c r="AP558" s="53"/>
    </row>
    <row r="559" spans="1:44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76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  <c r="AP559" s="53"/>
    </row>
    <row r="560" spans="1:44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76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  <c r="AP560" s="53"/>
    </row>
    <row r="561" spans="1:42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76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  <c r="AP561" s="53"/>
    </row>
    <row r="562" spans="1:42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76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  <c r="AP562" s="53"/>
    </row>
    <row r="563" spans="1:42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76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  <c r="AP563" s="53"/>
    </row>
    <row r="564" spans="1:42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76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  <c r="AP564" s="53"/>
    </row>
    <row r="565" spans="1:42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76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  <c r="AP565" s="53"/>
    </row>
    <row r="566" spans="1:42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76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  <c r="AP566" s="53"/>
    </row>
    <row r="567" spans="1:42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76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  <c r="AP567" s="53"/>
    </row>
    <row r="568" spans="1:42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76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  <c r="AP568" s="53"/>
    </row>
    <row r="569" spans="1:42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76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  <c r="AP569" s="53"/>
    </row>
    <row r="570" spans="1:42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76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  <c r="AP570" s="53"/>
    </row>
    <row r="571" spans="1:42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76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  <c r="AP571" s="53"/>
    </row>
    <row r="572" spans="1:42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76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  <c r="AP572" s="53"/>
    </row>
    <row r="573" spans="1:42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76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  <c r="AP573" s="53"/>
    </row>
    <row r="574" spans="1:42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76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  <c r="AP574" s="53"/>
    </row>
    <row r="575" spans="1:42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76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  <c r="AP575" s="53"/>
    </row>
    <row r="576" spans="1:42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76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  <c r="AP576" s="53"/>
    </row>
    <row r="577" spans="1:42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76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  <c r="AP577" s="53"/>
    </row>
    <row r="578" spans="1:42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76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  <c r="AP578" s="53"/>
    </row>
    <row r="579" spans="1:42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76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  <c r="AP579" s="53"/>
    </row>
    <row r="580" spans="1:42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76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  <c r="AP580" s="53"/>
    </row>
    <row r="581" spans="1:42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76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  <c r="AP581" s="53"/>
    </row>
    <row r="582" spans="1:42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76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  <c r="AP582" s="53"/>
    </row>
    <row r="583" spans="1:42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76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  <c r="AP583" s="53"/>
    </row>
    <row r="584" spans="1:42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76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  <c r="AP584" s="53"/>
    </row>
    <row r="585" spans="1:42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76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  <c r="AP585" s="53"/>
    </row>
    <row r="586" spans="1:42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76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  <c r="AP586" s="53"/>
    </row>
    <row r="587" spans="1:42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76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  <c r="AP587" s="53"/>
    </row>
    <row r="588" spans="1:42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76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  <c r="AP588" s="53"/>
    </row>
    <row r="589" spans="1:42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76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  <c r="AP589" s="53"/>
    </row>
    <row r="590" spans="1:42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76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  <c r="AP590" s="53"/>
    </row>
    <row r="591" spans="1:42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76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  <c r="AP591" s="53"/>
    </row>
    <row r="592" spans="1:42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76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  <c r="AP592" s="53"/>
    </row>
    <row r="593" spans="1:42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76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  <c r="AP593" s="53"/>
    </row>
    <row r="594" spans="1:42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76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  <c r="AP594" s="53"/>
    </row>
    <row r="595" spans="1:42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76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2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76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2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76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2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76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2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76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2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76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2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76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2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76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2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76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2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76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2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76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2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76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2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76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2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76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76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76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76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76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76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76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76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76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76"/>
      <c r="AC617" s="64"/>
      <c r="AD617" s="50"/>
      <c r="AE617" s="50"/>
      <c r="AF617" s="19"/>
      <c r="AG617" s="123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76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76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76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76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76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76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76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76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76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76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76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76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76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76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76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B633" s="306"/>
      <c r="C633" s="233"/>
      <c r="D633" s="23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76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B634" s="306"/>
      <c r="C634" s="233"/>
      <c r="D634" s="23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76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B635" s="306"/>
      <c r="C635" s="233"/>
      <c r="D635" s="23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76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B636" s="306"/>
      <c r="C636" s="233"/>
      <c r="D636" s="23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76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B637" s="306"/>
      <c r="C637" s="233"/>
      <c r="D637" s="23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76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B638" s="306"/>
      <c r="C638" s="233"/>
      <c r="D638" s="23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76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B639" s="306"/>
      <c r="C639" s="233"/>
      <c r="D639" s="23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76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B640" s="306"/>
      <c r="C640" s="233"/>
      <c r="D640" s="23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76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B641" s="306"/>
      <c r="C641" s="233"/>
      <c r="D641" s="23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76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B642" s="306"/>
      <c r="C642" s="233"/>
      <c r="D642" s="23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76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B643" s="306"/>
      <c r="C643" s="233"/>
      <c r="D643" s="23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76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B644" s="306"/>
      <c r="C644" s="233"/>
      <c r="D644" s="23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76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B645" s="306"/>
      <c r="C645" s="233"/>
      <c r="D645" s="23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76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B646" s="306"/>
      <c r="C646" s="233"/>
      <c r="D646" s="23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76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B647" s="306"/>
      <c r="C647" s="233"/>
      <c r="D647" s="23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76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B648" s="306"/>
      <c r="C648" s="233"/>
      <c r="D648" s="23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76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B649" s="306"/>
      <c r="C649" s="233"/>
      <c r="D649" s="23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76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B650" s="306"/>
      <c r="C650" s="233"/>
      <c r="D650" s="23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76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B651" s="306"/>
      <c r="C651" s="233"/>
      <c r="D651" s="23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76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B652" s="306"/>
      <c r="C652" s="233"/>
      <c r="D652" s="23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76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B653" s="306"/>
      <c r="C653" s="233"/>
      <c r="D653" s="23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76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B654" s="306"/>
      <c r="C654" s="233"/>
      <c r="D654" s="23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76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B655" s="306"/>
      <c r="C655" s="233"/>
      <c r="D655" s="23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76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B656" s="306"/>
      <c r="C656" s="233"/>
      <c r="D656" s="23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76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B657" s="306"/>
      <c r="C657" s="233"/>
      <c r="D657" s="23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76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B658" s="306"/>
      <c r="C658" s="233"/>
      <c r="D658" s="23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76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B659" s="306"/>
      <c r="C659" s="233"/>
      <c r="D659" s="23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76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B660" s="306"/>
      <c r="C660" s="233"/>
      <c r="D660" s="23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76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B661" s="306"/>
      <c r="C661" s="233"/>
      <c r="D661" s="23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76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B662" s="306"/>
      <c r="C662" s="233"/>
      <c r="D662" s="23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76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B663" s="306"/>
      <c r="C663" s="233"/>
      <c r="D663" s="23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76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B664" s="306"/>
      <c r="C664" s="233"/>
      <c r="D664" s="23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76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B665" s="306"/>
      <c r="C665" s="233"/>
      <c r="D665" s="23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76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B666" s="306"/>
      <c r="C666" s="233"/>
      <c r="D666" s="23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76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B667" s="306"/>
      <c r="C667" s="233"/>
      <c r="D667" s="23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76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B668" s="306"/>
      <c r="C668" s="233"/>
      <c r="D668" s="23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76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B669" s="306"/>
      <c r="C669" s="233"/>
      <c r="D669" s="23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76"/>
      <c r="AC669" s="64"/>
      <c r="AD669" s="50"/>
      <c r="AE669" s="50"/>
      <c r="AF669" s="19"/>
      <c r="AG669" s="120"/>
      <c r="AH669" s="123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B670" s="306"/>
      <c r="C670" s="233"/>
      <c r="D670" s="23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76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B671" s="306"/>
      <c r="C671" s="233"/>
      <c r="D671" s="23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76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B672" s="306"/>
      <c r="C672" s="233"/>
      <c r="D672" s="23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76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1" s="308" customFormat="1" x14ac:dyDescent="0.2">
      <c r="A673" s="48"/>
      <c r="B673" s="306"/>
      <c r="C673" s="233"/>
      <c r="D673" s="23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76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1" s="308" customFormat="1" x14ac:dyDescent="0.2">
      <c r="A674" s="48"/>
      <c r="B674" s="306"/>
      <c r="C674" s="233"/>
      <c r="D674" s="23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76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1" s="308" customFormat="1" x14ac:dyDescent="0.2">
      <c r="A675" s="48"/>
      <c r="B675" s="306"/>
      <c r="C675" s="233"/>
      <c r="D675" s="23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76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1" s="308" customFormat="1" x14ac:dyDescent="0.2">
      <c r="A676" s="48"/>
      <c r="B676" s="306"/>
      <c r="C676" s="233"/>
      <c r="D676" s="23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76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1" s="308" customFormat="1" x14ac:dyDescent="0.2">
      <c r="A677" s="48"/>
      <c r="B677" s="306"/>
      <c r="C677" s="233"/>
      <c r="D677" s="23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76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1" s="308" customFormat="1" x14ac:dyDescent="0.2">
      <c r="A678" s="48"/>
      <c r="B678" s="306"/>
      <c r="C678" s="233"/>
      <c r="D678" s="23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76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1" s="308" customFormat="1" x14ac:dyDescent="0.2">
      <c r="A679" s="48"/>
      <c r="B679" s="306"/>
      <c r="C679" s="233"/>
      <c r="D679" s="23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76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1" s="308" customFormat="1" x14ac:dyDescent="0.2">
      <c r="A680" s="48"/>
      <c r="B680" s="306"/>
      <c r="C680" s="233"/>
      <c r="D680" s="23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76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1" s="308" customFormat="1" x14ac:dyDescent="0.2">
      <c r="A681" s="48"/>
      <c r="B681" s="306"/>
      <c r="C681" s="233"/>
      <c r="D681" s="23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76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1" s="308" customFormat="1" x14ac:dyDescent="0.2">
      <c r="A682" s="48"/>
      <c r="B682" s="306"/>
      <c r="C682" s="233"/>
      <c r="D682" s="23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76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1" s="308" customFormat="1" x14ac:dyDescent="0.2">
      <c r="A683" s="48"/>
      <c r="B683" s="306"/>
      <c r="C683" s="233"/>
      <c r="D683" s="23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76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1" s="308" customFormat="1" x14ac:dyDescent="0.2">
      <c r="A684" s="48"/>
      <c r="B684" s="306"/>
      <c r="C684" s="233"/>
      <c r="D684" s="23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76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1" s="308" customFormat="1" x14ac:dyDescent="0.2">
      <c r="A685" s="48"/>
      <c r="B685" s="306"/>
      <c r="C685" s="233"/>
      <c r="D685" s="23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76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1" s="308" customFormat="1" x14ac:dyDescent="0.2">
      <c r="A686" s="48"/>
      <c r="B686" s="306"/>
      <c r="C686" s="233"/>
      <c r="D686" s="23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76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1" s="308" customFormat="1" x14ac:dyDescent="0.2">
      <c r="A687" s="48"/>
      <c r="B687" s="306"/>
      <c r="C687" s="233"/>
      <c r="D687" s="23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76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1" s="308" customFormat="1" x14ac:dyDescent="0.2">
      <c r="A688" s="48"/>
      <c r="B688" s="306"/>
      <c r="C688" s="233"/>
      <c r="D688" s="23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76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B689" s="306"/>
      <c r="C689" s="233"/>
      <c r="D689" s="23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76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B690" s="306"/>
      <c r="C690" s="233"/>
      <c r="D690" s="23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76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B691" s="306"/>
      <c r="C691" s="233"/>
      <c r="D691" s="23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76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B692" s="306"/>
      <c r="C692" s="233"/>
      <c r="D692" s="23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76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76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76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76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76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76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76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76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76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76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76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76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76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1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6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76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1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6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76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1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6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76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1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6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76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1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6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76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</row>
    <row r="710" spans="1:41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6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76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</row>
    <row r="711" spans="1:41" s="308" customFormat="1" x14ac:dyDescent="0.2">
      <c r="A711" s="48"/>
      <c r="C711" s="263"/>
      <c r="D711" s="263"/>
      <c r="E711" s="53"/>
      <c r="F711" s="13"/>
      <c r="G711" s="13"/>
      <c r="H711" s="53"/>
      <c r="I711" s="298"/>
      <c r="J711" s="21"/>
      <c r="K711" s="21"/>
      <c r="L711" s="13"/>
      <c r="M711" s="50"/>
      <c r="N711" s="97"/>
      <c r="O711" s="50"/>
      <c r="P711" s="50"/>
      <c r="Q711" s="316"/>
      <c r="R711" s="285"/>
      <c r="S711" s="21"/>
      <c r="T711" s="13"/>
      <c r="U711" s="13"/>
      <c r="V711" s="21"/>
      <c r="W711" s="21"/>
      <c r="X711" s="21"/>
      <c r="Y711" s="260"/>
      <c r="Z711" s="177"/>
      <c r="AA711" s="177"/>
      <c r="AB711" s="676"/>
      <c r="AC711" s="64"/>
      <c r="AD711" s="50"/>
      <c r="AE711" s="50"/>
      <c r="AF711" s="19"/>
      <c r="AG711" s="120"/>
      <c r="AH711" s="119"/>
      <c r="AI711" s="1"/>
      <c r="AJ711" s="21"/>
      <c r="AK711" s="21"/>
      <c r="AL711" s="21"/>
      <c r="AM711" s="21"/>
      <c r="AN711" s="21"/>
      <c r="AO711" s="21"/>
    </row>
    <row r="712" spans="1:41" s="308" customFormat="1" x14ac:dyDescent="0.2">
      <c r="A712" s="48"/>
      <c r="C712" s="263"/>
      <c r="D712" s="263"/>
      <c r="E712" s="53"/>
      <c r="F712" s="13"/>
      <c r="G712" s="13"/>
      <c r="H712" s="53"/>
      <c r="I712" s="298"/>
      <c r="J712" s="21"/>
      <c r="K712" s="21"/>
      <c r="L712" s="13"/>
      <c r="M712" s="50"/>
      <c r="N712" s="97"/>
      <c r="O712" s="50"/>
      <c r="P712" s="50"/>
      <c r="Q712" s="316"/>
      <c r="R712" s="285"/>
      <c r="S712" s="21"/>
      <c r="T712" s="13"/>
      <c r="U712" s="13"/>
      <c r="V712" s="21"/>
      <c r="W712" s="21"/>
      <c r="X712" s="21"/>
      <c r="Y712" s="260"/>
      <c r="Z712" s="177"/>
      <c r="AA712" s="177"/>
      <c r="AB712" s="676"/>
      <c r="AC712" s="64"/>
      <c r="AD712" s="50"/>
      <c r="AE712" s="50"/>
      <c r="AF712" s="19"/>
      <c r="AG712" s="120"/>
      <c r="AH712" s="119"/>
      <c r="AI712" s="1"/>
      <c r="AJ712" s="21"/>
      <c r="AK712" s="21"/>
      <c r="AL712" s="21"/>
      <c r="AM712" s="21"/>
      <c r="AN712" s="21"/>
      <c r="AO712" s="21"/>
    </row>
    <row r="713" spans="1:41" s="308" customFormat="1" x14ac:dyDescent="0.2">
      <c r="A713" s="48"/>
      <c r="C713" s="263"/>
      <c r="D713" s="263"/>
      <c r="E713" s="53"/>
      <c r="F713" s="13"/>
      <c r="G713" s="13"/>
      <c r="H713" s="53"/>
      <c r="I713" s="298"/>
      <c r="J713" s="21"/>
      <c r="K713" s="21"/>
      <c r="L713" s="13"/>
      <c r="M713" s="50"/>
      <c r="N713" s="97"/>
      <c r="O713" s="50"/>
      <c r="P713" s="50"/>
      <c r="Q713" s="316"/>
      <c r="R713" s="285"/>
      <c r="S713" s="21"/>
      <c r="T713" s="13"/>
      <c r="U713" s="13"/>
      <c r="V713" s="21"/>
      <c r="W713" s="21"/>
      <c r="X713" s="21"/>
      <c r="Y713" s="260"/>
      <c r="Z713" s="177"/>
      <c r="AA713" s="177"/>
      <c r="AB713" s="676"/>
      <c r="AC713" s="64"/>
      <c r="AD713" s="50"/>
      <c r="AE713" s="50"/>
      <c r="AF713" s="19"/>
      <c r="AG713" s="120"/>
      <c r="AH713" s="119"/>
      <c r="AI713" s="1"/>
      <c r="AJ713" s="21"/>
      <c r="AK713" s="21"/>
      <c r="AL713" s="21"/>
      <c r="AM713" s="21"/>
      <c r="AN713" s="21"/>
      <c r="AO713" s="21"/>
    </row>
    <row r="714" spans="1:41" s="308" customFormat="1" x14ac:dyDescent="0.2">
      <c r="A714" s="48"/>
      <c r="C714" s="263"/>
      <c r="D714" s="263"/>
      <c r="E714" s="53"/>
      <c r="F714" s="13"/>
      <c r="G714" s="13"/>
      <c r="H714" s="53"/>
      <c r="I714" s="298"/>
      <c r="J714" s="21"/>
      <c r="K714" s="21"/>
      <c r="L714" s="13"/>
      <c r="M714" s="50"/>
      <c r="N714" s="97"/>
      <c r="O714" s="50"/>
      <c r="P714" s="50"/>
      <c r="Q714" s="316"/>
      <c r="R714" s="285"/>
      <c r="S714" s="21"/>
      <c r="T714" s="13"/>
      <c r="U714" s="13"/>
      <c r="V714" s="21"/>
      <c r="W714" s="21"/>
      <c r="X714" s="21"/>
      <c r="Y714" s="260"/>
      <c r="Z714" s="177"/>
      <c r="AA714" s="177"/>
      <c r="AB714" s="676"/>
      <c r="AC714" s="64"/>
      <c r="AD714" s="50"/>
      <c r="AE714" s="50"/>
      <c r="AF714" s="19"/>
      <c r="AG714" s="120"/>
      <c r="AH714" s="119"/>
      <c r="AI714" s="1"/>
      <c r="AJ714" s="21"/>
      <c r="AK714" s="21"/>
      <c r="AL714" s="21"/>
      <c r="AM714" s="21"/>
      <c r="AN714" s="21"/>
      <c r="AO714" s="21"/>
    </row>
    <row r="715" spans="1:41" s="308" customFormat="1" x14ac:dyDescent="0.2">
      <c r="A715" s="48"/>
      <c r="C715" s="263"/>
      <c r="D715" s="263"/>
      <c r="E715" s="53"/>
      <c r="F715" s="13"/>
      <c r="G715" s="13"/>
      <c r="H715" s="53"/>
      <c r="I715" s="298"/>
      <c r="J715" s="21"/>
      <c r="K715" s="21"/>
      <c r="L715" s="13"/>
      <c r="M715" s="50"/>
      <c r="N715" s="97"/>
      <c r="O715" s="50"/>
      <c r="P715" s="50"/>
      <c r="Q715" s="316"/>
      <c r="R715" s="285"/>
      <c r="S715" s="21"/>
      <c r="T715" s="13"/>
      <c r="U715" s="13"/>
      <c r="V715" s="21"/>
      <c r="W715" s="21"/>
      <c r="X715" s="21"/>
      <c r="Y715" s="260"/>
      <c r="Z715" s="177"/>
      <c r="AA715" s="177"/>
      <c r="AB715" s="676"/>
      <c r="AC715" s="64"/>
      <c r="AD715" s="50"/>
      <c r="AE715" s="50"/>
      <c r="AF715" s="19"/>
      <c r="AG715" s="120"/>
      <c r="AH715" s="119"/>
      <c r="AI715" s="1"/>
      <c r="AJ715" s="21"/>
      <c r="AK715" s="21"/>
      <c r="AL715" s="21"/>
      <c r="AM715" s="21"/>
      <c r="AN715" s="21"/>
      <c r="AO715" s="21"/>
    </row>
    <row r="716" spans="1:41" s="308" customFormat="1" x14ac:dyDescent="0.2">
      <c r="A716" s="48"/>
      <c r="C716" s="263"/>
      <c r="D716" s="263"/>
      <c r="E716" s="53"/>
      <c r="F716" s="13"/>
      <c r="G716" s="13"/>
      <c r="H716" s="53"/>
      <c r="I716" s="298"/>
      <c r="J716" s="21"/>
      <c r="K716" s="21"/>
      <c r="L716" s="13"/>
      <c r="M716" s="50"/>
      <c r="N716" s="97"/>
      <c r="O716" s="50"/>
      <c r="P716" s="50"/>
      <c r="Q716" s="316"/>
      <c r="R716" s="285"/>
      <c r="S716" s="21"/>
      <c r="T716" s="13"/>
      <c r="U716" s="13"/>
      <c r="V716" s="21"/>
      <c r="W716" s="21"/>
      <c r="X716" s="21"/>
      <c r="Y716" s="260"/>
      <c r="Z716" s="177"/>
      <c r="AA716" s="177"/>
      <c r="AB716" s="676"/>
      <c r="AC716" s="64"/>
      <c r="AD716" s="50"/>
      <c r="AE716" s="50"/>
      <c r="AF716" s="19"/>
      <c r="AG716" s="120"/>
      <c r="AH716" s="119"/>
      <c r="AI716" s="1"/>
      <c r="AJ716" s="21"/>
      <c r="AK716" s="21"/>
      <c r="AL716" s="21"/>
      <c r="AM716" s="21"/>
      <c r="AN716" s="21"/>
      <c r="AO716" s="21"/>
    </row>
    <row r="717" spans="1:41" s="308" customFormat="1" x14ac:dyDescent="0.2">
      <c r="A717" s="48"/>
      <c r="C717" s="263"/>
      <c r="D717" s="263"/>
      <c r="E717" s="53"/>
      <c r="F717" s="13"/>
      <c r="G717" s="13"/>
      <c r="H717" s="53"/>
      <c r="I717" s="298"/>
      <c r="J717" s="21"/>
      <c r="K717" s="21"/>
      <c r="L717" s="13"/>
      <c r="M717" s="50"/>
      <c r="N717" s="97"/>
      <c r="O717" s="50"/>
      <c r="P717" s="50"/>
      <c r="Q717" s="316"/>
      <c r="R717" s="285"/>
      <c r="S717" s="21"/>
      <c r="T717" s="13"/>
      <c r="U717" s="13"/>
      <c r="V717" s="21"/>
      <c r="W717" s="21"/>
      <c r="X717" s="21"/>
      <c r="Y717" s="260"/>
      <c r="Z717" s="177"/>
      <c r="AA717" s="177"/>
      <c r="AB717" s="676"/>
      <c r="AC717" s="64"/>
      <c r="AD717" s="50"/>
      <c r="AE717" s="50"/>
      <c r="AF717" s="19"/>
      <c r="AG717" s="120"/>
      <c r="AH717" s="119"/>
      <c r="AI717" s="1"/>
      <c r="AJ717" s="21"/>
      <c r="AK717" s="21"/>
      <c r="AL717" s="21"/>
      <c r="AM717" s="21"/>
      <c r="AN717" s="21"/>
      <c r="AO717" s="21"/>
    </row>
    <row r="718" spans="1:41" s="308" customFormat="1" x14ac:dyDescent="0.2">
      <c r="A718" s="48"/>
      <c r="C718" s="263"/>
      <c r="D718" s="263"/>
      <c r="E718" s="53"/>
      <c r="F718" s="13"/>
      <c r="G718" s="13"/>
      <c r="H718" s="53"/>
      <c r="I718" s="298"/>
      <c r="J718" s="21"/>
      <c r="K718" s="21"/>
      <c r="L718" s="13"/>
      <c r="M718" s="50"/>
      <c r="N718" s="97"/>
      <c r="O718" s="50"/>
      <c r="P718" s="50"/>
      <c r="Q718" s="316"/>
      <c r="R718" s="285"/>
      <c r="S718" s="21"/>
      <c r="T718" s="13"/>
      <c r="U718" s="13"/>
      <c r="V718" s="21"/>
      <c r="W718" s="21"/>
      <c r="X718" s="21"/>
      <c r="Y718" s="260"/>
      <c r="Z718" s="177"/>
      <c r="AA718" s="177"/>
      <c r="AB718" s="676"/>
      <c r="AC718" s="64"/>
      <c r="AD718" s="50"/>
      <c r="AE718" s="50"/>
      <c r="AF718" s="19"/>
      <c r="AG718" s="120"/>
      <c r="AH718" s="119"/>
      <c r="AI718" s="1"/>
      <c r="AJ718" s="21"/>
      <c r="AK718" s="21"/>
      <c r="AL718" s="21"/>
      <c r="AM718" s="21"/>
      <c r="AN718" s="21"/>
      <c r="AO718" s="21"/>
    </row>
    <row r="719" spans="1:41" s="308" customFormat="1" x14ac:dyDescent="0.2">
      <c r="A719" s="48"/>
      <c r="C719" s="263"/>
      <c r="D719" s="263"/>
      <c r="E719" s="53"/>
      <c r="F719" s="13"/>
      <c r="G719" s="13"/>
      <c r="H719" s="53"/>
      <c r="I719" s="298"/>
      <c r="J719" s="21"/>
      <c r="K719" s="21"/>
      <c r="L719" s="13"/>
      <c r="M719" s="50"/>
      <c r="N719" s="97"/>
      <c r="O719" s="50"/>
      <c r="P719" s="50"/>
      <c r="Q719" s="316"/>
      <c r="R719" s="285"/>
      <c r="S719" s="21"/>
      <c r="T719" s="13"/>
      <c r="U719" s="13"/>
      <c r="V719" s="21"/>
      <c r="W719" s="21"/>
      <c r="X719" s="21"/>
      <c r="Y719" s="260"/>
      <c r="Z719" s="177"/>
      <c r="AA719" s="177"/>
      <c r="AB719" s="676"/>
      <c r="AC719" s="64"/>
      <c r="AD719" s="50"/>
      <c r="AE719" s="50"/>
      <c r="AF719" s="19"/>
      <c r="AG719" s="120"/>
      <c r="AH719" s="119"/>
      <c r="AI719" s="1"/>
      <c r="AJ719" s="21"/>
      <c r="AK719" s="21"/>
      <c r="AL719" s="21"/>
      <c r="AM719" s="21"/>
      <c r="AN719" s="21"/>
      <c r="AO719" s="21"/>
    </row>
    <row r="720" spans="1:41" s="308" customFormat="1" x14ac:dyDescent="0.2">
      <c r="A720" s="48"/>
      <c r="C720" s="263"/>
      <c r="D720" s="263"/>
      <c r="E720" s="53"/>
      <c r="F720" s="13"/>
      <c r="G720" s="13"/>
      <c r="H720" s="53"/>
      <c r="I720" s="298"/>
      <c r="J720" s="21"/>
      <c r="K720" s="21"/>
      <c r="L720" s="13"/>
      <c r="M720" s="50"/>
      <c r="N720" s="97"/>
      <c r="O720" s="50"/>
      <c r="P720" s="50"/>
      <c r="Q720" s="316"/>
      <c r="R720" s="285"/>
      <c r="S720" s="21"/>
      <c r="T720" s="13"/>
      <c r="U720" s="13"/>
      <c r="V720" s="21"/>
      <c r="W720" s="21"/>
      <c r="X720" s="21"/>
      <c r="Y720" s="260"/>
      <c r="Z720" s="177"/>
      <c r="AA720" s="177"/>
      <c r="AB720" s="676"/>
      <c r="AC720" s="64"/>
      <c r="AD720" s="50"/>
      <c r="AE720" s="50"/>
      <c r="AF720" s="19"/>
      <c r="AG720" s="120"/>
      <c r="AH720" s="119"/>
      <c r="AI720" s="1"/>
      <c r="AJ720" s="21"/>
      <c r="AK720" s="21"/>
      <c r="AL720" s="21"/>
      <c r="AM720" s="21"/>
      <c r="AN720" s="21"/>
      <c r="AO720" s="21"/>
    </row>
    <row r="721" spans="1:44" s="308" customFormat="1" x14ac:dyDescent="0.2">
      <c r="A721" s="48"/>
      <c r="C721" s="263"/>
      <c r="D721" s="263"/>
      <c r="E721" s="53"/>
      <c r="F721" s="13"/>
      <c r="G721" s="13"/>
      <c r="H721" s="53"/>
      <c r="I721" s="298"/>
      <c r="J721" s="21"/>
      <c r="K721" s="21"/>
      <c r="L721" s="13"/>
      <c r="M721" s="50"/>
      <c r="N721" s="97"/>
      <c r="O721" s="50"/>
      <c r="P721" s="50"/>
      <c r="Q721" s="316"/>
      <c r="R721" s="285"/>
      <c r="S721" s="21"/>
      <c r="T721" s="13"/>
      <c r="U721" s="13"/>
      <c r="V721" s="21"/>
      <c r="W721" s="21"/>
      <c r="X721" s="21"/>
      <c r="Y721" s="260"/>
      <c r="Z721" s="177"/>
      <c r="AA721" s="177"/>
      <c r="AB721" s="676"/>
      <c r="AC721" s="64"/>
      <c r="AD721" s="50"/>
      <c r="AE721" s="50"/>
      <c r="AF721" s="19"/>
      <c r="AG721" s="120"/>
      <c r="AH721" s="119"/>
      <c r="AI721" s="1"/>
      <c r="AJ721" s="21"/>
      <c r="AK721" s="21"/>
      <c r="AL721" s="21"/>
      <c r="AM721" s="21"/>
      <c r="AN721" s="21"/>
      <c r="AO721" s="21"/>
    </row>
    <row r="722" spans="1:44" s="308" customFormat="1" x14ac:dyDescent="0.2">
      <c r="A722" s="48"/>
      <c r="C722" s="263"/>
      <c r="D722" s="263"/>
      <c r="E722" s="53"/>
      <c r="F722" s="13"/>
      <c r="G722" s="13"/>
      <c r="H722" s="53"/>
      <c r="I722" s="298"/>
      <c r="J722" s="21"/>
      <c r="K722" s="21"/>
      <c r="L722" s="13"/>
      <c r="M722" s="50"/>
      <c r="N722" s="97"/>
      <c r="O722" s="50"/>
      <c r="P722" s="50"/>
      <c r="Q722" s="316"/>
      <c r="R722" s="285"/>
      <c r="S722" s="21"/>
      <c r="T722" s="13"/>
      <c r="U722" s="13"/>
      <c r="V722" s="21"/>
      <c r="W722" s="21"/>
      <c r="X722" s="21"/>
      <c r="Y722" s="260"/>
      <c r="Z722" s="177"/>
      <c r="AA722" s="177"/>
      <c r="AB722" s="676"/>
      <c r="AC722" s="64"/>
      <c r="AD722" s="50"/>
      <c r="AE722" s="50"/>
      <c r="AF722" s="19"/>
      <c r="AG722" s="120"/>
      <c r="AH722" s="119"/>
      <c r="AI722" s="1"/>
      <c r="AJ722" s="21"/>
      <c r="AK722" s="21"/>
      <c r="AL722" s="21"/>
      <c r="AM722" s="21"/>
      <c r="AN722" s="21"/>
      <c r="AO722" s="21"/>
    </row>
    <row r="723" spans="1:44" s="308" customFormat="1" x14ac:dyDescent="0.2">
      <c r="A723" s="48"/>
      <c r="C723" s="263"/>
      <c r="D723" s="263"/>
      <c r="E723" s="53"/>
      <c r="F723" s="13"/>
      <c r="G723" s="13"/>
      <c r="H723" s="53"/>
      <c r="I723" s="298"/>
      <c r="J723" s="21"/>
      <c r="K723" s="21"/>
      <c r="L723" s="13"/>
      <c r="M723" s="50"/>
      <c r="N723" s="97"/>
      <c r="O723" s="50"/>
      <c r="P723" s="50"/>
      <c r="Q723" s="316"/>
      <c r="R723" s="285"/>
      <c r="S723" s="21"/>
      <c r="T723" s="13"/>
      <c r="U723" s="13"/>
      <c r="V723" s="21"/>
      <c r="W723" s="21"/>
      <c r="X723" s="21"/>
      <c r="Y723" s="260"/>
      <c r="Z723" s="177"/>
      <c r="AA723" s="177"/>
      <c r="AB723" s="676"/>
      <c r="AC723" s="64"/>
      <c r="AD723" s="50"/>
      <c r="AE723" s="50"/>
      <c r="AF723" s="19"/>
      <c r="AG723" s="120"/>
      <c r="AH723" s="119"/>
      <c r="AI723" s="1"/>
      <c r="AJ723" s="21"/>
      <c r="AK723" s="21"/>
      <c r="AL723" s="21"/>
      <c r="AM723" s="21"/>
      <c r="AN723" s="21"/>
      <c r="AO723" s="21"/>
    </row>
    <row r="724" spans="1:44" s="308" customFormat="1" x14ac:dyDescent="0.2">
      <c r="A724" s="48"/>
      <c r="C724" s="263"/>
      <c r="D724" s="263"/>
      <c r="E724" s="53"/>
      <c r="F724" s="13"/>
      <c r="G724" s="13"/>
      <c r="H724" s="53"/>
      <c r="I724" s="298"/>
      <c r="J724" s="21"/>
      <c r="K724" s="21"/>
      <c r="L724" s="13"/>
      <c r="M724" s="50"/>
      <c r="N724" s="97"/>
      <c r="O724" s="50"/>
      <c r="P724" s="50"/>
      <c r="Q724" s="316"/>
      <c r="R724" s="285"/>
      <c r="S724" s="21"/>
      <c r="T724" s="13"/>
      <c r="U724" s="13"/>
      <c r="V724" s="21"/>
      <c r="W724" s="21"/>
      <c r="X724" s="21"/>
      <c r="Y724" s="260"/>
      <c r="Z724" s="177"/>
      <c r="AA724" s="177"/>
      <c r="AB724" s="676"/>
      <c r="AC724" s="64"/>
      <c r="AD724" s="50"/>
      <c r="AE724" s="50"/>
      <c r="AF724" s="19"/>
      <c r="AG724" s="120"/>
      <c r="AH724" s="119"/>
      <c r="AI724" s="1"/>
      <c r="AJ724" s="21"/>
      <c r="AK724" s="21"/>
      <c r="AL724" s="21"/>
      <c r="AM724" s="21"/>
      <c r="AN724" s="21"/>
      <c r="AO724" s="21"/>
    </row>
    <row r="725" spans="1:44" s="308" customFormat="1" x14ac:dyDescent="0.2">
      <c r="A725" s="48"/>
      <c r="C725" s="263"/>
      <c r="D725" s="263"/>
      <c r="E725" s="53"/>
      <c r="F725" s="13"/>
      <c r="G725" s="13"/>
      <c r="H725" s="53"/>
      <c r="I725" s="298"/>
      <c r="J725" s="21"/>
      <c r="K725" s="21"/>
      <c r="L725" s="13"/>
      <c r="M725" s="50"/>
      <c r="N725" s="97"/>
      <c r="O725" s="50"/>
      <c r="P725" s="50"/>
      <c r="Q725" s="316"/>
      <c r="R725" s="285"/>
      <c r="S725" s="21"/>
      <c r="T725" s="13"/>
      <c r="U725" s="13"/>
      <c r="V725" s="21"/>
      <c r="W725" s="21"/>
      <c r="X725" s="21"/>
      <c r="Y725" s="260"/>
      <c r="Z725" s="177"/>
      <c r="AA725" s="177"/>
      <c r="AB725" s="676"/>
      <c r="AC725" s="64"/>
      <c r="AD725" s="50"/>
      <c r="AE725" s="50"/>
      <c r="AF725" s="19"/>
      <c r="AG725" s="120"/>
      <c r="AH725" s="119"/>
      <c r="AI725" s="1"/>
      <c r="AJ725" s="21"/>
      <c r="AK725" s="21"/>
      <c r="AL725" s="21"/>
      <c r="AM725" s="21"/>
      <c r="AN725" s="21"/>
      <c r="AO725" s="21"/>
    </row>
    <row r="726" spans="1:44" s="308" customFormat="1" x14ac:dyDescent="0.2">
      <c r="A726" s="48"/>
      <c r="C726" s="263"/>
      <c r="D726" s="263"/>
      <c r="E726" s="53"/>
      <c r="F726" s="13"/>
      <c r="G726" s="13"/>
      <c r="H726" s="53"/>
      <c r="I726" s="298"/>
      <c r="J726" s="21"/>
      <c r="K726" s="21"/>
      <c r="L726" s="13"/>
      <c r="M726" s="50"/>
      <c r="N726" s="97"/>
      <c r="O726" s="50"/>
      <c r="P726" s="50"/>
      <c r="Q726" s="316"/>
      <c r="R726" s="285"/>
      <c r="S726" s="21"/>
      <c r="T726" s="13"/>
      <c r="U726" s="13"/>
      <c r="V726" s="21"/>
      <c r="W726" s="21"/>
      <c r="X726" s="21"/>
      <c r="Y726" s="260"/>
      <c r="Z726" s="177"/>
      <c r="AA726" s="177"/>
      <c r="AB726" s="676"/>
      <c r="AC726" s="64"/>
      <c r="AD726" s="50"/>
      <c r="AE726" s="50"/>
      <c r="AF726" s="19"/>
      <c r="AG726" s="120"/>
      <c r="AH726" s="119"/>
      <c r="AI726" s="1"/>
      <c r="AJ726" s="21"/>
      <c r="AK726" s="21"/>
      <c r="AL726" s="21"/>
      <c r="AM726" s="21"/>
      <c r="AN726" s="21"/>
      <c r="AO726" s="21"/>
    </row>
    <row r="727" spans="1:44" s="308" customFormat="1" x14ac:dyDescent="0.2">
      <c r="A727" s="48"/>
      <c r="C727" s="263"/>
      <c r="D727" s="26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316"/>
      <c r="R727" s="285"/>
      <c r="S727" s="21"/>
      <c r="T727" s="13"/>
      <c r="U727" s="13"/>
      <c r="V727" s="21"/>
      <c r="W727" s="21"/>
      <c r="X727" s="21"/>
      <c r="Y727" s="260"/>
      <c r="Z727" s="177"/>
      <c r="AA727" s="177"/>
      <c r="AB727" s="676"/>
      <c r="AC727" s="64"/>
      <c r="AD727" s="50"/>
      <c r="AE727" s="50"/>
      <c r="AF727" s="19"/>
      <c r="AG727" s="120"/>
      <c r="AH727" s="119"/>
      <c r="AI727" s="1"/>
      <c r="AJ727" s="21"/>
      <c r="AK727" s="21"/>
      <c r="AL727" s="21"/>
      <c r="AM727" s="21"/>
      <c r="AN727" s="21"/>
      <c r="AO727" s="21"/>
    </row>
    <row r="728" spans="1:44" s="308" customFormat="1" x14ac:dyDescent="0.2">
      <c r="A728" s="48"/>
      <c r="C728" s="263"/>
      <c r="D728" s="26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316"/>
      <c r="R728" s="285"/>
      <c r="S728" s="21"/>
      <c r="T728" s="13"/>
      <c r="U728" s="13"/>
      <c r="V728" s="21"/>
      <c r="W728" s="21"/>
      <c r="X728" s="21"/>
      <c r="Y728" s="260"/>
      <c r="Z728" s="177"/>
      <c r="AA728" s="177"/>
      <c r="AB728" s="676"/>
      <c r="AC728" s="64"/>
      <c r="AD728" s="50"/>
      <c r="AE728" s="50"/>
      <c r="AF728" s="19"/>
      <c r="AG728" s="120"/>
      <c r="AH728" s="119"/>
      <c r="AI728" s="1"/>
      <c r="AJ728" s="21"/>
      <c r="AK728" s="21"/>
      <c r="AL728" s="21"/>
      <c r="AM728" s="21"/>
      <c r="AN728" s="21"/>
      <c r="AO728" s="21"/>
    </row>
    <row r="729" spans="1:44" s="308" customFormat="1" x14ac:dyDescent="0.2">
      <c r="A729" s="48"/>
      <c r="C729" s="263"/>
      <c r="D729" s="263"/>
      <c r="E729" s="53"/>
      <c r="F729" s="13"/>
      <c r="G729" s="13"/>
      <c r="H729" s="53"/>
      <c r="I729" s="298"/>
      <c r="J729" s="21"/>
      <c r="K729" s="21"/>
      <c r="L729" s="13"/>
      <c r="M729" s="50"/>
      <c r="N729" s="97"/>
      <c r="O729" s="50"/>
      <c r="P729" s="50"/>
      <c r="Q729" s="316"/>
      <c r="R729" s="285"/>
      <c r="S729" s="21"/>
      <c r="T729" s="13"/>
      <c r="U729" s="13"/>
      <c r="V729" s="21"/>
      <c r="W729" s="21"/>
      <c r="X729" s="21"/>
      <c r="Y729" s="260"/>
      <c r="Z729" s="177"/>
      <c r="AA729" s="177"/>
      <c r="AB729" s="676"/>
      <c r="AC729" s="64"/>
      <c r="AD729" s="50"/>
      <c r="AE729" s="50"/>
      <c r="AF729" s="19"/>
      <c r="AG729" s="120"/>
      <c r="AH729" s="119"/>
      <c r="AI729" s="1"/>
      <c r="AJ729" s="21"/>
      <c r="AK729" s="21"/>
      <c r="AL729" s="21"/>
      <c r="AM729" s="21"/>
      <c r="AN729" s="21"/>
      <c r="AO729" s="21"/>
    </row>
    <row r="730" spans="1:44" s="308" customFormat="1" x14ac:dyDescent="0.2">
      <c r="A730" s="48"/>
      <c r="C730" s="263"/>
      <c r="D730" s="263"/>
      <c r="E730" s="53"/>
      <c r="F730" s="13"/>
      <c r="G730" s="13"/>
      <c r="H730" s="53"/>
      <c r="I730" s="298"/>
      <c r="J730" s="21"/>
      <c r="K730" s="21"/>
      <c r="L730" s="13"/>
      <c r="M730" s="50"/>
      <c r="N730" s="97"/>
      <c r="O730" s="50"/>
      <c r="P730" s="50"/>
      <c r="Q730" s="316"/>
      <c r="R730" s="285"/>
      <c r="S730" s="21"/>
      <c r="T730" s="13"/>
      <c r="U730" s="13"/>
      <c r="V730" s="21"/>
      <c r="W730" s="21"/>
      <c r="X730" s="21"/>
      <c r="Y730" s="260"/>
      <c r="Z730" s="177"/>
      <c r="AA730" s="177"/>
      <c r="AB730" s="676"/>
      <c r="AC730" s="64"/>
      <c r="AD730" s="50"/>
      <c r="AE730" s="50"/>
      <c r="AF730" s="19"/>
      <c r="AG730" s="120"/>
      <c r="AH730" s="119"/>
      <c r="AI730" s="1"/>
      <c r="AJ730" s="21"/>
      <c r="AK730" s="21"/>
      <c r="AL730" s="21"/>
      <c r="AM730" s="21"/>
      <c r="AN730" s="21"/>
      <c r="AO730" s="21"/>
    </row>
    <row r="731" spans="1:44" s="308" customFormat="1" x14ac:dyDescent="0.2">
      <c r="A731" s="48"/>
      <c r="C731" s="263"/>
      <c r="D731" s="263"/>
      <c r="E731" s="53"/>
      <c r="F731" s="13"/>
      <c r="G731" s="13"/>
      <c r="H731" s="53"/>
      <c r="I731" s="298"/>
      <c r="J731" s="21"/>
      <c r="K731" s="21"/>
      <c r="L731" s="13"/>
      <c r="M731" s="50"/>
      <c r="N731" s="97"/>
      <c r="O731" s="50"/>
      <c r="P731" s="50"/>
      <c r="Q731" s="316"/>
      <c r="R731" s="285"/>
      <c r="S731" s="21"/>
      <c r="T731" s="13"/>
      <c r="U731" s="13"/>
      <c r="V731" s="21"/>
      <c r="W731" s="21"/>
      <c r="X731" s="21"/>
      <c r="Y731" s="260"/>
      <c r="Z731" s="177"/>
      <c r="AA731" s="177"/>
      <c r="AB731" s="676"/>
      <c r="AC731" s="64"/>
      <c r="AD731" s="50"/>
      <c r="AE731" s="50"/>
      <c r="AF731" s="19"/>
      <c r="AG731" s="120"/>
      <c r="AH731" s="119"/>
      <c r="AI731" s="1"/>
      <c r="AJ731" s="21"/>
      <c r="AK731" s="21"/>
      <c r="AL731" s="21"/>
      <c r="AM731" s="21"/>
      <c r="AN731" s="21"/>
      <c r="AO731" s="21"/>
    </row>
    <row r="732" spans="1:44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316"/>
      <c r="R732" s="285"/>
      <c r="S732" s="21"/>
      <c r="T732" s="13"/>
      <c r="U732" s="13"/>
      <c r="V732" s="21"/>
      <c r="W732" s="21"/>
      <c r="X732" s="21"/>
      <c r="Y732" s="260"/>
      <c r="Z732" s="177"/>
      <c r="AA732" s="177"/>
      <c r="AB732" s="676"/>
      <c r="AC732" s="64"/>
      <c r="AD732" s="50"/>
      <c r="AE732" s="50"/>
      <c r="AF732" s="19"/>
      <c r="AG732" s="120"/>
      <c r="AH732" s="119"/>
      <c r="AI732" s="1"/>
      <c r="AJ732" s="21"/>
      <c r="AK732" s="21"/>
      <c r="AL732" s="21"/>
      <c r="AM732" s="21"/>
      <c r="AN732" s="21"/>
      <c r="AO732" s="21"/>
    </row>
    <row r="733" spans="1:44" s="308" customFormat="1" x14ac:dyDescent="0.2">
      <c r="A733" s="48"/>
      <c r="C733" s="263"/>
      <c r="D733" s="263"/>
      <c r="E733" s="53"/>
      <c r="F733" s="13"/>
      <c r="G733" s="13"/>
      <c r="H733" s="53"/>
      <c r="I733" s="298"/>
      <c r="J733" s="21"/>
      <c r="K733" s="21"/>
      <c r="L733" s="13"/>
      <c r="M733" s="50"/>
      <c r="N733" s="97"/>
      <c r="O733" s="50"/>
      <c r="P733" s="50"/>
      <c r="Q733" s="316"/>
      <c r="R733" s="285"/>
      <c r="S733" s="21"/>
      <c r="T733" s="13"/>
      <c r="U733" s="13"/>
      <c r="V733" s="21"/>
      <c r="W733" s="21"/>
      <c r="X733" s="21"/>
      <c r="Y733" s="260"/>
      <c r="Z733" s="177"/>
      <c r="AA733" s="177"/>
      <c r="AB733" s="676"/>
      <c r="AC733" s="64"/>
      <c r="AD733" s="50"/>
      <c r="AE733" s="50"/>
      <c r="AF733" s="19"/>
      <c r="AG733" s="120"/>
      <c r="AH733" s="119"/>
      <c r="AI733" s="1"/>
      <c r="AJ733" s="21"/>
      <c r="AK733" s="21"/>
      <c r="AL733" s="21"/>
      <c r="AM733" s="21"/>
      <c r="AN733" s="21"/>
      <c r="AO733" s="21"/>
    </row>
    <row r="734" spans="1:44" s="308" customFormat="1" x14ac:dyDescent="0.2">
      <c r="A734" s="48"/>
      <c r="C734" s="263"/>
      <c r="D734" s="263"/>
      <c r="E734" s="53"/>
      <c r="F734" s="13"/>
      <c r="G734" s="13"/>
      <c r="H734" s="53"/>
      <c r="I734" s="298"/>
      <c r="J734" s="21"/>
      <c r="K734" s="21"/>
      <c r="L734" s="13"/>
      <c r="M734" s="50"/>
      <c r="N734" s="97"/>
      <c r="O734" s="50"/>
      <c r="P734" s="50"/>
      <c r="Q734" s="316"/>
      <c r="R734" s="285"/>
      <c r="S734" s="21"/>
      <c r="T734" s="13"/>
      <c r="U734" s="13"/>
      <c r="V734" s="21"/>
      <c r="W734" s="21"/>
      <c r="X734" s="21"/>
      <c r="Y734" s="260"/>
      <c r="Z734" s="177"/>
      <c r="AA734" s="177"/>
      <c r="AB734" s="676"/>
      <c r="AC734" s="64"/>
      <c r="AD734" s="50"/>
      <c r="AE734" s="50"/>
      <c r="AF734" s="19"/>
      <c r="AG734" s="120"/>
      <c r="AH734" s="119"/>
      <c r="AI734" s="1"/>
      <c r="AJ734" s="21"/>
      <c r="AK734" s="21"/>
      <c r="AL734" s="21"/>
      <c r="AM734" s="21"/>
      <c r="AN734" s="21"/>
      <c r="AO734" s="21"/>
      <c r="AQ734" s="21"/>
      <c r="AR734" s="21"/>
    </row>
    <row r="735" spans="1:44" s="308" customFormat="1" x14ac:dyDescent="0.2">
      <c r="A735" s="48"/>
      <c r="C735" s="263"/>
      <c r="D735" s="263"/>
      <c r="E735" s="53"/>
      <c r="F735" s="13"/>
      <c r="G735" s="13"/>
      <c r="H735" s="53"/>
      <c r="I735" s="298"/>
      <c r="J735" s="21"/>
      <c r="K735" s="21"/>
      <c r="L735" s="13"/>
      <c r="M735" s="50"/>
      <c r="N735" s="97"/>
      <c r="O735" s="50"/>
      <c r="P735" s="50"/>
      <c r="Q735" s="316"/>
      <c r="R735" s="285"/>
      <c r="S735" s="21"/>
      <c r="T735" s="13"/>
      <c r="U735" s="13"/>
      <c r="V735" s="21"/>
      <c r="W735" s="21"/>
      <c r="X735" s="21"/>
      <c r="Y735" s="260"/>
      <c r="Z735" s="177"/>
      <c r="AA735" s="177"/>
      <c r="AB735" s="676"/>
      <c r="AC735" s="64"/>
      <c r="AD735" s="50"/>
      <c r="AE735" s="50"/>
      <c r="AF735" s="19"/>
      <c r="AG735" s="120"/>
      <c r="AH735" s="119"/>
      <c r="AI735" s="1"/>
      <c r="AJ735" s="21"/>
      <c r="AK735" s="21"/>
      <c r="AL735" s="21"/>
      <c r="AM735" s="21"/>
      <c r="AN735" s="21"/>
      <c r="AO735" s="21"/>
      <c r="AQ735" s="21"/>
      <c r="AR735" s="21"/>
    </row>
    <row r="736" spans="1:44" x14ac:dyDescent="0.2">
      <c r="A736" s="48"/>
      <c r="AP736" s="308"/>
    </row>
    <row r="737" spans="1:44" x14ac:dyDescent="0.2">
      <c r="A737" s="48"/>
      <c r="AP737" s="308"/>
    </row>
    <row r="738" spans="1:44" x14ac:dyDescent="0.2">
      <c r="A738" s="48"/>
      <c r="AP738" s="308"/>
    </row>
    <row r="739" spans="1:44" x14ac:dyDescent="0.2">
      <c r="A739" s="48"/>
      <c r="AP739" s="308"/>
    </row>
    <row r="740" spans="1:44" x14ac:dyDescent="0.2">
      <c r="A740" s="48"/>
      <c r="AP740" s="308"/>
    </row>
    <row r="741" spans="1:44" x14ac:dyDescent="0.2">
      <c r="A741" s="48"/>
      <c r="AP741" s="308"/>
    </row>
    <row r="742" spans="1:44" x14ac:dyDescent="0.2">
      <c r="A742" s="48"/>
      <c r="AP742" s="308"/>
      <c r="AQ742" s="308"/>
      <c r="AR742" s="308"/>
    </row>
    <row r="743" spans="1:44" x14ac:dyDescent="0.2">
      <c r="A743" s="48"/>
      <c r="AP743" s="308"/>
      <c r="AQ743" s="308"/>
      <c r="AR743" s="308"/>
    </row>
    <row r="744" spans="1:44" s="308" customFormat="1" x14ac:dyDescent="0.2">
      <c r="A744" s="48"/>
      <c r="C744" s="263"/>
      <c r="D744" s="263"/>
      <c r="E744" s="53"/>
      <c r="F744" s="13"/>
      <c r="G744" s="13"/>
      <c r="H744" s="53"/>
      <c r="I744" s="298"/>
      <c r="J744" s="21"/>
      <c r="K744" s="21"/>
      <c r="L744" s="13"/>
      <c r="M744" s="50"/>
      <c r="N744" s="97"/>
      <c r="O744" s="50"/>
      <c r="P744" s="50"/>
      <c r="Q744" s="316"/>
      <c r="R744" s="285"/>
      <c r="S744" s="21"/>
      <c r="T744" s="13"/>
      <c r="U744" s="13"/>
      <c r="V744" s="21"/>
      <c r="W744" s="21"/>
      <c r="X744" s="21"/>
      <c r="Y744" s="260"/>
      <c r="Z744" s="177"/>
      <c r="AA744" s="177"/>
      <c r="AB744" s="676"/>
      <c r="AC744" s="64"/>
      <c r="AD744" s="50"/>
      <c r="AE744" s="50"/>
      <c r="AF744" s="19"/>
      <c r="AG744" s="120"/>
      <c r="AH744" s="119"/>
      <c r="AI744" s="1"/>
      <c r="AJ744" s="21"/>
      <c r="AK744" s="21"/>
      <c r="AL744" s="21"/>
      <c r="AM744" s="21"/>
      <c r="AN744" s="21"/>
      <c r="AO744" s="21"/>
    </row>
    <row r="745" spans="1:44" s="308" customFormat="1" x14ac:dyDescent="0.2">
      <c r="A745" s="48"/>
      <c r="C745" s="263"/>
      <c r="D745" s="263"/>
      <c r="E745" s="53"/>
      <c r="F745" s="13"/>
      <c r="G745" s="13"/>
      <c r="H745" s="53"/>
      <c r="I745" s="298"/>
      <c r="J745" s="21"/>
      <c r="K745" s="21"/>
      <c r="L745" s="13"/>
      <c r="M745" s="50"/>
      <c r="N745" s="97"/>
      <c r="O745" s="50"/>
      <c r="P745" s="50"/>
      <c r="Q745" s="316"/>
      <c r="R745" s="285"/>
      <c r="S745" s="21"/>
      <c r="T745" s="13"/>
      <c r="U745" s="13"/>
      <c r="V745" s="21"/>
      <c r="W745" s="21"/>
      <c r="X745" s="21"/>
      <c r="Y745" s="260"/>
      <c r="Z745" s="177"/>
      <c r="AA745" s="177"/>
      <c r="AB745" s="676"/>
      <c r="AC745" s="64"/>
      <c r="AD745" s="50"/>
      <c r="AE745" s="50"/>
      <c r="AF745" s="19"/>
      <c r="AG745" s="120"/>
      <c r="AH745" s="119"/>
      <c r="AI745" s="1"/>
      <c r="AJ745" s="21"/>
      <c r="AK745" s="21"/>
      <c r="AL745" s="21"/>
      <c r="AM745" s="21"/>
      <c r="AN745" s="21"/>
      <c r="AO745" s="21"/>
    </row>
    <row r="746" spans="1:44" s="308" customFormat="1" x14ac:dyDescent="0.2">
      <c r="A746" s="48"/>
      <c r="C746" s="263"/>
      <c r="D746" s="263"/>
      <c r="E746" s="53"/>
      <c r="F746" s="13"/>
      <c r="G746" s="13"/>
      <c r="H746" s="53"/>
      <c r="I746" s="298"/>
      <c r="J746" s="21"/>
      <c r="K746" s="21"/>
      <c r="L746" s="13"/>
      <c r="M746" s="50"/>
      <c r="N746" s="97"/>
      <c r="O746" s="50"/>
      <c r="P746" s="50"/>
      <c r="Q746" s="316"/>
      <c r="R746" s="285"/>
      <c r="S746" s="21"/>
      <c r="T746" s="13"/>
      <c r="U746" s="13"/>
      <c r="V746" s="21"/>
      <c r="W746" s="21"/>
      <c r="X746" s="21"/>
      <c r="Y746" s="260"/>
      <c r="Z746" s="177"/>
      <c r="AA746" s="177"/>
      <c r="AB746" s="676"/>
      <c r="AC746" s="64"/>
      <c r="AD746" s="50"/>
      <c r="AE746" s="50"/>
      <c r="AF746" s="19"/>
      <c r="AG746" s="120"/>
      <c r="AH746" s="119"/>
      <c r="AI746" s="1"/>
      <c r="AJ746" s="21"/>
      <c r="AK746" s="21"/>
      <c r="AL746" s="21"/>
      <c r="AM746" s="21"/>
      <c r="AN746" s="21"/>
      <c r="AO746" s="21"/>
    </row>
    <row r="747" spans="1:44" s="308" customFormat="1" x14ac:dyDescent="0.2">
      <c r="A747" s="48"/>
      <c r="C747" s="263"/>
      <c r="D747" s="263"/>
      <c r="E747" s="53"/>
      <c r="F747" s="13"/>
      <c r="G747" s="13"/>
      <c r="H747" s="53"/>
      <c r="I747" s="298"/>
      <c r="J747" s="21"/>
      <c r="K747" s="21"/>
      <c r="L747" s="13"/>
      <c r="M747" s="50"/>
      <c r="N747" s="97"/>
      <c r="O747" s="50"/>
      <c r="P747" s="50"/>
      <c r="Q747" s="316"/>
      <c r="R747" s="285"/>
      <c r="S747" s="21"/>
      <c r="T747" s="13"/>
      <c r="U747" s="13"/>
      <c r="V747" s="21"/>
      <c r="W747" s="21"/>
      <c r="X747" s="21"/>
      <c r="Y747" s="260"/>
      <c r="Z747" s="177"/>
      <c r="AA747" s="177"/>
      <c r="AB747" s="676"/>
      <c r="AC747" s="64"/>
      <c r="AD747" s="50"/>
      <c r="AE747" s="50"/>
      <c r="AF747" s="19"/>
      <c r="AG747" s="120"/>
      <c r="AH747" s="119"/>
      <c r="AI747" s="1"/>
      <c r="AJ747" s="21"/>
      <c r="AK747" s="21"/>
      <c r="AL747" s="21"/>
      <c r="AM747" s="21"/>
      <c r="AN747" s="21"/>
      <c r="AO747" s="21"/>
    </row>
    <row r="748" spans="1:44" s="308" customFormat="1" x14ac:dyDescent="0.2">
      <c r="A748" s="48"/>
      <c r="C748" s="263"/>
      <c r="D748" s="263"/>
      <c r="E748" s="53"/>
      <c r="F748" s="13"/>
      <c r="G748" s="13"/>
      <c r="H748" s="53"/>
      <c r="I748" s="298"/>
      <c r="J748" s="21"/>
      <c r="K748" s="21"/>
      <c r="L748" s="13"/>
      <c r="M748" s="50"/>
      <c r="N748" s="97"/>
      <c r="O748" s="50"/>
      <c r="P748" s="50"/>
      <c r="Q748" s="316"/>
      <c r="R748" s="285"/>
      <c r="S748" s="21"/>
      <c r="T748" s="13"/>
      <c r="U748" s="13"/>
      <c r="V748" s="21"/>
      <c r="W748" s="21"/>
      <c r="X748" s="21"/>
      <c r="Y748" s="260"/>
      <c r="Z748" s="177"/>
      <c r="AA748" s="177"/>
      <c r="AB748" s="676"/>
      <c r="AC748" s="64"/>
      <c r="AD748" s="50"/>
      <c r="AE748" s="50"/>
      <c r="AF748" s="19"/>
      <c r="AG748" s="120"/>
      <c r="AH748" s="119"/>
      <c r="AI748" s="1"/>
      <c r="AJ748" s="21"/>
      <c r="AK748" s="21"/>
      <c r="AL748" s="21"/>
      <c r="AM748" s="21"/>
      <c r="AN748" s="21"/>
      <c r="AO748" s="21"/>
    </row>
    <row r="749" spans="1:44" s="308" customFormat="1" x14ac:dyDescent="0.2">
      <c r="A749" s="48"/>
      <c r="C749" s="263"/>
      <c r="D749" s="263"/>
      <c r="E749" s="53"/>
      <c r="F749" s="13"/>
      <c r="G749" s="13"/>
      <c r="H749" s="53"/>
      <c r="I749" s="298"/>
      <c r="J749" s="21"/>
      <c r="K749" s="21"/>
      <c r="L749" s="13"/>
      <c r="M749" s="50"/>
      <c r="N749" s="97"/>
      <c r="O749" s="50"/>
      <c r="P749" s="50"/>
      <c r="Q749" s="316"/>
      <c r="R749" s="285"/>
      <c r="S749" s="21"/>
      <c r="T749" s="13"/>
      <c r="U749" s="13"/>
      <c r="V749" s="21"/>
      <c r="W749" s="21"/>
      <c r="X749" s="21"/>
      <c r="Y749" s="260"/>
      <c r="Z749" s="177"/>
      <c r="AA749" s="177"/>
      <c r="AB749" s="676"/>
      <c r="AC749" s="64"/>
      <c r="AD749" s="50"/>
      <c r="AE749" s="50"/>
      <c r="AF749" s="19"/>
      <c r="AG749" s="120"/>
      <c r="AH749" s="119"/>
      <c r="AI749" s="1"/>
      <c r="AJ749" s="21"/>
      <c r="AK749" s="21"/>
      <c r="AL749" s="21"/>
      <c r="AM749" s="21"/>
      <c r="AN749" s="21"/>
      <c r="AO749" s="21"/>
    </row>
    <row r="750" spans="1:44" s="308" customFormat="1" x14ac:dyDescent="0.2">
      <c r="A750" s="48"/>
      <c r="C750" s="263"/>
      <c r="D750" s="263"/>
      <c r="E750" s="53"/>
      <c r="F750" s="13"/>
      <c r="G750" s="13"/>
      <c r="H750" s="53"/>
      <c r="I750" s="298"/>
      <c r="J750" s="21"/>
      <c r="K750" s="21"/>
      <c r="L750" s="13"/>
      <c r="M750" s="50"/>
      <c r="N750" s="97"/>
      <c r="O750" s="50"/>
      <c r="P750" s="50"/>
      <c r="Q750" s="316"/>
      <c r="R750" s="285"/>
      <c r="S750" s="21"/>
      <c r="T750" s="13"/>
      <c r="U750" s="13"/>
      <c r="V750" s="21"/>
      <c r="W750" s="21"/>
      <c r="X750" s="21"/>
      <c r="Y750" s="260"/>
      <c r="Z750" s="177"/>
      <c r="AA750" s="177"/>
      <c r="AB750" s="676"/>
      <c r="AC750" s="64"/>
      <c r="AD750" s="50"/>
      <c r="AE750" s="50"/>
      <c r="AF750" s="19"/>
      <c r="AG750" s="120"/>
      <c r="AH750" s="119"/>
      <c r="AI750" s="1"/>
      <c r="AJ750" s="21"/>
      <c r="AK750" s="21"/>
      <c r="AL750" s="21"/>
      <c r="AM750" s="21"/>
      <c r="AN750" s="21"/>
      <c r="AO750" s="21"/>
    </row>
    <row r="751" spans="1:44" s="308" customFormat="1" x14ac:dyDescent="0.2">
      <c r="A751" s="48"/>
      <c r="C751" s="263"/>
      <c r="D751" s="263"/>
      <c r="E751" s="53"/>
      <c r="F751" s="13"/>
      <c r="G751" s="13"/>
      <c r="H751" s="53"/>
      <c r="I751" s="298"/>
      <c r="J751" s="21"/>
      <c r="K751" s="21"/>
      <c r="L751" s="13"/>
      <c r="M751" s="50"/>
      <c r="N751" s="97"/>
      <c r="O751" s="50"/>
      <c r="P751" s="50"/>
      <c r="Q751" s="316"/>
      <c r="R751" s="285"/>
      <c r="S751" s="21"/>
      <c r="T751" s="13"/>
      <c r="U751" s="13"/>
      <c r="V751" s="21"/>
      <c r="W751" s="21"/>
      <c r="X751" s="21"/>
      <c r="Y751" s="260"/>
      <c r="Z751" s="177"/>
      <c r="AA751" s="177"/>
      <c r="AB751" s="676"/>
      <c r="AC751" s="64"/>
      <c r="AD751" s="50"/>
      <c r="AE751" s="50"/>
      <c r="AF751" s="19"/>
      <c r="AG751" s="120"/>
      <c r="AH751" s="119"/>
      <c r="AI751" s="1"/>
      <c r="AJ751" s="21"/>
      <c r="AK751" s="21"/>
      <c r="AL751" s="21"/>
      <c r="AM751" s="21"/>
      <c r="AN751" s="21"/>
      <c r="AO751" s="21"/>
    </row>
    <row r="752" spans="1:44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316"/>
      <c r="R752" s="285"/>
      <c r="S752" s="21"/>
      <c r="T752" s="13"/>
      <c r="U752" s="13"/>
      <c r="V752" s="21"/>
      <c r="W752" s="21"/>
      <c r="X752" s="21"/>
      <c r="Y752" s="260"/>
      <c r="Z752" s="177"/>
      <c r="AA752" s="177"/>
      <c r="AB752" s="676"/>
      <c r="AC752" s="64"/>
      <c r="AD752" s="50"/>
      <c r="AE752" s="50"/>
      <c r="AF752" s="19"/>
      <c r="AG752" s="120"/>
      <c r="AH752" s="119"/>
      <c r="AI752" s="1"/>
      <c r="AJ752" s="21"/>
      <c r="AK752" s="21"/>
      <c r="AL752" s="21"/>
      <c r="AM752" s="21"/>
      <c r="AN752" s="21"/>
      <c r="AO752" s="21"/>
    </row>
    <row r="753" spans="1:41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316"/>
      <c r="R753" s="285"/>
      <c r="S753" s="21"/>
      <c r="T753" s="13"/>
      <c r="U753" s="13"/>
      <c r="V753" s="21"/>
      <c r="W753" s="21"/>
      <c r="X753" s="21"/>
      <c r="Y753" s="260"/>
      <c r="Z753" s="177"/>
      <c r="AA753" s="177"/>
      <c r="AB753" s="676"/>
      <c r="AC753" s="64"/>
      <c r="AD753" s="50"/>
      <c r="AE753" s="50"/>
      <c r="AF753" s="19"/>
      <c r="AG753" s="120"/>
      <c r="AH753" s="119"/>
      <c r="AI753" s="1"/>
      <c r="AJ753" s="21"/>
      <c r="AK753" s="21"/>
      <c r="AL753" s="21"/>
      <c r="AM753" s="21"/>
      <c r="AN753" s="21"/>
      <c r="AO753" s="21"/>
    </row>
    <row r="754" spans="1:41" s="308" customFormat="1" x14ac:dyDescent="0.2">
      <c r="A754" s="48"/>
      <c r="C754" s="263"/>
      <c r="D754" s="263"/>
      <c r="E754" s="53"/>
      <c r="F754" s="13"/>
      <c r="G754" s="13"/>
      <c r="H754" s="53"/>
      <c r="I754" s="298"/>
      <c r="J754" s="21"/>
      <c r="K754" s="21"/>
      <c r="L754" s="13"/>
      <c r="M754" s="50"/>
      <c r="N754" s="97"/>
      <c r="O754" s="50"/>
      <c r="P754" s="50"/>
      <c r="Q754" s="316"/>
      <c r="R754" s="285"/>
      <c r="S754" s="21"/>
      <c r="T754" s="13"/>
      <c r="U754" s="13"/>
      <c r="V754" s="21"/>
      <c r="W754" s="21"/>
      <c r="X754" s="21"/>
      <c r="Y754" s="260"/>
      <c r="Z754" s="177"/>
      <c r="AA754" s="177"/>
      <c r="AB754" s="676"/>
      <c r="AC754" s="64"/>
      <c r="AD754" s="50"/>
      <c r="AE754" s="50"/>
      <c r="AF754" s="19"/>
      <c r="AG754" s="120"/>
      <c r="AH754" s="119"/>
      <c r="AI754" s="1"/>
      <c r="AJ754" s="21"/>
      <c r="AK754" s="21"/>
      <c r="AL754" s="21"/>
      <c r="AM754" s="21"/>
      <c r="AN754" s="21"/>
      <c r="AO754" s="21"/>
    </row>
    <row r="755" spans="1:41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6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676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</row>
    <row r="756" spans="1:41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316"/>
      <c r="R756" s="285"/>
      <c r="S756" s="21"/>
      <c r="T756" s="13"/>
      <c r="U756" s="13"/>
      <c r="V756" s="21"/>
      <c r="W756" s="21"/>
      <c r="X756" s="21"/>
      <c r="Y756" s="260"/>
      <c r="Z756" s="177"/>
      <c r="AA756" s="177"/>
      <c r="AB756" s="676"/>
      <c r="AC756" s="64"/>
      <c r="AD756" s="50"/>
      <c r="AE756" s="50"/>
      <c r="AF756" s="19"/>
      <c r="AG756" s="120"/>
      <c r="AH756" s="119"/>
      <c r="AI756" s="1"/>
      <c r="AJ756" s="21"/>
      <c r="AK756" s="21"/>
      <c r="AL756" s="21"/>
      <c r="AM756" s="21"/>
      <c r="AN756" s="21"/>
      <c r="AO756" s="21"/>
    </row>
    <row r="757" spans="1:41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316"/>
      <c r="R757" s="285"/>
      <c r="S757" s="21"/>
      <c r="T757" s="13"/>
      <c r="U757" s="13"/>
      <c r="V757" s="21"/>
      <c r="W757" s="21"/>
      <c r="X757" s="21"/>
      <c r="Y757" s="260"/>
      <c r="Z757" s="177"/>
      <c r="AA757" s="177"/>
      <c r="AB757" s="676"/>
      <c r="AC757" s="64"/>
      <c r="AD757" s="50"/>
      <c r="AE757" s="50"/>
      <c r="AF757" s="19"/>
      <c r="AG757" s="120"/>
      <c r="AH757" s="119"/>
      <c r="AI757" s="1"/>
      <c r="AJ757" s="21"/>
      <c r="AK757" s="21"/>
      <c r="AL757" s="21"/>
      <c r="AM757" s="21"/>
      <c r="AN757" s="21"/>
      <c r="AO757" s="21"/>
    </row>
    <row r="758" spans="1:41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316"/>
      <c r="R758" s="285"/>
      <c r="S758" s="21"/>
      <c r="T758" s="13"/>
      <c r="U758" s="13"/>
      <c r="V758" s="21"/>
      <c r="W758" s="21"/>
      <c r="X758" s="21"/>
      <c r="Y758" s="260"/>
      <c r="Z758" s="177"/>
      <c r="AA758" s="177"/>
      <c r="AB758" s="676"/>
      <c r="AC758" s="64"/>
      <c r="AD758" s="50"/>
      <c r="AE758" s="50"/>
      <c r="AF758" s="19"/>
      <c r="AG758" s="120"/>
      <c r="AH758" s="119"/>
      <c r="AI758" s="1"/>
      <c r="AJ758" s="21"/>
      <c r="AK758" s="21"/>
      <c r="AL758" s="21"/>
      <c r="AM758" s="21"/>
      <c r="AN758" s="21"/>
      <c r="AO758" s="21"/>
    </row>
    <row r="759" spans="1:41" s="308" customFormat="1" x14ac:dyDescent="0.2">
      <c r="A759" s="48"/>
      <c r="C759" s="263"/>
      <c r="D759" s="263"/>
      <c r="E759" s="53"/>
      <c r="F759" s="13"/>
      <c r="G759" s="13"/>
      <c r="H759" s="53"/>
      <c r="I759" s="298"/>
      <c r="J759" s="21"/>
      <c r="K759" s="21"/>
      <c r="L759" s="13"/>
      <c r="M759" s="50"/>
      <c r="N759" s="97"/>
      <c r="O759" s="50"/>
      <c r="P759" s="50"/>
      <c r="Q759" s="316"/>
      <c r="R759" s="285"/>
      <c r="S759" s="21"/>
      <c r="T759" s="13"/>
      <c r="U759" s="13"/>
      <c r="V759" s="21"/>
      <c r="W759" s="21"/>
      <c r="X759" s="21"/>
      <c r="Y759" s="260"/>
      <c r="Z759" s="177"/>
      <c r="AA759" s="177"/>
      <c r="AB759" s="676"/>
      <c r="AC759" s="64"/>
      <c r="AD759" s="50"/>
      <c r="AE759" s="50"/>
      <c r="AF759" s="19"/>
      <c r="AG759" s="120"/>
      <c r="AH759" s="119"/>
      <c r="AI759" s="1"/>
      <c r="AJ759" s="21"/>
      <c r="AK759" s="21"/>
      <c r="AL759" s="21"/>
      <c r="AM759" s="21"/>
      <c r="AN759" s="21"/>
      <c r="AO759" s="21"/>
    </row>
    <row r="760" spans="1:41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316"/>
      <c r="R760" s="285"/>
      <c r="S760" s="21"/>
      <c r="T760" s="13"/>
      <c r="U760" s="13"/>
      <c r="V760" s="21"/>
      <c r="W760" s="21"/>
      <c r="X760" s="21"/>
      <c r="Y760" s="260"/>
      <c r="Z760" s="177"/>
      <c r="AA760" s="177"/>
      <c r="AB760" s="676"/>
      <c r="AC760" s="64"/>
      <c r="AD760" s="50"/>
      <c r="AE760" s="50"/>
      <c r="AF760" s="19"/>
      <c r="AG760" s="120"/>
      <c r="AH760" s="119"/>
      <c r="AI760" s="1"/>
      <c r="AJ760" s="21"/>
      <c r="AK760" s="21"/>
      <c r="AL760" s="21"/>
      <c r="AM760" s="21"/>
      <c r="AN760" s="21"/>
      <c r="AO760" s="21"/>
    </row>
    <row r="761" spans="1:41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316"/>
      <c r="R761" s="285"/>
      <c r="S761" s="21"/>
      <c r="T761" s="13"/>
      <c r="U761" s="13"/>
      <c r="V761" s="21"/>
      <c r="W761" s="21"/>
      <c r="X761" s="21"/>
      <c r="Y761" s="260"/>
      <c r="Z761" s="177"/>
      <c r="AA761" s="177"/>
      <c r="AB761" s="676"/>
      <c r="AC761" s="64"/>
      <c r="AD761" s="50"/>
      <c r="AE761" s="50"/>
      <c r="AF761" s="19"/>
      <c r="AG761" s="120"/>
      <c r="AH761" s="119"/>
      <c r="AI761" s="1"/>
      <c r="AJ761" s="21"/>
      <c r="AK761" s="21"/>
      <c r="AL761" s="21"/>
      <c r="AM761" s="21"/>
      <c r="AN761" s="21"/>
      <c r="AO761" s="21"/>
    </row>
    <row r="762" spans="1:41" s="308" customFormat="1" x14ac:dyDescent="0.2">
      <c r="A762" s="48"/>
      <c r="C762" s="263"/>
      <c r="D762" s="263"/>
      <c r="E762" s="53"/>
      <c r="F762" s="13"/>
      <c r="G762" s="13"/>
      <c r="H762" s="53"/>
      <c r="I762" s="298"/>
      <c r="J762" s="21"/>
      <c r="K762" s="21"/>
      <c r="L762" s="13"/>
      <c r="M762" s="50"/>
      <c r="N762" s="97"/>
      <c r="O762" s="50"/>
      <c r="P762" s="50"/>
      <c r="Q762" s="316"/>
      <c r="R762" s="285"/>
      <c r="S762" s="21"/>
      <c r="T762" s="13"/>
      <c r="U762" s="13"/>
      <c r="V762" s="21"/>
      <c r="W762" s="21"/>
      <c r="X762" s="21"/>
      <c r="Y762" s="260"/>
      <c r="Z762" s="177"/>
      <c r="AA762" s="177"/>
      <c r="AB762" s="676"/>
      <c r="AC762" s="64"/>
      <c r="AD762" s="50"/>
      <c r="AE762" s="50"/>
      <c r="AF762" s="19"/>
      <c r="AG762" s="120"/>
      <c r="AH762" s="119"/>
      <c r="AI762" s="1"/>
      <c r="AJ762" s="21"/>
      <c r="AK762" s="21"/>
      <c r="AL762" s="21"/>
      <c r="AM762" s="21"/>
      <c r="AN762" s="21"/>
      <c r="AO762" s="21"/>
    </row>
    <row r="763" spans="1:41" s="308" customFormat="1" x14ac:dyDescent="0.2">
      <c r="A763" s="48"/>
      <c r="C763" s="263"/>
      <c r="D763" s="263"/>
      <c r="E763" s="53"/>
      <c r="F763" s="13"/>
      <c r="G763" s="13"/>
      <c r="H763" s="53"/>
      <c r="I763" s="298"/>
      <c r="J763" s="21"/>
      <c r="K763" s="21"/>
      <c r="L763" s="13"/>
      <c r="M763" s="50"/>
      <c r="N763" s="97"/>
      <c r="O763" s="50"/>
      <c r="P763" s="50"/>
      <c r="Q763" s="316"/>
      <c r="R763" s="285"/>
      <c r="S763" s="21"/>
      <c r="T763" s="13"/>
      <c r="U763" s="13"/>
      <c r="V763" s="21"/>
      <c r="W763" s="21"/>
      <c r="X763" s="21"/>
      <c r="Y763" s="260"/>
      <c r="Z763" s="177"/>
      <c r="AA763" s="177"/>
      <c r="AB763" s="676"/>
      <c r="AC763" s="64"/>
      <c r="AD763" s="50"/>
      <c r="AE763" s="50"/>
      <c r="AF763" s="19"/>
      <c r="AG763" s="120"/>
      <c r="AH763" s="119"/>
      <c r="AI763" s="1"/>
      <c r="AJ763" s="21"/>
      <c r="AK763" s="21"/>
      <c r="AL763" s="21"/>
      <c r="AM763" s="21"/>
      <c r="AN763" s="21"/>
      <c r="AO763" s="21"/>
    </row>
    <row r="764" spans="1:41" s="308" customFormat="1" x14ac:dyDescent="0.2">
      <c r="A764" s="48"/>
      <c r="C764" s="263"/>
      <c r="D764" s="263"/>
      <c r="E764" s="53"/>
      <c r="F764" s="13"/>
      <c r="G764" s="13"/>
      <c r="H764" s="53"/>
      <c r="I764" s="298"/>
      <c r="J764" s="21"/>
      <c r="K764" s="21"/>
      <c r="L764" s="13"/>
      <c r="M764" s="50"/>
      <c r="N764" s="97"/>
      <c r="O764" s="50"/>
      <c r="P764" s="50"/>
      <c r="Q764" s="316"/>
      <c r="R764" s="285"/>
      <c r="S764" s="21"/>
      <c r="T764" s="13"/>
      <c r="U764" s="13"/>
      <c r="V764" s="21"/>
      <c r="W764" s="21"/>
      <c r="X764" s="21"/>
      <c r="Y764" s="260"/>
      <c r="Z764" s="177"/>
      <c r="AA764" s="177"/>
      <c r="AB764" s="676"/>
      <c r="AC764" s="64"/>
      <c r="AD764" s="50"/>
      <c r="AE764" s="50"/>
      <c r="AF764" s="19"/>
      <c r="AG764" s="120"/>
      <c r="AH764" s="119"/>
      <c r="AI764" s="1"/>
      <c r="AJ764" s="21"/>
      <c r="AK764" s="21"/>
      <c r="AL764" s="21"/>
      <c r="AM764" s="21"/>
      <c r="AN764" s="21"/>
      <c r="AO764" s="21"/>
    </row>
    <row r="765" spans="1:41" s="308" customFormat="1" x14ac:dyDescent="0.2">
      <c r="A765" s="48"/>
      <c r="C765" s="263"/>
      <c r="D765" s="263"/>
      <c r="E765" s="53"/>
      <c r="F765" s="13"/>
      <c r="G765" s="13"/>
      <c r="H765" s="53"/>
      <c r="I765" s="298"/>
      <c r="J765" s="21"/>
      <c r="K765" s="21"/>
      <c r="L765" s="13"/>
      <c r="M765" s="50"/>
      <c r="N765" s="97"/>
      <c r="O765" s="50"/>
      <c r="P765" s="50"/>
      <c r="Q765" s="316"/>
      <c r="R765" s="285"/>
      <c r="S765" s="21"/>
      <c r="T765" s="13"/>
      <c r="U765" s="13"/>
      <c r="V765" s="21"/>
      <c r="W765" s="21"/>
      <c r="X765" s="21"/>
      <c r="Y765" s="260"/>
      <c r="Z765" s="177"/>
      <c r="AA765" s="177"/>
      <c r="AB765" s="676"/>
      <c r="AC765" s="64"/>
      <c r="AD765" s="50"/>
      <c r="AE765" s="50"/>
      <c r="AF765" s="19"/>
      <c r="AG765" s="120"/>
      <c r="AH765" s="119"/>
      <c r="AI765" s="1"/>
      <c r="AJ765" s="21"/>
      <c r="AK765" s="21"/>
      <c r="AL765" s="21"/>
      <c r="AM765" s="21"/>
      <c r="AN765" s="21"/>
      <c r="AO765" s="21"/>
    </row>
    <row r="766" spans="1:41" s="308" customFormat="1" x14ac:dyDescent="0.2">
      <c r="A766" s="48"/>
      <c r="C766" s="263"/>
      <c r="D766" s="263"/>
      <c r="E766" s="53"/>
      <c r="F766" s="13"/>
      <c r="G766" s="13"/>
      <c r="H766" s="53"/>
      <c r="I766" s="298"/>
      <c r="J766" s="21"/>
      <c r="K766" s="21"/>
      <c r="L766" s="13"/>
      <c r="M766" s="50"/>
      <c r="N766" s="97"/>
      <c r="O766" s="50"/>
      <c r="P766" s="50"/>
      <c r="Q766" s="316"/>
      <c r="R766" s="285"/>
      <c r="S766" s="21"/>
      <c r="T766" s="13"/>
      <c r="U766" s="13"/>
      <c r="V766" s="21"/>
      <c r="W766" s="21"/>
      <c r="X766" s="21"/>
      <c r="Y766" s="260"/>
      <c r="Z766" s="177"/>
      <c r="AA766" s="177"/>
      <c r="AB766" s="676"/>
      <c r="AC766" s="64"/>
      <c r="AD766" s="50"/>
      <c r="AE766" s="50"/>
      <c r="AF766" s="19"/>
      <c r="AG766" s="120"/>
      <c r="AH766" s="119"/>
      <c r="AI766" s="1"/>
      <c r="AJ766" s="21"/>
      <c r="AK766" s="21"/>
      <c r="AL766" s="21"/>
      <c r="AM766" s="21"/>
      <c r="AN766" s="21"/>
      <c r="AO766" s="21"/>
    </row>
    <row r="767" spans="1:41" s="308" customFormat="1" x14ac:dyDescent="0.2">
      <c r="A767" s="48"/>
      <c r="C767" s="263"/>
      <c r="D767" s="263"/>
      <c r="E767" s="53"/>
      <c r="F767" s="13"/>
      <c r="G767" s="13"/>
      <c r="H767" s="53"/>
      <c r="I767" s="298"/>
      <c r="J767" s="21"/>
      <c r="K767" s="21"/>
      <c r="L767" s="13"/>
      <c r="M767" s="50"/>
      <c r="N767" s="97"/>
      <c r="O767" s="50"/>
      <c r="P767" s="50"/>
      <c r="Q767" s="316"/>
      <c r="R767" s="285"/>
      <c r="S767" s="21"/>
      <c r="T767" s="13"/>
      <c r="U767" s="13"/>
      <c r="V767" s="21"/>
      <c r="W767" s="21"/>
      <c r="X767" s="21"/>
      <c r="Y767" s="260"/>
      <c r="Z767" s="177"/>
      <c r="AA767" s="177"/>
      <c r="AB767" s="676"/>
      <c r="AC767" s="64"/>
      <c r="AD767" s="50"/>
      <c r="AE767" s="50"/>
      <c r="AF767" s="19"/>
      <c r="AG767" s="120"/>
      <c r="AH767" s="119"/>
      <c r="AI767" s="1"/>
      <c r="AJ767" s="21"/>
      <c r="AK767" s="21"/>
      <c r="AL767" s="21"/>
      <c r="AM767" s="21"/>
      <c r="AN767" s="21"/>
      <c r="AO767" s="21"/>
    </row>
    <row r="768" spans="1:41" s="308" customFormat="1" x14ac:dyDescent="0.2">
      <c r="A768" s="48"/>
      <c r="C768" s="263"/>
      <c r="D768" s="263"/>
      <c r="E768" s="53"/>
      <c r="F768" s="13"/>
      <c r="G768" s="13"/>
      <c r="H768" s="53"/>
      <c r="I768" s="298"/>
      <c r="J768" s="21"/>
      <c r="K768" s="21"/>
      <c r="L768" s="13"/>
      <c r="M768" s="50"/>
      <c r="N768" s="97"/>
      <c r="O768" s="50"/>
      <c r="P768" s="50"/>
      <c r="Q768" s="316"/>
      <c r="R768" s="285"/>
      <c r="S768" s="21"/>
      <c r="T768" s="13"/>
      <c r="U768" s="13"/>
      <c r="V768" s="21"/>
      <c r="W768" s="21"/>
      <c r="X768" s="21"/>
      <c r="Y768" s="260"/>
      <c r="Z768" s="177"/>
      <c r="AA768" s="177"/>
      <c r="AB768" s="676"/>
      <c r="AC768" s="64"/>
      <c r="AD768" s="50"/>
      <c r="AE768" s="50"/>
      <c r="AF768" s="19"/>
      <c r="AG768" s="120"/>
      <c r="AH768" s="119"/>
      <c r="AI768" s="1"/>
      <c r="AJ768" s="21"/>
      <c r="AK768" s="21"/>
      <c r="AL768" s="21"/>
      <c r="AM768" s="21"/>
      <c r="AN768" s="21"/>
      <c r="AO768" s="21"/>
    </row>
    <row r="769" spans="1:44" s="308" customFormat="1" x14ac:dyDescent="0.2">
      <c r="A769" s="48"/>
      <c r="C769" s="263"/>
      <c r="D769" s="263"/>
      <c r="E769" s="53"/>
      <c r="F769" s="13"/>
      <c r="G769" s="13"/>
      <c r="H769" s="53"/>
      <c r="I769" s="298"/>
      <c r="J769" s="21"/>
      <c r="K769" s="21"/>
      <c r="L769" s="13"/>
      <c r="M769" s="50"/>
      <c r="N769" s="97"/>
      <c r="O769" s="50"/>
      <c r="P769" s="50"/>
      <c r="Q769" s="316"/>
      <c r="R769" s="285"/>
      <c r="S769" s="21"/>
      <c r="T769" s="13"/>
      <c r="U769" s="13"/>
      <c r="V769" s="21"/>
      <c r="W769" s="21"/>
      <c r="X769" s="21"/>
      <c r="Y769" s="260"/>
      <c r="Z769" s="177"/>
      <c r="AA769" s="177"/>
      <c r="AB769" s="676"/>
      <c r="AC769" s="64"/>
      <c r="AD769" s="50"/>
      <c r="AE769" s="50"/>
      <c r="AF769" s="19"/>
      <c r="AG769" s="120"/>
      <c r="AH769" s="119"/>
      <c r="AI769" s="1"/>
      <c r="AJ769" s="21"/>
      <c r="AK769" s="21"/>
      <c r="AL769" s="21"/>
      <c r="AM769" s="21"/>
      <c r="AN769" s="21"/>
      <c r="AO769" s="21"/>
      <c r="AQ769" s="21"/>
      <c r="AR769" s="21"/>
    </row>
    <row r="770" spans="1:44" s="308" customFormat="1" x14ac:dyDescent="0.2">
      <c r="A770" s="48"/>
      <c r="C770" s="263"/>
      <c r="D770" s="263"/>
      <c r="E770" s="53"/>
      <c r="F770" s="13"/>
      <c r="G770" s="13"/>
      <c r="H770" s="53"/>
      <c r="I770" s="298"/>
      <c r="J770" s="21"/>
      <c r="K770" s="21"/>
      <c r="L770" s="13"/>
      <c r="M770" s="50"/>
      <c r="N770" s="97"/>
      <c r="O770" s="50"/>
      <c r="P770" s="50"/>
      <c r="Q770" s="316"/>
      <c r="R770" s="285"/>
      <c r="S770" s="21"/>
      <c r="T770" s="13"/>
      <c r="U770" s="13"/>
      <c r="V770" s="21"/>
      <c r="W770" s="21"/>
      <c r="X770" s="21"/>
      <c r="Y770" s="260"/>
      <c r="Z770" s="177"/>
      <c r="AA770" s="177"/>
      <c r="AB770" s="676"/>
      <c r="AC770" s="64"/>
      <c r="AD770" s="50"/>
      <c r="AE770" s="50"/>
      <c r="AF770" s="19"/>
      <c r="AG770" s="120"/>
      <c r="AH770" s="119"/>
      <c r="AI770" s="1"/>
      <c r="AJ770" s="21"/>
      <c r="AK770" s="21"/>
      <c r="AL770" s="21"/>
      <c r="AM770" s="21"/>
      <c r="AN770" s="21"/>
      <c r="AO770" s="21"/>
      <c r="AQ770" s="21"/>
      <c r="AR770" s="21"/>
    </row>
    <row r="771" spans="1:44" x14ac:dyDescent="0.2">
      <c r="A771" s="48"/>
      <c r="AP771" s="308"/>
    </row>
    <row r="772" spans="1:44" x14ac:dyDescent="0.2">
      <c r="A772" s="48"/>
      <c r="AP772" s="308"/>
    </row>
    <row r="773" spans="1:44" x14ac:dyDescent="0.2">
      <c r="A773" s="48"/>
      <c r="AP773" s="308"/>
    </row>
    <row r="774" spans="1:44" x14ac:dyDescent="0.2">
      <c r="A774" s="48"/>
      <c r="AP774" s="308"/>
    </row>
    <row r="775" spans="1:44" x14ac:dyDescent="0.2">
      <c r="A775" s="48"/>
      <c r="AP775" s="308"/>
    </row>
    <row r="776" spans="1:44" x14ac:dyDescent="0.2">
      <c r="A776" s="48"/>
      <c r="AP776" s="308"/>
    </row>
    <row r="777" spans="1:44" x14ac:dyDescent="0.2">
      <c r="A777" s="48"/>
      <c r="AP777" s="308"/>
    </row>
    <row r="778" spans="1:44" x14ac:dyDescent="0.2">
      <c r="A778" s="48"/>
      <c r="AP778" s="308"/>
    </row>
    <row r="779" spans="1:44" x14ac:dyDescent="0.2">
      <c r="A779" s="48"/>
      <c r="AP779" s="308"/>
    </row>
    <row r="780" spans="1:44" x14ac:dyDescent="0.2">
      <c r="A780" s="48"/>
      <c r="AP780" s="308"/>
    </row>
    <row r="781" spans="1:44" x14ac:dyDescent="0.2">
      <c r="A781" s="48"/>
      <c r="AP781" s="308"/>
    </row>
    <row r="782" spans="1:44" x14ac:dyDescent="0.2">
      <c r="A782" s="48"/>
    </row>
    <row r="783" spans="1:44" x14ac:dyDescent="0.2">
      <c r="A783" s="48"/>
    </row>
    <row r="784" spans="1:44" x14ac:dyDescent="0.2">
      <c r="A784" s="48"/>
    </row>
    <row r="785" spans="1:42" x14ac:dyDescent="0.2">
      <c r="A785" s="48"/>
    </row>
    <row r="786" spans="1:42" x14ac:dyDescent="0.2">
      <c r="A786" s="48"/>
    </row>
    <row r="787" spans="1:42" x14ac:dyDescent="0.2">
      <c r="A787" s="48"/>
    </row>
    <row r="788" spans="1:42" x14ac:dyDescent="0.2">
      <c r="A788" s="48"/>
    </row>
    <row r="789" spans="1:42" x14ac:dyDescent="0.2">
      <c r="A789" s="48"/>
    </row>
    <row r="790" spans="1:42" x14ac:dyDescent="0.2">
      <c r="A790" s="48"/>
      <c r="AP790" s="308"/>
    </row>
    <row r="791" spans="1:42" x14ac:dyDescent="0.2">
      <c r="A791" s="48"/>
      <c r="AP791" s="308"/>
    </row>
    <row r="792" spans="1:42" x14ac:dyDescent="0.2">
      <c r="A792" s="48"/>
      <c r="AP792" s="308"/>
    </row>
    <row r="793" spans="1:42" x14ac:dyDescent="0.2">
      <c r="A793" s="48"/>
      <c r="AP793" s="308"/>
    </row>
    <row r="794" spans="1:42" x14ac:dyDescent="0.2">
      <c r="A794" s="48"/>
      <c r="AP794" s="308"/>
    </row>
    <row r="795" spans="1:42" x14ac:dyDescent="0.2">
      <c r="A795" s="48"/>
      <c r="AP795" s="308"/>
    </row>
    <row r="796" spans="1:42" x14ac:dyDescent="0.2">
      <c r="A796" s="48"/>
      <c r="AP796" s="308"/>
    </row>
    <row r="797" spans="1:42" x14ac:dyDescent="0.2">
      <c r="A797" s="48"/>
      <c r="AP797" s="308"/>
    </row>
    <row r="798" spans="1:42" x14ac:dyDescent="0.2">
      <c r="A798" s="48"/>
      <c r="AP798" s="308"/>
    </row>
    <row r="799" spans="1:42" x14ac:dyDescent="0.2">
      <c r="A799" s="48"/>
      <c r="AP799" s="308"/>
    </row>
    <row r="800" spans="1:42" x14ac:dyDescent="0.2">
      <c r="A800" s="48"/>
      <c r="AP800" s="308"/>
    </row>
    <row r="801" spans="1:42" x14ac:dyDescent="0.2">
      <c r="A801" s="48"/>
      <c r="AP801" s="308"/>
    </row>
    <row r="802" spans="1:42" x14ac:dyDescent="0.2">
      <c r="A802" s="48"/>
      <c r="AP802" s="308"/>
    </row>
    <row r="803" spans="1:42" x14ac:dyDescent="0.2">
      <c r="A803" s="48"/>
      <c r="AP803" s="308"/>
    </row>
    <row r="804" spans="1:42" x14ac:dyDescent="0.2">
      <c r="A804" s="48"/>
      <c r="AP804" s="308"/>
    </row>
    <row r="805" spans="1:42" x14ac:dyDescent="0.2">
      <c r="A805" s="48"/>
      <c r="AP805" s="308"/>
    </row>
    <row r="806" spans="1:42" x14ac:dyDescent="0.2">
      <c r="A806" s="48"/>
      <c r="AP806" s="308"/>
    </row>
    <row r="807" spans="1:42" x14ac:dyDescent="0.2">
      <c r="A807" s="48"/>
      <c r="AP807" s="308"/>
    </row>
    <row r="808" spans="1:42" x14ac:dyDescent="0.2">
      <c r="A808" s="48"/>
      <c r="AP808" s="308"/>
    </row>
    <row r="809" spans="1:42" x14ac:dyDescent="0.2">
      <c r="A809" s="48"/>
      <c r="AP809" s="308"/>
    </row>
    <row r="810" spans="1:42" x14ac:dyDescent="0.2">
      <c r="A810" s="48"/>
      <c r="AP810" s="308"/>
    </row>
    <row r="811" spans="1:42" x14ac:dyDescent="0.2">
      <c r="A811" s="48"/>
      <c r="AP811" s="308"/>
    </row>
    <row r="812" spans="1:42" x14ac:dyDescent="0.2">
      <c r="A812" s="48"/>
      <c r="AP812" s="308"/>
    </row>
    <row r="813" spans="1:42" x14ac:dyDescent="0.2">
      <c r="A813" s="48"/>
      <c r="AP813" s="308"/>
    </row>
    <row r="814" spans="1:42" x14ac:dyDescent="0.2">
      <c r="A814" s="48"/>
      <c r="AP814" s="308"/>
    </row>
    <row r="815" spans="1:42" x14ac:dyDescent="0.2">
      <c r="A815" s="48"/>
      <c r="AP815" s="308"/>
    </row>
    <row r="816" spans="1:42" x14ac:dyDescent="0.2">
      <c r="A816" s="48"/>
      <c r="AP816" s="308"/>
    </row>
    <row r="817" spans="1:45" x14ac:dyDescent="0.2">
      <c r="A817" s="48"/>
    </row>
    <row r="818" spans="1:45" x14ac:dyDescent="0.2">
      <c r="A818" s="48"/>
    </row>
    <row r="819" spans="1:45" x14ac:dyDescent="0.2">
      <c r="A819" s="48"/>
    </row>
    <row r="820" spans="1:45" s="308" customFormat="1" x14ac:dyDescent="0.2">
      <c r="A820" s="48"/>
      <c r="C820" s="263"/>
      <c r="D820" s="263"/>
      <c r="E820" s="53"/>
      <c r="F820" s="13"/>
      <c r="G820" s="13"/>
      <c r="H820" s="53"/>
      <c r="I820" s="298"/>
      <c r="J820" s="21"/>
      <c r="K820" s="21"/>
      <c r="L820" s="13"/>
      <c r="M820" s="50"/>
      <c r="N820" s="97"/>
      <c r="O820" s="50"/>
      <c r="P820" s="50"/>
      <c r="Q820" s="316"/>
      <c r="R820" s="285"/>
      <c r="S820" s="21"/>
      <c r="T820" s="13"/>
      <c r="U820" s="13"/>
      <c r="V820" s="21"/>
      <c r="W820" s="21"/>
      <c r="X820" s="21"/>
      <c r="Y820" s="260"/>
      <c r="Z820" s="177"/>
      <c r="AA820" s="177"/>
      <c r="AB820" s="676"/>
      <c r="AC820" s="64"/>
      <c r="AD820" s="50"/>
      <c r="AE820" s="50"/>
      <c r="AF820" s="19"/>
      <c r="AG820" s="120"/>
      <c r="AH820" s="119"/>
      <c r="AI820" s="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1:45" s="308" customFormat="1" x14ac:dyDescent="0.2">
      <c r="A821" s="48"/>
      <c r="C821" s="263"/>
      <c r="D821" s="263"/>
      <c r="E821" s="53"/>
      <c r="F821" s="13"/>
      <c r="G821" s="13"/>
      <c r="H821" s="53"/>
      <c r="I821" s="298"/>
      <c r="J821" s="21"/>
      <c r="K821" s="21"/>
      <c r="L821" s="13"/>
      <c r="M821" s="50"/>
      <c r="N821" s="97"/>
      <c r="O821" s="50"/>
      <c r="P821" s="50"/>
      <c r="Q821" s="316"/>
      <c r="R821" s="285"/>
      <c r="S821" s="21"/>
      <c r="T821" s="13"/>
      <c r="U821" s="13"/>
      <c r="V821" s="21"/>
      <c r="W821" s="21"/>
      <c r="X821" s="21"/>
      <c r="Y821" s="260"/>
      <c r="Z821" s="177"/>
      <c r="AA821" s="177"/>
      <c r="AB821" s="676"/>
      <c r="AC821" s="64"/>
      <c r="AD821" s="50"/>
      <c r="AE821" s="50"/>
      <c r="AF821" s="19"/>
      <c r="AG821" s="120"/>
      <c r="AH821" s="119"/>
      <c r="AI821" s="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</sheetData>
  <autoFilter ref="A5:T342">
    <filterColumn colId="3" showButton="0"/>
  </autoFilter>
  <sortState ref="B6:T115">
    <sortCondition ref="C6:C115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O37"/>
  <sheetViews>
    <sheetView zoomScale="85" workbookViewId="0">
      <selection activeCell="D10" sqref="D10"/>
    </sheetView>
  </sheetViews>
  <sheetFormatPr baseColWidth="10" defaultRowHeight="12.75" x14ac:dyDescent="0.2"/>
  <cols>
    <col min="1" max="1" width="11.7109375" bestFit="1" customWidth="1"/>
    <col min="2" max="2" width="14" customWidth="1"/>
    <col min="3" max="3" width="11.5703125" bestFit="1" customWidth="1"/>
    <col min="4" max="4" width="11.7109375" bestFit="1" customWidth="1"/>
    <col min="5" max="5" width="3.5703125" customWidth="1"/>
    <col min="6" max="8" width="13.140625" bestFit="1" customWidth="1"/>
    <col min="9" max="9" width="11.7109375" bestFit="1" customWidth="1"/>
    <col min="10" max="10" width="3.42578125" customWidth="1"/>
    <col min="11" max="11" width="13.140625" bestFit="1" customWidth="1"/>
    <col min="13" max="15" width="11.5703125" bestFit="1" customWidth="1"/>
  </cols>
  <sheetData>
    <row r="1" spans="1:15" x14ac:dyDescent="0.2">
      <c r="A1" s="114" t="s">
        <v>411</v>
      </c>
    </row>
    <row r="3" spans="1:15" x14ac:dyDescent="0.2">
      <c r="A3" s="72"/>
      <c r="B3" s="72"/>
      <c r="C3" s="72"/>
      <c r="D3" s="72" t="s">
        <v>157</v>
      </c>
    </row>
    <row r="4" spans="1:15" x14ac:dyDescent="0.2">
      <c r="A4" s="72"/>
      <c r="B4" s="72"/>
      <c r="C4" s="72"/>
      <c r="D4" s="72" t="s">
        <v>158</v>
      </c>
    </row>
    <row r="5" spans="1:15" x14ac:dyDescent="0.2">
      <c r="A5" s="72" t="s">
        <v>159</v>
      </c>
      <c r="B5" s="72" t="s">
        <v>159</v>
      </c>
      <c r="C5" s="72" t="s">
        <v>160</v>
      </c>
      <c r="D5" s="72" t="s">
        <v>161</v>
      </c>
      <c r="H5" t="s">
        <v>305</v>
      </c>
      <c r="I5" t="s">
        <v>305</v>
      </c>
      <c r="M5" t="s">
        <v>305</v>
      </c>
      <c r="N5" t="s">
        <v>305</v>
      </c>
    </row>
    <row r="6" spans="1:15" x14ac:dyDescent="0.2">
      <c r="A6" s="72" t="s">
        <v>162</v>
      </c>
      <c r="B6" s="72" t="s">
        <v>163</v>
      </c>
      <c r="C6" s="72" t="s">
        <v>164</v>
      </c>
      <c r="D6" s="72" t="s">
        <v>165</v>
      </c>
      <c r="G6" s="73" t="s">
        <v>303</v>
      </c>
      <c r="H6" t="s">
        <v>166</v>
      </c>
      <c r="I6" t="s">
        <v>381</v>
      </c>
      <c r="L6" s="73" t="s">
        <v>380</v>
      </c>
      <c r="M6" t="s">
        <v>166</v>
      </c>
      <c r="N6" t="s">
        <v>381</v>
      </c>
    </row>
    <row r="8" spans="1:15" x14ac:dyDescent="0.2">
      <c r="G8">
        <f>+G9/2</f>
        <v>2068.1399000000001</v>
      </c>
    </row>
    <row r="9" spans="1:15" x14ac:dyDescent="0.2">
      <c r="A9" s="74">
        <v>0.01</v>
      </c>
      <c r="B9" s="74">
        <v>246423.65</v>
      </c>
      <c r="C9" s="74">
        <v>0</v>
      </c>
      <c r="D9" s="75">
        <v>0.02</v>
      </c>
      <c r="E9" s="74"/>
      <c r="F9" s="286">
        <v>206814</v>
      </c>
      <c r="G9" s="74">
        <f>((+$F$9-$A$9)*$D$9)+$C$9</f>
        <v>4136.2798000000003</v>
      </c>
      <c r="H9" s="76">
        <f>F9+G9</f>
        <v>210950.27979999999</v>
      </c>
      <c r="I9" s="76">
        <f t="shared" ref="I9:I14" si="0">H9*1.16</f>
        <v>244702.32456799998</v>
      </c>
      <c r="K9" s="74"/>
      <c r="L9" s="74">
        <f>(((+F9-A9)*D9)+C9)*50%</f>
        <v>2068.1399000000001</v>
      </c>
      <c r="M9" s="76">
        <f>K9+L9</f>
        <v>2068.1399000000001</v>
      </c>
      <c r="N9" s="76">
        <f>M9*1.15</f>
        <v>2378.3608850000001</v>
      </c>
    </row>
    <row r="10" spans="1:15" x14ac:dyDescent="0.2">
      <c r="A10" s="74">
        <v>246423.66</v>
      </c>
      <c r="B10" s="74">
        <v>295708.33</v>
      </c>
      <c r="C10" s="74">
        <v>4928.3900000000003</v>
      </c>
      <c r="D10" s="75">
        <v>0.05</v>
      </c>
      <c r="E10" s="74"/>
      <c r="F10" s="286">
        <v>284791.17</v>
      </c>
      <c r="G10" s="168">
        <f>((+F10-A10)*D10)+C10</f>
        <v>6846.7654999999995</v>
      </c>
      <c r="H10" s="287">
        <f>F10+G10</f>
        <v>291637.93549999996</v>
      </c>
      <c r="I10" s="76">
        <f t="shared" si="0"/>
        <v>338300.00517999992</v>
      </c>
      <c r="J10" s="169"/>
      <c r="K10" s="173">
        <f>+M10-L10</f>
        <v>288214.55274999997</v>
      </c>
      <c r="L10" s="74">
        <f>(((+F10-A10)*D10)+C10)*50%</f>
        <v>3423.3827499999998</v>
      </c>
      <c r="M10" s="77">
        <f>+N10/1.16</f>
        <v>291637.93549999996</v>
      </c>
      <c r="N10" s="77">
        <f>+I10</f>
        <v>338300.00517999992</v>
      </c>
      <c r="O10" s="86"/>
    </row>
    <row r="11" spans="1:15" x14ac:dyDescent="0.2">
      <c r="A11" s="74">
        <v>295708.34000000003</v>
      </c>
      <c r="B11" s="74">
        <v>344993.2</v>
      </c>
      <c r="C11" s="74">
        <v>7392.74</v>
      </c>
      <c r="D11" s="75">
        <v>0.1</v>
      </c>
      <c r="E11" s="74"/>
      <c r="F11" s="286">
        <v>295788.86</v>
      </c>
      <c r="G11" s="171">
        <f>((+F11-A11)*D11)+C11</f>
        <v>7400.7919999999958</v>
      </c>
      <c r="H11" s="172">
        <f>F11+G11</f>
        <v>303189.652</v>
      </c>
      <c r="I11" s="76">
        <f t="shared" si="0"/>
        <v>351699.99631999998</v>
      </c>
      <c r="J11" s="169"/>
      <c r="K11" s="170"/>
      <c r="L11" s="74">
        <f>(((+F11-A11)*D11)+C11)*50%</f>
        <v>3700.3959999999979</v>
      </c>
      <c r="M11" s="76">
        <f>K11+L11</f>
        <v>3700.3959999999979</v>
      </c>
      <c r="N11" s="76">
        <f>M11*1.15</f>
        <v>4255.4553999999971</v>
      </c>
      <c r="O11" s="86">
        <v>223840</v>
      </c>
    </row>
    <row r="12" spans="1:15" x14ac:dyDescent="0.2">
      <c r="A12" s="74">
        <v>344993.21</v>
      </c>
      <c r="B12" s="74">
        <v>443562.39</v>
      </c>
      <c r="C12" s="74">
        <v>12321.2</v>
      </c>
      <c r="D12" s="75">
        <v>0.15</v>
      </c>
      <c r="E12" s="74"/>
      <c r="F12" s="295">
        <v>401301.52</v>
      </c>
      <c r="G12" s="168">
        <f>((+F12-A12)*D12)+C12</f>
        <v>20767.446499999998</v>
      </c>
      <c r="H12" s="287">
        <f>F12+G12</f>
        <v>422068.96650000004</v>
      </c>
      <c r="I12" s="76">
        <f t="shared" si="0"/>
        <v>489600.00114000001</v>
      </c>
      <c r="J12" s="169"/>
      <c r="K12" s="173"/>
      <c r="L12" s="74">
        <f>(((+F12-A12)*D12)+C12)*50%</f>
        <v>10383.723249999999</v>
      </c>
      <c r="M12" s="76">
        <f>K12+L12</f>
        <v>10383.723249999999</v>
      </c>
      <c r="N12" s="76">
        <f>M12*1.15</f>
        <v>11941.281737499998</v>
      </c>
    </row>
    <row r="13" spans="1:15" x14ac:dyDescent="0.2">
      <c r="A13" s="74">
        <v>443562.4</v>
      </c>
      <c r="B13" s="78">
        <v>9999999.9900000002</v>
      </c>
      <c r="C13" s="74">
        <v>27106.55</v>
      </c>
      <c r="D13" s="75">
        <v>0.17</v>
      </c>
      <c r="E13" s="78"/>
      <c r="F13" s="294">
        <v>501125.04</v>
      </c>
      <c r="G13" s="171">
        <f>((+F13-A13)*D13)+C13</f>
        <v>36892.198799999991</v>
      </c>
      <c r="H13" s="172">
        <f>F13+G13</f>
        <v>538017.23879999993</v>
      </c>
      <c r="I13" s="76">
        <f t="shared" si="0"/>
        <v>624099.99700799992</v>
      </c>
      <c r="J13" s="169"/>
      <c r="K13" s="174"/>
      <c r="L13" s="74">
        <f>(((+F13-A13)*D13)+C13)*50%</f>
        <v>18446.099399999996</v>
      </c>
      <c r="M13" s="76">
        <f>K13+L13</f>
        <v>18446.099399999996</v>
      </c>
      <c r="N13" s="76">
        <f>M13*1.15</f>
        <v>21213.014309999991</v>
      </c>
    </row>
    <row r="14" spans="1:15" x14ac:dyDescent="0.2">
      <c r="A14" s="74"/>
      <c r="B14" s="74"/>
      <c r="C14" s="74"/>
      <c r="D14" s="74"/>
      <c r="E14" s="74"/>
      <c r="F14" s="78"/>
      <c r="G14" s="74"/>
      <c r="H14" s="148"/>
      <c r="I14" s="76">
        <f t="shared" si="0"/>
        <v>0</v>
      </c>
    </row>
    <row r="15" spans="1:15" x14ac:dyDescent="0.2">
      <c r="F15" s="148"/>
      <c r="G15" s="74"/>
      <c r="H15" s="148"/>
    </row>
    <row r="16" spans="1:15" x14ac:dyDescent="0.2">
      <c r="A16" s="33" t="s">
        <v>406</v>
      </c>
    </row>
    <row r="17" spans="1:11" x14ac:dyDescent="0.2">
      <c r="A17" s="33" t="s">
        <v>407</v>
      </c>
    </row>
    <row r="18" spans="1:11" x14ac:dyDescent="0.2">
      <c r="A18" s="33" t="s">
        <v>408</v>
      </c>
      <c r="G18" s="86">
        <v>351700</v>
      </c>
      <c r="H18" s="86"/>
    </row>
    <row r="19" spans="1:11" x14ac:dyDescent="0.2">
      <c r="A19" s="33" t="s">
        <v>409</v>
      </c>
      <c r="H19" s="86"/>
    </row>
    <row r="20" spans="1:11" x14ac:dyDescent="0.2">
      <c r="H20" s="148"/>
    </row>
    <row r="21" spans="1:11" x14ac:dyDescent="0.2">
      <c r="F21" s="86"/>
      <c r="G21" t="s">
        <v>175</v>
      </c>
      <c r="H21" s="86">
        <v>572594</v>
      </c>
      <c r="I21" s="86">
        <f>+H24-H23-I22</f>
        <v>586908.85</v>
      </c>
      <c r="K21" s="148">
        <f>+H21-553904</f>
        <v>18690</v>
      </c>
    </row>
    <row r="22" spans="1:11" x14ac:dyDescent="0.2">
      <c r="F22" s="86"/>
      <c r="G22" t="s">
        <v>176</v>
      </c>
      <c r="H22" s="86">
        <f>(+H21*5%)</f>
        <v>28629.7</v>
      </c>
      <c r="I22" s="86">
        <f>+H22/2</f>
        <v>14314.85</v>
      </c>
      <c r="K22">
        <f>+K21*0.07</f>
        <v>1308.3000000000002</v>
      </c>
    </row>
    <row r="23" spans="1:11" x14ac:dyDescent="0.2">
      <c r="F23" s="86"/>
      <c r="G23" t="s">
        <v>177</v>
      </c>
      <c r="H23" s="86">
        <f>(H21+H22)*0.16</f>
        <v>96195.792000000001</v>
      </c>
      <c r="I23" s="86">
        <f>(I21+I22)*0.16</f>
        <v>96195.792000000001</v>
      </c>
    </row>
    <row r="24" spans="1:11" x14ac:dyDescent="0.2">
      <c r="B24" s="86">
        <f>+B26/1.05</f>
        <v>708210.18062397384</v>
      </c>
      <c r="C24" s="86"/>
      <c r="F24" s="86"/>
      <c r="G24" s="114" t="s">
        <v>178</v>
      </c>
      <c r="H24" s="115">
        <f>SUM(H21:H23)</f>
        <v>697419.49199999997</v>
      </c>
      <c r="I24" s="115">
        <f>SUM(I21:I23)</f>
        <v>697419.49199999997</v>
      </c>
    </row>
    <row r="25" spans="1:11" x14ac:dyDescent="0.2">
      <c r="A25" s="311">
        <v>0.05</v>
      </c>
      <c r="B25" s="86">
        <f>(B26/1.05)*0.05</f>
        <v>35410.509031198693</v>
      </c>
      <c r="C25" s="86" t="e">
        <f>+B25-#REF!</f>
        <v>#REF!</v>
      </c>
    </row>
    <row r="26" spans="1:11" x14ac:dyDescent="0.2">
      <c r="B26" s="115">
        <f>+B28/1.16</f>
        <v>743620.68965517252</v>
      </c>
      <c r="C26" s="86"/>
      <c r="F26" s="86"/>
      <c r="G26" t="s">
        <v>179</v>
      </c>
      <c r="H26" s="290">
        <v>206953.38</v>
      </c>
    </row>
    <row r="27" spans="1:11" x14ac:dyDescent="0.2">
      <c r="A27" s="311">
        <v>0.16</v>
      </c>
      <c r="B27" s="86">
        <f>+B28/1.16*0.16</f>
        <v>118979.31034482761</v>
      </c>
      <c r="C27" s="86"/>
      <c r="F27" s="86"/>
      <c r="G27" s="114" t="s">
        <v>180</v>
      </c>
      <c r="H27" s="115">
        <f>+H21-H26</f>
        <v>365640.62</v>
      </c>
    </row>
    <row r="28" spans="1:11" x14ac:dyDescent="0.2">
      <c r="B28" s="295">
        <v>862600</v>
      </c>
      <c r="C28" s="86"/>
      <c r="D28" s="329">
        <v>862600</v>
      </c>
      <c r="F28" s="86"/>
    </row>
    <row r="29" spans="1:11" x14ac:dyDescent="0.2">
      <c r="F29" s="86"/>
    </row>
    <row r="30" spans="1:11" x14ac:dyDescent="0.2">
      <c r="F30" s="86"/>
      <c r="H30" s="86">
        <v>252000</v>
      </c>
    </row>
    <row r="31" spans="1:11" x14ac:dyDescent="0.2">
      <c r="F31" s="86">
        <v>240000.83</v>
      </c>
      <c r="G31">
        <v>4826.7519999999986</v>
      </c>
      <c r="H31" s="86">
        <f>+H30/1.16</f>
        <v>217241.37931034484</v>
      </c>
    </row>
    <row r="32" spans="1:11" x14ac:dyDescent="0.2">
      <c r="F32" s="86">
        <f>+F31+G32</f>
        <v>242414.20599999998</v>
      </c>
      <c r="G32">
        <f>+G31/2</f>
        <v>2413.3759999999993</v>
      </c>
    </row>
    <row r="33" spans="6:8" x14ac:dyDescent="0.2">
      <c r="F33" s="86">
        <f>(F32+G32)*1.16</f>
        <v>283999.99511999992</v>
      </c>
      <c r="H33" s="86">
        <f>743620.69-66915.79</f>
        <v>676704.89999999991</v>
      </c>
    </row>
    <row r="34" spans="6:8" x14ac:dyDescent="0.2">
      <c r="H34" s="86">
        <v>66915.789999999994</v>
      </c>
    </row>
    <row r="35" spans="6:8" x14ac:dyDescent="0.2">
      <c r="H35" s="86">
        <f>SUM(H33:H34)</f>
        <v>743620.69</v>
      </c>
    </row>
    <row r="36" spans="6:8" x14ac:dyDescent="0.2">
      <c r="H36" s="86">
        <f>+H35*0.16</f>
        <v>118979.31039999999</v>
      </c>
    </row>
    <row r="37" spans="6:8" x14ac:dyDescent="0.2">
      <c r="H37" s="148">
        <f>+H35+H36</f>
        <v>862600.0003999999</v>
      </c>
    </row>
  </sheetData>
  <phoneticPr fontId="0" type="noConversion"/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P414"/>
  <sheetViews>
    <sheetView workbookViewId="0">
      <selection activeCell="I19" sqref="I19"/>
    </sheetView>
  </sheetViews>
  <sheetFormatPr baseColWidth="10" defaultRowHeight="12.75" x14ac:dyDescent="0.2"/>
  <cols>
    <col min="1" max="1" width="3" style="535" bestFit="1" customWidth="1"/>
    <col min="2" max="2" width="23.42578125" style="535" customWidth="1"/>
    <col min="3" max="3" width="4" style="535" bestFit="1" customWidth="1"/>
    <col min="4" max="6" width="13.85546875" style="535" bestFit="1" customWidth="1"/>
    <col min="7" max="7" width="4.42578125" style="535" bestFit="1" customWidth="1"/>
    <col min="8" max="10" width="13.85546875" style="535" bestFit="1" customWidth="1"/>
    <col min="11" max="11" width="4" style="535" bestFit="1" customWidth="1"/>
    <col min="12" max="14" width="13.85546875" style="535" bestFit="1" customWidth="1"/>
    <col min="15" max="16384" width="11.42578125" style="535"/>
  </cols>
  <sheetData>
    <row r="1" spans="1:14" x14ac:dyDescent="0.2">
      <c r="A1" s="488"/>
      <c r="B1" s="489" t="s">
        <v>133</v>
      </c>
      <c r="C1" s="490"/>
      <c r="D1" s="491"/>
      <c r="E1" s="491"/>
      <c r="F1" s="491"/>
      <c r="G1" s="490"/>
      <c r="H1" s="488"/>
      <c r="I1" s="488"/>
      <c r="J1" s="488"/>
      <c r="K1" s="488"/>
      <c r="L1" s="488"/>
      <c r="M1" s="488"/>
      <c r="N1" s="488"/>
    </row>
    <row r="2" spans="1:14" x14ac:dyDescent="0.2">
      <c r="A2" s="488"/>
      <c r="B2" s="489" t="s">
        <v>46</v>
      </c>
      <c r="C2" s="490"/>
      <c r="D2" s="491"/>
      <c r="E2" s="491"/>
      <c r="F2" s="491"/>
      <c r="G2" s="490"/>
      <c r="H2" s="488"/>
      <c r="I2" s="488"/>
      <c r="J2" s="488"/>
      <c r="K2" s="488"/>
      <c r="L2" s="488"/>
      <c r="M2" s="488"/>
      <c r="N2" s="488"/>
    </row>
    <row r="3" spans="1:14" x14ac:dyDescent="0.2">
      <c r="A3" s="488"/>
      <c r="B3" s="489"/>
      <c r="C3" s="490"/>
      <c r="D3" s="491"/>
      <c r="E3" s="491"/>
      <c r="F3" s="491"/>
      <c r="G3" s="492"/>
      <c r="H3" s="488"/>
      <c r="I3" s="488"/>
      <c r="J3" s="488"/>
      <c r="K3" s="488"/>
      <c r="L3" s="488"/>
      <c r="M3" s="488"/>
      <c r="N3" s="488"/>
    </row>
    <row r="4" spans="1:14" x14ac:dyDescent="0.2">
      <c r="A4" s="488"/>
      <c r="B4" s="493" t="s">
        <v>8207</v>
      </c>
      <c r="C4" s="490"/>
      <c r="D4" s="491"/>
      <c r="E4" s="770"/>
      <c r="F4" s="491"/>
      <c r="G4" s="490"/>
      <c r="H4" s="488"/>
      <c r="I4" s="488"/>
      <c r="J4" s="488"/>
      <c r="K4" s="488"/>
      <c r="L4" s="488"/>
      <c r="M4" s="488"/>
      <c r="N4" s="488"/>
    </row>
    <row r="5" spans="1:14" x14ac:dyDescent="0.2">
      <c r="A5" s="488"/>
      <c r="B5" s="488"/>
      <c r="C5" s="490"/>
      <c r="D5" s="491"/>
      <c r="E5" s="491"/>
      <c r="F5" s="491"/>
      <c r="G5" s="828" t="s">
        <v>283</v>
      </c>
      <c r="H5" s="828"/>
      <c r="I5" s="828"/>
      <c r="J5" s="828"/>
      <c r="K5" s="828" t="s">
        <v>39</v>
      </c>
      <c r="L5" s="828"/>
      <c r="M5" s="828"/>
      <c r="N5" s="828"/>
    </row>
    <row r="6" spans="1:14" x14ac:dyDescent="0.2">
      <c r="A6" s="792"/>
      <c r="B6" s="792" t="s">
        <v>154</v>
      </c>
      <c r="C6" s="792" t="s">
        <v>41</v>
      </c>
      <c r="D6" s="495" t="s">
        <v>42</v>
      </c>
      <c r="E6" s="495" t="s">
        <v>376</v>
      </c>
      <c r="F6" s="495" t="s">
        <v>43</v>
      </c>
      <c r="G6" s="792" t="s">
        <v>41</v>
      </c>
      <c r="H6" s="495" t="s">
        <v>42</v>
      </c>
      <c r="I6" s="495" t="s">
        <v>376</v>
      </c>
      <c r="J6" s="495" t="s">
        <v>43</v>
      </c>
      <c r="K6" s="792" t="s">
        <v>41</v>
      </c>
      <c r="L6" s="495" t="s">
        <v>42</v>
      </c>
      <c r="M6" s="495" t="s">
        <v>376</v>
      </c>
      <c r="N6" s="495" t="s">
        <v>43</v>
      </c>
    </row>
    <row r="7" spans="1:14" x14ac:dyDescent="0.2">
      <c r="A7" s="488">
        <v>1</v>
      </c>
      <c r="B7" s="488" t="s">
        <v>35</v>
      </c>
      <c r="C7" s="490"/>
      <c r="D7" s="496"/>
      <c r="E7" s="507">
        <v>15844.8</v>
      </c>
      <c r="F7" s="491">
        <f>+D7-E7</f>
        <v>-15844.8</v>
      </c>
      <c r="G7" s="490">
        <v>4</v>
      </c>
      <c r="H7" s="498">
        <f>1610811.7-322205.63</f>
        <v>1288606.0699999998</v>
      </c>
      <c r="I7" s="499">
        <f>1609389.96-321850.54</f>
        <v>1287539.42</v>
      </c>
      <c r="J7" s="491">
        <f>+H7-I7</f>
        <v>1066.6499999999069</v>
      </c>
      <c r="K7" s="490">
        <f t="shared" ref="K7:K26" si="0">+C7+G7</f>
        <v>4</v>
      </c>
      <c r="L7" s="491">
        <f>+D7+H7</f>
        <v>1288606.0699999998</v>
      </c>
      <c r="M7" s="491">
        <f>E7+I7</f>
        <v>1303384.22</v>
      </c>
      <c r="N7" s="500">
        <f>+L7-M7</f>
        <v>-14778.15000000014</v>
      </c>
    </row>
    <row r="8" spans="1:14" x14ac:dyDescent="0.2">
      <c r="A8" s="488">
        <v>2</v>
      </c>
      <c r="B8" s="488" t="s">
        <v>229</v>
      </c>
      <c r="C8" s="490">
        <v>7</v>
      </c>
      <c r="D8" s="496">
        <f>3582122.73-1706205.76</f>
        <v>1875916.97</v>
      </c>
      <c r="E8" s="507">
        <f>3160573.46-1501139.64</f>
        <v>1659433.82</v>
      </c>
      <c r="F8" s="491">
        <f t="shared" ref="F8:F26" si="1">+D8-E8</f>
        <v>216483.14999999991</v>
      </c>
      <c r="G8" s="490">
        <v>5</v>
      </c>
      <c r="H8" s="498">
        <v>1252599.08</v>
      </c>
      <c r="I8" s="501">
        <v>1250822.33</v>
      </c>
      <c r="J8" s="491">
        <f>+H8-I8</f>
        <v>1776.75</v>
      </c>
      <c r="K8" s="490">
        <f t="shared" si="0"/>
        <v>12</v>
      </c>
      <c r="L8" s="491">
        <f t="shared" ref="L8:L25" si="2">+D8+H8</f>
        <v>3128516.05</v>
      </c>
      <c r="M8" s="491">
        <f t="shared" ref="M8:M23" si="3">E8+I8</f>
        <v>2910256.1500000004</v>
      </c>
      <c r="N8" s="500">
        <f t="shared" ref="N8:N25" si="4">+L8-M8</f>
        <v>218259.89999999944</v>
      </c>
    </row>
    <row r="9" spans="1:14" x14ac:dyDescent="0.2">
      <c r="A9" s="488">
        <f t="shared" ref="A9:A26" si="5">+A8+1</f>
        <v>3</v>
      </c>
      <c r="B9" s="488" t="s">
        <v>378</v>
      </c>
      <c r="C9" s="490"/>
      <c r="D9" s="502"/>
      <c r="E9" s="491"/>
      <c r="F9" s="491">
        <f t="shared" si="1"/>
        <v>0</v>
      </c>
      <c r="G9" s="490"/>
      <c r="H9" s="503"/>
      <c r="I9" s="503"/>
      <c r="J9" s="491">
        <f t="shared" ref="J9:J25" si="6">+H9-I9</f>
        <v>0</v>
      </c>
      <c r="K9" s="490">
        <f t="shared" si="0"/>
        <v>0</v>
      </c>
      <c r="L9" s="491">
        <f t="shared" si="2"/>
        <v>0</v>
      </c>
      <c r="M9" s="491">
        <f t="shared" si="3"/>
        <v>0</v>
      </c>
      <c r="N9" s="500">
        <f t="shared" si="4"/>
        <v>0</v>
      </c>
    </row>
    <row r="10" spans="1:14" x14ac:dyDescent="0.2">
      <c r="A10" s="488">
        <f>+A9+1</f>
        <v>4</v>
      </c>
      <c r="B10" s="488" t="s">
        <v>30</v>
      </c>
      <c r="C10" s="490">
        <v>3</v>
      </c>
      <c r="D10" s="502">
        <f>1360689.65-317586.21</f>
        <v>1043103.44</v>
      </c>
      <c r="E10" s="507">
        <f>1317909.93-341043.6</f>
        <v>976866.33</v>
      </c>
      <c r="F10" s="491">
        <f t="shared" si="1"/>
        <v>66237.109999999986</v>
      </c>
      <c r="G10" s="490">
        <v>11</v>
      </c>
      <c r="H10" s="505">
        <f>3739451.67-300450.66</f>
        <v>3439001.01</v>
      </c>
      <c r="I10" s="506">
        <f>3735187.56-300095.32</f>
        <v>3435092.24</v>
      </c>
      <c r="J10" s="491">
        <f t="shared" si="6"/>
        <v>3908.769999999553</v>
      </c>
      <c r="K10" s="490">
        <f t="shared" si="0"/>
        <v>14</v>
      </c>
      <c r="L10" s="491">
        <f t="shared" si="2"/>
        <v>4482104.4499999993</v>
      </c>
      <c r="M10" s="491">
        <f t="shared" si="3"/>
        <v>4411958.57</v>
      </c>
      <c r="N10" s="500">
        <f t="shared" si="4"/>
        <v>70145.879999998957</v>
      </c>
    </row>
    <row r="11" spans="1:14" x14ac:dyDescent="0.2">
      <c r="A11" s="488">
        <f t="shared" si="5"/>
        <v>5</v>
      </c>
      <c r="B11" s="488" t="s">
        <v>48</v>
      </c>
      <c r="C11" s="490"/>
      <c r="D11" s="491"/>
      <c r="E11" s="491"/>
      <c r="F11" s="491">
        <f t="shared" si="1"/>
        <v>0</v>
      </c>
      <c r="G11" s="490"/>
      <c r="H11" s="503"/>
      <c r="I11" s="503"/>
      <c r="J11" s="491">
        <f t="shared" si="6"/>
        <v>0</v>
      </c>
      <c r="K11" s="490">
        <f t="shared" si="0"/>
        <v>0</v>
      </c>
      <c r="L11" s="491">
        <f t="shared" si="2"/>
        <v>0</v>
      </c>
      <c r="M11" s="491">
        <f t="shared" si="3"/>
        <v>0</v>
      </c>
      <c r="N11" s="500">
        <f t="shared" si="4"/>
        <v>0</v>
      </c>
    </row>
    <row r="12" spans="1:14" x14ac:dyDescent="0.2">
      <c r="A12" s="488">
        <f t="shared" si="5"/>
        <v>6</v>
      </c>
      <c r="B12" s="488" t="s">
        <v>231</v>
      </c>
      <c r="C12" s="490"/>
      <c r="D12" s="491"/>
      <c r="E12" s="491"/>
      <c r="F12" s="491">
        <f t="shared" si="1"/>
        <v>0</v>
      </c>
      <c r="G12" s="490"/>
      <c r="H12" s="503"/>
      <c r="I12" s="503"/>
      <c r="J12" s="491">
        <f t="shared" si="6"/>
        <v>0</v>
      </c>
      <c r="K12" s="490">
        <f t="shared" si="0"/>
        <v>0</v>
      </c>
      <c r="L12" s="491">
        <f t="shared" si="2"/>
        <v>0</v>
      </c>
      <c r="M12" s="491">
        <f t="shared" si="3"/>
        <v>0</v>
      </c>
      <c r="N12" s="500">
        <f t="shared" si="4"/>
        <v>0</v>
      </c>
    </row>
    <row r="13" spans="1:14" x14ac:dyDescent="0.2">
      <c r="A13" s="488">
        <f t="shared" si="5"/>
        <v>7</v>
      </c>
      <c r="B13" s="488" t="s">
        <v>282</v>
      </c>
      <c r="C13" s="490"/>
      <c r="D13" s="491"/>
      <c r="E13" s="491"/>
      <c r="F13" s="491">
        <f t="shared" si="1"/>
        <v>0</v>
      </c>
      <c r="G13" s="490"/>
      <c r="H13" s="503"/>
      <c r="I13" s="491"/>
      <c r="J13" s="491">
        <f t="shared" si="6"/>
        <v>0</v>
      </c>
      <c r="K13" s="490">
        <f t="shared" si="0"/>
        <v>0</v>
      </c>
      <c r="L13" s="491">
        <f t="shared" si="2"/>
        <v>0</v>
      </c>
      <c r="M13" s="491">
        <f t="shared" si="3"/>
        <v>0</v>
      </c>
      <c r="N13" s="500">
        <f t="shared" si="4"/>
        <v>0</v>
      </c>
    </row>
    <row r="14" spans="1:14" x14ac:dyDescent="0.2">
      <c r="A14" s="488">
        <f t="shared" si="5"/>
        <v>8</v>
      </c>
      <c r="B14" s="488" t="s">
        <v>228</v>
      </c>
      <c r="C14" s="490">
        <v>6</v>
      </c>
      <c r="D14" s="502">
        <f>4509901.35-1488637.91</f>
        <v>3021263.4399999995</v>
      </c>
      <c r="E14" s="502">
        <f>4510075.96-1783387.33</f>
        <v>2726688.63</v>
      </c>
      <c r="F14" s="491">
        <f t="shared" si="1"/>
        <v>294574.80999999959</v>
      </c>
      <c r="G14" s="490">
        <v>2</v>
      </c>
      <c r="H14" s="505">
        <v>900345.29</v>
      </c>
      <c r="I14" s="170">
        <v>899634.6</v>
      </c>
      <c r="J14" s="491">
        <f t="shared" si="6"/>
        <v>710.69000000006054</v>
      </c>
      <c r="K14" s="490">
        <f t="shared" si="0"/>
        <v>8</v>
      </c>
      <c r="L14" s="491">
        <f t="shared" si="2"/>
        <v>3921608.7299999995</v>
      </c>
      <c r="M14" s="491">
        <f t="shared" si="3"/>
        <v>3626323.23</v>
      </c>
      <c r="N14" s="500">
        <f t="shared" si="4"/>
        <v>295285.49999999953</v>
      </c>
    </row>
    <row r="15" spans="1:14" x14ac:dyDescent="0.2">
      <c r="A15" s="488">
        <f t="shared" si="5"/>
        <v>9</v>
      </c>
      <c r="B15" s="488" t="s">
        <v>76</v>
      </c>
      <c r="C15" s="490"/>
      <c r="D15" s="491"/>
      <c r="E15" s="491"/>
      <c r="F15" s="491">
        <f t="shared" si="1"/>
        <v>0</v>
      </c>
      <c r="G15" s="490"/>
      <c r="H15" s="503"/>
      <c r="I15" s="491"/>
      <c r="J15" s="491">
        <f t="shared" si="6"/>
        <v>0</v>
      </c>
      <c r="K15" s="490">
        <f t="shared" si="0"/>
        <v>0</v>
      </c>
      <c r="L15" s="491">
        <f t="shared" si="2"/>
        <v>0</v>
      </c>
      <c r="M15" s="491">
        <f t="shared" si="3"/>
        <v>0</v>
      </c>
      <c r="N15" s="500">
        <f t="shared" si="4"/>
        <v>0</v>
      </c>
    </row>
    <row r="16" spans="1:14" x14ac:dyDescent="0.2">
      <c r="A16" s="488">
        <f t="shared" si="5"/>
        <v>10</v>
      </c>
      <c r="B16" s="488" t="s">
        <v>379</v>
      </c>
      <c r="C16" s="490">
        <v>7</v>
      </c>
      <c r="D16" s="782">
        <f>4704433.46-2188993.5</f>
        <v>2515439.96</v>
      </c>
      <c r="E16" s="783">
        <f>4181569.07-1919775.29</f>
        <v>2261793.7799999998</v>
      </c>
      <c r="F16" s="491">
        <f t="shared" si="1"/>
        <v>253646.18000000017</v>
      </c>
      <c r="G16" s="370">
        <v>3</v>
      </c>
      <c r="H16" s="785">
        <f>1023743.33-250275.37</f>
        <v>773467.96</v>
      </c>
      <c r="I16" s="782">
        <f>1022677.3-336126.92</f>
        <v>686550.38000000012</v>
      </c>
      <c r="J16" s="491">
        <f t="shared" si="6"/>
        <v>86917.579999999842</v>
      </c>
      <c r="K16" s="490">
        <f t="shared" si="0"/>
        <v>10</v>
      </c>
      <c r="L16" s="491">
        <f t="shared" si="2"/>
        <v>3288907.92</v>
      </c>
      <c r="M16" s="491">
        <f t="shared" si="3"/>
        <v>2948344.16</v>
      </c>
      <c r="N16" s="500">
        <f t="shared" si="4"/>
        <v>340563.75999999978</v>
      </c>
    </row>
    <row r="17" spans="1:14" x14ac:dyDescent="0.2">
      <c r="A17" s="488">
        <f t="shared" si="5"/>
        <v>11</v>
      </c>
      <c r="B17" s="488" t="s">
        <v>44</v>
      </c>
      <c r="C17" s="490">
        <v>19</v>
      </c>
      <c r="D17" s="782">
        <f>5914224.19-2219310.35</f>
        <v>3694913.8400000003</v>
      </c>
      <c r="E17" s="783">
        <f>5593653.2-2162752.79</f>
        <v>3430900.41</v>
      </c>
      <c r="F17" s="491">
        <f t="shared" si="1"/>
        <v>264013.43000000017</v>
      </c>
      <c r="G17" s="370">
        <v>18</v>
      </c>
      <c r="H17" s="511">
        <f>3592599.54-195873.84</f>
        <v>3396725.7</v>
      </c>
      <c r="I17" s="782">
        <f>3590122.85-195872.97</f>
        <v>3394249.88</v>
      </c>
      <c r="J17" s="491">
        <f t="shared" si="6"/>
        <v>2475.820000000298</v>
      </c>
      <c r="K17" s="490">
        <f t="shared" si="0"/>
        <v>37</v>
      </c>
      <c r="L17" s="491">
        <f t="shared" si="2"/>
        <v>7091639.540000001</v>
      </c>
      <c r="M17" s="491">
        <f t="shared" si="3"/>
        <v>6825150.29</v>
      </c>
      <c r="N17" s="500">
        <f t="shared" si="4"/>
        <v>266489.25000000093</v>
      </c>
    </row>
    <row r="18" spans="1:14" x14ac:dyDescent="0.2">
      <c r="A18" s="488">
        <f t="shared" si="5"/>
        <v>12</v>
      </c>
      <c r="B18" s="488" t="s">
        <v>382</v>
      </c>
      <c r="C18" s="490">
        <v>24</v>
      </c>
      <c r="D18" s="782">
        <f>11766338.21-4153448.25</f>
        <v>7612889.9600000009</v>
      </c>
      <c r="E18" s="783">
        <f>10552730.64-3691669.66</f>
        <v>6861060.9800000004</v>
      </c>
      <c r="F18" s="491">
        <f t="shared" si="1"/>
        <v>751828.98000000045</v>
      </c>
      <c r="G18" s="370">
        <v>16</v>
      </c>
      <c r="H18" s="784">
        <v>4209092.6500000004</v>
      </c>
      <c r="I18" s="782">
        <v>4218126.09</v>
      </c>
      <c r="J18" s="527">
        <f t="shared" si="6"/>
        <v>-9033.4399999994785</v>
      </c>
      <c r="K18" s="370">
        <f t="shared" si="0"/>
        <v>40</v>
      </c>
      <c r="L18" s="491">
        <f t="shared" si="2"/>
        <v>11821982.610000001</v>
      </c>
      <c r="M18" s="491">
        <f t="shared" si="3"/>
        <v>11079187.07</v>
      </c>
      <c r="N18" s="500">
        <f t="shared" si="4"/>
        <v>742795.54000000097</v>
      </c>
    </row>
    <row r="19" spans="1:14" x14ac:dyDescent="0.2">
      <c r="A19" s="488">
        <f t="shared" si="5"/>
        <v>13</v>
      </c>
      <c r="B19" s="488" t="s">
        <v>226</v>
      </c>
      <c r="C19" s="490">
        <v>7</v>
      </c>
      <c r="D19" s="502">
        <f>4902813.13-2297465.68</f>
        <v>2605347.4499999997</v>
      </c>
      <c r="E19" s="507">
        <f>4362147.62-2036030.19</f>
        <v>2326117.4300000002</v>
      </c>
      <c r="F19" s="491">
        <f t="shared" si="1"/>
        <v>279230.01999999955</v>
      </c>
      <c r="G19" s="490">
        <v>3</v>
      </c>
      <c r="H19" s="517">
        <v>928852.62</v>
      </c>
      <c r="I19" s="502">
        <v>928141.08</v>
      </c>
      <c r="J19" s="491">
        <f t="shared" si="6"/>
        <v>711.54000000003725</v>
      </c>
      <c r="K19" s="490">
        <f t="shared" si="0"/>
        <v>10</v>
      </c>
      <c r="L19" s="491">
        <f t="shared" si="2"/>
        <v>3534200.07</v>
      </c>
      <c r="M19" s="491">
        <f t="shared" si="3"/>
        <v>3254258.5100000002</v>
      </c>
      <c r="N19" s="500">
        <f t="shared" si="4"/>
        <v>279941.55999999959</v>
      </c>
    </row>
    <row r="20" spans="1:14" x14ac:dyDescent="0.2">
      <c r="A20" s="488">
        <f t="shared" si="5"/>
        <v>14</v>
      </c>
      <c r="B20" s="488" t="s">
        <v>224</v>
      </c>
      <c r="C20" s="490">
        <v>9</v>
      </c>
      <c r="D20" s="170">
        <f>6535385.88-1638834.16</f>
        <v>4896551.72</v>
      </c>
      <c r="E20" s="170">
        <f>5811693.62-1462411.4</f>
        <v>4349282.2200000007</v>
      </c>
      <c r="F20" s="491">
        <f t="shared" si="1"/>
        <v>547269.49999999907</v>
      </c>
      <c r="G20" s="490">
        <v>2</v>
      </c>
      <c r="H20" s="505">
        <v>867759.18</v>
      </c>
      <c r="I20" s="170">
        <v>867048.48</v>
      </c>
      <c r="J20" s="491">
        <f t="shared" si="6"/>
        <v>710.70000000006985</v>
      </c>
      <c r="K20" s="490">
        <f t="shared" si="0"/>
        <v>11</v>
      </c>
      <c r="L20" s="491">
        <f t="shared" si="2"/>
        <v>5764310.8999999994</v>
      </c>
      <c r="M20" s="491">
        <f t="shared" si="3"/>
        <v>5216330.7000000011</v>
      </c>
      <c r="N20" s="500">
        <f t="shared" si="4"/>
        <v>547980.19999999832</v>
      </c>
    </row>
    <row r="21" spans="1:14" x14ac:dyDescent="0.2">
      <c r="A21" s="488">
        <f t="shared" si="5"/>
        <v>15</v>
      </c>
      <c r="B21" s="488" t="s">
        <v>97</v>
      </c>
      <c r="C21" s="490">
        <v>14</v>
      </c>
      <c r="D21" s="502">
        <f>5053555.69-1996137.79-411.2</f>
        <v>3057006.7</v>
      </c>
      <c r="E21" s="507">
        <f>4607899.1-1805054.3</f>
        <v>2802844.8</v>
      </c>
      <c r="F21" s="491">
        <f t="shared" si="1"/>
        <v>254161.90000000037</v>
      </c>
      <c r="G21" s="490">
        <v>4</v>
      </c>
      <c r="H21" s="505">
        <v>752146.51</v>
      </c>
      <c r="I21" s="502">
        <v>750725.38</v>
      </c>
      <c r="J21" s="491">
        <f t="shared" si="6"/>
        <v>1421.1300000000047</v>
      </c>
      <c r="K21" s="490">
        <f t="shared" si="0"/>
        <v>18</v>
      </c>
      <c r="L21" s="491">
        <f t="shared" si="2"/>
        <v>3809153.21</v>
      </c>
      <c r="M21" s="491">
        <f t="shared" si="3"/>
        <v>3553570.1799999997</v>
      </c>
      <c r="N21" s="500">
        <f t="shared" si="4"/>
        <v>255583.03000000026</v>
      </c>
    </row>
    <row r="22" spans="1:14" x14ac:dyDescent="0.2">
      <c r="A22" s="488">
        <f t="shared" si="5"/>
        <v>16</v>
      </c>
      <c r="B22" s="488" t="s">
        <v>98</v>
      </c>
      <c r="C22" s="490"/>
      <c r="D22" s="491"/>
      <c r="E22" s="507">
        <v>-97</v>
      </c>
      <c r="F22" s="491">
        <f t="shared" si="1"/>
        <v>97</v>
      </c>
      <c r="G22" s="490"/>
      <c r="H22" s="503"/>
      <c r="I22" s="491"/>
      <c r="J22" s="491">
        <f t="shared" si="6"/>
        <v>0</v>
      </c>
      <c r="K22" s="490">
        <f t="shared" si="0"/>
        <v>0</v>
      </c>
      <c r="L22" s="491">
        <f t="shared" si="2"/>
        <v>0</v>
      </c>
      <c r="M22" s="491">
        <f t="shared" si="3"/>
        <v>-97</v>
      </c>
      <c r="N22" s="500">
        <f t="shared" si="4"/>
        <v>97</v>
      </c>
    </row>
    <row r="23" spans="1:14" x14ac:dyDescent="0.2">
      <c r="A23" s="488">
        <f t="shared" si="5"/>
        <v>17</v>
      </c>
      <c r="B23" s="488" t="s">
        <v>301</v>
      </c>
      <c r="C23" s="490">
        <v>7</v>
      </c>
      <c r="D23" s="491">
        <f>6041037.44-2300992.96</f>
        <v>3740044.4800000004</v>
      </c>
      <c r="E23" s="507">
        <f>5399805.79-2066257.18</f>
        <v>3333548.6100000003</v>
      </c>
      <c r="F23" s="491">
        <f t="shared" si="1"/>
        <v>406495.87000000011</v>
      </c>
      <c r="G23" s="490">
        <v>1</v>
      </c>
      <c r="H23" s="503">
        <f>1003375.06-501687.53</f>
        <v>501687.53</v>
      </c>
      <c r="I23" s="502">
        <f>1002664.36-501332.18</f>
        <v>501332.18</v>
      </c>
      <c r="J23" s="491">
        <f t="shared" si="6"/>
        <v>355.35000000003492</v>
      </c>
      <c r="K23" s="490">
        <f t="shared" si="0"/>
        <v>8</v>
      </c>
      <c r="L23" s="491">
        <f t="shared" si="2"/>
        <v>4241732.0100000007</v>
      </c>
      <c r="M23" s="491">
        <f t="shared" si="3"/>
        <v>3834880.7900000005</v>
      </c>
      <c r="N23" s="500">
        <f t="shared" si="4"/>
        <v>406851.2200000002</v>
      </c>
    </row>
    <row r="24" spans="1:14" x14ac:dyDescent="0.2">
      <c r="A24" s="488">
        <f t="shared" si="5"/>
        <v>18</v>
      </c>
      <c r="B24" s="488" t="s">
        <v>136</v>
      </c>
      <c r="C24" s="490"/>
      <c r="D24" s="491"/>
      <c r="E24" s="503"/>
      <c r="F24" s="491">
        <f t="shared" si="1"/>
        <v>0</v>
      </c>
      <c r="G24" s="490"/>
      <c r="H24" s="503"/>
      <c r="I24" s="491"/>
      <c r="J24" s="491">
        <f t="shared" si="6"/>
        <v>0</v>
      </c>
      <c r="K24" s="490">
        <f t="shared" si="0"/>
        <v>0</v>
      </c>
      <c r="L24" s="491">
        <f t="shared" si="2"/>
        <v>0</v>
      </c>
      <c r="M24" s="491">
        <f>+E24+I24</f>
        <v>0</v>
      </c>
      <c r="N24" s="500">
        <f t="shared" si="4"/>
        <v>0</v>
      </c>
    </row>
    <row r="25" spans="1:14" x14ac:dyDescent="0.2">
      <c r="A25" s="488">
        <f t="shared" si="5"/>
        <v>19</v>
      </c>
      <c r="B25" s="488" t="s">
        <v>227</v>
      </c>
      <c r="C25" s="490">
        <v>-1</v>
      </c>
      <c r="D25" s="502">
        <v>-809775.55</v>
      </c>
      <c r="E25" s="525">
        <v>-715302.42</v>
      </c>
      <c r="F25" s="491">
        <f t="shared" si="1"/>
        <v>-94473.13</v>
      </c>
      <c r="G25" s="490"/>
      <c r="H25" s="491"/>
      <c r="I25" s="491"/>
      <c r="J25" s="491">
        <f t="shared" si="6"/>
        <v>0</v>
      </c>
      <c r="K25" s="490">
        <f t="shared" si="0"/>
        <v>-1</v>
      </c>
      <c r="L25" s="491">
        <f t="shared" si="2"/>
        <v>-809775.55</v>
      </c>
      <c r="M25" s="491">
        <f>+E25+I25</f>
        <v>-715302.42</v>
      </c>
      <c r="N25" s="500">
        <f t="shared" si="4"/>
        <v>-94473.13</v>
      </c>
    </row>
    <row r="26" spans="1:14" x14ac:dyDescent="0.2">
      <c r="A26" s="488">
        <f t="shared" si="5"/>
        <v>20</v>
      </c>
      <c r="B26" s="488" t="s">
        <v>63</v>
      </c>
      <c r="C26" s="490"/>
      <c r="D26" s="503"/>
      <c r="E26" s="503"/>
      <c r="F26" s="491">
        <f t="shared" si="1"/>
        <v>0</v>
      </c>
      <c r="G26" s="490"/>
      <c r="H26" s="503"/>
      <c r="I26" s="503"/>
      <c r="J26" s="491"/>
      <c r="K26" s="490">
        <f t="shared" si="0"/>
        <v>0</v>
      </c>
      <c r="L26" s="491"/>
      <c r="M26" s="491">
        <f>+E26+I26</f>
        <v>0</v>
      </c>
      <c r="N26" s="500"/>
    </row>
    <row r="27" spans="1:14" x14ac:dyDescent="0.2">
      <c r="A27" s="489"/>
      <c r="B27" s="489" t="s">
        <v>45</v>
      </c>
      <c r="C27" s="792">
        <f t="shared" ref="C27" si="7">+SUM(C7:C26)</f>
        <v>102</v>
      </c>
      <c r="D27" s="526">
        <f>+SUM(D7:D26)</f>
        <v>33252702.409999993</v>
      </c>
      <c r="E27" s="526">
        <f t="shared" ref="E27:I27" si="8">+SUM(E7:E26)</f>
        <v>30028982.389999997</v>
      </c>
      <c r="F27" s="526">
        <f t="shared" si="8"/>
        <v>3223720.0199999996</v>
      </c>
      <c r="G27" s="792">
        <f t="shared" si="8"/>
        <v>69</v>
      </c>
      <c r="H27" s="526">
        <f t="shared" si="8"/>
        <v>18310283.600000001</v>
      </c>
      <c r="I27" s="526">
        <f t="shared" si="8"/>
        <v>18219262.059999999</v>
      </c>
      <c r="J27" s="527">
        <f>SUM(J7:J26)</f>
        <v>91021.540000000328</v>
      </c>
      <c r="K27" s="792">
        <f>SUM(K7:K26)</f>
        <v>171</v>
      </c>
      <c r="L27" s="526">
        <f>SUM(L7:L26)</f>
        <v>51562986.009999998</v>
      </c>
      <c r="M27" s="526">
        <f>SUM(M7:M26)</f>
        <v>48248244.450000003</v>
      </c>
      <c r="N27" s="527">
        <f>SUM(N7:N26)</f>
        <v>3314741.5599999982</v>
      </c>
    </row>
    <row r="28" spans="1:14" x14ac:dyDescent="0.2">
      <c r="A28" s="488"/>
      <c r="B28" s="488" t="s">
        <v>61</v>
      </c>
      <c r="C28" s="528"/>
      <c r="D28" s="529">
        <v>33252702.41</v>
      </c>
      <c r="E28" s="529">
        <v>30028982.390000001</v>
      </c>
      <c r="F28" s="527"/>
      <c r="G28" s="490"/>
      <c r="H28" s="529">
        <v>18310283.600000001</v>
      </c>
      <c r="I28" s="529">
        <v>18219262.059999999</v>
      </c>
      <c r="J28" s="491"/>
      <c r="K28" s="488"/>
      <c r="L28" s="488"/>
      <c r="M28" s="488"/>
      <c r="N28" s="488"/>
    </row>
    <row r="29" spans="1:14" x14ac:dyDescent="0.2">
      <c r="A29" s="489"/>
      <c r="B29" s="489" t="s">
        <v>230</v>
      </c>
      <c r="C29" s="792"/>
      <c r="D29" s="527">
        <f>+D28-D27</f>
        <v>0</v>
      </c>
      <c r="E29" s="527">
        <f>+E27-E28</f>
        <v>0</v>
      </c>
      <c r="F29" s="527"/>
      <c r="G29" s="792"/>
      <c r="H29" s="527">
        <f>+H27-H28</f>
        <v>0</v>
      </c>
      <c r="I29" s="527">
        <f>+I27-I28</f>
        <v>0</v>
      </c>
      <c r="J29" s="489"/>
      <c r="K29" s="489"/>
      <c r="L29" s="527"/>
      <c r="M29" s="527"/>
      <c r="N29" s="489"/>
    </row>
    <row r="30" spans="1:14" x14ac:dyDescent="0.2">
      <c r="A30" s="489"/>
      <c r="B30" s="489"/>
      <c r="C30" s="792"/>
      <c r="D30" s="527"/>
      <c r="E30" s="527"/>
      <c r="F30" s="527"/>
      <c r="G30" s="792"/>
      <c r="H30" s="489"/>
      <c r="I30" s="489"/>
      <c r="J30" s="489"/>
      <c r="K30" s="489"/>
      <c r="L30" s="530"/>
      <c r="M30" s="530"/>
      <c r="N30" s="489"/>
    </row>
    <row r="31" spans="1:14" x14ac:dyDescent="0.2">
      <c r="A31" s="489"/>
      <c r="B31" s="488" t="s">
        <v>403</v>
      </c>
      <c r="C31" s="490"/>
      <c r="D31" s="491"/>
      <c r="E31" s="503"/>
      <c r="F31" s="491"/>
      <c r="G31" s="531"/>
      <c r="H31" s="489"/>
      <c r="I31" s="489"/>
      <c r="J31" s="489"/>
      <c r="K31" s="489"/>
      <c r="L31" s="489"/>
      <c r="M31" s="489"/>
      <c r="N31" s="489"/>
    </row>
    <row r="32" spans="1:14" x14ac:dyDescent="0.2">
      <c r="A32" s="489"/>
      <c r="B32" s="488" t="s">
        <v>168</v>
      </c>
      <c r="C32" s="490">
        <v>14</v>
      </c>
      <c r="D32" s="491">
        <f>3842542.24-802896.55</f>
        <v>3039645.6900000004</v>
      </c>
      <c r="E32" s="532"/>
      <c r="F32" s="491">
        <f>+D32-E32</f>
        <v>3039645.6900000004</v>
      </c>
      <c r="G32" s="531"/>
      <c r="H32" s="489"/>
      <c r="I32" s="489"/>
      <c r="J32" s="489"/>
      <c r="K32" s="489"/>
      <c r="L32" s="489"/>
      <c r="M32" s="489"/>
      <c r="N32" s="489"/>
    </row>
    <row r="33" spans="1:14" x14ac:dyDescent="0.2">
      <c r="A33" s="488"/>
      <c r="B33" s="488" t="s">
        <v>169</v>
      </c>
      <c r="C33" s="490">
        <v>9</v>
      </c>
      <c r="D33" s="502">
        <f>3398955.03-1348137.94</f>
        <v>2050817.0899999999</v>
      </c>
      <c r="E33" s="533"/>
      <c r="F33" s="491">
        <f>+D33-E33</f>
        <v>2050817.0899999999</v>
      </c>
      <c r="G33" s="534"/>
      <c r="H33" s="491"/>
      <c r="I33" s="491"/>
      <c r="J33" s="491"/>
      <c r="K33" s="488"/>
      <c r="L33" s="488"/>
      <c r="M33" s="488"/>
      <c r="N33" s="488"/>
    </row>
    <row r="34" spans="1:14" x14ac:dyDescent="0.2">
      <c r="A34" s="489"/>
      <c r="B34" s="489" t="s">
        <v>170</v>
      </c>
      <c r="C34" s="792">
        <f>+C32+C33</f>
        <v>23</v>
      </c>
      <c r="D34" s="526">
        <f>SUM(D31:D33)</f>
        <v>5090462.78</v>
      </c>
      <c r="E34" s="526">
        <f>SUM(E31:E33)</f>
        <v>0</v>
      </c>
      <c r="F34" s="527">
        <f>SUM(F31:F33)</f>
        <v>5090462.78</v>
      </c>
      <c r="G34" s="531">
        <f>+F34/F36</f>
        <v>0.61226255212959724</v>
      </c>
      <c r="H34" s="489"/>
      <c r="I34" s="489"/>
      <c r="J34" s="489"/>
      <c r="K34" s="489"/>
      <c r="L34" s="489"/>
      <c r="M34" s="489"/>
      <c r="N34" s="489"/>
    </row>
    <row r="35" spans="1:14" x14ac:dyDescent="0.2">
      <c r="A35" s="488"/>
      <c r="B35" s="488"/>
      <c r="C35" s="490"/>
      <c r="D35" s="529"/>
      <c r="E35" s="529"/>
      <c r="F35" s="491">
        <f>+D35-E35</f>
        <v>0</v>
      </c>
      <c r="G35" s="490"/>
      <c r="H35" s="489" t="s">
        <v>9</v>
      </c>
      <c r="I35" s="488"/>
      <c r="J35" s="488"/>
      <c r="K35" s="488"/>
      <c r="L35" s="488"/>
      <c r="M35" s="488"/>
      <c r="N35" s="488"/>
    </row>
    <row r="36" spans="1:14" x14ac:dyDescent="0.2">
      <c r="A36" s="489"/>
      <c r="B36" s="489" t="s">
        <v>130</v>
      </c>
      <c r="C36" s="792">
        <f>+C34+C27</f>
        <v>125</v>
      </c>
      <c r="D36" s="527">
        <f>+D27+D34</f>
        <v>38343165.18999999</v>
      </c>
      <c r="E36" s="527">
        <f>+E27+E34</f>
        <v>30028982.389999997</v>
      </c>
      <c r="F36" s="527">
        <f>+F34+F27</f>
        <v>8314182.7999999998</v>
      </c>
      <c r="G36" s="792"/>
      <c r="H36" s="489"/>
      <c r="I36" s="489"/>
      <c r="J36" s="489"/>
      <c r="K36" s="489"/>
      <c r="L36" s="489"/>
      <c r="M36" s="489"/>
      <c r="N36" s="489"/>
    </row>
    <row r="40" spans="1:14" x14ac:dyDescent="0.2">
      <c r="A40" s="488"/>
      <c r="B40" s="489" t="s">
        <v>133</v>
      </c>
      <c r="C40" s="490"/>
      <c r="D40" s="491"/>
      <c r="E40" s="491"/>
      <c r="F40" s="491"/>
      <c r="G40" s="490"/>
      <c r="H40" s="488"/>
      <c r="I40" s="488"/>
      <c r="J40" s="488"/>
      <c r="K40" s="488"/>
      <c r="L40" s="488"/>
      <c r="M40" s="488"/>
      <c r="N40" s="488"/>
    </row>
    <row r="41" spans="1:14" x14ac:dyDescent="0.2">
      <c r="A41" s="488"/>
      <c r="B41" s="489" t="s">
        <v>46</v>
      </c>
      <c r="C41" s="490"/>
      <c r="D41" s="491"/>
      <c r="E41" s="491"/>
      <c r="F41" s="491"/>
      <c r="G41" s="490"/>
      <c r="H41" s="488"/>
      <c r="I41" s="488"/>
      <c r="J41" s="488"/>
      <c r="K41" s="488"/>
      <c r="L41" s="488"/>
      <c r="M41" s="488"/>
      <c r="N41" s="488"/>
    </row>
    <row r="42" spans="1:14" x14ac:dyDescent="0.2">
      <c r="A42" s="488"/>
      <c r="B42" s="489"/>
      <c r="C42" s="490"/>
      <c r="D42" s="491"/>
      <c r="E42" s="491"/>
      <c r="F42" s="491"/>
      <c r="G42" s="492"/>
      <c r="H42" s="488"/>
      <c r="I42" s="488"/>
      <c r="J42" s="488"/>
      <c r="K42" s="488"/>
      <c r="L42" s="488"/>
      <c r="M42" s="488"/>
      <c r="N42" s="488"/>
    </row>
    <row r="43" spans="1:14" x14ac:dyDescent="0.2">
      <c r="A43" s="488"/>
      <c r="B43" s="493" t="s">
        <v>7371</v>
      </c>
      <c r="C43" s="490"/>
      <c r="D43" s="491"/>
      <c r="E43" s="770"/>
      <c r="F43" s="491"/>
      <c r="G43" s="490"/>
      <c r="H43" s="488"/>
      <c r="I43" s="488"/>
      <c r="J43" s="488"/>
      <c r="K43" s="488"/>
      <c r="L43" s="488"/>
      <c r="M43" s="488"/>
      <c r="N43" s="488"/>
    </row>
    <row r="44" spans="1:14" x14ac:dyDescent="0.2">
      <c r="A44" s="488"/>
      <c r="B44" s="488"/>
      <c r="C44" s="490"/>
      <c r="D44" s="491"/>
      <c r="E44" s="491"/>
      <c r="F44" s="491"/>
      <c r="G44" s="828" t="s">
        <v>283</v>
      </c>
      <c r="H44" s="828"/>
      <c r="I44" s="828"/>
      <c r="J44" s="828"/>
      <c r="K44" s="828" t="s">
        <v>39</v>
      </c>
      <c r="L44" s="828"/>
      <c r="M44" s="828"/>
      <c r="N44" s="828"/>
    </row>
    <row r="45" spans="1:14" x14ac:dyDescent="0.2">
      <c r="A45" s="781"/>
      <c r="B45" s="781" t="s">
        <v>154</v>
      </c>
      <c r="C45" s="781" t="s">
        <v>41</v>
      </c>
      <c r="D45" s="495" t="s">
        <v>42</v>
      </c>
      <c r="E45" s="495" t="s">
        <v>376</v>
      </c>
      <c r="F45" s="495" t="s">
        <v>43</v>
      </c>
      <c r="G45" s="781" t="s">
        <v>41</v>
      </c>
      <c r="H45" s="495" t="s">
        <v>42</v>
      </c>
      <c r="I45" s="495" t="s">
        <v>376</v>
      </c>
      <c r="J45" s="495" t="s">
        <v>43</v>
      </c>
      <c r="K45" s="781" t="s">
        <v>41</v>
      </c>
      <c r="L45" s="495" t="s">
        <v>42</v>
      </c>
      <c r="M45" s="495" t="s">
        <v>376</v>
      </c>
      <c r="N45" s="495" t="s">
        <v>43</v>
      </c>
    </row>
    <row r="46" spans="1:14" x14ac:dyDescent="0.2">
      <c r="A46" s="488">
        <v>1</v>
      </c>
      <c r="B46" s="488" t="s">
        <v>35</v>
      </c>
      <c r="C46" s="490">
        <v>4</v>
      </c>
      <c r="D46" s="496">
        <f>2565766.74-1060290.99</f>
        <v>1505475.7500000002</v>
      </c>
      <c r="E46" s="507">
        <f>2319125.55-979995.71</f>
        <v>1339129.8399999999</v>
      </c>
      <c r="F46" s="491">
        <f>+D46-E46</f>
        <v>166345.91000000038</v>
      </c>
      <c r="G46" s="490">
        <v>6</v>
      </c>
      <c r="H46" s="498">
        <v>1953429.57</v>
      </c>
      <c r="I46" s="499">
        <v>1951651.97</v>
      </c>
      <c r="J46" s="491">
        <f>+H46-I46</f>
        <v>1777.6000000000931</v>
      </c>
      <c r="K46" s="490">
        <f t="shared" ref="K46:K65" si="9">+C46+G46</f>
        <v>10</v>
      </c>
      <c r="L46" s="491">
        <f>+D46+H46</f>
        <v>3458905.3200000003</v>
      </c>
      <c r="M46" s="491">
        <f>E46+I46</f>
        <v>3290781.8099999996</v>
      </c>
      <c r="N46" s="500">
        <f>+L46-M46</f>
        <v>168123.51000000071</v>
      </c>
    </row>
    <row r="47" spans="1:14" x14ac:dyDescent="0.2">
      <c r="A47" s="488">
        <v>2</v>
      </c>
      <c r="B47" s="488" t="s">
        <v>229</v>
      </c>
      <c r="C47" s="490">
        <v>4</v>
      </c>
      <c r="D47" s="496">
        <f>1592183.87-557473.05</f>
        <v>1034710.8200000001</v>
      </c>
      <c r="E47" s="507">
        <f>1418918.81-478120.46</f>
        <v>940798.35000000009</v>
      </c>
      <c r="F47" s="491">
        <f t="shared" ref="F47:F65" si="10">+D47-E47</f>
        <v>93912.469999999972</v>
      </c>
      <c r="G47" s="490">
        <v>11</v>
      </c>
      <c r="H47" s="498">
        <f>3449860.93-710546.45</f>
        <v>2739314.4800000004</v>
      </c>
      <c r="I47" s="501">
        <f>3450640.71-706843.58</f>
        <v>2743797.13</v>
      </c>
      <c r="J47" s="491">
        <f>+H47-I47</f>
        <v>-4482.6499999994412</v>
      </c>
      <c r="K47" s="490">
        <f t="shared" si="9"/>
        <v>15</v>
      </c>
      <c r="L47" s="491">
        <f t="shared" ref="L47:L64" si="11">+D47+H47</f>
        <v>3774025.3000000007</v>
      </c>
      <c r="M47" s="491">
        <f t="shared" ref="M47:M62" si="12">E47+I47</f>
        <v>3684595.48</v>
      </c>
      <c r="N47" s="500">
        <f t="shared" ref="N47:N64" si="13">+L47-M47</f>
        <v>89429.820000000764</v>
      </c>
    </row>
    <row r="48" spans="1:14" x14ac:dyDescent="0.2">
      <c r="A48" s="488">
        <f t="shared" ref="A48:A65" si="14">+A47+1</f>
        <v>3</v>
      </c>
      <c r="B48" s="488" t="s">
        <v>378</v>
      </c>
      <c r="C48" s="490"/>
      <c r="D48" s="502"/>
      <c r="E48" s="491"/>
      <c r="F48" s="491">
        <f t="shared" si="10"/>
        <v>0</v>
      </c>
      <c r="G48" s="490"/>
      <c r="H48" s="503"/>
      <c r="I48" s="503"/>
      <c r="J48" s="491">
        <f t="shared" ref="J48:J64" si="15">+H48-I48</f>
        <v>0</v>
      </c>
      <c r="K48" s="490">
        <f t="shared" si="9"/>
        <v>0</v>
      </c>
      <c r="L48" s="491">
        <f t="shared" si="11"/>
        <v>0</v>
      </c>
      <c r="M48" s="491">
        <f t="shared" si="12"/>
        <v>0</v>
      </c>
      <c r="N48" s="500">
        <f t="shared" si="13"/>
        <v>0</v>
      </c>
    </row>
    <row r="49" spans="1:14" x14ac:dyDescent="0.2">
      <c r="A49" s="488">
        <f>+A48+1</f>
        <v>4</v>
      </c>
      <c r="B49" s="488" t="s">
        <v>30</v>
      </c>
      <c r="C49" s="490">
        <v>1</v>
      </c>
      <c r="D49" s="502">
        <f>1026206.89-703448.27</f>
        <v>322758.62</v>
      </c>
      <c r="E49" s="507">
        <f>989764.02-694561.81</f>
        <v>295202.20999999996</v>
      </c>
      <c r="F49" s="491">
        <f t="shared" si="10"/>
        <v>27556.410000000033</v>
      </c>
      <c r="G49" s="490">
        <v>2</v>
      </c>
      <c r="H49" s="505">
        <v>645709.69999999995</v>
      </c>
      <c r="I49" s="506">
        <v>644999.02</v>
      </c>
      <c r="J49" s="491">
        <f t="shared" si="15"/>
        <v>710.67999999993481</v>
      </c>
      <c r="K49" s="490">
        <f t="shared" si="9"/>
        <v>3</v>
      </c>
      <c r="L49" s="491">
        <f t="shared" si="11"/>
        <v>968468.32</v>
      </c>
      <c r="M49" s="491">
        <f t="shared" si="12"/>
        <v>940201.23</v>
      </c>
      <c r="N49" s="500">
        <f t="shared" si="13"/>
        <v>28267.089999999967</v>
      </c>
    </row>
    <row r="50" spans="1:14" x14ac:dyDescent="0.2">
      <c r="A50" s="488">
        <f t="shared" si="14"/>
        <v>5</v>
      </c>
      <c r="B50" s="488" t="s">
        <v>48</v>
      </c>
      <c r="C50" s="490"/>
      <c r="D50" s="491"/>
      <c r="E50" s="491"/>
      <c r="F50" s="491">
        <f t="shared" si="10"/>
        <v>0</v>
      </c>
      <c r="G50" s="490"/>
      <c r="H50" s="503"/>
      <c r="I50" s="503"/>
      <c r="J50" s="491">
        <f t="shared" si="15"/>
        <v>0</v>
      </c>
      <c r="K50" s="490">
        <f t="shared" si="9"/>
        <v>0</v>
      </c>
      <c r="L50" s="491">
        <f t="shared" si="11"/>
        <v>0</v>
      </c>
      <c r="M50" s="491">
        <f t="shared" si="12"/>
        <v>0</v>
      </c>
      <c r="N50" s="500">
        <f t="shared" si="13"/>
        <v>0</v>
      </c>
    </row>
    <row r="51" spans="1:14" x14ac:dyDescent="0.2">
      <c r="A51" s="488">
        <f t="shared" si="14"/>
        <v>6</v>
      </c>
      <c r="B51" s="488" t="s">
        <v>231</v>
      </c>
      <c r="C51" s="490"/>
      <c r="D51" s="491"/>
      <c r="E51" s="491"/>
      <c r="F51" s="491">
        <f t="shared" si="10"/>
        <v>0</v>
      </c>
      <c r="G51" s="490"/>
      <c r="H51" s="503"/>
      <c r="I51" s="503"/>
      <c r="J51" s="491">
        <f t="shared" si="15"/>
        <v>0</v>
      </c>
      <c r="K51" s="490">
        <f t="shared" si="9"/>
        <v>0</v>
      </c>
      <c r="L51" s="491">
        <f t="shared" si="11"/>
        <v>0</v>
      </c>
      <c r="M51" s="491">
        <f t="shared" si="12"/>
        <v>0</v>
      </c>
      <c r="N51" s="500">
        <f t="shared" si="13"/>
        <v>0</v>
      </c>
    </row>
    <row r="52" spans="1:14" x14ac:dyDescent="0.2">
      <c r="A52" s="488">
        <f t="shared" si="14"/>
        <v>7</v>
      </c>
      <c r="B52" s="488" t="s">
        <v>282</v>
      </c>
      <c r="C52" s="490"/>
      <c r="D52" s="491"/>
      <c r="E52" s="491"/>
      <c r="F52" s="491">
        <f t="shared" si="10"/>
        <v>0</v>
      </c>
      <c r="G52" s="490"/>
      <c r="H52" s="503"/>
      <c r="I52" s="491"/>
      <c r="J52" s="491">
        <f t="shared" si="15"/>
        <v>0</v>
      </c>
      <c r="K52" s="490">
        <f t="shared" si="9"/>
        <v>0</v>
      </c>
      <c r="L52" s="491">
        <f t="shared" si="11"/>
        <v>0</v>
      </c>
      <c r="M52" s="491">
        <f t="shared" si="12"/>
        <v>0</v>
      </c>
      <c r="N52" s="500">
        <f t="shared" si="13"/>
        <v>0</v>
      </c>
    </row>
    <row r="53" spans="1:14" x14ac:dyDescent="0.2">
      <c r="A53" s="488">
        <f t="shared" si="14"/>
        <v>8</v>
      </c>
      <c r="B53" s="488" t="s">
        <v>228</v>
      </c>
      <c r="C53" s="490">
        <v>9</v>
      </c>
      <c r="D53" s="502">
        <f>6044870.64-1366208.74</f>
        <v>4678661.8999999994</v>
      </c>
      <c r="E53" s="502">
        <f>5737235.89-1391817.52</f>
        <v>4345418.3699999992</v>
      </c>
      <c r="F53" s="491">
        <f t="shared" si="10"/>
        <v>333243.53000000026</v>
      </c>
      <c r="G53" s="490">
        <v>6</v>
      </c>
      <c r="H53" s="505">
        <f>2606144.06-467192.98</f>
        <v>2138951.08</v>
      </c>
      <c r="I53" s="170">
        <f>2608030.12-466837.64</f>
        <v>2141192.48</v>
      </c>
      <c r="J53" s="491">
        <f t="shared" si="15"/>
        <v>-2241.3999999999069</v>
      </c>
      <c r="K53" s="490">
        <f t="shared" si="9"/>
        <v>15</v>
      </c>
      <c r="L53" s="491">
        <f t="shared" si="11"/>
        <v>6817612.9799999995</v>
      </c>
      <c r="M53" s="491">
        <f t="shared" si="12"/>
        <v>6486610.8499999996</v>
      </c>
      <c r="N53" s="500">
        <f t="shared" si="13"/>
        <v>331002.12999999989</v>
      </c>
    </row>
    <row r="54" spans="1:14" x14ac:dyDescent="0.2">
      <c r="A54" s="488">
        <f t="shared" si="14"/>
        <v>9</v>
      </c>
      <c r="B54" s="488" t="s">
        <v>76</v>
      </c>
      <c r="C54" s="490"/>
      <c r="D54" s="491"/>
      <c r="E54" s="491"/>
      <c r="F54" s="491">
        <f t="shared" si="10"/>
        <v>0</v>
      </c>
      <c r="G54" s="490"/>
      <c r="H54" s="503"/>
      <c r="I54" s="491"/>
      <c r="J54" s="491">
        <f t="shared" si="15"/>
        <v>0</v>
      </c>
      <c r="K54" s="490">
        <f t="shared" si="9"/>
        <v>0</v>
      </c>
      <c r="L54" s="491">
        <f t="shared" si="11"/>
        <v>0</v>
      </c>
      <c r="M54" s="491">
        <f t="shared" si="12"/>
        <v>0</v>
      </c>
      <c r="N54" s="500">
        <f t="shared" si="13"/>
        <v>0</v>
      </c>
    </row>
    <row r="55" spans="1:14" x14ac:dyDescent="0.2">
      <c r="A55" s="488">
        <f t="shared" si="14"/>
        <v>10</v>
      </c>
      <c r="B55" s="488" t="s">
        <v>379</v>
      </c>
      <c r="C55" s="490">
        <v>6</v>
      </c>
      <c r="D55" s="782">
        <f>2909137.76-706126.27</f>
        <v>2203011.4899999998</v>
      </c>
      <c r="E55" s="783">
        <f>2560168.04-627484.85</f>
        <v>1932683.19</v>
      </c>
      <c r="F55" s="491">
        <f t="shared" si="10"/>
        <v>270328.29999999981</v>
      </c>
      <c r="G55" s="370">
        <v>18</v>
      </c>
      <c r="H55" s="785">
        <f>6195515.17-530945.28</f>
        <v>5664569.8899999997</v>
      </c>
      <c r="I55" s="782">
        <f>5940549.52-280257.84</f>
        <v>5660291.6799999997</v>
      </c>
      <c r="J55" s="491">
        <f t="shared" si="15"/>
        <v>4278.2099999999627</v>
      </c>
      <c r="K55" s="490">
        <f t="shared" si="9"/>
        <v>24</v>
      </c>
      <c r="L55" s="491">
        <f t="shared" si="11"/>
        <v>7867581.379999999</v>
      </c>
      <c r="M55" s="491">
        <f t="shared" si="12"/>
        <v>7592974.8699999992</v>
      </c>
      <c r="N55" s="500">
        <f t="shared" si="13"/>
        <v>274606.50999999978</v>
      </c>
    </row>
    <row r="56" spans="1:14" x14ac:dyDescent="0.2">
      <c r="A56" s="488">
        <f t="shared" si="14"/>
        <v>11</v>
      </c>
      <c r="B56" s="488" t="s">
        <v>44</v>
      </c>
      <c r="C56" s="490">
        <v>30</v>
      </c>
      <c r="D56" s="782">
        <f>7185829.06-1200344.84</f>
        <v>5985484.2199999997</v>
      </c>
      <c r="E56" s="783">
        <f>6691525.23-1204546.45</f>
        <v>5486978.7800000003</v>
      </c>
      <c r="F56" s="491">
        <f t="shared" si="10"/>
        <v>498505.43999999948</v>
      </c>
      <c r="G56" s="370">
        <v>11</v>
      </c>
      <c r="H56" s="511">
        <f>2217593.5-189108.39</f>
        <v>2028485.1099999999</v>
      </c>
      <c r="I56" s="782">
        <f>2215797.16-188753.04</f>
        <v>2027044.12</v>
      </c>
      <c r="J56" s="491">
        <f t="shared" si="15"/>
        <v>1440.9899999997579</v>
      </c>
      <c r="K56" s="490">
        <f t="shared" si="9"/>
        <v>41</v>
      </c>
      <c r="L56" s="491">
        <f t="shared" si="11"/>
        <v>8013969.3300000001</v>
      </c>
      <c r="M56" s="491">
        <f t="shared" si="12"/>
        <v>7514022.9000000004</v>
      </c>
      <c r="N56" s="500">
        <f t="shared" si="13"/>
        <v>499946.4299999997</v>
      </c>
    </row>
    <row r="57" spans="1:14" x14ac:dyDescent="0.2">
      <c r="A57" s="488">
        <f t="shared" si="14"/>
        <v>12</v>
      </c>
      <c r="B57" s="488" t="s">
        <v>382</v>
      </c>
      <c r="C57" s="490">
        <v>23</v>
      </c>
      <c r="D57" s="782">
        <f>11890663.36-5264132.99</f>
        <v>6626530.3699999992</v>
      </c>
      <c r="E57" s="783">
        <f>10767577.73-4778440.16</f>
        <v>5989137.5700000003</v>
      </c>
      <c r="F57" s="491">
        <f t="shared" si="10"/>
        <v>637392.79999999888</v>
      </c>
      <c r="G57" s="370">
        <v>11</v>
      </c>
      <c r="H57" s="784">
        <f>5902037.84-1720571.84</f>
        <v>4181466</v>
      </c>
      <c r="I57" s="767">
        <f>5896814.2-1718795.12</f>
        <v>4178019.08</v>
      </c>
      <c r="J57" s="527">
        <f t="shared" si="15"/>
        <v>3446.9199999999255</v>
      </c>
      <c r="K57" s="370">
        <f t="shared" si="9"/>
        <v>34</v>
      </c>
      <c r="L57" s="491">
        <f t="shared" si="11"/>
        <v>10807996.369999999</v>
      </c>
      <c r="M57" s="491">
        <f t="shared" si="12"/>
        <v>10167156.65</v>
      </c>
      <c r="N57" s="500">
        <f t="shared" si="13"/>
        <v>640839.71999999881</v>
      </c>
    </row>
    <row r="58" spans="1:14" x14ac:dyDescent="0.2">
      <c r="A58" s="488">
        <f t="shared" si="14"/>
        <v>13</v>
      </c>
      <c r="B58" s="488" t="s">
        <v>226</v>
      </c>
      <c r="C58" s="490">
        <v>6</v>
      </c>
      <c r="D58" s="502">
        <f>3942550.4-1577020.16</f>
        <v>2365530.2400000002</v>
      </c>
      <c r="E58" s="507">
        <f>3505879.38-1398192.57</f>
        <v>2107686.8099999996</v>
      </c>
      <c r="F58" s="491">
        <f t="shared" si="10"/>
        <v>257843.43000000063</v>
      </c>
      <c r="G58" s="490">
        <v>1</v>
      </c>
      <c r="H58" s="517">
        <v>292180.65999999997</v>
      </c>
      <c r="I58" s="502">
        <v>291825.32</v>
      </c>
      <c r="J58" s="491">
        <f t="shared" si="15"/>
        <v>355.3399999999674</v>
      </c>
      <c r="K58" s="490">
        <f t="shared" si="9"/>
        <v>7</v>
      </c>
      <c r="L58" s="491">
        <f t="shared" si="11"/>
        <v>2657710.9000000004</v>
      </c>
      <c r="M58" s="491">
        <f t="shared" si="12"/>
        <v>2399512.1299999994</v>
      </c>
      <c r="N58" s="500">
        <f t="shared" si="13"/>
        <v>258198.77000000095</v>
      </c>
    </row>
    <row r="59" spans="1:14" x14ac:dyDescent="0.2">
      <c r="A59" s="488">
        <f t="shared" si="14"/>
        <v>14</v>
      </c>
      <c r="B59" s="488" t="s">
        <v>224</v>
      </c>
      <c r="C59" s="490">
        <v>0</v>
      </c>
      <c r="D59" s="170">
        <f>2182840.71-2128078.8</f>
        <v>54761.910000000149</v>
      </c>
      <c r="E59" s="170">
        <f>1941752.39-1884930.65</f>
        <v>56821.739999999991</v>
      </c>
      <c r="F59" s="491">
        <f t="shared" si="10"/>
        <v>-2059.8299999998417</v>
      </c>
      <c r="G59" s="490">
        <v>1</v>
      </c>
      <c r="H59" s="505">
        <v>471233.49</v>
      </c>
      <c r="I59" s="170">
        <v>471232.63</v>
      </c>
      <c r="J59" s="491">
        <f t="shared" si="15"/>
        <v>0.85999999998603016</v>
      </c>
      <c r="K59" s="490">
        <f t="shared" si="9"/>
        <v>1</v>
      </c>
      <c r="L59" s="491">
        <f t="shared" si="11"/>
        <v>525995.40000000014</v>
      </c>
      <c r="M59" s="491">
        <f t="shared" si="12"/>
        <v>528054.37</v>
      </c>
      <c r="N59" s="500">
        <f t="shared" si="13"/>
        <v>-2058.9699999998556</v>
      </c>
    </row>
    <row r="60" spans="1:14" x14ac:dyDescent="0.2">
      <c r="A60" s="488">
        <f t="shared" si="14"/>
        <v>15</v>
      </c>
      <c r="B60" s="488" t="s">
        <v>97</v>
      </c>
      <c r="C60" s="490">
        <v>7</v>
      </c>
      <c r="D60" s="502">
        <f>2865520.67-1430693.08</f>
        <v>1434827.5899999999</v>
      </c>
      <c r="E60" s="507">
        <f>2643876.71-1339367.17</f>
        <v>1304509.54</v>
      </c>
      <c r="F60" s="491">
        <f t="shared" si="10"/>
        <v>130318.04999999981</v>
      </c>
      <c r="G60" s="490">
        <v>4</v>
      </c>
      <c r="H60" s="505">
        <v>776823.01</v>
      </c>
      <c r="I60" s="502">
        <v>776131.64</v>
      </c>
      <c r="J60" s="491">
        <f t="shared" si="15"/>
        <v>691.36999999999534</v>
      </c>
      <c r="K60" s="490">
        <f t="shared" si="9"/>
        <v>11</v>
      </c>
      <c r="L60" s="491">
        <f t="shared" si="11"/>
        <v>2211650.5999999996</v>
      </c>
      <c r="M60" s="491">
        <f t="shared" si="12"/>
        <v>2080641.1800000002</v>
      </c>
      <c r="N60" s="500">
        <f t="shared" si="13"/>
        <v>131009.41999999946</v>
      </c>
    </row>
    <row r="61" spans="1:14" x14ac:dyDescent="0.2">
      <c r="A61" s="488">
        <f t="shared" si="14"/>
        <v>16</v>
      </c>
      <c r="B61" s="488" t="s">
        <v>98</v>
      </c>
      <c r="C61" s="490">
        <v>1</v>
      </c>
      <c r="D61" s="491">
        <v>737931.04</v>
      </c>
      <c r="E61" s="507">
        <v>657534.30000000005</v>
      </c>
      <c r="F61" s="491">
        <f t="shared" si="10"/>
        <v>80396.739999999991</v>
      </c>
      <c r="G61" s="490">
        <v>1</v>
      </c>
      <c r="H61" s="503">
        <f>1312094.18-656047.09</f>
        <v>656047.09</v>
      </c>
      <c r="I61" s="491">
        <f>1311383.5-655691.75</f>
        <v>655691.75</v>
      </c>
      <c r="J61" s="491">
        <f t="shared" si="15"/>
        <v>355.3399999999674</v>
      </c>
      <c r="K61" s="490">
        <f t="shared" si="9"/>
        <v>2</v>
      </c>
      <c r="L61" s="491">
        <f t="shared" si="11"/>
        <v>1393978.13</v>
      </c>
      <c r="M61" s="491">
        <f t="shared" si="12"/>
        <v>1313226.05</v>
      </c>
      <c r="N61" s="500">
        <f t="shared" si="13"/>
        <v>80752.079999999842</v>
      </c>
    </row>
    <row r="62" spans="1:14" x14ac:dyDescent="0.2">
      <c r="A62" s="488">
        <f t="shared" si="14"/>
        <v>17</v>
      </c>
      <c r="B62" s="488" t="s">
        <v>301</v>
      </c>
      <c r="C62" s="490">
        <v>5</v>
      </c>
      <c r="D62" s="491">
        <f>3636448.83-1052500.6</f>
        <v>2583948.23</v>
      </c>
      <c r="E62" s="507">
        <f>3373712.98-1037332.83</f>
        <v>2336380.15</v>
      </c>
      <c r="F62" s="491">
        <f t="shared" si="10"/>
        <v>247568.08000000007</v>
      </c>
      <c r="G62" s="490">
        <v>5</v>
      </c>
      <c r="H62" s="503">
        <v>2416178.7200000002</v>
      </c>
      <c r="I62" s="502">
        <v>2414612.33</v>
      </c>
      <c r="J62" s="491">
        <f t="shared" si="15"/>
        <v>1566.3900000001304</v>
      </c>
      <c r="K62" s="490">
        <f t="shared" si="9"/>
        <v>10</v>
      </c>
      <c r="L62" s="491">
        <f t="shared" si="11"/>
        <v>5000126.95</v>
      </c>
      <c r="M62" s="491">
        <f t="shared" si="12"/>
        <v>4750992.4800000004</v>
      </c>
      <c r="N62" s="500">
        <f t="shared" si="13"/>
        <v>249134.46999999974</v>
      </c>
    </row>
    <row r="63" spans="1:14" x14ac:dyDescent="0.2">
      <c r="A63" s="488">
        <f t="shared" si="14"/>
        <v>18</v>
      </c>
      <c r="B63" s="488" t="s">
        <v>136</v>
      </c>
      <c r="C63" s="490"/>
      <c r="D63" s="491"/>
      <c r="E63" s="503"/>
      <c r="F63" s="491">
        <f t="shared" si="10"/>
        <v>0</v>
      </c>
      <c r="G63" s="490"/>
      <c r="H63" s="503"/>
      <c r="I63" s="491"/>
      <c r="J63" s="491">
        <f t="shared" si="15"/>
        <v>0</v>
      </c>
      <c r="K63" s="490">
        <f t="shared" si="9"/>
        <v>0</v>
      </c>
      <c r="L63" s="491">
        <f t="shared" si="11"/>
        <v>0</v>
      </c>
      <c r="M63" s="491">
        <f>+E63+I63</f>
        <v>0</v>
      </c>
      <c r="N63" s="500">
        <f t="shared" si="13"/>
        <v>0</v>
      </c>
    </row>
    <row r="64" spans="1:14" x14ac:dyDescent="0.2">
      <c r="A64" s="488">
        <f t="shared" si="14"/>
        <v>19</v>
      </c>
      <c r="B64" s="488" t="s">
        <v>227</v>
      </c>
      <c r="C64" s="490">
        <v>1</v>
      </c>
      <c r="D64" s="502">
        <v>809775.55</v>
      </c>
      <c r="E64" s="525">
        <v>715302.42</v>
      </c>
      <c r="F64" s="491">
        <f t="shared" si="10"/>
        <v>94473.13</v>
      </c>
      <c r="G64" s="490"/>
      <c r="H64" s="491"/>
      <c r="I64" s="491"/>
      <c r="J64" s="491">
        <f t="shared" si="15"/>
        <v>0</v>
      </c>
      <c r="K64" s="490">
        <f t="shared" si="9"/>
        <v>1</v>
      </c>
      <c r="L64" s="491">
        <f t="shared" si="11"/>
        <v>809775.55</v>
      </c>
      <c r="M64" s="491">
        <f>+E64+I64</f>
        <v>715302.42</v>
      </c>
      <c r="N64" s="500">
        <f t="shared" si="13"/>
        <v>94473.13</v>
      </c>
    </row>
    <row r="65" spans="1:14" x14ac:dyDescent="0.2">
      <c r="A65" s="488">
        <f t="shared" si="14"/>
        <v>20</v>
      </c>
      <c r="B65" s="488" t="s">
        <v>63</v>
      </c>
      <c r="C65" s="490"/>
      <c r="D65" s="503"/>
      <c r="E65" s="503"/>
      <c r="F65" s="491">
        <f t="shared" si="10"/>
        <v>0</v>
      </c>
      <c r="G65" s="490"/>
      <c r="H65" s="503"/>
      <c r="I65" s="503"/>
      <c r="J65" s="491"/>
      <c r="K65" s="490">
        <f t="shared" si="9"/>
        <v>0</v>
      </c>
      <c r="L65" s="491"/>
      <c r="M65" s="491">
        <f>+E65+I65</f>
        <v>0</v>
      </c>
      <c r="N65" s="500"/>
    </row>
    <row r="66" spans="1:14" x14ac:dyDescent="0.2">
      <c r="A66" s="489"/>
      <c r="B66" s="489" t="s">
        <v>45</v>
      </c>
      <c r="C66" s="781">
        <f t="shared" ref="C66:I66" si="16">+SUM(C46:C65)</f>
        <v>97</v>
      </c>
      <c r="D66" s="526">
        <f>+SUM(D46:D65)</f>
        <v>30343407.730000004</v>
      </c>
      <c r="E66" s="526">
        <f t="shared" si="16"/>
        <v>27507583.269999996</v>
      </c>
      <c r="F66" s="526">
        <f t="shared" si="16"/>
        <v>2835824.46</v>
      </c>
      <c r="G66" s="781">
        <f t="shared" si="16"/>
        <v>77</v>
      </c>
      <c r="H66" s="526">
        <f t="shared" si="16"/>
        <v>23964388.799999997</v>
      </c>
      <c r="I66" s="526">
        <f t="shared" si="16"/>
        <v>23956489.149999999</v>
      </c>
      <c r="J66" s="527">
        <f>SUM(J46:J65)</f>
        <v>7899.6500000003725</v>
      </c>
      <c r="K66" s="781">
        <f>SUM(K46:K65)</f>
        <v>174</v>
      </c>
      <c r="L66" s="526">
        <f>SUM(L46:L65)</f>
        <v>54307796.530000001</v>
      </c>
      <c r="M66" s="526">
        <f>SUM(M46:M65)</f>
        <v>51464072.420000002</v>
      </c>
      <c r="N66" s="527">
        <f>SUM(N46:N65)</f>
        <v>2843724.1099999994</v>
      </c>
    </row>
    <row r="67" spans="1:14" x14ac:dyDescent="0.2">
      <c r="A67" s="488"/>
      <c r="B67" s="488" t="s">
        <v>61</v>
      </c>
      <c r="C67" s="528"/>
      <c r="D67" s="529">
        <v>30343407.73</v>
      </c>
      <c r="E67" s="529">
        <v>27507583.27</v>
      </c>
      <c r="F67" s="527"/>
      <c r="G67" s="490"/>
      <c r="H67" s="529">
        <v>23964388.800000001</v>
      </c>
      <c r="I67" s="529">
        <v>23956489.149999999</v>
      </c>
      <c r="J67" s="491"/>
      <c r="K67" s="488"/>
      <c r="L67" s="488"/>
      <c r="M67" s="488"/>
      <c r="N67" s="488"/>
    </row>
    <row r="68" spans="1:14" x14ac:dyDescent="0.2">
      <c r="A68" s="489"/>
      <c r="B68" s="489" t="s">
        <v>230</v>
      </c>
      <c r="C68" s="781"/>
      <c r="D68" s="527">
        <f>+D67-D66</f>
        <v>0</v>
      </c>
      <c r="E68" s="527">
        <f>+E66-E67</f>
        <v>0</v>
      </c>
      <c r="F68" s="527"/>
      <c r="G68" s="781"/>
      <c r="H68" s="527">
        <f>+H66-H67</f>
        <v>0</v>
      </c>
      <c r="I68" s="527">
        <f>+I66-I67</f>
        <v>0</v>
      </c>
      <c r="J68" s="489"/>
      <c r="K68" s="489"/>
      <c r="L68" s="527"/>
      <c r="M68" s="527"/>
      <c r="N68" s="489"/>
    </row>
    <row r="69" spans="1:14" x14ac:dyDescent="0.2">
      <c r="A69" s="489"/>
      <c r="B69" s="489"/>
      <c r="C69" s="781"/>
      <c r="D69" s="527"/>
      <c r="E69" s="527"/>
      <c r="F69" s="527"/>
      <c r="G69" s="781"/>
      <c r="H69" s="489"/>
      <c r="I69" s="489"/>
      <c r="J69" s="489"/>
      <c r="K69" s="489"/>
      <c r="L69" s="530"/>
      <c r="M69" s="530"/>
      <c r="N69" s="489"/>
    </row>
    <row r="70" spans="1:14" x14ac:dyDescent="0.2">
      <c r="A70" s="489"/>
      <c r="B70" s="488" t="s">
        <v>403</v>
      </c>
      <c r="C70" s="490"/>
      <c r="D70" s="491"/>
      <c r="E70" s="503"/>
      <c r="F70" s="491"/>
      <c r="G70" s="531"/>
      <c r="H70" s="489"/>
      <c r="I70" s="489"/>
      <c r="J70" s="489"/>
      <c r="K70" s="489"/>
      <c r="L70" s="489"/>
      <c r="M70" s="489"/>
      <c r="N70" s="489"/>
    </row>
    <row r="71" spans="1:14" x14ac:dyDescent="0.2">
      <c r="A71" s="489"/>
      <c r="B71" s="488" t="s">
        <v>168</v>
      </c>
      <c r="C71" s="490">
        <v>10</v>
      </c>
      <c r="D71" s="491">
        <f>3258103.43-520862.06</f>
        <v>2737241.37</v>
      </c>
      <c r="E71" s="532">
        <f>2962339.1-470000</f>
        <v>2492339.1</v>
      </c>
      <c r="F71" s="491">
        <f>+D71-E71</f>
        <v>244902.27000000002</v>
      </c>
      <c r="G71" s="531"/>
      <c r="H71" s="489"/>
      <c r="I71" s="489"/>
      <c r="J71" s="489"/>
      <c r="K71" s="489"/>
      <c r="L71" s="489"/>
      <c r="M71" s="489"/>
      <c r="N71" s="489"/>
    </row>
    <row r="72" spans="1:14" x14ac:dyDescent="0.2">
      <c r="A72" s="488"/>
      <c r="B72" s="488" t="s">
        <v>169</v>
      </c>
      <c r="C72" s="490">
        <v>13</v>
      </c>
      <c r="D72" s="502">
        <f>2880517.24-300000</f>
        <v>2580517.2400000002</v>
      </c>
      <c r="E72" s="533">
        <f>2759334.23-278750</f>
        <v>2480584.23</v>
      </c>
      <c r="F72" s="491">
        <f>+D72-E72</f>
        <v>99933.010000000242</v>
      </c>
      <c r="G72" s="534"/>
      <c r="H72" s="491"/>
      <c r="I72" s="491"/>
      <c r="J72" s="491"/>
      <c r="K72" s="488"/>
      <c r="L72" s="488"/>
      <c r="M72" s="488"/>
      <c r="N72" s="488"/>
    </row>
    <row r="73" spans="1:14" x14ac:dyDescent="0.2">
      <c r="A73" s="489"/>
      <c r="B73" s="489" t="s">
        <v>170</v>
      </c>
      <c r="C73" s="781">
        <f>+C71+C72</f>
        <v>23</v>
      </c>
      <c r="D73" s="526">
        <f>SUM(D70:D72)</f>
        <v>5317758.6100000003</v>
      </c>
      <c r="E73" s="526">
        <f>SUM(E70:E72)</f>
        <v>4972923.33</v>
      </c>
      <c r="F73" s="527">
        <f>SUM(F70:F72)</f>
        <v>344835.28000000026</v>
      </c>
      <c r="G73" s="531">
        <f>+F73/F75</f>
        <v>0.10841627466885227</v>
      </c>
      <c r="H73" s="489"/>
      <c r="I73" s="489"/>
      <c r="J73" s="489"/>
      <c r="K73" s="489"/>
      <c r="L73" s="489"/>
      <c r="M73" s="489"/>
      <c r="N73" s="489"/>
    </row>
    <row r="74" spans="1:14" x14ac:dyDescent="0.2">
      <c r="A74" s="488"/>
      <c r="B74" s="488"/>
      <c r="C74" s="490"/>
      <c r="D74" s="529"/>
      <c r="E74" s="529"/>
      <c r="F74" s="491">
        <f>+D74-E74</f>
        <v>0</v>
      </c>
      <c r="G74" s="490"/>
      <c r="H74" s="489" t="s">
        <v>9</v>
      </c>
      <c r="I74" s="488"/>
      <c r="J74" s="488"/>
      <c r="K74" s="488"/>
      <c r="L74" s="488"/>
      <c r="M74" s="488"/>
      <c r="N74" s="488"/>
    </row>
    <row r="75" spans="1:14" x14ac:dyDescent="0.2">
      <c r="A75" s="489"/>
      <c r="B75" s="489" t="s">
        <v>130</v>
      </c>
      <c r="C75" s="781">
        <f>+C73+C66</f>
        <v>120</v>
      </c>
      <c r="D75" s="527">
        <f>+D66+D73</f>
        <v>35661166.340000004</v>
      </c>
      <c r="E75" s="527">
        <f>+E66+E73</f>
        <v>32480506.599999994</v>
      </c>
      <c r="F75" s="527">
        <f>+F73+F66</f>
        <v>3180659.74</v>
      </c>
      <c r="G75" s="781"/>
      <c r="H75" s="489"/>
      <c r="I75" s="489"/>
      <c r="J75" s="489"/>
      <c r="K75" s="489"/>
      <c r="L75" s="489"/>
      <c r="M75" s="489"/>
      <c r="N75" s="489"/>
    </row>
    <row r="77" spans="1:14" x14ac:dyDescent="0.2">
      <c r="A77" s="488"/>
      <c r="B77" s="489" t="s">
        <v>133</v>
      </c>
      <c r="C77" s="490"/>
      <c r="D77" s="491"/>
      <c r="E77" s="491"/>
      <c r="F77" s="491"/>
      <c r="G77" s="490"/>
      <c r="H77" s="488"/>
      <c r="I77" s="488"/>
      <c r="J77" s="488"/>
      <c r="K77" s="488"/>
      <c r="L77" s="488"/>
      <c r="M77" s="488"/>
      <c r="N77" s="488"/>
    </row>
    <row r="78" spans="1:14" x14ac:dyDescent="0.2">
      <c r="A78" s="488"/>
      <c r="B78" s="489" t="s">
        <v>46</v>
      </c>
      <c r="C78" s="490"/>
      <c r="D78" s="491"/>
      <c r="E78" s="491"/>
      <c r="F78" s="491"/>
      <c r="G78" s="490"/>
      <c r="H78" s="488"/>
      <c r="I78" s="488"/>
      <c r="J78" s="488"/>
      <c r="K78" s="488"/>
      <c r="L78" s="488"/>
      <c r="M78" s="488"/>
      <c r="N78" s="488"/>
    </row>
    <row r="79" spans="1:14" x14ac:dyDescent="0.2">
      <c r="A79" s="488"/>
      <c r="B79" s="489"/>
      <c r="C79" s="490"/>
      <c r="D79" s="491"/>
      <c r="E79" s="491"/>
      <c r="F79" s="491"/>
      <c r="G79" s="492"/>
      <c r="H79" s="488"/>
      <c r="I79" s="488"/>
      <c r="J79" s="488"/>
      <c r="K79" s="488"/>
      <c r="L79" s="488"/>
      <c r="M79" s="488"/>
      <c r="N79" s="488"/>
    </row>
    <row r="80" spans="1:14" x14ac:dyDescent="0.2">
      <c r="A80" s="488"/>
      <c r="B80" s="493" t="s">
        <v>6706</v>
      </c>
      <c r="C80" s="490"/>
      <c r="D80" s="491"/>
      <c r="E80" s="770"/>
      <c r="F80" s="491"/>
      <c r="G80" s="490"/>
      <c r="H80" s="488"/>
      <c r="I80" s="488"/>
      <c r="J80" s="488"/>
      <c r="K80" s="488"/>
      <c r="L80" s="488"/>
      <c r="M80" s="488"/>
      <c r="N80" s="488"/>
    </row>
    <row r="81" spans="1:14" x14ac:dyDescent="0.2">
      <c r="A81" s="488"/>
      <c r="B81" s="488"/>
      <c r="C81" s="490"/>
      <c r="D81" s="491"/>
      <c r="E81" s="491"/>
      <c r="F81" s="491"/>
      <c r="G81" s="828" t="s">
        <v>283</v>
      </c>
      <c r="H81" s="828"/>
      <c r="I81" s="828"/>
      <c r="J81" s="828"/>
      <c r="K81" s="828" t="s">
        <v>39</v>
      </c>
      <c r="L81" s="828"/>
      <c r="M81" s="828"/>
      <c r="N81" s="828"/>
    </row>
    <row r="82" spans="1:14" x14ac:dyDescent="0.2">
      <c r="A82" s="766"/>
      <c r="B82" s="766" t="s">
        <v>154</v>
      </c>
      <c r="C82" s="766" t="s">
        <v>41</v>
      </c>
      <c r="D82" s="495" t="s">
        <v>42</v>
      </c>
      <c r="E82" s="495" t="s">
        <v>376</v>
      </c>
      <c r="F82" s="495" t="s">
        <v>43</v>
      </c>
      <c r="G82" s="766" t="s">
        <v>41</v>
      </c>
      <c r="H82" s="495" t="s">
        <v>42</v>
      </c>
      <c r="I82" s="495" t="s">
        <v>376</v>
      </c>
      <c r="J82" s="495" t="s">
        <v>43</v>
      </c>
      <c r="K82" s="766" t="s">
        <v>41</v>
      </c>
      <c r="L82" s="495" t="s">
        <v>42</v>
      </c>
      <c r="M82" s="495" t="s">
        <v>376</v>
      </c>
      <c r="N82" s="495" t="s">
        <v>43</v>
      </c>
    </row>
    <row r="83" spans="1:14" x14ac:dyDescent="0.2">
      <c r="A83" s="488">
        <v>1</v>
      </c>
      <c r="B83" s="488" t="s">
        <v>35</v>
      </c>
      <c r="C83" s="490">
        <v>0</v>
      </c>
      <c r="D83" s="496">
        <f>807700.48-799379.64</f>
        <v>8320.8399999999674</v>
      </c>
      <c r="E83" s="507">
        <f>723392.66-703285.82</f>
        <v>20106.840000000084</v>
      </c>
      <c r="F83" s="491">
        <f>+D83-E83</f>
        <v>-11786.000000000116</v>
      </c>
      <c r="G83" s="490">
        <v>3</v>
      </c>
      <c r="H83" s="498">
        <v>979377.15</v>
      </c>
      <c r="I83" s="499">
        <v>978666.28</v>
      </c>
      <c r="J83" s="491">
        <f>+H83-I83</f>
        <v>710.86999999999534</v>
      </c>
      <c r="K83" s="490">
        <f t="shared" ref="K83:K102" si="17">+C83+G83</f>
        <v>3</v>
      </c>
      <c r="L83" s="491">
        <f>+D83+H83</f>
        <v>987697.99</v>
      </c>
      <c r="M83" s="491">
        <f>E83+I83</f>
        <v>998773.12000000011</v>
      </c>
      <c r="N83" s="500">
        <f>+L83-M83</f>
        <v>-11075.130000000121</v>
      </c>
    </row>
    <row r="84" spans="1:14" x14ac:dyDescent="0.2">
      <c r="A84" s="488">
        <v>2</v>
      </c>
      <c r="B84" s="488" t="s">
        <v>229</v>
      </c>
      <c r="C84" s="490">
        <v>6</v>
      </c>
      <c r="D84" s="496">
        <f>2885428.43-1380257.28</f>
        <v>1505171.1500000001</v>
      </c>
      <c r="E84" s="507">
        <f>2726364.43-1345761.62</f>
        <v>1380602.81</v>
      </c>
      <c r="F84" s="491">
        <f t="shared" ref="F84:F102" si="18">+D84-E84</f>
        <v>124568.34000000008</v>
      </c>
      <c r="G84" s="490">
        <v>4</v>
      </c>
      <c r="H84" s="498">
        <v>935819.98</v>
      </c>
      <c r="I84" s="501">
        <v>937016.4</v>
      </c>
      <c r="J84" s="491">
        <f>+H84-I84</f>
        <v>-1196.4200000000419</v>
      </c>
      <c r="K84" s="490">
        <f t="shared" si="17"/>
        <v>10</v>
      </c>
      <c r="L84" s="491">
        <f t="shared" ref="L84:L101" si="19">+D84+H84</f>
        <v>2440991.13</v>
      </c>
      <c r="M84" s="491">
        <f t="shared" ref="M84:M99" si="20">E84+I84</f>
        <v>2317619.21</v>
      </c>
      <c r="N84" s="500">
        <f t="shared" ref="N84:N101" si="21">+L84-M84</f>
        <v>123371.91999999993</v>
      </c>
    </row>
    <row r="85" spans="1:14" x14ac:dyDescent="0.2">
      <c r="A85" s="488">
        <f t="shared" ref="A85:A102" si="22">+A84+1</f>
        <v>3</v>
      </c>
      <c r="B85" s="488" t="s">
        <v>378</v>
      </c>
      <c r="C85" s="490"/>
      <c r="D85" s="502"/>
      <c r="E85" s="491"/>
      <c r="F85" s="491">
        <f t="shared" si="18"/>
        <v>0</v>
      </c>
      <c r="G85" s="490"/>
      <c r="H85" s="503"/>
      <c r="I85" s="503"/>
      <c r="J85" s="491">
        <f t="shared" ref="J85:J101" si="23">+H85-I85</f>
        <v>0</v>
      </c>
      <c r="K85" s="490">
        <f t="shared" si="17"/>
        <v>0</v>
      </c>
      <c r="L85" s="491">
        <f t="shared" si="19"/>
        <v>0</v>
      </c>
      <c r="M85" s="491">
        <f t="shared" si="20"/>
        <v>0</v>
      </c>
      <c r="N85" s="500">
        <f t="shared" si="21"/>
        <v>0</v>
      </c>
    </row>
    <row r="86" spans="1:14" x14ac:dyDescent="0.2">
      <c r="A86" s="488">
        <f>+A85+1</f>
        <v>4</v>
      </c>
      <c r="B86" s="488" t="s">
        <v>30</v>
      </c>
      <c r="C86" s="490">
        <v>4</v>
      </c>
      <c r="D86" s="502">
        <f>2149008.62-697758.62</f>
        <v>1451250</v>
      </c>
      <c r="E86" s="507">
        <f>2026792.32-681865.28</f>
        <v>1344927.04</v>
      </c>
      <c r="F86" s="491">
        <f t="shared" si="18"/>
        <v>106322.95999999996</v>
      </c>
      <c r="G86" s="490">
        <v>3</v>
      </c>
      <c r="H86" s="505">
        <f>1272411.07-345189.7</f>
        <v>927221.37000000011</v>
      </c>
      <c r="I86" s="506">
        <f>1254165.98-326376</f>
        <v>927789.98</v>
      </c>
      <c r="J86" s="491">
        <f t="shared" si="23"/>
        <v>-568.60999999986961</v>
      </c>
      <c r="K86" s="490">
        <f t="shared" si="17"/>
        <v>7</v>
      </c>
      <c r="L86" s="491">
        <f t="shared" si="19"/>
        <v>2378471.37</v>
      </c>
      <c r="M86" s="491">
        <f t="shared" si="20"/>
        <v>2272717.02</v>
      </c>
      <c r="N86" s="500">
        <f t="shared" si="21"/>
        <v>105754.35000000009</v>
      </c>
    </row>
    <row r="87" spans="1:14" x14ac:dyDescent="0.2">
      <c r="A87" s="488">
        <f t="shared" si="22"/>
        <v>5</v>
      </c>
      <c r="B87" s="488" t="s">
        <v>48</v>
      </c>
      <c r="C87" s="490"/>
      <c r="D87" s="491"/>
      <c r="E87" s="491"/>
      <c r="F87" s="491">
        <f t="shared" si="18"/>
        <v>0</v>
      </c>
      <c r="G87" s="490"/>
      <c r="H87" s="503"/>
      <c r="I87" s="503"/>
      <c r="J87" s="491">
        <f t="shared" si="23"/>
        <v>0</v>
      </c>
      <c r="K87" s="490">
        <f t="shared" si="17"/>
        <v>0</v>
      </c>
      <c r="L87" s="491">
        <f t="shared" si="19"/>
        <v>0</v>
      </c>
      <c r="M87" s="491">
        <f t="shared" si="20"/>
        <v>0</v>
      </c>
      <c r="N87" s="500">
        <f t="shared" si="21"/>
        <v>0</v>
      </c>
    </row>
    <row r="88" spans="1:14" x14ac:dyDescent="0.2">
      <c r="A88" s="488">
        <f t="shared" si="22"/>
        <v>6</v>
      </c>
      <c r="B88" s="488" t="s">
        <v>231</v>
      </c>
      <c r="C88" s="490"/>
      <c r="D88" s="491"/>
      <c r="E88" s="491"/>
      <c r="F88" s="491">
        <f t="shared" si="18"/>
        <v>0</v>
      </c>
      <c r="G88" s="490"/>
      <c r="H88" s="503"/>
      <c r="I88" s="503"/>
      <c r="J88" s="491">
        <f t="shared" si="23"/>
        <v>0</v>
      </c>
      <c r="K88" s="490">
        <f t="shared" si="17"/>
        <v>0</v>
      </c>
      <c r="L88" s="491">
        <f t="shared" si="19"/>
        <v>0</v>
      </c>
      <c r="M88" s="491">
        <f t="shared" si="20"/>
        <v>0</v>
      </c>
      <c r="N88" s="500">
        <f t="shared" si="21"/>
        <v>0</v>
      </c>
    </row>
    <row r="89" spans="1:14" x14ac:dyDescent="0.2">
      <c r="A89" s="488">
        <f t="shared" si="22"/>
        <v>7</v>
      </c>
      <c r="B89" s="488" t="s">
        <v>282</v>
      </c>
      <c r="C89" s="490"/>
      <c r="D89" s="491"/>
      <c r="E89" s="491"/>
      <c r="F89" s="491">
        <f t="shared" si="18"/>
        <v>0</v>
      </c>
      <c r="G89" s="490"/>
      <c r="H89" s="503"/>
      <c r="I89" s="491"/>
      <c r="J89" s="491">
        <f t="shared" si="23"/>
        <v>0</v>
      </c>
      <c r="K89" s="490">
        <f t="shared" si="17"/>
        <v>0</v>
      </c>
      <c r="L89" s="491">
        <f t="shared" si="19"/>
        <v>0</v>
      </c>
      <c r="M89" s="491">
        <f t="shared" si="20"/>
        <v>0</v>
      </c>
      <c r="N89" s="500">
        <f t="shared" si="21"/>
        <v>0</v>
      </c>
    </row>
    <row r="90" spans="1:14" x14ac:dyDescent="0.2">
      <c r="A90" s="488">
        <f t="shared" si="22"/>
        <v>8</v>
      </c>
      <c r="B90" s="488" t="s">
        <v>228</v>
      </c>
      <c r="C90" s="490">
        <v>8</v>
      </c>
      <c r="D90" s="502">
        <f>6540888.85-2767688.29</f>
        <v>3773200.5599999996</v>
      </c>
      <c r="E90" s="502">
        <f>5956690.58-2559684.29</f>
        <v>3397006.29</v>
      </c>
      <c r="F90" s="491">
        <f t="shared" si="18"/>
        <v>376194.26999999955</v>
      </c>
      <c r="G90" s="490">
        <v>6</v>
      </c>
      <c r="H90" s="505">
        <f>3143888.93-391965.6</f>
        <v>2751923.33</v>
      </c>
      <c r="I90" s="170">
        <f>3145241.4-391610.27</f>
        <v>2753631.13</v>
      </c>
      <c r="J90" s="491">
        <f t="shared" si="23"/>
        <v>-1707.7999999998137</v>
      </c>
      <c r="K90" s="490">
        <f t="shared" si="17"/>
        <v>14</v>
      </c>
      <c r="L90" s="491">
        <f t="shared" si="19"/>
        <v>6525123.8899999997</v>
      </c>
      <c r="M90" s="491">
        <f t="shared" si="20"/>
        <v>6150637.4199999999</v>
      </c>
      <c r="N90" s="500">
        <f t="shared" si="21"/>
        <v>374486.46999999974</v>
      </c>
    </row>
    <row r="91" spans="1:14" x14ac:dyDescent="0.2">
      <c r="A91" s="488">
        <f t="shared" si="22"/>
        <v>9</v>
      </c>
      <c r="B91" s="488" t="s">
        <v>76</v>
      </c>
      <c r="C91" s="490"/>
      <c r="D91" s="491"/>
      <c r="E91" s="491"/>
      <c r="F91" s="491">
        <f t="shared" si="18"/>
        <v>0</v>
      </c>
      <c r="G91" s="490"/>
      <c r="H91" s="503"/>
      <c r="I91" s="491"/>
      <c r="J91" s="491">
        <f t="shared" si="23"/>
        <v>0</v>
      </c>
      <c r="K91" s="490">
        <f t="shared" si="17"/>
        <v>0</v>
      </c>
      <c r="L91" s="491">
        <f t="shared" si="19"/>
        <v>0</v>
      </c>
      <c r="M91" s="491">
        <f t="shared" si="20"/>
        <v>0</v>
      </c>
      <c r="N91" s="500">
        <f t="shared" si="21"/>
        <v>0</v>
      </c>
    </row>
    <row r="92" spans="1:14" x14ac:dyDescent="0.2">
      <c r="A92" s="488">
        <f t="shared" si="22"/>
        <v>10</v>
      </c>
      <c r="B92" s="488" t="s">
        <v>379</v>
      </c>
      <c r="C92" s="490">
        <v>4</v>
      </c>
      <c r="D92" s="502">
        <f>2452509.85-987831.94</f>
        <v>1464677.9100000001</v>
      </c>
      <c r="E92" s="507">
        <f>2017902.47-706064.35</f>
        <v>1311838.1200000001</v>
      </c>
      <c r="F92" s="491">
        <f t="shared" si="18"/>
        <v>152839.79000000004</v>
      </c>
      <c r="G92" s="490">
        <v>7</v>
      </c>
      <c r="H92" s="508">
        <f>2613534.3-336482.28</f>
        <v>2277052.0199999996</v>
      </c>
      <c r="I92" s="502">
        <f>2580204.74-336481.41</f>
        <v>2243723.33</v>
      </c>
      <c r="J92" s="491">
        <f t="shared" si="23"/>
        <v>33328.689999999478</v>
      </c>
      <c r="K92" s="490">
        <f t="shared" si="17"/>
        <v>11</v>
      </c>
      <c r="L92" s="491">
        <f t="shared" si="19"/>
        <v>3741729.9299999997</v>
      </c>
      <c r="M92" s="491">
        <f t="shared" si="20"/>
        <v>3555561.45</v>
      </c>
      <c r="N92" s="500">
        <f t="shared" si="21"/>
        <v>186168.47999999952</v>
      </c>
    </row>
    <row r="93" spans="1:14" x14ac:dyDescent="0.2">
      <c r="A93" s="488">
        <f t="shared" si="22"/>
        <v>11</v>
      </c>
      <c r="B93" s="488" t="s">
        <v>44</v>
      </c>
      <c r="C93" s="490">
        <v>12</v>
      </c>
      <c r="D93" s="502">
        <f>3623448.27-1440840.73</f>
        <v>2182607.54</v>
      </c>
      <c r="E93" s="507">
        <f>3334311.57-1343252.97</f>
        <v>1991058.5999999999</v>
      </c>
      <c r="F93" s="491">
        <f t="shared" si="18"/>
        <v>191548.94000000018</v>
      </c>
      <c r="G93" s="490">
        <v>10</v>
      </c>
      <c r="H93" s="511">
        <v>1794526.03</v>
      </c>
      <c r="I93" s="502">
        <v>1798349.5</v>
      </c>
      <c r="J93" s="491">
        <f t="shared" si="23"/>
        <v>-3823.4699999999721</v>
      </c>
      <c r="K93" s="490">
        <f t="shared" si="17"/>
        <v>22</v>
      </c>
      <c r="L93" s="491">
        <f t="shared" si="19"/>
        <v>3977133.5700000003</v>
      </c>
      <c r="M93" s="491">
        <f t="shared" si="20"/>
        <v>3789408.0999999996</v>
      </c>
      <c r="N93" s="500">
        <f t="shared" si="21"/>
        <v>187725.47000000067</v>
      </c>
    </row>
    <row r="94" spans="1:14" x14ac:dyDescent="0.2">
      <c r="A94" s="488">
        <f t="shared" si="22"/>
        <v>12</v>
      </c>
      <c r="B94" s="488" t="s">
        <v>382</v>
      </c>
      <c r="C94" s="766">
        <v>27</v>
      </c>
      <c r="D94" s="767">
        <f>10907281.56-2913589.47-420578.82</f>
        <v>7573113.2699999996</v>
      </c>
      <c r="E94" s="768">
        <f>9452162.11-2654435.26</f>
        <v>6797726.8499999996</v>
      </c>
      <c r="F94" s="527">
        <f t="shared" si="18"/>
        <v>775386.41999999993</v>
      </c>
      <c r="G94" s="313">
        <v>10</v>
      </c>
      <c r="H94" s="769">
        <f>2679377.59-267627.3+420578.82</f>
        <v>2832329.11</v>
      </c>
      <c r="I94" s="767">
        <f>3097574.37-262450.93</f>
        <v>2835123.44</v>
      </c>
      <c r="J94" s="527">
        <f t="shared" si="23"/>
        <v>-2794.3300000000745</v>
      </c>
      <c r="K94" s="370">
        <f t="shared" si="17"/>
        <v>37</v>
      </c>
      <c r="L94" s="491">
        <f t="shared" si="19"/>
        <v>10405442.379999999</v>
      </c>
      <c r="M94" s="491">
        <f t="shared" si="20"/>
        <v>9632850.2899999991</v>
      </c>
      <c r="N94" s="500">
        <f t="shared" si="21"/>
        <v>772592.08999999985</v>
      </c>
    </row>
    <row r="95" spans="1:14" x14ac:dyDescent="0.2">
      <c r="A95" s="488">
        <f t="shared" si="22"/>
        <v>13</v>
      </c>
      <c r="B95" s="488" t="s">
        <v>226</v>
      </c>
      <c r="C95" s="490">
        <v>4</v>
      </c>
      <c r="D95" s="502">
        <v>1511829.16</v>
      </c>
      <c r="E95" s="507">
        <v>1356304.83</v>
      </c>
      <c r="F95" s="491">
        <f t="shared" si="18"/>
        <v>155524.32999999984</v>
      </c>
      <c r="G95" s="490">
        <v>0</v>
      </c>
      <c r="H95" s="517">
        <f>581834.46-581833.59</f>
        <v>0.86999999999534339</v>
      </c>
      <c r="I95" s="502">
        <v>0</v>
      </c>
      <c r="J95" s="491">
        <f t="shared" si="23"/>
        <v>0.86999999999534339</v>
      </c>
      <c r="K95" s="490">
        <f t="shared" si="17"/>
        <v>4</v>
      </c>
      <c r="L95" s="491">
        <f t="shared" si="19"/>
        <v>1511830.0299999998</v>
      </c>
      <c r="M95" s="491">
        <f t="shared" si="20"/>
        <v>1356304.83</v>
      </c>
      <c r="N95" s="500">
        <f t="shared" si="21"/>
        <v>155525.19999999972</v>
      </c>
    </row>
    <row r="96" spans="1:14" x14ac:dyDescent="0.2">
      <c r="A96" s="488">
        <f t="shared" si="22"/>
        <v>14</v>
      </c>
      <c r="B96" s="488" t="s">
        <v>224</v>
      </c>
      <c r="C96" s="490">
        <v>7</v>
      </c>
      <c r="D96" s="170">
        <f>9023152.66-5222906.37</f>
        <v>3800246.29</v>
      </c>
      <c r="E96" s="170">
        <f>8186085.16-4700449.39</f>
        <v>3485635.7700000005</v>
      </c>
      <c r="F96" s="491">
        <f t="shared" si="18"/>
        <v>314610.51999999955</v>
      </c>
      <c r="G96" s="490">
        <v>1</v>
      </c>
      <c r="H96" s="505">
        <v>471232.62</v>
      </c>
      <c r="I96" s="170">
        <v>472156.14</v>
      </c>
      <c r="J96" s="491">
        <f t="shared" si="23"/>
        <v>-923.52000000001863</v>
      </c>
      <c r="K96" s="490">
        <f t="shared" si="17"/>
        <v>8</v>
      </c>
      <c r="L96" s="491">
        <f t="shared" si="19"/>
        <v>4271478.91</v>
      </c>
      <c r="M96" s="491">
        <f t="shared" si="20"/>
        <v>3957791.9100000006</v>
      </c>
      <c r="N96" s="500">
        <f t="shared" si="21"/>
        <v>313686.99999999953</v>
      </c>
    </row>
    <row r="97" spans="1:14" x14ac:dyDescent="0.2">
      <c r="A97" s="488">
        <f t="shared" si="22"/>
        <v>15</v>
      </c>
      <c r="B97" s="488" t="s">
        <v>97</v>
      </c>
      <c r="C97" s="490">
        <v>8</v>
      </c>
      <c r="D97" s="502">
        <f>2930958.52-1249055.14</f>
        <v>1681903.3800000001</v>
      </c>
      <c r="E97" s="507">
        <f>2750063.71-1197094.88</f>
        <v>1552968.83</v>
      </c>
      <c r="F97" s="491">
        <f t="shared" si="18"/>
        <v>128934.55000000005</v>
      </c>
      <c r="G97" s="490">
        <v>2</v>
      </c>
      <c r="H97" s="505">
        <v>400750.45</v>
      </c>
      <c r="I97" s="502">
        <v>402987.17</v>
      </c>
      <c r="J97" s="491">
        <f t="shared" si="23"/>
        <v>-2236.7199999999721</v>
      </c>
      <c r="K97" s="490">
        <f t="shared" si="17"/>
        <v>10</v>
      </c>
      <c r="L97" s="491">
        <f t="shared" si="19"/>
        <v>2082653.83</v>
      </c>
      <c r="M97" s="491">
        <f t="shared" si="20"/>
        <v>1955956</v>
      </c>
      <c r="N97" s="500">
        <f t="shared" si="21"/>
        <v>126697.83000000007</v>
      </c>
    </row>
    <row r="98" spans="1:14" x14ac:dyDescent="0.2">
      <c r="A98" s="488">
        <f t="shared" si="22"/>
        <v>16</v>
      </c>
      <c r="B98" s="488" t="s">
        <v>98</v>
      </c>
      <c r="C98" s="490"/>
      <c r="D98" s="491"/>
      <c r="E98" s="507">
        <f>656925.35-656514.15</f>
        <v>411.19999999995343</v>
      </c>
      <c r="F98" s="491">
        <f t="shared" si="18"/>
        <v>-411.19999999995343</v>
      </c>
      <c r="G98" s="490"/>
      <c r="H98" s="503"/>
      <c r="I98" s="491">
        <v>0</v>
      </c>
      <c r="J98" s="491">
        <f t="shared" si="23"/>
        <v>0</v>
      </c>
      <c r="K98" s="490">
        <f t="shared" si="17"/>
        <v>0</v>
      </c>
      <c r="L98" s="491">
        <f t="shared" si="19"/>
        <v>0</v>
      </c>
      <c r="M98" s="491">
        <f t="shared" si="20"/>
        <v>411.19999999995343</v>
      </c>
      <c r="N98" s="500">
        <f t="shared" si="21"/>
        <v>-411.19999999995343</v>
      </c>
    </row>
    <row r="99" spans="1:14" x14ac:dyDescent="0.2">
      <c r="A99" s="488">
        <f t="shared" si="22"/>
        <v>17</v>
      </c>
      <c r="B99" s="488" t="s">
        <v>301</v>
      </c>
      <c r="C99" s="490">
        <v>1</v>
      </c>
      <c r="D99" s="491">
        <v>498177.8</v>
      </c>
      <c r="E99" s="507">
        <f>464380.13-13342.23</f>
        <v>451037.9</v>
      </c>
      <c r="F99" s="491">
        <f t="shared" si="18"/>
        <v>47139.899999999965</v>
      </c>
      <c r="G99" s="490"/>
      <c r="H99" s="503"/>
      <c r="I99" s="502">
        <v>0</v>
      </c>
      <c r="J99" s="491">
        <f t="shared" si="23"/>
        <v>0</v>
      </c>
      <c r="K99" s="490">
        <f t="shared" si="17"/>
        <v>1</v>
      </c>
      <c r="L99" s="491">
        <f t="shared" si="19"/>
        <v>498177.8</v>
      </c>
      <c r="M99" s="491">
        <f t="shared" si="20"/>
        <v>451037.9</v>
      </c>
      <c r="N99" s="500">
        <f t="shared" si="21"/>
        <v>47139.899999999965</v>
      </c>
    </row>
    <row r="100" spans="1:14" x14ac:dyDescent="0.2">
      <c r="A100" s="488">
        <f t="shared" si="22"/>
        <v>18</v>
      </c>
      <c r="B100" s="488" t="s">
        <v>136</v>
      </c>
      <c r="C100" s="490"/>
      <c r="D100" s="491"/>
      <c r="E100" s="503"/>
      <c r="F100" s="491">
        <f t="shared" si="18"/>
        <v>0</v>
      </c>
      <c r="G100" s="490"/>
      <c r="H100" s="503"/>
      <c r="I100" s="491"/>
      <c r="J100" s="491">
        <f t="shared" si="23"/>
        <v>0</v>
      </c>
      <c r="K100" s="490">
        <f t="shared" si="17"/>
        <v>0</v>
      </c>
      <c r="L100" s="491">
        <f t="shared" si="19"/>
        <v>0</v>
      </c>
      <c r="M100" s="491">
        <f>+E100+I100</f>
        <v>0</v>
      </c>
      <c r="N100" s="500">
        <f t="shared" si="21"/>
        <v>0</v>
      </c>
    </row>
    <row r="101" spans="1:14" x14ac:dyDescent="0.2">
      <c r="A101" s="488">
        <f t="shared" si="22"/>
        <v>19</v>
      </c>
      <c r="B101" s="488" t="s">
        <v>227</v>
      </c>
      <c r="C101" s="490"/>
      <c r="D101" s="502"/>
      <c r="E101" s="525">
        <v>822.4</v>
      </c>
      <c r="F101" s="491">
        <f t="shared" si="18"/>
        <v>-822.4</v>
      </c>
      <c r="G101" s="490">
        <v>1</v>
      </c>
      <c r="H101" s="491">
        <v>715657.77</v>
      </c>
      <c r="I101" s="491">
        <v>719175.51</v>
      </c>
      <c r="J101" s="491">
        <f t="shared" si="23"/>
        <v>-3517.7399999999907</v>
      </c>
      <c r="K101" s="490">
        <f t="shared" si="17"/>
        <v>1</v>
      </c>
      <c r="L101" s="491">
        <f t="shared" si="19"/>
        <v>715657.77</v>
      </c>
      <c r="M101" s="491">
        <f>+E101+I101</f>
        <v>719997.91</v>
      </c>
      <c r="N101" s="500">
        <f t="shared" si="21"/>
        <v>-4340.140000000014</v>
      </c>
    </row>
    <row r="102" spans="1:14" x14ac:dyDescent="0.2">
      <c r="A102" s="488">
        <f t="shared" si="22"/>
        <v>20</v>
      </c>
      <c r="B102" s="488" t="s">
        <v>63</v>
      </c>
      <c r="C102" s="490"/>
      <c r="D102" s="503"/>
      <c r="E102" s="503"/>
      <c r="F102" s="491">
        <f t="shared" si="18"/>
        <v>0</v>
      </c>
      <c r="G102" s="490"/>
      <c r="H102" s="503"/>
      <c r="I102" s="503"/>
      <c r="J102" s="491"/>
      <c r="K102" s="490">
        <f t="shared" si="17"/>
        <v>0</v>
      </c>
      <c r="L102" s="491"/>
      <c r="M102" s="491">
        <f>+E102+I102</f>
        <v>0</v>
      </c>
      <c r="N102" s="500"/>
    </row>
    <row r="103" spans="1:14" x14ac:dyDescent="0.2">
      <c r="A103" s="489"/>
      <c r="B103" s="489" t="s">
        <v>45</v>
      </c>
      <c r="C103" s="766">
        <f t="shared" ref="C103:I103" si="24">+SUM(C83:C102)</f>
        <v>81</v>
      </c>
      <c r="D103" s="526">
        <f t="shared" si="24"/>
        <v>25450497.899999999</v>
      </c>
      <c r="E103" s="526">
        <f t="shared" si="24"/>
        <v>23090447.48</v>
      </c>
      <c r="F103" s="526">
        <f t="shared" si="24"/>
        <v>2360050.419999999</v>
      </c>
      <c r="G103" s="766">
        <f t="shared" si="24"/>
        <v>47</v>
      </c>
      <c r="H103" s="526">
        <f t="shared" si="24"/>
        <v>14085890.699999996</v>
      </c>
      <c r="I103" s="526">
        <f t="shared" si="24"/>
        <v>14068618.880000001</v>
      </c>
      <c r="J103" s="527">
        <f>SUM(J83:J102)</f>
        <v>17271.819999999716</v>
      </c>
      <c r="K103" s="766">
        <f>SUM(K83:K102)</f>
        <v>128</v>
      </c>
      <c r="L103" s="526">
        <f>SUM(L83:L102)</f>
        <v>39536388.600000001</v>
      </c>
      <c r="M103" s="526">
        <f>SUM(M83:M102)</f>
        <v>37159066.359999999</v>
      </c>
      <c r="N103" s="527">
        <f>SUM(N83:N102)</f>
        <v>2377322.2399999984</v>
      </c>
    </row>
    <row r="104" spans="1:14" x14ac:dyDescent="0.2">
      <c r="A104" s="488"/>
      <c r="B104" s="488" t="s">
        <v>61</v>
      </c>
      <c r="C104" s="528"/>
      <c r="D104" s="529">
        <v>25450497.899999999</v>
      </c>
      <c r="E104" s="529">
        <v>23090447.48</v>
      </c>
      <c r="F104" s="527"/>
      <c r="G104" s="490"/>
      <c r="H104" s="529">
        <v>14085890.699999999</v>
      </c>
      <c r="I104" s="529">
        <v>14068618.880000001</v>
      </c>
      <c r="J104" s="491"/>
      <c r="K104" s="488"/>
      <c r="L104" s="488"/>
      <c r="M104" s="488"/>
      <c r="N104" s="488"/>
    </row>
    <row r="105" spans="1:14" x14ac:dyDescent="0.2">
      <c r="A105" s="489"/>
      <c r="B105" s="489" t="s">
        <v>230</v>
      </c>
      <c r="C105" s="766"/>
      <c r="D105" s="527">
        <f>+D104-D103</f>
        <v>0</v>
      </c>
      <c r="E105" s="527">
        <f>+E103-E104</f>
        <v>0</v>
      </c>
      <c r="F105" s="527"/>
      <c r="G105" s="766"/>
      <c r="H105" s="527">
        <f>+H103-H104</f>
        <v>0</v>
      </c>
      <c r="I105" s="527">
        <f>+I103-I104</f>
        <v>0</v>
      </c>
      <c r="J105" s="489"/>
      <c r="K105" s="489"/>
      <c r="L105" s="527"/>
      <c r="M105" s="527"/>
      <c r="N105" s="489"/>
    </row>
    <row r="106" spans="1:14" x14ac:dyDescent="0.2">
      <c r="A106" s="489"/>
      <c r="B106" s="489"/>
      <c r="C106" s="766"/>
      <c r="D106" s="527"/>
      <c r="E106" s="527"/>
      <c r="F106" s="527"/>
      <c r="G106" s="766"/>
      <c r="H106" s="489"/>
      <c r="I106" s="489"/>
      <c r="J106" s="489"/>
      <c r="K106" s="489"/>
      <c r="L106" s="530"/>
      <c r="M106" s="530"/>
      <c r="N106" s="489"/>
    </row>
    <row r="107" spans="1:14" x14ac:dyDescent="0.2">
      <c r="A107" s="489"/>
      <c r="B107" s="488" t="s">
        <v>403</v>
      </c>
      <c r="C107" s="490"/>
      <c r="D107" s="491"/>
      <c r="E107" s="503"/>
      <c r="F107" s="491"/>
      <c r="G107" s="531"/>
      <c r="H107" s="489"/>
      <c r="I107" s="489"/>
      <c r="J107" s="489"/>
      <c r="K107" s="489"/>
      <c r="L107" s="489"/>
      <c r="M107" s="489"/>
      <c r="N107" s="489"/>
    </row>
    <row r="108" spans="1:14" x14ac:dyDescent="0.2">
      <c r="A108" s="489"/>
      <c r="B108" s="488" t="s">
        <v>168</v>
      </c>
      <c r="C108" s="490">
        <v>9</v>
      </c>
      <c r="D108" s="491">
        <f>4110241.37-1553103.45</f>
        <v>2557137.9199999999</v>
      </c>
      <c r="E108" s="532">
        <f>3670858.88-1385000</f>
        <v>2285858.88</v>
      </c>
      <c r="F108" s="491">
        <f>+D108-E108</f>
        <v>271279.04000000004</v>
      </c>
      <c r="G108" s="531"/>
      <c r="H108" s="489"/>
      <c r="I108" s="489"/>
      <c r="J108" s="489"/>
      <c r="K108" s="489"/>
      <c r="L108" s="489"/>
      <c r="M108" s="489"/>
      <c r="N108" s="489"/>
    </row>
    <row r="109" spans="1:14" x14ac:dyDescent="0.2">
      <c r="A109" s="488"/>
      <c r="B109" s="488" t="s">
        <v>169</v>
      </c>
      <c r="C109" s="490">
        <v>10</v>
      </c>
      <c r="D109" s="502">
        <f>3027586.21-997448.28</f>
        <v>2030137.93</v>
      </c>
      <c r="E109" s="533">
        <f>2730487.93-940120.69</f>
        <v>1790367.2400000002</v>
      </c>
      <c r="F109" s="491">
        <f>+D109-E109</f>
        <v>239770.68999999971</v>
      </c>
      <c r="G109" s="534"/>
      <c r="H109" s="491"/>
      <c r="I109" s="491"/>
      <c r="J109" s="491"/>
      <c r="K109" s="488"/>
      <c r="L109" s="488"/>
      <c r="M109" s="488"/>
      <c r="N109" s="488"/>
    </row>
    <row r="110" spans="1:14" x14ac:dyDescent="0.2">
      <c r="A110" s="489"/>
      <c r="B110" s="489" t="s">
        <v>170</v>
      </c>
      <c r="C110" s="766">
        <f>+C108+C109</f>
        <v>19</v>
      </c>
      <c r="D110" s="526">
        <f>SUM(D107:D109)</f>
        <v>4587275.8499999996</v>
      </c>
      <c r="E110" s="526">
        <f>SUM(E107:E109)</f>
        <v>4076226.12</v>
      </c>
      <c r="F110" s="527">
        <f>SUM(F107:F109)</f>
        <v>511049.72999999975</v>
      </c>
      <c r="G110" s="531">
        <f>+F110/F112</f>
        <v>0.17799787652827087</v>
      </c>
      <c r="H110" s="489"/>
      <c r="I110" s="489"/>
      <c r="J110" s="489"/>
      <c r="K110" s="489"/>
      <c r="L110" s="489"/>
      <c r="M110" s="489"/>
      <c r="N110" s="489"/>
    </row>
    <row r="111" spans="1:14" x14ac:dyDescent="0.2">
      <c r="A111" s="488"/>
      <c r="B111" s="488"/>
      <c r="C111" s="490"/>
      <c r="D111" s="529"/>
      <c r="E111" s="529"/>
      <c r="F111" s="491">
        <f>+D111-E111</f>
        <v>0</v>
      </c>
      <c r="G111" s="490"/>
      <c r="H111" s="489" t="s">
        <v>9</v>
      </c>
      <c r="I111" s="488"/>
      <c r="J111" s="488"/>
      <c r="K111" s="488"/>
      <c r="L111" s="488"/>
      <c r="M111" s="488"/>
      <c r="N111" s="488"/>
    </row>
    <row r="112" spans="1:14" x14ac:dyDescent="0.2">
      <c r="A112" s="489"/>
      <c r="B112" s="489" t="s">
        <v>130</v>
      </c>
      <c r="C112" s="766">
        <f>+C110+C103</f>
        <v>100</v>
      </c>
      <c r="D112" s="527">
        <f>+D103+D110</f>
        <v>30037773.75</v>
      </c>
      <c r="E112" s="527">
        <f>+E103+E110</f>
        <v>27166673.600000001</v>
      </c>
      <c r="F112" s="527">
        <f>+F110+F103</f>
        <v>2871100.1499999985</v>
      </c>
      <c r="G112" s="766"/>
      <c r="H112" s="489"/>
      <c r="I112" s="489"/>
      <c r="J112" s="489"/>
      <c r="K112" s="489"/>
      <c r="L112" s="489"/>
      <c r="M112" s="489"/>
      <c r="N112" s="489"/>
    </row>
    <row r="114" spans="1:14" x14ac:dyDescent="0.2">
      <c r="A114" s="488"/>
      <c r="B114" s="489" t="s">
        <v>133</v>
      </c>
      <c r="C114" s="490"/>
      <c r="D114" s="491"/>
      <c r="E114" s="491"/>
      <c r="F114" s="491"/>
      <c r="G114" s="490"/>
      <c r="H114" s="488"/>
      <c r="I114" s="488"/>
      <c r="J114" s="488"/>
      <c r="K114" s="488"/>
      <c r="L114" s="488"/>
      <c r="M114" s="488"/>
      <c r="N114" s="488"/>
    </row>
    <row r="115" spans="1:14" x14ac:dyDescent="0.2">
      <c r="A115" s="488"/>
      <c r="B115" s="489" t="s">
        <v>46</v>
      </c>
      <c r="C115" s="490"/>
      <c r="D115" s="491"/>
      <c r="E115" s="491"/>
      <c r="F115" s="491"/>
      <c r="G115" s="490"/>
      <c r="H115" s="488"/>
      <c r="I115" s="488"/>
      <c r="J115" s="488"/>
      <c r="K115" s="488"/>
      <c r="L115" s="488"/>
      <c r="M115" s="488"/>
      <c r="N115" s="488"/>
    </row>
    <row r="116" spans="1:14" x14ac:dyDescent="0.2">
      <c r="A116" s="488"/>
      <c r="B116" s="489"/>
      <c r="C116" s="490"/>
      <c r="D116" s="491"/>
      <c r="E116" s="491"/>
      <c r="F116" s="491"/>
      <c r="G116" s="492"/>
      <c r="H116" s="488"/>
      <c r="I116" s="488"/>
      <c r="J116" s="488"/>
      <c r="K116" s="488"/>
      <c r="L116" s="488"/>
      <c r="M116" s="488"/>
      <c r="N116" s="488"/>
    </row>
    <row r="117" spans="1:14" x14ac:dyDescent="0.2">
      <c r="A117" s="488"/>
      <c r="B117" s="493" t="s">
        <v>6029</v>
      </c>
      <c r="C117" s="490"/>
      <c r="D117" s="491"/>
      <c r="E117" s="491"/>
      <c r="F117" s="491"/>
      <c r="G117" s="490"/>
      <c r="H117" s="488"/>
      <c r="I117" s="488"/>
      <c r="J117" s="488"/>
      <c r="K117" s="488"/>
      <c r="L117" s="488"/>
      <c r="M117" s="488"/>
      <c r="N117" s="488"/>
    </row>
    <row r="118" spans="1:14" x14ac:dyDescent="0.2">
      <c r="A118" s="488"/>
      <c r="B118" s="488"/>
      <c r="C118" s="490"/>
      <c r="D118" s="491"/>
      <c r="E118" s="491"/>
      <c r="F118" s="491"/>
      <c r="G118" s="828" t="s">
        <v>283</v>
      </c>
      <c r="H118" s="828"/>
      <c r="I118" s="828"/>
      <c r="J118" s="828"/>
      <c r="K118" s="828" t="s">
        <v>39</v>
      </c>
      <c r="L118" s="828"/>
      <c r="M118" s="828"/>
      <c r="N118" s="828"/>
    </row>
    <row r="119" spans="1:14" x14ac:dyDescent="0.2">
      <c r="A119" s="747"/>
      <c r="B119" s="747" t="s">
        <v>154</v>
      </c>
      <c r="C119" s="747" t="s">
        <v>41</v>
      </c>
      <c r="D119" s="495" t="s">
        <v>42</v>
      </c>
      <c r="E119" s="495" t="s">
        <v>376</v>
      </c>
      <c r="F119" s="495" t="s">
        <v>43</v>
      </c>
      <c r="G119" s="747" t="s">
        <v>41</v>
      </c>
      <c r="H119" s="495" t="s">
        <v>42</v>
      </c>
      <c r="I119" s="495" t="s">
        <v>376</v>
      </c>
      <c r="J119" s="495" t="s">
        <v>43</v>
      </c>
      <c r="K119" s="747" t="s">
        <v>41</v>
      </c>
      <c r="L119" s="495" t="s">
        <v>42</v>
      </c>
      <c r="M119" s="495" t="s">
        <v>376</v>
      </c>
      <c r="N119" s="495" t="s">
        <v>43</v>
      </c>
    </row>
    <row r="120" spans="1:14" x14ac:dyDescent="0.2">
      <c r="A120" s="488">
        <v>1</v>
      </c>
      <c r="B120" s="488" t="s">
        <v>35</v>
      </c>
      <c r="C120" s="490">
        <v>4</v>
      </c>
      <c r="D120" s="496">
        <f>2295059.15-791058.8</f>
        <v>1504000.3499999999</v>
      </c>
      <c r="E120" s="507">
        <f>2002942.82-685646.18</f>
        <v>1317296.6400000001</v>
      </c>
      <c r="F120" s="491">
        <f>+D120-E120</f>
        <v>186703.70999999973</v>
      </c>
      <c r="G120" s="490">
        <v>3</v>
      </c>
      <c r="H120" s="498">
        <v>1046122.25</v>
      </c>
      <c r="I120" s="499">
        <f>1370115.72-322205.89</f>
        <v>1047909.83</v>
      </c>
      <c r="J120" s="491">
        <f>+H120-I120</f>
        <v>-1787.5799999999581</v>
      </c>
      <c r="K120" s="490">
        <f t="shared" ref="K120:K139" si="25">+C120+G120</f>
        <v>7</v>
      </c>
      <c r="L120" s="491">
        <f>+D120+H120</f>
        <v>2550122.5999999996</v>
      </c>
      <c r="M120" s="491">
        <f>E120+I120</f>
        <v>2365206.4700000002</v>
      </c>
      <c r="N120" s="500">
        <f>+L120-M120</f>
        <v>184916.12999999942</v>
      </c>
    </row>
    <row r="121" spans="1:14" x14ac:dyDescent="0.2">
      <c r="A121" s="488">
        <v>2</v>
      </c>
      <c r="B121" s="488" t="s">
        <v>229</v>
      </c>
      <c r="C121" s="490">
        <v>12</v>
      </c>
      <c r="D121" s="496">
        <f>3998030.87-792889.55</f>
        <v>3205141.3200000003</v>
      </c>
      <c r="E121" s="507">
        <f>3726508.36-828093.44</f>
        <v>2898414.92</v>
      </c>
      <c r="F121" s="491">
        <f t="shared" ref="F121:F136" si="26">+D121-E121</f>
        <v>306726.40000000037</v>
      </c>
      <c r="G121" s="490">
        <v>5</v>
      </c>
      <c r="H121" s="498">
        <f>1356107.25-211926.45</f>
        <v>1144180.8</v>
      </c>
      <c r="I121" s="501">
        <f>1356594.08-211571.1</f>
        <v>1145022.98</v>
      </c>
      <c r="J121" s="491">
        <f>+H121-I121</f>
        <v>-842.17999999993481</v>
      </c>
      <c r="K121" s="490">
        <f t="shared" si="25"/>
        <v>17</v>
      </c>
      <c r="L121" s="491">
        <f t="shared" ref="L121:L138" si="27">+D121+H121</f>
        <v>4349322.12</v>
      </c>
      <c r="M121" s="491">
        <f t="shared" ref="M121:M136" si="28">E121+I121</f>
        <v>4043437.9</v>
      </c>
      <c r="N121" s="500">
        <f t="shared" ref="N121:N138" si="29">+L121-M121</f>
        <v>305884.2200000002</v>
      </c>
    </row>
    <row r="122" spans="1:14" x14ac:dyDescent="0.2">
      <c r="A122" s="488">
        <f t="shared" ref="A122:A139" si="30">+A121+1</f>
        <v>3</v>
      </c>
      <c r="B122" s="488" t="s">
        <v>378</v>
      </c>
      <c r="C122" s="490"/>
      <c r="D122" s="502"/>
      <c r="E122" s="491"/>
      <c r="F122" s="491">
        <f t="shared" si="26"/>
        <v>0</v>
      </c>
      <c r="G122" s="490"/>
      <c r="H122" s="503"/>
      <c r="I122" s="503"/>
      <c r="J122" s="491">
        <f t="shared" ref="J122:J138" si="31">+H122-I122</f>
        <v>0</v>
      </c>
      <c r="K122" s="490">
        <f t="shared" si="25"/>
        <v>0</v>
      </c>
      <c r="L122" s="491">
        <f t="shared" si="27"/>
        <v>0</v>
      </c>
      <c r="M122" s="491">
        <f t="shared" si="28"/>
        <v>0</v>
      </c>
      <c r="N122" s="500">
        <f t="shared" si="29"/>
        <v>0</v>
      </c>
    </row>
    <row r="123" spans="1:14" x14ac:dyDescent="0.2">
      <c r="A123" s="488">
        <f>+A122+1</f>
        <v>4</v>
      </c>
      <c r="B123" s="488" t="s">
        <v>30</v>
      </c>
      <c r="C123" s="490">
        <v>3</v>
      </c>
      <c r="D123" s="502">
        <f>1662586.21-697758.62</f>
        <v>964827.59</v>
      </c>
      <c r="E123" s="507">
        <f>1516357.51-658633.94</f>
        <v>857723.57000000007</v>
      </c>
      <c r="F123" s="491">
        <f t="shared" si="26"/>
        <v>107104.0199999999</v>
      </c>
      <c r="G123" s="490">
        <v>2</v>
      </c>
      <c r="H123" s="505">
        <v>645582.56999999995</v>
      </c>
      <c r="I123" s="506">
        <v>626413.53</v>
      </c>
      <c r="J123" s="491">
        <f t="shared" si="31"/>
        <v>19169.039999999921</v>
      </c>
      <c r="K123" s="490">
        <f t="shared" si="25"/>
        <v>5</v>
      </c>
      <c r="L123" s="491">
        <f t="shared" si="27"/>
        <v>1610410.16</v>
      </c>
      <c r="M123" s="491">
        <f t="shared" si="28"/>
        <v>1484137.1</v>
      </c>
      <c r="N123" s="500">
        <f t="shared" si="29"/>
        <v>126273.05999999982</v>
      </c>
    </row>
    <row r="124" spans="1:14" x14ac:dyDescent="0.2">
      <c r="A124" s="488">
        <f t="shared" si="30"/>
        <v>5</v>
      </c>
      <c r="B124" s="488" t="s">
        <v>48</v>
      </c>
      <c r="C124" s="490"/>
      <c r="D124" s="491"/>
      <c r="E124" s="491"/>
      <c r="F124" s="491">
        <f t="shared" si="26"/>
        <v>0</v>
      </c>
      <c r="G124" s="490"/>
      <c r="H124" s="503"/>
      <c r="I124" s="503"/>
      <c r="J124" s="491">
        <f t="shared" si="31"/>
        <v>0</v>
      </c>
      <c r="K124" s="490">
        <f t="shared" si="25"/>
        <v>0</v>
      </c>
      <c r="L124" s="491">
        <f t="shared" si="27"/>
        <v>0</v>
      </c>
      <c r="M124" s="491">
        <f t="shared" si="28"/>
        <v>0</v>
      </c>
      <c r="N124" s="500">
        <f t="shared" si="29"/>
        <v>0</v>
      </c>
    </row>
    <row r="125" spans="1:14" x14ac:dyDescent="0.2">
      <c r="A125" s="488">
        <f t="shared" si="30"/>
        <v>6</v>
      </c>
      <c r="B125" s="488" t="s">
        <v>231</v>
      </c>
      <c r="C125" s="490"/>
      <c r="D125" s="491"/>
      <c r="E125" s="491"/>
      <c r="F125" s="491">
        <f t="shared" si="26"/>
        <v>0</v>
      </c>
      <c r="G125" s="490"/>
      <c r="H125" s="503"/>
      <c r="I125" s="503"/>
      <c r="J125" s="491">
        <f t="shared" si="31"/>
        <v>0</v>
      </c>
      <c r="K125" s="490">
        <f t="shared" si="25"/>
        <v>0</v>
      </c>
      <c r="L125" s="491">
        <f t="shared" si="27"/>
        <v>0</v>
      </c>
      <c r="M125" s="491">
        <f t="shared" si="28"/>
        <v>0</v>
      </c>
      <c r="N125" s="500">
        <f t="shared" si="29"/>
        <v>0</v>
      </c>
    </row>
    <row r="126" spans="1:14" x14ac:dyDescent="0.2">
      <c r="A126" s="488">
        <f t="shared" si="30"/>
        <v>7</v>
      </c>
      <c r="B126" s="488" t="s">
        <v>282</v>
      </c>
      <c r="C126" s="490"/>
      <c r="D126" s="491"/>
      <c r="E126" s="491"/>
      <c r="F126" s="491">
        <f t="shared" si="26"/>
        <v>0</v>
      </c>
      <c r="G126" s="490"/>
      <c r="H126" s="503"/>
      <c r="I126" s="503"/>
      <c r="J126" s="491">
        <f t="shared" si="31"/>
        <v>0</v>
      </c>
      <c r="K126" s="490">
        <f t="shared" si="25"/>
        <v>0</v>
      </c>
      <c r="L126" s="491">
        <f t="shared" si="27"/>
        <v>0</v>
      </c>
      <c r="M126" s="491">
        <f t="shared" si="28"/>
        <v>0</v>
      </c>
      <c r="N126" s="500">
        <f t="shared" si="29"/>
        <v>0</v>
      </c>
    </row>
    <row r="127" spans="1:14" x14ac:dyDescent="0.2">
      <c r="A127" s="488">
        <f t="shared" si="30"/>
        <v>8</v>
      </c>
      <c r="B127" s="488" t="s">
        <v>228</v>
      </c>
      <c r="C127" s="490">
        <v>10</v>
      </c>
      <c r="D127" s="502">
        <f>5556657.75-527429.19</f>
        <v>5029228.5600000005</v>
      </c>
      <c r="E127" s="502">
        <f>5105532.41-583601.89</f>
        <v>4521930.5200000005</v>
      </c>
      <c r="F127" s="491">
        <f t="shared" si="26"/>
        <v>507298.04000000004</v>
      </c>
      <c r="G127" s="490">
        <v>3</v>
      </c>
      <c r="H127" s="505">
        <v>1360607.93</v>
      </c>
      <c r="I127" s="505">
        <v>1359541.91</v>
      </c>
      <c r="J127" s="491">
        <f t="shared" si="31"/>
        <v>1066.0200000000186</v>
      </c>
      <c r="K127" s="490">
        <f t="shared" si="25"/>
        <v>13</v>
      </c>
      <c r="L127" s="491">
        <f t="shared" si="27"/>
        <v>6389836.4900000002</v>
      </c>
      <c r="M127" s="491">
        <f t="shared" si="28"/>
        <v>5881472.4300000006</v>
      </c>
      <c r="N127" s="500">
        <f t="shared" si="29"/>
        <v>508364.05999999959</v>
      </c>
    </row>
    <row r="128" spans="1:14" x14ac:dyDescent="0.2">
      <c r="A128" s="488">
        <f t="shared" si="30"/>
        <v>9</v>
      </c>
      <c r="B128" s="488" t="s">
        <v>76</v>
      </c>
      <c r="C128" s="490"/>
      <c r="D128" s="491"/>
      <c r="E128" s="491"/>
      <c r="F128" s="491">
        <f t="shared" si="26"/>
        <v>0</v>
      </c>
      <c r="G128" s="490"/>
      <c r="H128" s="503"/>
      <c r="I128" s="503"/>
      <c r="J128" s="491">
        <f t="shared" si="31"/>
        <v>0</v>
      </c>
      <c r="K128" s="490">
        <f t="shared" si="25"/>
        <v>0</v>
      </c>
      <c r="L128" s="491">
        <f t="shared" si="27"/>
        <v>0</v>
      </c>
      <c r="M128" s="491">
        <f t="shared" si="28"/>
        <v>0</v>
      </c>
      <c r="N128" s="500">
        <f t="shared" si="29"/>
        <v>0</v>
      </c>
    </row>
    <row r="129" spans="1:14" x14ac:dyDescent="0.2">
      <c r="A129" s="488">
        <f t="shared" si="30"/>
        <v>10</v>
      </c>
      <c r="B129" s="488" t="s">
        <v>379</v>
      </c>
      <c r="C129" s="490">
        <v>7</v>
      </c>
      <c r="D129" s="502">
        <f>2619387.67-917842.01</f>
        <v>1701545.66</v>
      </c>
      <c r="E129" s="507">
        <f>2481628.36-926408.55</f>
        <v>1555219.8099999998</v>
      </c>
      <c r="F129" s="491">
        <f t="shared" si="26"/>
        <v>146325.85000000009</v>
      </c>
      <c r="G129" s="490">
        <v>4</v>
      </c>
      <c r="H129" s="508">
        <f>1754280.86-376786.6</f>
        <v>1377494.2600000002</v>
      </c>
      <c r="I129" s="509">
        <f>1725228.21-366387.79</f>
        <v>1358840.42</v>
      </c>
      <c r="J129" s="491">
        <f t="shared" si="31"/>
        <v>18653.840000000317</v>
      </c>
      <c r="K129" s="490">
        <f t="shared" si="25"/>
        <v>11</v>
      </c>
      <c r="L129" s="491">
        <f t="shared" si="27"/>
        <v>3079039.92</v>
      </c>
      <c r="M129" s="491">
        <f t="shared" si="28"/>
        <v>2914060.2299999995</v>
      </c>
      <c r="N129" s="500">
        <f t="shared" si="29"/>
        <v>164979.69000000041</v>
      </c>
    </row>
    <row r="130" spans="1:14" x14ac:dyDescent="0.2">
      <c r="A130" s="488">
        <f t="shared" si="30"/>
        <v>11</v>
      </c>
      <c r="B130" s="488" t="s">
        <v>44</v>
      </c>
      <c r="C130" s="490">
        <v>12</v>
      </c>
      <c r="D130" s="502">
        <f>3796298.24-1432526.46</f>
        <v>2363771.7800000003</v>
      </c>
      <c r="E130" s="507">
        <f>3456699.98-1308381.09</f>
        <v>2148318.8899999997</v>
      </c>
      <c r="F130" s="491">
        <f t="shared" si="26"/>
        <v>215452.8900000006</v>
      </c>
      <c r="G130" s="490">
        <v>4</v>
      </c>
      <c r="H130" s="511">
        <v>673878.36</v>
      </c>
      <c r="I130" s="512">
        <v>680156.96</v>
      </c>
      <c r="J130" s="491">
        <f t="shared" si="31"/>
        <v>-6278.5999999999767</v>
      </c>
      <c r="K130" s="490">
        <f t="shared" si="25"/>
        <v>16</v>
      </c>
      <c r="L130" s="491">
        <f t="shared" si="27"/>
        <v>3037650.14</v>
      </c>
      <c r="M130" s="491">
        <f t="shared" si="28"/>
        <v>2828475.8499999996</v>
      </c>
      <c r="N130" s="500">
        <f t="shared" si="29"/>
        <v>209174.2900000005</v>
      </c>
    </row>
    <row r="131" spans="1:14" x14ac:dyDescent="0.2">
      <c r="A131" s="488">
        <f t="shared" si="30"/>
        <v>12</v>
      </c>
      <c r="B131" s="488" t="s">
        <v>382</v>
      </c>
      <c r="C131" s="490">
        <v>14</v>
      </c>
      <c r="D131" s="502">
        <f>4670242.36-808538.59</f>
        <v>3861703.7700000005</v>
      </c>
      <c r="E131" s="507">
        <f>4326585.94-773713.72</f>
        <v>3552872.2200000007</v>
      </c>
      <c r="F131" s="491">
        <f t="shared" si="26"/>
        <v>308831.54999999981</v>
      </c>
      <c r="G131" s="490">
        <v>7</v>
      </c>
      <c r="H131" s="514">
        <v>1645597.99</v>
      </c>
      <c r="I131" s="515">
        <v>1648210.39</v>
      </c>
      <c r="J131" s="491">
        <f t="shared" si="31"/>
        <v>-2612.3999999999069</v>
      </c>
      <c r="K131" s="490">
        <f t="shared" si="25"/>
        <v>21</v>
      </c>
      <c r="L131" s="491">
        <f t="shared" si="27"/>
        <v>5507301.7600000007</v>
      </c>
      <c r="M131" s="491">
        <f t="shared" si="28"/>
        <v>5201082.6100000003</v>
      </c>
      <c r="N131" s="500">
        <f t="shared" si="29"/>
        <v>306219.15000000037</v>
      </c>
    </row>
    <row r="132" spans="1:14" x14ac:dyDescent="0.2">
      <c r="A132" s="488">
        <f t="shared" si="30"/>
        <v>13</v>
      </c>
      <c r="B132" s="488" t="s">
        <v>226</v>
      </c>
      <c r="C132" s="490">
        <v>6</v>
      </c>
      <c r="D132" s="502">
        <f>3150292.19-784761.95</f>
        <v>2365530.2400000002</v>
      </c>
      <c r="E132" s="507">
        <f>2802765.11-699506.98</f>
        <v>2103258.13</v>
      </c>
      <c r="F132" s="491">
        <f t="shared" si="26"/>
        <v>262272.11000000034</v>
      </c>
      <c r="G132" s="490">
        <v>7</v>
      </c>
      <c r="H132" s="517">
        <v>2026520.11</v>
      </c>
      <c r="I132" s="518">
        <v>2024028.09</v>
      </c>
      <c r="J132" s="491">
        <f t="shared" si="31"/>
        <v>2492.0200000000186</v>
      </c>
      <c r="K132" s="490">
        <f t="shared" si="25"/>
        <v>13</v>
      </c>
      <c r="L132" s="491">
        <f t="shared" si="27"/>
        <v>4392050.3500000006</v>
      </c>
      <c r="M132" s="491">
        <f t="shared" si="28"/>
        <v>4127286.2199999997</v>
      </c>
      <c r="N132" s="500">
        <f t="shared" si="29"/>
        <v>264764.13000000082</v>
      </c>
    </row>
    <row r="133" spans="1:14" x14ac:dyDescent="0.2">
      <c r="A133" s="488">
        <f t="shared" si="30"/>
        <v>14</v>
      </c>
      <c r="B133" s="488" t="s">
        <v>224</v>
      </c>
      <c r="C133" s="490">
        <v>7</v>
      </c>
      <c r="D133" s="170">
        <f>5234975.34-1553448.27</f>
        <v>3681527.07</v>
      </c>
      <c r="E133" s="170">
        <f>4641654.74-1375489.64</f>
        <v>3266165.1000000006</v>
      </c>
      <c r="F133" s="491">
        <f t="shared" si="26"/>
        <v>415361.96999999927</v>
      </c>
      <c r="G133" s="490">
        <v>16</v>
      </c>
      <c r="H133" s="505">
        <v>899001.57</v>
      </c>
      <c r="I133" s="505">
        <v>906545.36</v>
      </c>
      <c r="J133" s="491">
        <f t="shared" si="31"/>
        <v>-7543.7900000000373</v>
      </c>
      <c r="K133" s="490">
        <f t="shared" si="25"/>
        <v>23</v>
      </c>
      <c r="L133" s="491">
        <f t="shared" si="27"/>
        <v>4580528.6399999997</v>
      </c>
      <c r="M133" s="491">
        <f t="shared" si="28"/>
        <v>4172710.4600000004</v>
      </c>
      <c r="N133" s="500">
        <f t="shared" si="29"/>
        <v>407818.17999999924</v>
      </c>
    </row>
    <row r="134" spans="1:14" x14ac:dyDescent="0.2">
      <c r="A134" s="488">
        <f t="shared" si="30"/>
        <v>15</v>
      </c>
      <c r="B134" s="488" t="s">
        <v>97</v>
      </c>
      <c r="C134" s="490">
        <v>7</v>
      </c>
      <c r="D134" s="502">
        <f>2387413.77-1010775.85</f>
        <v>1376637.92</v>
      </c>
      <c r="E134" s="507">
        <f>2260690.26-959950.41</f>
        <v>1300739.8499999996</v>
      </c>
      <c r="F134" s="491">
        <f t="shared" si="26"/>
        <v>75898.070000000298</v>
      </c>
      <c r="G134" s="490">
        <v>8</v>
      </c>
      <c r="H134" s="505">
        <f>2145573.6-584661.84</f>
        <v>1560911.7600000002</v>
      </c>
      <c r="I134" s="521">
        <f>2156600.66-584304.77</f>
        <v>1572295.8900000001</v>
      </c>
      <c r="J134" s="491">
        <f t="shared" si="31"/>
        <v>-11384.129999999888</v>
      </c>
      <c r="K134" s="490">
        <f t="shared" si="25"/>
        <v>15</v>
      </c>
      <c r="L134" s="491">
        <f t="shared" si="27"/>
        <v>2937549.68</v>
      </c>
      <c r="M134" s="491">
        <f t="shared" si="28"/>
        <v>2873035.7399999998</v>
      </c>
      <c r="N134" s="500">
        <f t="shared" si="29"/>
        <v>64513.94000000041</v>
      </c>
    </row>
    <row r="135" spans="1:14" x14ac:dyDescent="0.2">
      <c r="A135" s="488">
        <f t="shared" si="30"/>
        <v>16</v>
      </c>
      <c r="B135" s="488" t="s">
        <v>98</v>
      </c>
      <c r="C135" s="490">
        <v>1</v>
      </c>
      <c r="D135" s="491">
        <f>2160344.84-1422413.8</f>
        <v>737931.0399999998</v>
      </c>
      <c r="E135" s="507">
        <f>1880049.54-1223124.19</f>
        <v>656925.35000000009</v>
      </c>
      <c r="F135" s="491">
        <f t="shared" si="26"/>
        <v>81005.689999999711</v>
      </c>
      <c r="G135" s="490">
        <v>1</v>
      </c>
      <c r="H135" s="503">
        <v>605465.97</v>
      </c>
      <c r="I135" s="503">
        <v>605110.62</v>
      </c>
      <c r="J135" s="491">
        <f t="shared" si="31"/>
        <v>355.34999999997672</v>
      </c>
      <c r="K135" s="490">
        <f t="shared" si="25"/>
        <v>2</v>
      </c>
      <c r="L135" s="491">
        <f t="shared" si="27"/>
        <v>1343397.0099999998</v>
      </c>
      <c r="M135" s="491">
        <f t="shared" si="28"/>
        <v>1262035.9700000002</v>
      </c>
      <c r="N135" s="500">
        <f t="shared" si="29"/>
        <v>81361.039999999572</v>
      </c>
    </row>
    <row r="136" spans="1:14" x14ac:dyDescent="0.2">
      <c r="A136" s="488">
        <f t="shared" si="30"/>
        <v>17</v>
      </c>
      <c r="B136" s="488" t="s">
        <v>301</v>
      </c>
      <c r="C136" s="490">
        <v>3</v>
      </c>
      <c r="D136" s="491">
        <f>2101096.11-583795.25</f>
        <v>1517300.8599999999</v>
      </c>
      <c r="E136" s="507">
        <f>1881241.23-516608.06</f>
        <v>1364633.17</v>
      </c>
      <c r="F136" s="491">
        <f t="shared" si="26"/>
        <v>152667.68999999994</v>
      </c>
      <c r="G136" s="490"/>
      <c r="H136" s="503"/>
      <c r="I136" s="524">
        <v>5800</v>
      </c>
      <c r="J136" s="491">
        <f t="shared" si="31"/>
        <v>-5800</v>
      </c>
      <c r="K136" s="490">
        <f t="shared" si="25"/>
        <v>3</v>
      </c>
      <c r="L136" s="491">
        <f t="shared" si="27"/>
        <v>1517300.8599999999</v>
      </c>
      <c r="M136" s="491">
        <f t="shared" si="28"/>
        <v>1370433.17</v>
      </c>
      <c r="N136" s="500">
        <f t="shared" si="29"/>
        <v>146867.68999999994</v>
      </c>
    </row>
    <row r="137" spans="1:14" x14ac:dyDescent="0.2">
      <c r="A137" s="488">
        <f t="shared" si="30"/>
        <v>18</v>
      </c>
      <c r="B137" s="488" t="s">
        <v>136</v>
      </c>
      <c r="C137" s="490"/>
      <c r="D137" s="491"/>
      <c r="E137" s="503"/>
      <c r="F137" s="491"/>
      <c r="G137" s="490"/>
      <c r="H137" s="503"/>
      <c r="I137" s="503"/>
      <c r="J137" s="491">
        <f t="shared" si="31"/>
        <v>0</v>
      </c>
      <c r="K137" s="490">
        <f t="shared" si="25"/>
        <v>0</v>
      </c>
      <c r="L137" s="491">
        <f t="shared" si="27"/>
        <v>0</v>
      </c>
      <c r="M137" s="491">
        <f>+E137+I137</f>
        <v>0</v>
      </c>
      <c r="N137" s="500">
        <f t="shared" si="29"/>
        <v>0</v>
      </c>
    </row>
    <row r="138" spans="1:14" x14ac:dyDescent="0.2">
      <c r="A138" s="488">
        <f t="shared" si="30"/>
        <v>19</v>
      </c>
      <c r="B138" s="488" t="s">
        <v>227</v>
      </c>
      <c r="C138" s="490"/>
      <c r="D138" s="502"/>
      <c r="E138" s="525"/>
      <c r="F138" s="491"/>
      <c r="G138" s="490"/>
      <c r="H138" s="491"/>
      <c r="I138" s="503"/>
      <c r="J138" s="491">
        <f t="shared" si="31"/>
        <v>0</v>
      </c>
      <c r="K138" s="490">
        <f t="shared" si="25"/>
        <v>0</v>
      </c>
      <c r="L138" s="491">
        <f t="shared" si="27"/>
        <v>0</v>
      </c>
      <c r="M138" s="491">
        <f>+E138+I138</f>
        <v>0</v>
      </c>
      <c r="N138" s="500">
        <f t="shared" si="29"/>
        <v>0</v>
      </c>
    </row>
    <row r="139" spans="1:14" x14ac:dyDescent="0.2">
      <c r="A139" s="488">
        <f t="shared" si="30"/>
        <v>20</v>
      </c>
      <c r="B139" s="488" t="s">
        <v>63</v>
      </c>
      <c r="C139" s="490"/>
      <c r="D139" s="503"/>
      <c r="E139" s="503"/>
      <c r="F139" s="491"/>
      <c r="G139" s="490"/>
      <c r="H139" s="503"/>
      <c r="I139" s="503"/>
      <c r="J139" s="491"/>
      <c r="K139" s="490">
        <f t="shared" si="25"/>
        <v>0</v>
      </c>
      <c r="L139" s="491"/>
      <c r="M139" s="491">
        <f>+E139+I139</f>
        <v>0</v>
      </c>
      <c r="N139" s="500"/>
    </row>
    <row r="140" spans="1:14" x14ac:dyDescent="0.2">
      <c r="A140" s="489"/>
      <c r="B140" s="489" t="s">
        <v>45</v>
      </c>
      <c r="C140" s="747">
        <f t="shared" ref="C140:I140" si="32">+SUM(C120:C139)</f>
        <v>86</v>
      </c>
      <c r="D140" s="526">
        <f t="shared" si="32"/>
        <v>28309146.160000004</v>
      </c>
      <c r="E140" s="526">
        <f t="shared" si="32"/>
        <v>25543498.170000002</v>
      </c>
      <c r="F140" s="526">
        <f t="shared" si="32"/>
        <v>2765647.9899999998</v>
      </c>
      <c r="G140" s="747">
        <f t="shared" si="32"/>
        <v>60</v>
      </c>
      <c r="H140" s="526">
        <f t="shared" si="32"/>
        <v>12985363.570000002</v>
      </c>
      <c r="I140" s="526">
        <f t="shared" si="32"/>
        <v>12979875.979999999</v>
      </c>
      <c r="J140" s="527">
        <f>SUM(J120:J139)</f>
        <v>5487.5900000005495</v>
      </c>
      <c r="K140" s="747">
        <f>SUM(K120:K139)</f>
        <v>146</v>
      </c>
      <c r="L140" s="526">
        <f>SUM(L120:L139)</f>
        <v>41294509.729999997</v>
      </c>
      <c r="M140" s="526">
        <f>SUM(M120:M139)</f>
        <v>38523374.150000006</v>
      </c>
      <c r="N140" s="527">
        <f>SUM(N120:N139)</f>
        <v>2771135.58</v>
      </c>
    </row>
    <row r="141" spans="1:14" x14ac:dyDescent="0.2">
      <c r="A141" s="488"/>
      <c r="B141" s="488" t="s">
        <v>61</v>
      </c>
      <c r="C141" s="528"/>
      <c r="D141" s="529">
        <v>28309146.16</v>
      </c>
      <c r="E141" s="529">
        <v>25543498.170000002</v>
      </c>
      <c r="F141" s="527"/>
      <c r="G141" s="490"/>
      <c r="H141" s="529">
        <v>12985363.57</v>
      </c>
      <c r="I141" s="529">
        <v>12979875.98</v>
      </c>
      <c r="J141" s="491"/>
      <c r="K141" s="488"/>
      <c r="L141" s="488"/>
      <c r="M141" s="488"/>
      <c r="N141" s="488"/>
    </row>
    <row r="142" spans="1:14" x14ac:dyDescent="0.2">
      <c r="A142" s="489"/>
      <c r="B142" s="489" t="s">
        <v>230</v>
      </c>
      <c r="C142" s="747"/>
      <c r="D142" s="527">
        <f>+D141-D140</f>
        <v>0</v>
      </c>
      <c r="E142" s="527">
        <f>+E140-E141</f>
        <v>0</v>
      </c>
      <c r="F142" s="527"/>
      <c r="G142" s="747"/>
      <c r="H142" s="527">
        <f>+H140-H141</f>
        <v>0</v>
      </c>
      <c r="I142" s="527">
        <f>+I140-I141</f>
        <v>0</v>
      </c>
      <c r="J142" s="489"/>
      <c r="K142" s="489"/>
      <c r="L142" s="527"/>
      <c r="M142" s="527"/>
      <c r="N142" s="489"/>
    </row>
    <row r="143" spans="1:14" x14ac:dyDescent="0.2">
      <c r="A143" s="489"/>
      <c r="B143" s="489"/>
      <c r="C143" s="747"/>
      <c r="D143" s="527"/>
      <c r="E143" s="527"/>
      <c r="F143" s="527"/>
      <c r="G143" s="747"/>
      <c r="H143" s="489"/>
      <c r="I143" s="489"/>
      <c r="J143" s="489"/>
      <c r="K143" s="489"/>
      <c r="L143" s="530"/>
      <c r="M143" s="530"/>
      <c r="N143" s="489"/>
    </row>
    <row r="144" spans="1:14" x14ac:dyDescent="0.2">
      <c r="A144" s="489"/>
      <c r="B144" s="488" t="s">
        <v>403</v>
      </c>
      <c r="C144" s="490"/>
      <c r="D144" s="491"/>
      <c r="E144" s="503"/>
      <c r="F144" s="491"/>
      <c r="G144" s="531"/>
      <c r="H144" s="489"/>
      <c r="I144" s="489"/>
      <c r="J144" s="489"/>
      <c r="K144" s="489"/>
      <c r="L144" s="489"/>
      <c r="M144" s="489"/>
      <c r="N144" s="489"/>
    </row>
    <row r="145" spans="1:14" x14ac:dyDescent="0.2">
      <c r="A145" s="489"/>
      <c r="B145" s="488" t="s">
        <v>168</v>
      </c>
      <c r="C145" s="490">
        <v>13</v>
      </c>
      <c r="D145" s="491">
        <f>4774187.57-1161068.96</f>
        <v>3613118.6100000003</v>
      </c>
      <c r="E145" s="532">
        <f>4242445.49-1031985.97</f>
        <v>3210459.5200000005</v>
      </c>
      <c r="F145" s="491">
        <f>+D145-E145</f>
        <v>402659.08999999985</v>
      </c>
      <c r="G145" s="531"/>
      <c r="H145" s="489"/>
      <c r="I145" s="489"/>
      <c r="J145" s="489"/>
      <c r="K145" s="489"/>
      <c r="L145" s="489"/>
      <c r="M145" s="489"/>
      <c r="N145" s="489"/>
    </row>
    <row r="146" spans="1:14" x14ac:dyDescent="0.2">
      <c r="A146" s="488"/>
      <c r="B146" s="488" t="s">
        <v>169</v>
      </c>
      <c r="C146" s="490">
        <v>11</v>
      </c>
      <c r="D146" s="502">
        <f>3208717.24-796396.55</f>
        <v>2412320.6900000004</v>
      </c>
      <c r="E146" s="533">
        <f>2947841.38-753800</f>
        <v>2194041.38</v>
      </c>
      <c r="F146" s="491">
        <f>+D146-E146</f>
        <v>218279.31000000052</v>
      </c>
      <c r="G146" s="534"/>
      <c r="H146" s="491"/>
      <c r="I146" s="491"/>
      <c r="J146" s="491"/>
      <c r="K146" s="488"/>
      <c r="L146" s="488"/>
      <c r="M146" s="488"/>
      <c r="N146" s="488"/>
    </row>
    <row r="147" spans="1:14" x14ac:dyDescent="0.2">
      <c r="A147" s="489"/>
      <c r="B147" s="489" t="s">
        <v>170</v>
      </c>
      <c r="C147" s="747">
        <f>+C145+C146</f>
        <v>24</v>
      </c>
      <c r="D147" s="526">
        <f>SUM(D144:D146)</f>
        <v>6025439.3000000007</v>
      </c>
      <c r="E147" s="526">
        <f>SUM(E144:E146)</f>
        <v>5404500.9000000004</v>
      </c>
      <c r="F147" s="527">
        <f>SUM(F144:F146)</f>
        <v>620938.40000000037</v>
      </c>
      <c r="G147" s="531">
        <f>+F147/F149</f>
        <v>0.18335229889115581</v>
      </c>
      <c r="H147" s="489"/>
      <c r="I147" s="489"/>
      <c r="J147" s="489"/>
      <c r="K147" s="489"/>
      <c r="L147" s="489"/>
      <c r="M147" s="489"/>
      <c r="N147" s="489"/>
    </row>
    <row r="148" spans="1:14" x14ac:dyDescent="0.2">
      <c r="A148" s="488"/>
      <c r="B148" s="488"/>
      <c r="C148" s="490"/>
      <c r="D148" s="529"/>
      <c r="E148" s="529"/>
      <c r="F148" s="491">
        <f>+D148-E148</f>
        <v>0</v>
      </c>
      <c r="G148" s="490"/>
      <c r="H148" s="489" t="s">
        <v>9</v>
      </c>
      <c r="I148" s="488"/>
      <c r="J148" s="488"/>
      <c r="K148" s="488"/>
      <c r="L148" s="488"/>
      <c r="M148" s="488"/>
      <c r="N148" s="488"/>
    </row>
    <row r="149" spans="1:14" x14ac:dyDescent="0.2">
      <c r="A149" s="489"/>
      <c r="B149" s="489" t="s">
        <v>130</v>
      </c>
      <c r="C149" s="747">
        <f>+C147+C140</f>
        <v>110</v>
      </c>
      <c r="D149" s="527">
        <f>+D140+D147</f>
        <v>34334585.460000008</v>
      </c>
      <c r="E149" s="527">
        <f>+E140+E147</f>
        <v>30947999.07</v>
      </c>
      <c r="F149" s="527">
        <f>+F147+F140</f>
        <v>3386586.39</v>
      </c>
      <c r="G149" s="747"/>
      <c r="H149" s="489"/>
      <c r="I149" s="489"/>
      <c r="J149" s="489"/>
      <c r="K149" s="489"/>
      <c r="L149" s="489"/>
      <c r="M149" s="489"/>
      <c r="N149" s="489"/>
    </row>
    <row r="152" spans="1:14" x14ac:dyDescent="0.2">
      <c r="A152" s="488"/>
      <c r="B152" s="489" t="s">
        <v>133</v>
      </c>
      <c r="C152" s="490"/>
      <c r="D152" s="491"/>
      <c r="E152" s="491"/>
      <c r="F152" s="491"/>
      <c r="G152" s="490"/>
      <c r="H152" s="488"/>
      <c r="I152" s="488"/>
      <c r="J152" s="488"/>
      <c r="K152" s="488"/>
      <c r="L152" s="488"/>
      <c r="M152" s="488"/>
      <c r="N152" s="488"/>
    </row>
    <row r="153" spans="1:14" x14ac:dyDescent="0.2">
      <c r="A153" s="488"/>
      <c r="B153" s="489" t="s">
        <v>46</v>
      </c>
      <c r="C153" s="490"/>
      <c r="D153" s="491"/>
      <c r="E153" s="491"/>
      <c r="F153" s="491"/>
      <c r="G153" s="490"/>
      <c r="H153" s="488"/>
      <c r="I153" s="488"/>
      <c r="J153" s="488"/>
      <c r="K153" s="488"/>
      <c r="L153" s="488"/>
      <c r="M153" s="488"/>
      <c r="N153" s="488"/>
    </row>
    <row r="154" spans="1:14" x14ac:dyDescent="0.2">
      <c r="A154" s="488"/>
      <c r="B154" s="489"/>
      <c r="C154" s="490"/>
      <c r="D154" s="491"/>
      <c r="E154" s="491"/>
      <c r="F154" s="491"/>
      <c r="G154" s="492"/>
      <c r="H154" s="488"/>
      <c r="I154" s="488"/>
      <c r="J154" s="488"/>
      <c r="K154" s="488"/>
      <c r="L154" s="488"/>
      <c r="M154" s="488"/>
      <c r="N154" s="488"/>
    </row>
    <row r="155" spans="1:14" x14ac:dyDescent="0.2">
      <c r="A155" s="488"/>
      <c r="B155" s="493" t="s">
        <v>5347</v>
      </c>
      <c r="C155" s="490"/>
      <c r="D155" s="491"/>
      <c r="E155" s="491"/>
      <c r="F155" s="491"/>
      <c r="G155" s="490"/>
      <c r="H155" s="488"/>
      <c r="I155" s="488"/>
      <c r="J155" s="488"/>
      <c r="K155" s="488"/>
      <c r="L155" s="488"/>
      <c r="M155" s="488"/>
      <c r="N155" s="488"/>
    </row>
    <row r="156" spans="1:14" x14ac:dyDescent="0.2">
      <c r="A156" s="488"/>
      <c r="B156" s="488"/>
      <c r="C156" s="490"/>
      <c r="D156" s="491"/>
      <c r="E156" s="491"/>
      <c r="F156" s="491"/>
      <c r="G156" s="828" t="s">
        <v>283</v>
      </c>
      <c r="H156" s="828"/>
      <c r="I156" s="828"/>
      <c r="J156" s="828"/>
      <c r="K156" s="828" t="s">
        <v>39</v>
      </c>
      <c r="L156" s="828"/>
      <c r="M156" s="828"/>
      <c r="N156" s="828"/>
    </row>
    <row r="157" spans="1:14" x14ac:dyDescent="0.2">
      <c r="A157" s="742"/>
      <c r="B157" s="742" t="s">
        <v>154</v>
      </c>
      <c r="C157" s="742" t="s">
        <v>41</v>
      </c>
      <c r="D157" s="495" t="s">
        <v>42</v>
      </c>
      <c r="E157" s="495" t="s">
        <v>376</v>
      </c>
      <c r="F157" s="495" t="s">
        <v>43</v>
      </c>
      <c r="G157" s="742" t="s">
        <v>41</v>
      </c>
      <c r="H157" s="495" t="s">
        <v>42</v>
      </c>
      <c r="I157" s="495" t="s">
        <v>376</v>
      </c>
      <c r="J157" s="495" t="s">
        <v>43</v>
      </c>
      <c r="K157" s="742" t="s">
        <v>41</v>
      </c>
      <c r="L157" s="495" t="s">
        <v>42</v>
      </c>
      <c r="M157" s="495" t="s">
        <v>376</v>
      </c>
      <c r="N157" s="495" t="s">
        <v>43</v>
      </c>
    </row>
    <row r="158" spans="1:14" x14ac:dyDescent="0.2">
      <c r="A158" s="488">
        <v>1</v>
      </c>
      <c r="B158" s="488" t="s">
        <v>35</v>
      </c>
      <c r="C158" s="490">
        <v>5</v>
      </c>
      <c r="D158" s="496">
        <v>1865353.66</v>
      </c>
      <c r="E158" s="507">
        <f>1622194.15-8169.82</f>
        <v>1614024.3299999998</v>
      </c>
      <c r="F158" s="491">
        <f>+D158-E158</f>
        <v>251329.33000000007</v>
      </c>
      <c r="G158" s="490"/>
      <c r="H158" s="498"/>
      <c r="I158" s="499"/>
      <c r="J158" s="491">
        <f>+H158-I158</f>
        <v>0</v>
      </c>
      <c r="K158" s="490">
        <f t="shared" ref="K158:K177" si="33">+C158+G158</f>
        <v>5</v>
      </c>
      <c r="L158" s="491">
        <f>+D158+H158</f>
        <v>1865353.66</v>
      </c>
      <c r="M158" s="491">
        <f>E158+I158</f>
        <v>1614024.3299999998</v>
      </c>
      <c r="N158" s="500">
        <f>+L158-M158</f>
        <v>251329.33000000007</v>
      </c>
    </row>
    <row r="159" spans="1:14" x14ac:dyDescent="0.2">
      <c r="A159" s="488">
        <v>2</v>
      </c>
      <c r="B159" s="488" t="s">
        <v>229</v>
      </c>
      <c r="C159" s="490">
        <v>10</v>
      </c>
      <c r="D159" s="496">
        <f>3724796.58-1400200.63</f>
        <v>2324595.9500000002</v>
      </c>
      <c r="E159" s="507">
        <f>3389895.81-1310388.88</f>
        <v>2079506.9300000002</v>
      </c>
      <c r="F159" s="491">
        <f t="shared" ref="F159:F174" si="34">+D159-E159</f>
        <v>245089.02000000002</v>
      </c>
      <c r="G159" s="490">
        <v>6</v>
      </c>
      <c r="H159" s="498">
        <v>1382282.38</v>
      </c>
      <c r="I159" s="501">
        <v>1375460.69</v>
      </c>
      <c r="J159" s="491">
        <f>+H159-I159</f>
        <v>6821.6899999999441</v>
      </c>
      <c r="K159" s="490">
        <f t="shared" si="33"/>
        <v>16</v>
      </c>
      <c r="L159" s="491">
        <f t="shared" ref="L159:L176" si="35">+D159+H159</f>
        <v>3706878.33</v>
      </c>
      <c r="M159" s="491">
        <f t="shared" ref="M159:M174" si="36">E159+I159</f>
        <v>3454967.62</v>
      </c>
      <c r="N159" s="500">
        <f t="shared" ref="N159:N176" si="37">+L159-M159</f>
        <v>251910.70999999996</v>
      </c>
    </row>
    <row r="160" spans="1:14" x14ac:dyDescent="0.2">
      <c r="A160" s="488">
        <f t="shared" ref="A160:A177" si="38">+A159+1</f>
        <v>3</v>
      </c>
      <c r="B160" s="488" t="s">
        <v>378</v>
      </c>
      <c r="C160" s="490"/>
      <c r="D160" s="502"/>
      <c r="E160" s="491"/>
      <c r="F160" s="491">
        <f t="shared" si="34"/>
        <v>0</v>
      </c>
      <c r="G160" s="490"/>
      <c r="H160" s="503"/>
      <c r="I160" s="503"/>
      <c r="J160" s="491">
        <f t="shared" ref="J160:J176" si="39">+H160-I160</f>
        <v>0</v>
      </c>
      <c r="K160" s="490">
        <f t="shared" si="33"/>
        <v>0</v>
      </c>
      <c r="L160" s="491">
        <f t="shared" si="35"/>
        <v>0</v>
      </c>
      <c r="M160" s="491">
        <f t="shared" si="36"/>
        <v>0</v>
      </c>
      <c r="N160" s="500">
        <f t="shared" si="37"/>
        <v>0</v>
      </c>
    </row>
    <row r="161" spans="1:14" x14ac:dyDescent="0.2">
      <c r="A161" s="488">
        <f>+A160+1</f>
        <v>4</v>
      </c>
      <c r="B161" s="488" t="s">
        <v>30</v>
      </c>
      <c r="C161" s="490">
        <v>8</v>
      </c>
      <c r="D161" s="502">
        <f>5076034.47-2399137.92</f>
        <v>2676896.5499999998</v>
      </c>
      <c r="E161" s="507">
        <f>4577412.54-2142477.03</f>
        <v>2434935.5100000002</v>
      </c>
      <c r="F161" s="491">
        <f t="shared" si="34"/>
        <v>241961.03999999957</v>
      </c>
      <c r="G161" s="490">
        <v>2</v>
      </c>
      <c r="H161" s="505">
        <v>600785.74</v>
      </c>
      <c r="I161" s="506">
        <v>583704.37</v>
      </c>
      <c r="J161" s="491">
        <f t="shared" si="39"/>
        <v>17081.369999999995</v>
      </c>
      <c r="K161" s="490">
        <f t="shared" si="33"/>
        <v>10</v>
      </c>
      <c r="L161" s="491">
        <f t="shared" si="35"/>
        <v>3277682.29</v>
      </c>
      <c r="M161" s="491">
        <f t="shared" si="36"/>
        <v>3018639.8800000004</v>
      </c>
      <c r="N161" s="500">
        <f t="shared" si="37"/>
        <v>259042.40999999968</v>
      </c>
    </row>
    <row r="162" spans="1:14" x14ac:dyDescent="0.2">
      <c r="A162" s="488">
        <f t="shared" si="38"/>
        <v>5</v>
      </c>
      <c r="B162" s="488" t="s">
        <v>48</v>
      </c>
      <c r="C162" s="490"/>
      <c r="D162" s="491"/>
      <c r="E162" s="491"/>
      <c r="F162" s="491">
        <f t="shared" si="34"/>
        <v>0</v>
      </c>
      <c r="G162" s="490"/>
      <c r="H162" s="503"/>
      <c r="I162" s="503"/>
      <c r="J162" s="491">
        <f t="shared" si="39"/>
        <v>0</v>
      </c>
      <c r="K162" s="490">
        <f t="shared" si="33"/>
        <v>0</v>
      </c>
      <c r="L162" s="491">
        <f t="shared" si="35"/>
        <v>0</v>
      </c>
      <c r="M162" s="491">
        <f t="shared" si="36"/>
        <v>0</v>
      </c>
      <c r="N162" s="500">
        <f t="shared" si="37"/>
        <v>0</v>
      </c>
    </row>
    <row r="163" spans="1:14" x14ac:dyDescent="0.2">
      <c r="A163" s="488">
        <f t="shared" si="38"/>
        <v>6</v>
      </c>
      <c r="B163" s="488" t="s">
        <v>231</v>
      </c>
      <c r="C163" s="490"/>
      <c r="D163" s="491"/>
      <c r="E163" s="491"/>
      <c r="F163" s="491">
        <f t="shared" si="34"/>
        <v>0</v>
      </c>
      <c r="G163" s="490"/>
      <c r="H163" s="503"/>
      <c r="I163" s="503"/>
      <c r="J163" s="491">
        <f t="shared" si="39"/>
        <v>0</v>
      </c>
      <c r="K163" s="490">
        <f t="shared" si="33"/>
        <v>0</v>
      </c>
      <c r="L163" s="491">
        <f t="shared" si="35"/>
        <v>0</v>
      </c>
      <c r="M163" s="491">
        <f t="shared" si="36"/>
        <v>0</v>
      </c>
      <c r="N163" s="500">
        <f t="shared" si="37"/>
        <v>0</v>
      </c>
    </row>
    <row r="164" spans="1:14" x14ac:dyDescent="0.2">
      <c r="A164" s="488">
        <f t="shared" si="38"/>
        <v>7</v>
      </c>
      <c r="B164" s="488" t="s">
        <v>282</v>
      </c>
      <c r="C164" s="490"/>
      <c r="D164" s="491"/>
      <c r="E164" s="491"/>
      <c r="F164" s="491">
        <f t="shared" si="34"/>
        <v>0</v>
      </c>
      <c r="G164" s="490"/>
      <c r="H164" s="503"/>
      <c r="I164" s="503"/>
      <c r="J164" s="491">
        <f t="shared" si="39"/>
        <v>0</v>
      </c>
      <c r="K164" s="490">
        <f t="shared" si="33"/>
        <v>0</v>
      </c>
      <c r="L164" s="491">
        <f t="shared" si="35"/>
        <v>0</v>
      </c>
      <c r="M164" s="491">
        <f t="shared" si="36"/>
        <v>0</v>
      </c>
      <c r="N164" s="500">
        <f t="shared" si="37"/>
        <v>0</v>
      </c>
    </row>
    <row r="165" spans="1:14" x14ac:dyDescent="0.2">
      <c r="A165" s="488">
        <f t="shared" si="38"/>
        <v>8</v>
      </c>
      <c r="B165" s="488" t="s">
        <v>228</v>
      </c>
      <c r="C165" s="490">
        <v>4</v>
      </c>
      <c r="D165" s="502">
        <f>3459835.2-1489375.71</f>
        <v>1970459.4900000002</v>
      </c>
      <c r="E165" s="502">
        <f>3055510.59-1308104.68</f>
        <v>1747405.91</v>
      </c>
      <c r="F165" s="491">
        <f t="shared" si="34"/>
        <v>223053.58000000031</v>
      </c>
      <c r="G165" s="490">
        <v>2</v>
      </c>
      <c r="H165" s="505">
        <v>818187.58</v>
      </c>
      <c r="I165" s="505">
        <v>820620.5</v>
      </c>
      <c r="J165" s="491">
        <f t="shared" si="39"/>
        <v>-2432.9200000000419</v>
      </c>
      <c r="K165" s="490">
        <f t="shared" si="33"/>
        <v>6</v>
      </c>
      <c r="L165" s="491">
        <f t="shared" si="35"/>
        <v>2788647.0700000003</v>
      </c>
      <c r="M165" s="491">
        <f t="shared" si="36"/>
        <v>2568026.41</v>
      </c>
      <c r="N165" s="500">
        <f t="shared" si="37"/>
        <v>220620.66000000015</v>
      </c>
    </row>
    <row r="166" spans="1:14" x14ac:dyDescent="0.2">
      <c r="A166" s="488">
        <f t="shared" si="38"/>
        <v>9</v>
      </c>
      <c r="B166" s="488" t="s">
        <v>76</v>
      </c>
      <c r="C166" s="490"/>
      <c r="D166" s="491"/>
      <c r="E166" s="491"/>
      <c r="F166" s="491">
        <f t="shared" si="34"/>
        <v>0</v>
      </c>
      <c r="G166" s="490"/>
      <c r="H166" s="503"/>
      <c r="I166" s="503"/>
      <c r="J166" s="491">
        <f t="shared" si="39"/>
        <v>0</v>
      </c>
      <c r="K166" s="490">
        <f t="shared" si="33"/>
        <v>0</v>
      </c>
      <c r="L166" s="491">
        <f t="shared" si="35"/>
        <v>0</v>
      </c>
      <c r="M166" s="491">
        <f t="shared" si="36"/>
        <v>0</v>
      </c>
      <c r="N166" s="500">
        <f t="shared" si="37"/>
        <v>0</v>
      </c>
    </row>
    <row r="167" spans="1:14" x14ac:dyDescent="0.2">
      <c r="A167" s="488">
        <f t="shared" si="38"/>
        <v>10</v>
      </c>
      <c r="B167" s="488" t="s">
        <v>379</v>
      </c>
      <c r="C167" s="490">
        <v>6</v>
      </c>
      <c r="D167" s="502">
        <f>4874335.2-2695392.48</f>
        <v>2178942.7200000002</v>
      </c>
      <c r="E167" s="507">
        <f>4431918.61-2469065.15</f>
        <v>1962853.4600000004</v>
      </c>
      <c r="F167" s="491">
        <f t="shared" si="34"/>
        <v>216089.25999999978</v>
      </c>
      <c r="G167" s="490">
        <v>5</v>
      </c>
      <c r="H167" s="508">
        <f>1746797.39-269502.33</f>
        <v>1477295.0599999998</v>
      </c>
      <c r="I167" s="509">
        <f>1748521.08-269501.47</f>
        <v>1479019.61</v>
      </c>
      <c r="J167" s="491">
        <f t="shared" si="39"/>
        <v>-1724.5500000002794</v>
      </c>
      <c r="K167" s="490">
        <f t="shared" si="33"/>
        <v>11</v>
      </c>
      <c r="L167" s="491">
        <f t="shared" si="35"/>
        <v>3656237.7800000003</v>
      </c>
      <c r="M167" s="491">
        <f t="shared" si="36"/>
        <v>3441873.0700000003</v>
      </c>
      <c r="N167" s="500">
        <f t="shared" si="37"/>
        <v>214364.70999999996</v>
      </c>
    </row>
    <row r="168" spans="1:14" x14ac:dyDescent="0.2">
      <c r="A168" s="488">
        <f t="shared" si="38"/>
        <v>11</v>
      </c>
      <c r="B168" s="488" t="s">
        <v>44</v>
      </c>
      <c r="C168" s="490">
        <v>18</v>
      </c>
      <c r="D168" s="502">
        <f>4327586.23-835000</f>
        <v>3492586.2300000004</v>
      </c>
      <c r="E168" s="507">
        <f>3958139.21-765489.92</f>
        <v>3192649.29</v>
      </c>
      <c r="F168" s="491">
        <f t="shared" si="34"/>
        <v>299936.94000000041</v>
      </c>
      <c r="G168" s="490">
        <v>7</v>
      </c>
      <c r="H168" s="511">
        <v>1218930.2</v>
      </c>
      <c r="I168" s="512">
        <v>1220846.42</v>
      </c>
      <c r="J168" s="491">
        <f t="shared" si="39"/>
        <v>-1916.2199999999721</v>
      </c>
      <c r="K168" s="490">
        <f t="shared" si="33"/>
        <v>25</v>
      </c>
      <c r="L168" s="491">
        <f t="shared" si="35"/>
        <v>4711516.4300000006</v>
      </c>
      <c r="M168" s="491">
        <f t="shared" si="36"/>
        <v>4413495.71</v>
      </c>
      <c r="N168" s="500">
        <f t="shared" si="37"/>
        <v>298020.72000000067</v>
      </c>
    </row>
    <row r="169" spans="1:14" x14ac:dyDescent="0.2">
      <c r="A169" s="488">
        <f t="shared" si="38"/>
        <v>12</v>
      </c>
      <c r="B169" s="488" t="s">
        <v>382</v>
      </c>
      <c r="C169" s="490">
        <v>16</v>
      </c>
      <c r="D169" s="502">
        <f>7214367.82-2859852.22</f>
        <v>4354515.5999999996</v>
      </c>
      <c r="E169" s="507">
        <f>6661645.83-2714764.07</f>
        <v>3946881.7600000002</v>
      </c>
      <c r="F169" s="491">
        <f t="shared" si="34"/>
        <v>407633.83999999939</v>
      </c>
      <c r="G169" s="490">
        <v>12</v>
      </c>
      <c r="H169" s="514">
        <v>2934809.7</v>
      </c>
      <c r="I169" s="515">
        <v>2933230.02</v>
      </c>
      <c r="J169" s="491">
        <f t="shared" si="39"/>
        <v>1579.6800000001676</v>
      </c>
      <c r="K169" s="490">
        <f t="shared" si="33"/>
        <v>28</v>
      </c>
      <c r="L169" s="491">
        <f t="shared" si="35"/>
        <v>7289325.2999999998</v>
      </c>
      <c r="M169" s="491">
        <f t="shared" si="36"/>
        <v>6880111.7800000003</v>
      </c>
      <c r="N169" s="500">
        <f t="shared" si="37"/>
        <v>409213.51999999955</v>
      </c>
    </row>
    <row r="170" spans="1:14" x14ac:dyDescent="0.2">
      <c r="A170" s="488">
        <f t="shared" si="38"/>
        <v>13</v>
      </c>
      <c r="B170" s="488" t="s">
        <v>226</v>
      </c>
      <c r="C170" s="490">
        <v>2</v>
      </c>
      <c r="D170" s="502">
        <v>629228.24</v>
      </c>
      <c r="E170" s="507">
        <f>573386-9031.88</f>
        <v>564354.12</v>
      </c>
      <c r="F170" s="491">
        <f t="shared" si="34"/>
        <v>64874.119999999995</v>
      </c>
      <c r="G170" s="490">
        <v>3</v>
      </c>
      <c r="H170" s="517">
        <v>921928.63</v>
      </c>
      <c r="I170" s="518">
        <v>920862.59</v>
      </c>
      <c r="J170" s="491">
        <f t="shared" si="39"/>
        <v>1066.0400000000373</v>
      </c>
      <c r="K170" s="490">
        <f t="shared" si="33"/>
        <v>5</v>
      </c>
      <c r="L170" s="491">
        <f t="shared" si="35"/>
        <v>1551156.87</v>
      </c>
      <c r="M170" s="491">
        <f t="shared" si="36"/>
        <v>1485216.71</v>
      </c>
      <c r="N170" s="500">
        <f t="shared" si="37"/>
        <v>65940.160000000149</v>
      </c>
    </row>
    <row r="171" spans="1:14" x14ac:dyDescent="0.2">
      <c r="A171" s="488">
        <f t="shared" si="38"/>
        <v>14</v>
      </c>
      <c r="B171" s="488" t="s">
        <v>224</v>
      </c>
      <c r="C171" s="490">
        <v>5</v>
      </c>
      <c r="D171" s="170">
        <v>2843678.16</v>
      </c>
      <c r="E171" s="170">
        <v>2520834.29</v>
      </c>
      <c r="F171" s="491">
        <f t="shared" si="34"/>
        <v>322843.87000000011</v>
      </c>
      <c r="G171" s="490"/>
      <c r="H171" s="505"/>
      <c r="I171" s="505">
        <v>1229.53</v>
      </c>
      <c r="J171" s="491">
        <f t="shared" si="39"/>
        <v>-1229.53</v>
      </c>
      <c r="K171" s="490">
        <f t="shared" si="33"/>
        <v>5</v>
      </c>
      <c r="L171" s="491">
        <f t="shared" si="35"/>
        <v>2843678.16</v>
      </c>
      <c r="M171" s="491">
        <f t="shared" si="36"/>
        <v>2522063.8199999998</v>
      </c>
      <c r="N171" s="500">
        <f t="shared" si="37"/>
        <v>321614.34000000032</v>
      </c>
    </row>
    <row r="172" spans="1:14" x14ac:dyDescent="0.2">
      <c r="A172" s="488">
        <f t="shared" si="38"/>
        <v>15</v>
      </c>
      <c r="B172" s="488" t="s">
        <v>97</v>
      </c>
      <c r="C172" s="490">
        <v>12</v>
      </c>
      <c r="D172" s="502">
        <f>4247328.13-1804989.64</f>
        <v>2442338.4900000002</v>
      </c>
      <c r="E172" s="507">
        <f>3940299.28-1686791.56</f>
        <v>2253507.7199999997</v>
      </c>
      <c r="F172" s="491">
        <f t="shared" si="34"/>
        <v>188830.77000000048</v>
      </c>
      <c r="G172" s="490">
        <v>10</v>
      </c>
      <c r="H172" s="505">
        <f>2040032.17-183987.71</f>
        <v>1856044.46</v>
      </c>
      <c r="I172" s="521">
        <f>2046116.19-183986.84</f>
        <v>1862129.3499999999</v>
      </c>
      <c r="J172" s="491">
        <f t="shared" si="39"/>
        <v>-6084.8899999998976</v>
      </c>
      <c r="K172" s="490">
        <f t="shared" si="33"/>
        <v>22</v>
      </c>
      <c r="L172" s="491">
        <f t="shared" si="35"/>
        <v>4298382.95</v>
      </c>
      <c r="M172" s="491">
        <f t="shared" si="36"/>
        <v>4115637.0699999994</v>
      </c>
      <c r="N172" s="500">
        <f t="shared" si="37"/>
        <v>182745.88000000082</v>
      </c>
    </row>
    <row r="173" spans="1:14" x14ac:dyDescent="0.2">
      <c r="A173" s="488">
        <f t="shared" si="38"/>
        <v>16</v>
      </c>
      <c r="B173" s="488" t="s">
        <v>98</v>
      </c>
      <c r="C173" s="490">
        <v>1</v>
      </c>
      <c r="D173" s="491">
        <v>684482.76</v>
      </c>
      <c r="E173" s="507">
        <v>567432.43999999994</v>
      </c>
      <c r="F173" s="491">
        <f t="shared" si="34"/>
        <v>117050.32000000007</v>
      </c>
      <c r="G173" s="490">
        <v>1</v>
      </c>
      <c r="H173" s="503">
        <v>605465.97</v>
      </c>
      <c r="I173" s="503">
        <v>567786.92000000004</v>
      </c>
      <c r="J173" s="491">
        <f t="shared" si="39"/>
        <v>37679.04999999993</v>
      </c>
      <c r="K173" s="490">
        <f t="shared" si="33"/>
        <v>2</v>
      </c>
      <c r="L173" s="491">
        <f t="shared" si="35"/>
        <v>1289948.73</v>
      </c>
      <c r="M173" s="491">
        <f t="shared" si="36"/>
        <v>1135219.3599999999</v>
      </c>
      <c r="N173" s="500">
        <f t="shared" si="37"/>
        <v>154729.37000000011</v>
      </c>
    </row>
    <row r="174" spans="1:14" x14ac:dyDescent="0.2">
      <c r="A174" s="488">
        <f t="shared" si="38"/>
        <v>17</v>
      </c>
      <c r="B174" s="488" t="s">
        <v>301</v>
      </c>
      <c r="C174" s="490">
        <v>2</v>
      </c>
      <c r="D174" s="491">
        <f>1624359.51-520282.13</f>
        <v>1104077.3799999999</v>
      </c>
      <c r="E174" s="507">
        <f>1438862.92-461127.86</f>
        <v>977735.05999999994</v>
      </c>
      <c r="F174" s="491">
        <f t="shared" si="34"/>
        <v>126342.31999999995</v>
      </c>
      <c r="G174" s="490">
        <v>2</v>
      </c>
      <c r="H174" s="503">
        <f>1422868.71-460716.53</f>
        <v>962152.17999999993</v>
      </c>
      <c r="I174" s="524">
        <f>1422344.73-460361.18</f>
        <v>961983.55</v>
      </c>
      <c r="J174" s="491">
        <f t="shared" si="39"/>
        <v>168.62999999988824</v>
      </c>
      <c r="K174" s="490">
        <f t="shared" si="33"/>
        <v>4</v>
      </c>
      <c r="L174" s="491">
        <f t="shared" si="35"/>
        <v>2066229.5599999998</v>
      </c>
      <c r="M174" s="491">
        <f t="shared" si="36"/>
        <v>1939718.6099999999</v>
      </c>
      <c r="N174" s="500">
        <f t="shared" si="37"/>
        <v>126510.94999999995</v>
      </c>
    </row>
    <row r="175" spans="1:14" x14ac:dyDescent="0.2">
      <c r="A175" s="488">
        <f t="shared" si="38"/>
        <v>18</v>
      </c>
      <c r="B175" s="488" t="s">
        <v>136</v>
      </c>
      <c r="C175" s="490"/>
      <c r="D175" s="491"/>
      <c r="E175" s="503"/>
      <c r="F175" s="491"/>
      <c r="G175" s="490"/>
      <c r="H175" s="503"/>
      <c r="I175" s="503"/>
      <c r="J175" s="491">
        <f t="shared" si="39"/>
        <v>0</v>
      </c>
      <c r="K175" s="490">
        <f t="shared" si="33"/>
        <v>0</v>
      </c>
      <c r="L175" s="491">
        <f t="shared" si="35"/>
        <v>0</v>
      </c>
      <c r="M175" s="491">
        <f>+E175+I175</f>
        <v>0</v>
      </c>
      <c r="N175" s="500">
        <f t="shared" si="37"/>
        <v>0</v>
      </c>
    </row>
    <row r="176" spans="1:14" x14ac:dyDescent="0.2">
      <c r="A176" s="488">
        <f t="shared" si="38"/>
        <v>19</v>
      </c>
      <c r="B176" s="488" t="s">
        <v>227</v>
      </c>
      <c r="C176" s="490"/>
      <c r="D176" s="502"/>
      <c r="E176" s="525">
        <v>411.2</v>
      </c>
      <c r="F176" s="491"/>
      <c r="G176" s="490"/>
      <c r="H176" s="491"/>
      <c r="I176" s="503"/>
      <c r="J176" s="491">
        <f t="shared" si="39"/>
        <v>0</v>
      </c>
      <c r="K176" s="490">
        <f t="shared" si="33"/>
        <v>0</v>
      </c>
      <c r="L176" s="491">
        <f t="shared" si="35"/>
        <v>0</v>
      </c>
      <c r="M176" s="491">
        <f>+E176+I176</f>
        <v>411.2</v>
      </c>
      <c r="N176" s="500">
        <f t="shared" si="37"/>
        <v>-411.2</v>
      </c>
    </row>
    <row r="177" spans="1:14" x14ac:dyDescent="0.2">
      <c r="A177" s="488">
        <f t="shared" si="38"/>
        <v>20</v>
      </c>
      <c r="B177" s="488" t="s">
        <v>63</v>
      </c>
      <c r="C177" s="490"/>
      <c r="D177" s="503"/>
      <c r="E177" s="503"/>
      <c r="F177" s="491"/>
      <c r="G177" s="490"/>
      <c r="H177" s="503"/>
      <c r="I177" s="503"/>
      <c r="J177" s="491"/>
      <c r="K177" s="490">
        <f t="shared" si="33"/>
        <v>0</v>
      </c>
      <c r="L177" s="491"/>
      <c r="M177" s="491">
        <f>+E177+I177</f>
        <v>0</v>
      </c>
      <c r="N177" s="500"/>
    </row>
    <row r="178" spans="1:14" x14ac:dyDescent="0.2">
      <c r="A178" s="489"/>
      <c r="B178" s="489" t="s">
        <v>45</v>
      </c>
      <c r="C178" s="742">
        <f t="shared" ref="C178:I178" si="40">+SUM(C158:C177)</f>
        <v>89</v>
      </c>
      <c r="D178" s="526">
        <f t="shared" si="40"/>
        <v>26567155.230000004</v>
      </c>
      <c r="E178" s="526">
        <f t="shared" si="40"/>
        <v>23862532.02</v>
      </c>
      <c r="F178" s="526">
        <f t="shared" si="40"/>
        <v>2705034.4099999997</v>
      </c>
      <c r="G178" s="742">
        <f t="shared" si="40"/>
        <v>50</v>
      </c>
      <c r="H178" s="526">
        <f t="shared" si="40"/>
        <v>12777881.9</v>
      </c>
      <c r="I178" s="526">
        <f t="shared" si="40"/>
        <v>12726873.549999999</v>
      </c>
      <c r="J178" s="527">
        <f>SUM(J158:J177)</f>
        <v>51008.349999999773</v>
      </c>
      <c r="K178" s="742">
        <f>SUM(K158:K177)</f>
        <v>139</v>
      </c>
      <c r="L178" s="526">
        <f>SUM(L158:L177)</f>
        <v>39345037.130000003</v>
      </c>
      <c r="M178" s="526">
        <f>SUM(M158:M177)</f>
        <v>36589405.570000008</v>
      </c>
      <c r="N178" s="527">
        <f>SUM(N158:N177)</f>
        <v>2755631.5600000015</v>
      </c>
    </row>
    <row r="179" spans="1:14" x14ac:dyDescent="0.2">
      <c r="A179" s="488"/>
      <c r="B179" s="488" t="s">
        <v>61</v>
      </c>
      <c r="C179" s="528"/>
      <c r="D179" s="529">
        <v>26567155.23</v>
      </c>
      <c r="E179" s="529">
        <v>23862532.02</v>
      </c>
      <c r="F179" s="527"/>
      <c r="G179" s="490"/>
      <c r="H179" s="529">
        <v>12777881.9</v>
      </c>
      <c r="I179" s="529">
        <v>12726873.550000001</v>
      </c>
      <c r="J179" s="491"/>
      <c r="K179" s="488"/>
      <c r="L179" s="488"/>
      <c r="M179" s="488"/>
      <c r="N179" s="488"/>
    </row>
    <row r="180" spans="1:14" x14ac:dyDescent="0.2">
      <c r="A180" s="489"/>
      <c r="B180" s="489" t="s">
        <v>230</v>
      </c>
      <c r="C180" s="742"/>
      <c r="D180" s="527">
        <f>+D179-D178</f>
        <v>0</v>
      </c>
      <c r="E180" s="527">
        <f>+E178-E179</f>
        <v>0</v>
      </c>
      <c r="F180" s="527"/>
      <c r="G180" s="742"/>
      <c r="H180" s="527">
        <f>+H178-H179</f>
        <v>0</v>
      </c>
      <c r="I180" s="527">
        <f>+I178-I179</f>
        <v>0</v>
      </c>
      <c r="J180" s="489"/>
      <c r="K180" s="489"/>
      <c r="L180" s="527"/>
      <c r="M180" s="527"/>
      <c r="N180" s="489"/>
    </row>
    <row r="181" spans="1:14" x14ac:dyDescent="0.2">
      <c r="A181" s="489"/>
      <c r="B181" s="489"/>
      <c r="C181" s="742"/>
      <c r="D181" s="527"/>
      <c r="E181" s="527"/>
      <c r="F181" s="527"/>
      <c r="G181" s="742"/>
      <c r="H181" s="489"/>
      <c r="I181" s="489"/>
      <c r="J181" s="489"/>
      <c r="K181" s="489"/>
      <c r="L181" s="530"/>
      <c r="M181" s="530"/>
      <c r="N181" s="489"/>
    </row>
    <row r="182" spans="1:14" x14ac:dyDescent="0.2">
      <c r="A182" s="489"/>
      <c r="B182" s="488" t="s">
        <v>403</v>
      </c>
      <c r="C182" s="490"/>
      <c r="D182" s="491"/>
      <c r="E182" s="503"/>
      <c r="F182" s="491"/>
      <c r="G182" s="531"/>
      <c r="H182" s="489"/>
      <c r="I182" s="489"/>
      <c r="J182" s="489"/>
      <c r="K182" s="489"/>
      <c r="L182" s="489"/>
      <c r="M182" s="489"/>
      <c r="N182" s="489"/>
    </row>
    <row r="183" spans="1:14" x14ac:dyDescent="0.2">
      <c r="A183" s="489"/>
      <c r="B183" s="488" t="s">
        <v>168</v>
      </c>
      <c r="C183" s="490">
        <v>4</v>
      </c>
      <c r="D183" s="491">
        <f>1290517.24-312413.79</f>
        <v>978103.45</v>
      </c>
      <c r="E183" s="532">
        <f>1138774.71-265000</f>
        <v>873774.71</v>
      </c>
      <c r="F183" s="491">
        <f>+D183-E183</f>
        <v>104328.73999999999</v>
      </c>
      <c r="G183" s="531"/>
      <c r="H183" s="489"/>
      <c r="I183" s="489"/>
      <c r="J183" s="489"/>
      <c r="K183" s="489"/>
      <c r="L183" s="489"/>
      <c r="M183" s="489"/>
      <c r="N183" s="489"/>
    </row>
    <row r="184" spans="1:14" x14ac:dyDescent="0.2">
      <c r="A184" s="488"/>
      <c r="B184" s="488" t="s">
        <v>169</v>
      </c>
      <c r="C184" s="490">
        <v>15</v>
      </c>
      <c r="D184" s="502">
        <f>3232974.11-882137.93</f>
        <v>2350836.1799999997</v>
      </c>
      <c r="E184" s="533">
        <f>2869088.34-749695.52</f>
        <v>2119392.8199999998</v>
      </c>
      <c r="F184" s="491">
        <f>+D184-E184</f>
        <v>231443.35999999987</v>
      </c>
      <c r="G184" s="534"/>
      <c r="H184" s="491"/>
      <c r="I184" s="491"/>
      <c r="J184" s="491"/>
      <c r="K184" s="488"/>
      <c r="L184" s="488"/>
      <c r="M184" s="488"/>
      <c r="N184" s="488"/>
    </row>
    <row r="185" spans="1:14" x14ac:dyDescent="0.2">
      <c r="A185" s="489"/>
      <c r="B185" s="489" t="s">
        <v>170</v>
      </c>
      <c r="C185" s="742">
        <f>+C183+C184</f>
        <v>19</v>
      </c>
      <c r="D185" s="526">
        <f>SUM(D182:D184)</f>
        <v>3328939.63</v>
      </c>
      <c r="E185" s="526">
        <f>SUM(E182:E184)</f>
        <v>2993167.53</v>
      </c>
      <c r="F185" s="527">
        <f>SUM(F182:F184)</f>
        <v>335772.09999999986</v>
      </c>
      <c r="G185" s="531">
        <f>+F185/F187</f>
        <v>0.11042205378598716</v>
      </c>
      <c r="H185" s="489"/>
      <c r="I185" s="489"/>
      <c r="J185" s="489"/>
      <c r="K185" s="489"/>
      <c r="L185" s="489"/>
      <c r="M185" s="489"/>
      <c r="N185" s="489"/>
    </row>
    <row r="186" spans="1:14" x14ac:dyDescent="0.2">
      <c r="A186" s="488"/>
      <c r="B186" s="488"/>
      <c r="C186" s="490"/>
      <c r="D186" s="529"/>
      <c r="E186" s="529"/>
      <c r="F186" s="491">
        <f>+D186-E186</f>
        <v>0</v>
      </c>
      <c r="G186" s="490"/>
      <c r="H186" s="489" t="s">
        <v>9</v>
      </c>
      <c r="I186" s="488"/>
      <c r="J186" s="488"/>
      <c r="K186" s="488"/>
      <c r="L186" s="488"/>
      <c r="M186" s="488"/>
      <c r="N186" s="488"/>
    </row>
    <row r="187" spans="1:14" x14ac:dyDescent="0.2">
      <c r="A187" s="489"/>
      <c r="B187" s="489" t="s">
        <v>130</v>
      </c>
      <c r="C187" s="742">
        <f>+C185+C178</f>
        <v>108</v>
      </c>
      <c r="D187" s="527">
        <f>+D178+D185</f>
        <v>29896094.860000003</v>
      </c>
      <c r="E187" s="527">
        <f>+E178+E185</f>
        <v>26855699.550000001</v>
      </c>
      <c r="F187" s="527">
        <f>+F185+F178</f>
        <v>3040806.51</v>
      </c>
      <c r="G187" s="742"/>
      <c r="H187" s="489"/>
      <c r="I187" s="489"/>
      <c r="J187" s="489"/>
      <c r="K187" s="489"/>
      <c r="L187" s="489"/>
      <c r="M187" s="489"/>
      <c r="N187" s="489"/>
    </row>
    <row r="191" spans="1:14" x14ac:dyDescent="0.2">
      <c r="A191" s="488"/>
      <c r="B191" s="489" t="s">
        <v>133</v>
      </c>
      <c r="C191" s="490"/>
      <c r="D191" s="491"/>
      <c r="E191" s="491"/>
      <c r="F191" s="491"/>
      <c r="G191" s="490"/>
      <c r="H191" s="488"/>
      <c r="I191" s="488"/>
      <c r="J191" s="488"/>
      <c r="K191" s="488"/>
      <c r="L191" s="488"/>
      <c r="M191" s="488"/>
      <c r="N191" s="488"/>
    </row>
    <row r="192" spans="1:14" x14ac:dyDescent="0.2">
      <c r="A192" s="488"/>
      <c r="B192" s="489" t="s">
        <v>46</v>
      </c>
      <c r="C192" s="490"/>
      <c r="D192" s="491"/>
      <c r="E192" s="491"/>
      <c r="F192" s="491"/>
      <c r="G192" s="490"/>
      <c r="H192" s="488"/>
      <c r="I192" s="488"/>
      <c r="J192" s="488"/>
      <c r="K192" s="488"/>
      <c r="L192" s="488"/>
      <c r="M192" s="488"/>
      <c r="N192" s="488"/>
    </row>
    <row r="193" spans="1:14" x14ac:dyDescent="0.2">
      <c r="A193" s="488"/>
      <c r="B193" s="489"/>
      <c r="C193" s="490"/>
      <c r="D193" s="491"/>
      <c r="E193" s="491"/>
      <c r="F193" s="491"/>
      <c r="G193" s="492"/>
      <c r="H193" s="488"/>
      <c r="I193" s="488"/>
      <c r="J193" s="488"/>
      <c r="K193" s="488"/>
      <c r="L193" s="488"/>
      <c r="M193" s="488"/>
      <c r="N193" s="488"/>
    </row>
    <row r="194" spans="1:14" x14ac:dyDescent="0.2">
      <c r="A194" s="488"/>
      <c r="B194" s="493" t="s">
        <v>4769</v>
      </c>
      <c r="C194" s="490"/>
      <c r="D194" s="491"/>
      <c r="E194" s="491"/>
      <c r="F194" s="491"/>
      <c r="G194" s="490"/>
      <c r="H194" s="488"/>
      <c r="I194" s="488"/>
      <c r="J194" s="488"/>
      <c r="K194" s="488"/>
      <c r="L194" s="488"/>
      <c r="M194" s="488"/>
      <c r="N194" s="488"/>
    </row>
    <row r="195" spans="1:14" x14ac:dyDescent="0.2">
      <c r="A195" s="488"/>
      <c r="B195" s="488"/>
      <c r="C195" s="490"/>
      <c r="D195" s="491"/>
      <c r="E195" s="491"/>
      <c r="F195" s="491"/>
      <c r="G195" s="828" t="s">
        <v>283</v>
      </c>
      <c r="H195" s="828"/>
      <c r="I195" s="828"/>
      <c r="J195" s="828"/>
      <c r="K195" s="828" t="s">
        <v>39</v>
      </c>
      <c r="L195" s="828"/>
      <c r="M195" s="828"/>
      <c r="N195" s="828"/>
    </row>
    <row r="196" spans="1:14" x14ac:dyDescent="0.2">
      <c r="A196" s="719"/>
      <c r="B196" s="719" t="s">
        <v>154</v>
      </c>
      <c r="C196" s="719" t="s">
        <v>41</v>
      </c>
      <c r="D196" s="495" t="s">
        <v>42</v>
      </c>
      <c r="E196" s="495" t="s">
        <v>376</v>
      </c>
      <c r="F196" s="495" t="s">
        <v>43</v>
      </c>
      <c r="G196" s="719" t="s">
        <v>41</v>
      </c>
      <c r="H196" s="495" t="s">
        <v>42</v>
      </c>
      <c r="I196" s="495" t="s">
        <v>376</v>
      </c>
      <c r="J196" s="495" t="s">
        <v>43</v>
      </c>
      <c r="K196" s="719" t="s">
        <v>41</v>
      </c>
      <c r="L196" s="495" t="s">
        <v>42</v>
      </c>
      <c r="M196" s="495" t="s">
        <v>376</v>
      </c>
      <c r="N196" s="495" t="s">
        <v>43</v>
      </c>
    </row>
    <row r="197" spans="1:14" x14ac:dyDescent="0.2">
      <c r="A197" s="488">
        <v>1</v>
      </c>
      <c r="B197" s="488" t="s">
        <v>35</v>
      </c>
      <c r="C197" s="490">
        <v>2</v>
      </c>
      <c r="D197" s="496">
        <f>1361639.7-671030.68</f>
        <v>690609.0199999999</v>
      </c>
      <c r="E197" s="507">
        <f>1189258.02-599422.11</f>
        <v>589835.91</v>
      </c>
      <c r="F197" s="491">
        <f>+D197-E197</f>
        <v>100773.10999999987</v>
      </c>
      <c r="G197" s="490">
        <v>1</v>
      </c>
      <c r="H197" s="498">
        <v>272073.46000000002</v>
      </c>
      <c r="I197" s="499">
        <v>272072.59000000003</v>
      </c>
      <c r="J197" s="491">
        <f>+H197-I197</f>
        <v>0.86999999999534339</v>
      </c>
      <c r="K197" s="490">
        <f t="shared" ref="K197:K216" si="41">+C197+G197</f>
        <v>3</v>
      </c>
      <c r="L197" s="491">
        <f>+D197+H197</f>
        <v>962682.48</v>
      </c>
      <c r="M197" s="491">
        <f>E197+I197</f>
        <v>861908.5</v>
      </c>
      <c r="N197" s="500">
        <f>+L197-M197</f>
        <v>100773.97999999998</v>
      </c>
    </row>
    <row r="198" spans="1:14" x14ac:dyDescent="0.2">
      <c r="A198" s="488">
        <v>2</v>
      </c>
      <c r="B198" s="488" t="s">
        <v>229</v>
      </c>
      <c r="C198" s="490">
        <v>11</v>
      </c>
      <c r="D198" s="496">
        <f>4693274.71-1842494.7</f>
        <v>2850780.01</v>
      </c>
      <c r="E198" s="507">
        <f>4207212.61-1681825.43</f>
        <v>2525387.1800000006</v>
      </c>
      <c r="F198" s="491">
        <f t="shared" ref="F198:F213" si="42">+D198-E198</f>
        <v>325392.82999999914</v>
      </c>
      <c r="G198" s="490">
        <v>9</v>
      </c>
      <c r="H198" s="498">
        <f>2304035.58-212747.97</f>
        <v>2091287.61</v>
      </c>
      <c r="I198" s="501">
        <f>2246061.92-203953.31</f>
        <v>2042108.6099999999</v>
      </c>
      <c r="J198" s="491">
        <f>+H198-I198</f>
        <v>49179.000000000233</v>
      </c>
      <c r="K198" s="490">
        <f t="shared" si="41"/>
        <v>20</v>
      </c>
      <c r="L198" s="491">
        <f t="shared" ref="L198:L215" si="43">+D198+H198</f>
        <v>4942067.62</v>
      </c>
      <c r="M198" s="491">
        <f t="shared" ref="M198:M213" si="44">E198+I198</f>
        <v>4567495.790000001</v>
      </c>
      <c r="N198" s="500">
        <f t="shared" ref="N198:N215" si="45">+L198-M198</f>
        <v>374571.82999999914</v>
      </c>
    </row>
    <row r="199" spans="1:14" x14ac:dyDescent="0.2">
      <c r="A199" s="488">
        <f t="shared" ref="A199:A216" si="46">+A198+1</f>
        <v>3</v>
      </c>
      <c r="B199" s="488" t="s">
        <v>378</v>
      </c>
      <c r="C199" s="490"/>
      <c r="D199" s="502"/>
      <c r="E199" s="491"/>
      <c r="F199" s="491">
        <f t="shared" si="42"/>
        <v>0</v>
      </c>
      <c r="G199" s="490"/>
      <c r="H199" s="503"/>
      <c r="I199" s="503"/>
      <c r="J199" s="491">
        <f t="shared" ref="J199:J215" si="47">+H199-I199</f>
        <v>0</v>
      </c>
      <c r="K199" s="490">
        <f t="shared" si="41"/>
        <v>0</v>
      </c>
      <c r="L199" s="491">
        <f t="shared" si="43"/>
        <v>0</v>
      </c>
      <c r="M199" s="491">
        <f t="shared" si="44"/>
        <v>0</v>
      </c>
      <c r="N199" s="500">
        <f t="shared" si="45"/>
        <v>0</v>
      </c>
    </row>
    <row r="200" spans="1:14" x14ac:dyDescent="0.2">
      <c r="A200" s="488">
        <f>+A199+1</f>
        <v>4</v>
      </c>
      <c r="B200" s="488" t="s">
        <v>30</v>
      </c>
      <c r="C200" s="490">
        <v>2</v>
      </c>
      <c r="D200" s="502">
        <f>1537931.02-760344.82</f>
        <v>777586.20000000007</v>
      </c>
      <c r="E200" s="507">
        <f>1394642.43-698289.39</f>
        <v>696353.03999999992</v>
      </c>
      <c r="F200" s="491">
        <f t="shared" si="42"/>
        <v>81233.160000000149</v>
      </c>
      <c r="G200" s="490">
        <v>6</v>
      </c>
      <c r="H200" s="505">
        <v>1802357.22</v>
      </c>
      <c r="I200" s="506">
        <v>1767483.8</v>
      </c>
      <c r="J200" s="491">
        <f t="shared" si="47"/>
        <v>34873.419999999925</v>
      </c>
      <c r="K200" s="490">
        <f t="shared" si="41"/>
        <v>8</v>
      </c>
      <c r="L200" s="491">
        <f t="shared" si="43"/>
        <v>2579943.42</v>
      </c>
      <c r="M200" s="491">
        <f t="shared" si="44"/>
        <v>2463836.84</v>
      </c>
      <c r="N200" s="500">
        <f t="shared" si="45"/>
        <v>116106.58000000007</v>
      </c>
    </row>
    <row r="201" spans="1:14" x14ac:dyDescent="0.2">
      <c r="A201" s="488">
        <f t="shared" si="46"/>
        <v>5</v>
      </c>
      <c r="B201" s="488" t="s">
        <v>48</v>
      </c>
      <c r="C201" s="490"/>
      <c r="D201" s="491"/>
      <c r="E201" s="491"/>
      <c r="F201" s="491">
        <f t="shared" si="42"/>
        <v>0</v>
      </c>
      <c r="G201" s="490"/>
      <c r="H201" s="503"/>
      <c r="I201" s="503"/>
      <c r="J201" s="491">
        <f t="shared" si="47"/>
        <v>0</v>
      </c>
      <c r="K201" s="490">
        <f t="shared" si="41"/>
        <v>0</v>
      </c>
      <c r="L201" s="491">
        <f t="shared" si="43"/>
        <v>0</v>
      </c>
      <c r="M201" s="491">
        <f t="shared" si="44"/>
        <v>0</v>
      </c>
      <c r="N201" s="500">
        <f t="shared" si="45"/>
        <v>0</v>
      </c>
    </row>
    <row r="202" spans="1:14" x14ac:dyDescent="0.2">
      <c r="A202" s="488">
        <f t="shared" si="46"/>
        <v>6</v>
      </c>
      <c r="B202" s="488" t="s">
        <v>231</v>
      </c>
      <c r="C202" s="490"/>
      <c r="D202" s="491"/>
      <c r="E202" s="491"/>
      <c r="F202" s="491">
        <f t="shared" si="42"/>
        <v>0</v>
      </c>
      <c r="G202" s="490"/>
      <c r="H202" s="503"/>
      <c r="I202" s="503"/>
      <c r="J202" s="491">
        <f t="shared" si="47"/>
        <v>0</v>
      </c>
      <c r="K202" s="490">
        <f t="shared" si="41"/>
        <v>0</v>
      </c>
      <c r="L202" s="491">
        <f t="shared" si="43"/>
        <v>0</v>
      </c>
      <c r="M202" s="491">
        <f t="shared" si="44"/>
        <v>0</v>
      </c>
      <c r="N202" s="500">
        <f t="shared" si="45"/>
        <v>0</v>
      </c>
    </row>
    <row r="203" spans="1:14" x14ac:dyDescent="0.2">
      <c r="A203" s="488">
        <f t="shared" si="46"/>
        <v>7</v>
      </c>
      <c r="B203" s="488" t="s">
        <v>282</v>
      </c>
      <c r="C203" s="490"/>
      <c r="D203" s="491"/>
      <c r="E203" s="491"/>
      <c r="F203" s="491">
        <f t="shared" si="42"/>
        <v>0</v>
      </c>
      <c r="G203" s="490"/>
      <c r="H203" s="503"/>
      <c r="I203" s="503"/>
      <c r="J203" s="491">
        <f t="shared" si="47"/>
        <v>0</v>
      </c>
      <c r="K203" s="490">
        <f t="shared" si="41"/>
        <v>0</v>
      </c>
      <c r="L203" s="491">
        <f t="shared" si="43"/>
        <v>0</v>
      </c>
      <c r="M203" s="491">
        <f t="shared" si="44"/>
        <v>0</v>
      </c>
      <c r="N203" s="500">
        <f t="shared" si="45"/>
        <v>0</v>
      </c>
    </row>
    <row r="204" spans="1:14" x14ac:dyDescent="0.2">
      <c r="A204" s="488">
        <f t="shared" si="46"/>
        <v>8</v>
      </c>
      <c r="B204" s="488" t="s">
        <v>228</v>
      </c>
      <c r="C204" s="490">
        <v>4</v>
      </c>
      <c r="D204" s="502">
        <f>2429553.15-481083.78</f>
        <v>1948469.3699999999</v>
      </c>
      <c r="E204" s="502">
        <f>2173100.76-426277.83</f>
        <v>1746822.9299999997</v>
      </c>
      <c r="F204" s="491">
        <f t="shared" si="42"/>
        <v>201646.44000000018</v>
      </c>
      <c r="G204" s="490">
        <v>2</v>
      </c>
      <c r="H204" s="505">
        <f>1328679.57-391965.61</f>
        <v>936713.96000000008</v>
      </c>
      <c r="I204" s="505">
        <f>1327968.03-391964.75</f>
        <v>936003.28</v>
      </c>
      <c r="J204" s="491">
        <f t="shared" si="47"/>
        <v>710.68000000005122</v>
      </c>
      <c r="K204" s="490">
        <f t="shared" si="41"/>
        <v>6</v>
      </c>
      <c r="L204" s="491">
        <f t="shared" si="43"/>
        <v>2885183.33</v>
      </c>
      <c r="M204" s="491">
        <f t="shared" si="44"/>
        <v>2682826.21</v>
      </c>
      <c r="N204" s="500">
        <f t="shared" si="45"/>
        <v>202357.12000000011</v>
      </c>
    </row>
    <row r="205" spans="1:14" x14ac:dyDescent="0.2">
      <c r="A205" s="488">
        <f t="shared" si="46"/>
        <v>9</v>
      </c>
      <c r="B205" s="488" t="s">
        <v>76</v>
      </c>
      <c r="C205" s="490"/>
      <c r="D205" s="491"/>
      <c r="E205" s="491"/>
      <c r="F205" s="491">
        <f t="shared" si="42"/>
        <v>0</v>
      </c>
      <c r="G205" s="490"/>
      <c r="H205" s="503"/>
      <c r="I205" s="503"/>
      <c r="J205" s="491">
        <f t="shared" si="47"/>
        <v>0</v>
      </c>
      <c r="K205" s="490">
        <f t="shared" si="41"/>
        <v>0</v>
      </c>
      <c r="L205" s="491">
        <f t="shared" si="43"/>
        <v>0</v>
      </c>
      <c r="M205" s="491">
        <f t="shared" si="44"/>
        <v>0</v>
      </c>
      <c r="N205" s="500">
        <f t="shared" si="45"/>
        <v>0</v>
      </c>
    </row>
    <row r="206" spans="1:14" x14ac:dyDescent="0.2">
      <c r="A206" s="488">
        <f t="shared" si="46"/>
        <v>10</v>
      </c>
      <c r="B206" s="488" t="s">
        <v>379</v>
      </c>
      <c r="C206" s="490">
        <v>4</v>
      </c>
      <c r="D206" s="502">
        <f>2278873.57-789259.7</f>
        <v>1489613.8699999999</v>
      </c>
      <c r="E206" s="507">
        <f>2000734.28-698420.55</f>
        <v>1302313.73</v>
      </c>
      <c r="F206" s="491">
        <f t="shared" si="42"/>
        <v>187300.1399999999</v>
      </c>
      <c r="G206" s="490">
        <v>2</v>
      </c>
      <c r="H206" s="508">
        <v>553925.35</v>
      </c>
      <c r="I206" s="509">
        <v>553967.72</v>
      </c>
      <c r="J206" s="491">
        <f t="shared" si="47"/>
        <v>-42.369999999995343</v>
      </c>
      <c r="K206" s="490">
        <f t="shared" si="41"/>
        <v>6</v>
      </c>
      <c r="L206" s="491">
        <f t="shared" si="43"/>
        <v>2043539.2199999997</v>
      </c>
      <c r="M206" s="491">
        <f t="shared" si="44"/>
        <v>1856281.45</v>
      </c>
      <c r="N206" s="500">
        <f t="shared" si="45"/>
        <v>187257.76999999979</v>
      </c>
    </row>
    <row r="207" spans="1:14" x14ac:dyDescent="0.2">
      <c r="A207" s="488">
        <f t="shared" si="46"/>
        <v>11</v>
      </c>
      <c r="B207" s="488" t="s">
        <v>44</v>
      </c>
      <c r="C207" s="490">
        <v>16</v>
      </c>
      <c r="D207" s="502">
        <f>4520026.46-1365344.83</f>
        <v>3154681.63</v>
      </c>
      <c r="E207" s="507">
        <f>4120910.69-1238256.34</f>
        <v>2882654.3499999996</v>
      </c>
      <c r="F207" s="491">
        <f t="shared" si="42"/>
        <v>272027.28000000026</v>
      </c>
      <c r="G207" s="490">
        <v>3</v>
      </c>
      <c r="H207" s="511">
        <v>625174.12</v>
      </c>
      <c r="I207" s="512">
        <v>624462.57999999996</v>
      </c>
      <c r="J207" s="491">
        <f t="shared" si="47"/>
        <v>711.54000000003725</v>
      </c>
      <c r="K207" s="490">
        <f t="shared" si="41"/>
        <v>19</v>
      </c>
      <c r="L207" s="491">
        <f t="shared" si="43"/>
        <v>3779855.75</v>
      </c>
      <c r="M207" s="491">
        <f t="shared" si="44"/>
        <v>3507116.9299999997</v>
      </c>
      <c r="N207" s="500">
        <f t="shared" si="45"/>
        <v>272738.8200000003</v>
      </c>
    </row>
    <row r="208" spans="1:14" x14ac:dyDescent="0.2">
      <c r="A208" s="488">
        <f t="shared" si="46"/>
        <v>12</v>
      </c>
      <c r="B208" s="488" t="s">
        <v>382</v>
      </c>
      <c r="C208" s="490">
        <v>13</v>
      </c>
      <c r="D208" s="502">
        <f>4238752.04-745648.6</f>
        <v>3493103.44</v>
      </c>
      <c r="E208" s="507">
        <f>3863555.85-707255.03</f>
        <v>3156300.8200000003</v>
      </c>
      <c r="F208" s="491">
        <f t="shared" si="42"/>
        <v>336802.61999999965</v>
      </c>
      <c r="G208" s="490">
        <v>13</v>
      </c>
      <c r="H208" s="514">
        <v>3358307.96</v>
      </c>
      <c r="I208" s="515">
        <v>3334593.13</v>
      </c>
      <c r="J208" s="491">
        <f t="shared" si="47"/>
        <v>23714.830000000075</v>
      </c>
      <c r="K208" s="490">
        <f t="shared" si="41"/>
        <v>26</v>
      </c>
      <c r="L208" s="491">
        <f t="shared" si="43"/>
        <v>6851411.4000000004</v>
      </c>
      <c r="M208" s="491">
        <f t="shared" si="44"/>
        <v>6490893.9500000002</v>
      </c>
      <c r="N208" s="500">
        <f t="shared" si="45"/>
        <v>360517.45000000019</v>
      </c>
    </row>
    <row r="209" spans="1:14" x14ac:dyDescent="0.2">
      <c r="A209" s="488">
        <f t="shared" si="46"/>
        <v>13</v>
      </c>
      <c r="B209" s="488" t="s">
        <v>226</v>
      </c>
      <c r="C209" s="490">
        <v>4</v>
      </c>
      <c r="D209" s="502">
        <f>2603766.07-1106629.58</f>
        <v>1497136.4899999998</v>
      </c>
      <c r="E209" s="507">
        <f>2313318.18-980834.49</f>
        <v>1332483.6900000002</v>
      </c>
      <c r="F209" s="491">
        <f t="shared" si="42"/>
        <v>164652.79999999958</v>
      </c>
      <c r="G209" s="490"/>
      <c r="H209" s="517"/>
      <c r="I209" s="518"/>
      <c r="J209" s="491">
        <f t="shared" si="47"/>
        <v>0</v>
      </c>
      <c r="K209" s="490">
        <f t="shared" si="41"/>
        <v>4</v>
      </c>
      <c r="L209" s="491">
        <f t="shared" si="43"/>
        <v>1497136.4899999998</v>
      </c>
      <c r="M209" s="491">
        <f t="shared" si="44"/>
        <v>1332483.6900000002</v>
      </c>
      <c r="N209" s="500">
        <f t="shared" si="45"/>
        <v>164652.79999999958</v>
      </c>
    </row>
    <row r="210" spans="1:14" x14ac:dyDescent="0.2">
      <c r="A210" s="488">
        <f t="shared" si="46"/>
        <v>14</v>
      </c>
      <c r="B210" s="488" t="s">
        <v>224</v>
      </c>
      <c r="C210" s="490">
        <v>2</v>
      </c>
      <c r="D210" s="170">
        <v>1105008.21</v>
      </c>
      <c r="E210" s="170">
        <v>982463.5</v>
      </c>
      <c r="F210" s="491">
        <f t="shared" si="42"/>
        <v>122544.70999999996</v>
      </c>
      <c r="G210" s="490"/>
      <c r="H210" s="505"/>
      <c r="I210" s="505"/>
      <c r="J210" s="491">
        <f t="shared" si="47"/>
        <v>0</v>
      </c>
      <c r="K210" s="490">
        <f t="shared" si="41"/>
        <v>2</v>
      </c>
      <c r="L210" s="491">
        <f t="shared" si="43"/>
        <v>1105008.21</v>
      </c>
      <c r="M210" s="491">
        <f t="shared" si="44"/>
        <v>982463.5</v>
      </c>
      <c r="N210" s="500">
        <f t="shared" si="45"/>
        <v>122544.70999999996</v>
      </c>
    </row>
    <row r="211" spans="1:14" x14ac:dyDescent="0.2">
      <c r="A211" s="488">
        <f t="shared" si="46"/>
        <v>15</v>
      </c>
      <c r="B211" s="488" t="s">
        <v>97</v>
      </c>
      <c r="C211" s="490">
        <v>7</v>
      </c>
      <c r="D211" s="502">
        <f>2348560.96-897153.47</f>
        <v>1451407.49</v>
      </c>
      <c r="E211" s="507">
        <f>2142971.65-812137.38</f>
        <v>1330834.27</v>
      </c>
      <c r="F211" s="491">
        <f t="shared" si="42"/>
        <v>120573.21999999997</v>
      </c>
      <c r="G211" s="490">
        <v>4</v>
      </c>
      <c r="H211" s="505">
        <v>744020.64</v>
      </c>
      <c r="I211" s="521">
        <v>742953.74</v>
      </c>
      <c r="J211" s="491">
        <f t="shared" si="47"/>
        <v>1066.9000000000233</v>
      </c>
      <c r="K211" s="490">
        <f t="shared" si="41"/>
        <v>11</v>
      </c>
      <c r="L211" s="491">
        <f t="shared" si="43"/>
        <v>2195428.13</v>
      </c>
      <c r="M211" s="491">
        <f t="shared" si="44"/>
        <v>2073788.01</v>
      </c>
      <c r="N211" s="500">
        <f t="shared" si="45"/>
        <v>121640.11999999988</v>
      </c>
    </row>
    <row r="212" spans="1:14" x14ac:dyDescent="0.2">
      <c r="A212" s="488">
        <f t="shared" si="46"/>
        <v>16</v>
      </c>
      <c r="B212" s="488" t="s">
        <v>98</v>
      </c>
      <c r="C212" s="490"/>
      <c r="D212" s="491"/>
      <c r="E212" s="507"/>
      <c r="F212" s="491">
        <f t="shared" si="42"/>
        <v>0</v>
      </c>
      <c r="G212" s="490"/>
      <c r="H212" s="503"/>
      <c r="I212" s="503"/>
      <c r="J212" s="491">
        <f t="shared" si="47"/>
        <v>0</v>
      </c>
      <c r="K212" s="490">
        <f t="shared" si="41"/>
        <v>0</v>
      </c>
      <c r="L212" s="491">
        <f t="shared" si="43"/>
        <v>0</v>
      </c>
      <c r="M212" s="491">
        <f t="shared" si="44"/>
        <v>0</v>
      </c>
      <c r="N212" s="500">
        <f t="shared" si="45"/>
        <v>0</v>
      </c>
    </row>
    <row r="213" spans="1:14" x14ac:dyDescent="0.2">
      <c r="A213" s="488">
        <f t="shared" si="46"/>
        <v>17</v>
      </c>
      <c r="B213" s="488" t="s">
        <v>301</v>
      </c>
      <c r="C213" s="490">
        <v>3</v>
      </c>
      <c r="D213" s="491">
        <f>2237185.12-566553.87</f>
        <v>1670631.25</v>
      </c>
      <c r="E213" s="507">
        <f>1993539.59-501080.3+284</f>
        <v>1492743.29</v>
      </c>
      <c r="F213" s="491">
        <f t="shared" si="42"/>
        <v>177887.95999999996</v>
      </c>
      <c r="G213" s="490"/>
      <c r="H213" s="523"/>
      <c r="I213" s="524"/>
      <c r="J213" s="491">
        <f t="shared" si="47"/>
        <v>0</v>
      </c>
      <c r="K213" s="490">
        <f t="shared" si="41"/>
        <v>3</v>
      </c>
      <c r="L213" s="491">
        <f t="shared" si="43"/>
        <v>1670631.25</v>
      </c>
      <c r="M213" s="491">
        <f t="shared" si="44"/>
        <v>1492743.29</v>
      </c>
      <c r="N213" s="500">
        <f t="shared" si="45"/>
        <v>177887.95999999996</v>
      </c>
    </row>
    <row r="214" spans="1:14" x14ac:dyDescent="0.2">
      <c r="A214" s="488">
        <f t="shared" si="46"/>
        <v>18</v>
      </c>
      <c r="B214" s="488" t="s">
        <v>136</v>
      </c>
      <c r="C214" s="490"/>
      <c r="D214" s="491"/>
      <c r="E214" s="503"/>
      <c r="F214" s="491"/>
      <c r="G214" s="490"/>
      <c r="H214" s="503"/>
      <c r="I214" s="503"/>
      <c r="J214" s="491">
        <f t="shared" si="47"/>
        <v>0</v>
      </c>
      <c r="K214" s="490">
        <f t="shared" si="41"/>
        <v>0</v>
      </c>
      <c r="L214" s="491">
        <f t="shared" si="43"/>
        <v>0</v>
      </c>
      <c r="M214" s="491">
        <f>+E214+I214</f>
        <v>0</v>
      </c>
      <c r="N214" s="500">
        <f t="shared" si="45"/>
        <v>0</v>
      </c>
    </row>
    <row r="215" spans="1:14" x14ac:dyDescent="0.2">
      <c r="A215" s="488">
        <f t="shared" si="46"/>
        <v>19</v>
      </c>
      <c r="B215" s="488" t="s">
        <v>227</v>
      </c>
      <c r="C215" s="490"/>
      <c r="D215" s="502"/>
      <c r="E215" s="525"/>
      <c r="F215" s="491"/>
      <c r="G215" s="490">
        <v>1</v>
      </c>
      <c r="H215" s="491">
        <v>637884.52</v>
      </c>
      <c r="I215" s="503">
        <v>582736.73</v>
      </c>
      <c r="J215" s="491">
        <f t="shared" si="47"/>
        <v>55147.790000000037</v>
      </c>
      <c r="K215" s="490">
        <f t="shared" si="41"/>
        <v>1</v>
      </c>
      <c r="L215" s="491">
        <f t="shared" si="43"/>
        <v>637884.52</v>
      </c>
      <c r="M215" s="491">
        <f>+E215+I215</f>
        <v>582736.73</v>
      </c>
      <c r="N215" s="500">
        <f t="shared" si="45"/>
        <v>55147.790000000037</v>
      </c>
    </row>
    <row r="216" spans="1:14" x14ac:dyDescent="0.2">
      <c r="A216" s="488">
        <f t="shared" si="46"/>
        <v>20</v>
      </c>
      <c r="B216" s="488" t="s">
        <v>63</v>
      </c>
      <c r="C216" s="490"/>
      <c r="D216" s="503"/>
      <c r="E216" s="503"/>
      <c r="F216" s="491"/>
      <c r="G216" s="490"/>
      <c r="H216" s="503"/>
      <c r="I216" s="503"/>
      <c r="J216" s="491"/>
      <c r="K216" s="490">
        <f t="shared" si="41"/>
        <v>0</v>
      </c>
      <c r="L216" s="491"/>
      <c r="M216" s="491">
        <f>+E216+I216</f>
        <v>0</v>
      </c>
      <c r="N216" s="500"/>
    </row>
    <row r="217" spans="1:14" x14ac:dyDescent="0.2">
      <c r="A217" s="489"/>
      <c r="B217" s="489" t="s">
        <v>45</v>
      </c>
      <c r="C217" s="719">
        <f t="shared" ref="C217:I217" si="48">+SUM(C197:C216)</f>
        <v>68</v>
      </c>
      <c r="D217" s="526">
        <f t="shared" si="48"/>
        <v>20129026.979999997</v>
      </c>
      <c r="E217" s="526">
        <f t="shared" si="48"/>
        <v>18038192.710000001</v>
      </c>
      <c r="F217" s="526">
        <f t="shared" si="48"/>
        <v>2090834.2699999986</v>
      </c>
      <c r="G217" s="719">
        <f t="shared" si="48"/>
        <v>41</v>
      </c>
      <c r="H217" s="526">
        <f t="shared" si="48"/>
        <v>11021744.84</v>
      </c>
      <c r="I217" s="526">
        <f t="shared" si="48"/>
        <v>10856382.180000002</v>
      </c>
      <c r="J217" s="527">
        <f>SUM(J197:J216)</f>
        <v>165362.66000000038</v>
      </c>
      <c r="K217" s="719">
        <f>SUM(K197:K216)</f>
        <v>109</v>
      </c>
      <c r="L217" s="526">
        <f>SUM(L197:L216)</f>
        <v>31150771.819999997</v>
      </c>
      <c r="M217" s="526">
        <f>SUM(M197:M216)</f>
        <v>28894574.890000001</v>
      </c>
      <c r="N217" s="527">
        <f>SUM(N197:N216)</f>
        <v>2256196.9299999988</v>
      </c>
    </row>
    <row r="218" spans="1:14" x14ac:dyDescent="0.2">
      <c r="A218" s="488"/>
      <c r="B218" s="488" t="s">
        <v>61</v>
      </c>
      <c r="C218" s="528"/>
      <c r="D218" s="529">
        <v>20129026.98</v>
      </c>
      <c r="E218" s="529">
        <v>18038192.710000001</v>
      </c>
      <c r="F218" s="527"/>
      <c r="G218" s="490"/>
      <c r="H218" s="529">
        <v>11021744.84</v>
      </c>
      <c r="I218" s="529">
        <v>10856382.18</v>
      </c>
      <c r="J218" s="491"/>
      <c r="K218" s="488"/>
      <c r="L218" s="488"/>
      <c r="M218" s="488"/>
      <c r="N218" s="488"/>
    </row>
    <row r="219" spans="1:14" x14ac:dyDescent="0.2">
      <c r="A219" s="489"/>
      <c r="B219" s="489" t="s">
        <v>230</v>
      </c>
      <c r="C219" s="719"/>
      <c r="D219" s="527">
        <f>+D218-D217</f>
        <v>0</v>
      </c>
      <c r="E219" s="527">
        <f>+E217-E218</f>
        <v>0</v>
      </c>
      <c r="F219" s="527"/>
      <c r="G219" s="719"/>
      <c r="H219" s="527">
        <f>+H217-H218</f>
        <v>0</v>
      </c>
      <c r="I219" s="527">
        <f>+I217-I218</f>
        <v>0</v>
      </c>
      <c r="J219" s="489"/>
      <c r="K219" s="489"/>
      <c r="L219" s="527"/>
      <c r="M219" s="527"/>
      <c r="N219" s="489"/>
    </row>
    <row r="220" spans="1:14" x14ac:dyDescent="0.2">
      <c r="A220" s="489"/>
      <c r="B220" s="489"/>
      <c r="C220" s="719"/>
      <c r="D220" s="527"/>
      <c r="E220" s="527"/>
      <c r="F220" s="527"/>
      <c r="G220" s="719"/>
      <c r="H220" s="489"/>
      <c r="I220" s="489"/>
      <c r="J220" s="489"/>
      <c r="K220" s="489"/>
      <c r="L220" s="530"/>
      <c r="M220" s="530"/>
      <c r="N220" s="489"/>
    </row>
    <row r="221" spans="1:14" x14ac:dyDescent="0.2">
      <c r="A221" s="489"/>
      <c r="B221" s="488" t="s">
        <v>403</v>
      </c>
      <c r="C221" s="490"/>
      <c r="D221" s="491"/>
      <c r="E221" s="503"/>
      <c r="F221" s="491"/>
      <c r="G221" s="531"/>
      <c r="H221" s="489"/>
      <c r="I221" s="489"/>
      <c r="J221" s="489"/>
      <c r="K221" s="489"/>
      <c r="L221" s="489"/>
      <c r="M221" s="489"/>
      <c r="N221" s="489"/>
    </row>
    <row r="222" spans="1:14" x14ac:dyDescent="0.2">
      <c r="A222" s="489"/>
      <c r="B222" s="488" t="s">
        <v>168</v>
      </c>
      <c r="C222" s="490">
        <v>7</v>
      </c>
      <c r="D222" s="491">
        <f>3111620.69-933620.69</f>
        <v>2178000</v>
      </c>
      <c r="E222" s="532">
        <f>2735785.44-786448.28</f>
        <v>1949337.16</v>
      </c>
      <c r="F222" s="491">
        <f>+D222-E222</f>
        <v>228662.84000000008</v>
      </c>
      <c r="G222" s="531"/>
      <c r="H222" s="489"/>
      <c r="I222" s="489"/>
      <c r="J222" s="489"/>
      <c r="K222" s="489"/>
      <c r="L222" s="489"/>
      <c r="M222" s="489"/>
      <c r="N222" s="489"/>
    </row>
    <row r="223" spans="1:14" x14ac:dyDescent="0.2">
      <c r="A223" s="488"/>
      <c r="B223" s="488" t="s">
        <v>169</v>
      </c>
      <c r="C223" s="490">
        <v>13</v>
      </c>
      <c r="D223" s="502">
        <f>3066368.95-1113379.31</f>
        <v>1952989.6400000001</v>
      </c>
      <c r="E223" s="533">
        <f>2716994.07-986527.6</f>
        <v>1730466.4699999997</v>
      </c>
      <c r="F223" s="491">
        <f>+D223-E223</f>
        <v>222523.17000000039</v>
      </c>
      <c r="G223" s="534"/>
      <c r="H223" s="491"/>
      <c r="I223" s="491"/>
      <c r="J223" s="491"/>
      <c r="K223" s="488"/>
      <c r="L223" s="488"/>
      <c r="M223" s="488"/>
      <c r="N223" s="488"/>
    </row>
    <row r="224" spans="1:14" x14ac:dyDescent="0.2">
      <c r="A224" s="489"/>
      <c r="B224" s="489" t="s">
        <v>170</v>
      </c>
      <c r="C224" s="719">
        <f>+C222+C223</f>
        <v>20</v>
      </c>
      <c r="D224" s="526">
        <f>SUM(D221:D223)</f>
        <v>4130989.64</v>
      </c>
      <c r="E224" s="526">
        <f>SUM(E221:E223)</f>
        <v>3679803.63</v>
      </c>
      <c r="F224" s="527">
        <f>SUM(F221:F223)</f>
        <v>451186.01000000047</v>
      </c>
      <c r="G224" s="531">
        <f>+F224/F226</f>
        <v>0.17749111348553073</v>
      </c>
      <c r="H224" s="489"/>
      <c r="I224" s="489"/>
      <c r="J224" s="489"/>
      <c r="K224" s="489"/>
      <c r="L224" s="489"/>
      <c r="M224" s="489"/>
      <c r="N224" s="489"/>
    </row>
    <row r="225" spans="1:14" x14ac:dyDescent="0.2">
      <c r="A225" s="488"/>
      <c r="B225" s="488"/>
      <c r="C225" s="490"/>
      <c r="D225" s="529"/>
      <c r="E225" s="529"/>
      <c r="F225" s="491">
        <f>+D225-E225</f>
        <v>0</v>
      </c>
      <c r="G225" s="490"/>
      <c r="H225" s="489" t="s">
        <v>9</v>
      </c>
      <c r="I225" s="488"/>
      <c r="J225" s="488"/>
      <c r="K225" s="488"/>
      <c r="L225" s="488"/>
      <c r="M225" s="488"/>
      <c r="N225" s="488"/>
    </row>
    <row r="226" spans="1:14" x14ac:dyDescent="0.2">
      <c r="A226" s="489"/>
      <c r="B226" s="489" t="s">
        <v>130</v>
      </c>
      <c r="C226" s="719">
        <f>+C224+C217</f>
        <v>88</v>
      </c>
      <c r="D226" s="527">
        <f>+D217+D224</f>
        <v>24260016.619999997</v>
      </c>
      <c r="E226" s="527">
        <f>+E217+E224</f>
        <v>21717996.34</v>
      </c>
      <c r="F226" s="527">
        <f>+F224+F217</f>
        <v>2542020.2799999993</v>
      </c>
      <c r="G226" s="719"/>
      <c r="H226" s="489"/>
      <c r="I226" s="489"/>
      <c r="J226" s="489"/>
      <c r="K226" s="489"/>
      <c r="L226" s="489"/>
      <c r="M226" s="489"/>
      <c r="N226" s="489"/>
    </row>
    <row r="228" spans="1:14" x14ac:dyDescent="0.2">
      <c r="A228" s="488"/>
      <c r="B228" s="489" t="s">
        <v>133</v>
      </c>
      <c r="C228" s="490"/>
      <c r="D228" s="491"/>
      <c r="E228" s="491"/>
      <c r="F228" s="491"/>
      <c r="G228" s="490"/>
      <c r="H228" s="488"/>
      <c r="I228" s="488"/>
      <c r="J228" s="488"/>
      <c r="K228" s="488"/>
      <c r="L228" s="488"/>
      <c r="M228" s="488"/>
      <c r="N228" s="488"/>
    </row>
    <row r="229" spans="1:14" x14ac:dyDescent="0.2">
      <c r="A229" s="488"/>
      <c r="B229" s="489" t="s">
        <v>46</v>
      </c>
      <c r="C229" s="490"/>
      <c r="D229" s="491"/>
      <c r="E229" s="491"/>
      <c r="F229" s="491"/>
      <c r="G229" s="490"/>
      <c r="H229" s="488"/>
      <c r="I229" s="488"/>
      <c r="J229" s="488"/>
      <c r="K229" s="488"/>
      <c r="L229" s="488"/>
      <c r="M229" s="488"/>
      <c r="N229" s="488"/>
    </row>
    <row r="230" spans="1:14" x14ac:dyDescent="0.2">
      <c r="A230" s="488"/>
      <c r="B230" s="489"/>
      <c r="C230" s="490"/>
      <c r="D230" s="491"/>
      <c r="E230" s="491"/>
      <c r="F230" s="491"/>
      <c r="G230" s="492"/>
      <c r="H230" s="488"/>
      <c r="I230" s="488"/>
      <c r="J230" s="488"/>
      <c r="K230" s="488"/>
      <c r="L230" s="488"/>
      <c r="M230" s="488"/>
      <c r="N230" s="488"/>
    </row>
    <row r="231" spans="1:14" x14ac:dyDescent="0.2">
      <c r="A231" s="488"/>
      <c r="B231" s="493" t="s">
        <v>4102</v>
      </c>
      <c r="C231" s="490"/>
      <c r="D231" s="491"/>
      <c r="E231" s="491"/>
      <c r="F231" s="491"/>
      <c r="G231" s="490"/>
      <c r="H231" s="488"/>
      <c r="I231" s="488"/>
      <c r="J231" s="488"/>
      <c r="K231" s="488"/>
      <c r="L231" s="488"/>
      <c r="M231" s="488"/>
      <c r="N231" s="488"/>
    </row>
    <row r="232" spans="1:14" x14ac:dyDescent="0.2">
      <c r="A232" s="488"/>
      <c r="B232" s="488"/>
      <c r="C232" s="490"/>
      <c r="D232" s="491"/>
      <c r="E232" s="491"/>
      <c r="F232" s="491"/>
      <c r="G232" s="828" t="s">
        <v>283</v>
      </c>
      <c r="H232" s="828"/>
      <c r="I232" s="828"/>
      <c r="J232" s="828"/>
      <c r="K232" s="828" t="s">
        <v>39</v>
      </c>
      <c r="L232" s="828"/>
      <c r="M232" s="828"/>
      <c r="N232" s="828"/>
    </row>
    <row r="233" spans="1:14" x14ac:dyDescent="0.2">
      <c r="A233" s="714"/>
      <c r="B233" s="714" t="s">
        <v>154</v>
      </c>
      <c r="C233" s="714" t="s">
        <v>41</v>
      </c>
      <c r="D233" s="495" t="s">
        <v>42</v>
      </c>
      <c r="E233" s="495" t="s">
        <v>376</v>
      </c>
      <c r="F233" s="495" t="s">
        <v>43</v>
      </c>
      <c r="G233" s="714" t="s">
        <v>41</v>
      </c>
      <c r="H233" s="495" t="s">
        <v>42</v>
      </c>
      <c r="I233" s="495" t="s">
        <v>376</v>
      </c>
      <c r="J233" s="495" t="s">
        <v>43</v>
      </c>
      <c r="K233" s="714" t="s">
        <v>41</v>
      </c>
      <c r="L233" s="495" t="s">
        <v>42</v>
      </c>
      <c r="M233" s="495" t="s">
        <v>376</v>
      </c>
      <c r="N233" s="495" t="s">
        <v>43</v>
      </c>
    </row>
    <row r="234" spans="1:14" x14ac:dyDescent="0.2">
      <c r="A234" s="488">
        <v>1</v>
      </c>
      <c r="B234" s="488" t="s">
        <v>35</v>
      </c>
      <c r="C234" s="490">
        <v>1</v>
      </c>
      <c r="D234" s="496">
        <v>302293.57</v>
      </c>
      <c r="E234" s="507">
        <v>272072.46999999997</v>
      </c>
      <c r="F234" s="491">
        <f>+D234-E234</f>
        <v>30221.100000000035</v>
      </c>
      <c r="G234" s="490">
        <v>2</v>
      </c>
      <c r="H234" s="498">
        <v>619735.44999999995</v>
      </c>
      <c r="I234" s="499">
        <v>598742.75</v>
      </c>
      <c r="J234" s="491">
        <f>+H234-I234</f>
        <v>20992.699999999953</v>
      </c>
      <c r="K234" s="490">
        <f t="shared" ref="K234:K253" si="49">+C234+G234</f>
        <v>3</v>
      </c>
      <c r="L234" s="491">
        <f>+D234+H234</f>
        <v>922029.02</v>
      </c>
      <c r="M234" s="491">
        <f>E234+I234</f>
        <v>870815.22</v>
      </c>
      <c r="N234" s="500">
        <f>+L234-M234</f>
        <v>51213.800000000047</v>
      </c>
    </row>
    <row r="235" spans="1:14" x14ac:dyDescent="0.2">
      <c r="A235" s="488">
        <v>2</v>
      </c>
      <c r="B235" s="488" t="s">
        <v>229</v>
      </c>
      <c r="C235" s="490">
        <v>9</v>
      </c>
      <c r="D235" s="496">
        <f>3507884.45-1068340.12</f>
        <v>2439544.33</v>
      </c>
      <c r="E235" s="507">
        <f>3076137.37-946713.12</f>
        <v>2129424.25</v>
      </c>
      <c r="F235" s="491">
        <f t="shared" ref="F235:F250" si="50">+D235-E235</f>
        <v>310120.08000000007</v>
      </c>
      <c r="G235" s="490">
        <v>1</v>
      </c>
      <c r="H235" s="498">
        <v>275293.15999999997</v>
      </c>
      <c r="I235" s="501">
        <v>274937.82</v>
      </c>
      <c r="J235" s="491">
        <f>+H235-I235</f>
        <v>355.3399999999674</v>
      </c>
      <c r="K235" s="490">
        <f t="shared" si="49"/>
        <v>10</v>
      </c>
      <c r="L235" s="491">
        <f t="shared" ref="L235:L252" si="51">+D235+H235</f>
        <v>2714837.49</v>
      </c>
      <c r="M235" s="491">
        <f t="shared" ref="M235:M250" si="52">E235+I235</f>
        <v>2404362.0699999998</v>
      </c>
      <c r="N235" s="500">
        <f t="shared" ref="N235:N252" si="53">+L235-M235</f>
        <v>310475.42000000039</v>
      </c>
    </row>
    <row r="236" spans="1:14" x14ac:dyDescent="0.2">
      <c r="A236" s="488">
        <f t="shared" ref="A236:A253" si="54">+A235+1</f>
        <v>3</v>
      </c>
      <c r="B236" s="488" t="s">
        <v>378</v>
      </c>
      <c r="C236" s="490"/>
      <c r="D236" s="502"/>
      <c r="E236" s="491"/>
      <c r="F236" s="491">
        <f t="shared" si="50"/>
        <v>0</v>
      </c>
      <c r="G236" s="490"/>
      <c r="H236" s="503"/>
      <c r="I236" s="503"/>
      <c r="J236" s="491">
        <f t="shared" ref="J236:J252" si="55">+H236-I236</f>
        <v>0</v>
      </c>
      <c r="K236" s="490">
        <f t="shared" si="49"/>
        <v>0</v>
      </c>
      <c r="L236" s="491">
        <f t="shared" si="51"/>
        <v>0</v>
      </c>
      <c r="M236" s="491">
        <f t="shared" si="52"/>
        <v>0</v>
      </c>
      <c r="N236" s="500">
        <f t="shared" si="53"/>
        <v>0</v>
      </c>
    </row>
    <row r="237" spans="1:14" x14ac:dyDescent="0.2">
      <c r="A237" s="488">
        <f>+A236+1</f>
        <v>4</v>
      </c>
      <c r="B237" s="488" t="s">
        <v>30</v>
      </c>
      <c r="C237" s="490">
        <v>2</v>
      </c>
      <c r="D237" s="502">
        <f>1108103.44-388793.1</f>
        <v>719310.34</v>
      </c>
      <c r="E237" s="507">
        <f>956077.21-326375.04</f>
        <v>629702.16999999993</v>
      </c>
      <c r="F237" s="491">
        <f t="shared" si="50"/>
        <v>89608.170000000042</v>
      </c>
      <c r="G237" s="490"/>
      <c r="H237" s="505"/>
      <c r="I237" s="506"/>
      <c r="J237" s="491">
        <f t="shared" si="55"/>
        <v>0</v>
      </c>
      <c r="K237" s="490">
        <f t="shared" si="49"/>
        <v>2</v>
      </c>
      <c r="L237" s="491">
        <f t="shared" si="51"/>
        <v>719310.34</v>
      </c>
      <c r="M237" s="491">
        <f t="shared" si="52"/>
        <v>629702.16999999993</v>
      </c>
      <c r="N237" s="500">
        <f t="shared" si="53"/>
        <v>89608.170000000042</v>
      </c>
    </row>
    <row r="238" spans="1:14" x14ac:dyDescent="0.2">
      <c r="A238" s="488">
        <f t="shared" si="54"/>
        <v>5</v>
      </c>
      <c r="B238" s="488" t="s">
        <v>48</v>
      </c>
      <c r="C238" s="490"/>
      <c r="D238" s="491"/>
      <c r="E238" s="491"/>
      <c r="F238" s="491">
        <f t="shared" si="50"/>
        <v>0</v>
      </c>
      <c r="G238" s="490"/>
      <c r="H238" s="503"/>
      <c r="I238" s="503"/>
      <c r="J238" s="491">
        <f t="shared" si="55"/>
        <v>0</v>
      </c>
      <c r="K238" s="490">
        <f t="shared" si="49"/>
        <v>0</v>
      </c>
      <c r="L238" s="491">
        <f t="shared" si="51"/>
        <v>0</v>
      </c>
      <c r="M238" s="491">
        <f t="shared" si="52"/>
        <v>0</v>
      </c>
      <c r="N238" s="500">
        <f t="shared" si="53"/>
        <v>0</v>
      </c>
    </row>
    <row r="239" spans="1:14" x14ac:dyDescent="0.2">
      <c r="A239" s="488">
        <f t="shared" si="54"/>
        <v>6</v>
      </c>
      <c r="B239" s="488" t="s">
        <v>231</v>
      </c>
      <c r="C239" s="490"/>
      <c r="D239" s="491"/>
      <c r="E239" s="491"/>
      <c r="F239" s="491">
        <f t="shared" si="50"/>
        <v>0</v>
      </c>
      <c r="G239" s="490"/>
      <c r="H239" s="503"/>
      <c r="I239" s="503"/>
      <c r="J239" s="491">
        <f t="shared" si="55"/>
        <v>0</v>
      </c>
      <c r="K239" s="490">
        <f t="shared" si="49"/>
        <v>0</v>
      </c>
      <c r="L239" s="491">
        <f t="shared" si="51"/>
        <v>0</v>
      </c>
      <c r="M239" s="491">
        <f t="shared" si="52"/>
        <v>0</v>
      </c>
      <c r="N239" s="500">
        <f t="shared" si="53"/>
        <v>0</v>
      </c>
    </row>
    <row r="240" spans="1:14" x14ac:dyDescent="0.2">
      <c r="A240" s="488">
        <f t="shared" si="54"/>
        <v>7</v>
      </c>
      <c r="B240" s="488" t="s">
        <v>282</v>
      </c>
      <c r="C240" s="490"/>
      <c r="D240" s="491"/>
      <c r="E240" s="491"/>
      <c r="F240" s="491">
        <f t="shared" si="50"/>
        <v>0</v>
      </c>
      <c r="G240" s="490"/>
      <c r="H240" s="503"/>
      <c r="I240" s="503"/>
      <c r="J240" s="491">
        <f t="shared" si="55"/>
        <v>0</v>
      </c>
      <c r="K240" s="490">
        <f t="shared" si="49"/>
        <v>0</v>
      </c>
      <c r="L240" s="491">
        <f t="shared" si="51"/>
        <v>0</v>
      </c>
      <c r="M240" s="491">
        <f t="shared" si="52"/>
        <v>0</v>
      </c>
      <c r="N240" s="500">
        <f t="shared" si="53"/>
        <v>0</v>
      </c>
    </row>
    <row r="241" spans="1:14" x14ac:dyDescent="0.2">
      <c r="A241" s="488">
        <f t="shared" si="54"/>
        <v>8</v>
      </c>
      <c r="B241" s="488" t="s">
        <v>228</v>
      </c>
      <c r="C241" s="490">
        <v>3</v>
      </c>
      <c r="D241" s="502">
        <v>1524447.92</v>
      </c>
      <c r="E241" s="502">
        <f>1341227.76-822.4</f>
        <v>1340405.3600000001</v>
      </c>
      <c r="F241" s="491">
        <f t="shared" si="50"/>
        <v>184042.55999999982</v>
      </c>
      <c r="G241" s="490">
        <v>2</v>
      </c>
      <c r="H241" s="505">
        <v>949357.64</v>
      </c>
      <c r="I241" s="505">
        <v>936003.28</v>
      </c>
      <c r="J241" s="491">
        <f t="shared" si="55"/>
        <v>13354.359999999986</v>
      </c>
      <c r="K241" s="490">
        <f t="shared" si="49"/>
        <v>5</v>
      </c>
      <c r="L241" s="491">
        <f t="shared" si="51"/>
        <v>2473805.56</v>
      </c>
      <c r="M241" s="491">
        <f t="shared" si="52"/>
        <v>2276408.64</v>
      </c>
      <c r="N241" s="500">
        <f t="shared" si="53"/>
        <v>197396.91999999993</v>
      </c>
    </row>
    <row r="242" spans="1:14" x14ac:dyDescent="0.2">
      <c r="A242" s="488">
        <f t="shared" si="54"/>
        <v>9</v>
      </c>
      <c r="B242" s="488" t="s">
        <v>76</v>
      </c>
      <c r="C242" s="490"/>
      <c r="D242" s="491"/>
      <c r="E242" s="491"/>
      <c r="F242" s="491">
        <f t="shared" si="50"/>
        <v>0</v>
      </c>
      <c r="G242" s="490"/>
      <c r="H242" s="503"/>
      <c r="I242" s="503"/>
      <c r="J242" s="491">
        <f t="shared" si="55"/>
        <v>0</v>
      </c>
      <c r="K242" s="490">
        <f t="shared" si="49"/>
        <v>0</v>
      </c>
      <c r="L242" s="491">
        <f t="shared" si="51"/>
        <v>0</v>
      </c>
      <c r="M242" s="491">
        <f t="shared" si="52"/>
        <v>0</v>
      </c>
      <c r="N242" s="500">
        <f t="shared" si="53"/>
        <v>0</v>
      </c>
    </row>
    <row r="243" spans="1:14" x14ac:dyDescent="0.2">
      <c r="A243" s="488">
        <f t="shared" si="54"/>
        <v>10</v>
      </c>
      <c r="B243" s="488" t="s">
        <v>379</v>
      </c>
      <c r="C243" s="490">
        <v>8</v>
      </c>
      <c r="D243" s="502">
        <f>4023831.13-1123769.63</f>
        <v>2900061.5</v>
      </c>
      <c r="E243" s="507">
        <f>3482940.98-977141.13</f>
        <v>2505799.85</v>
      </c>
      <c r="F243" s="491">
        <f t="shared" si="50"/>
        <v>394261.64999999991</v>
      </c>
      <c r="G243" s="490">
        <v>2</v>
      </c>
      <c r="H243" s="508">
        <v>678703.99</v>
      </c>
      <c r="I243" s="509">
        <v>660036.59</v>
      </c>
      <c r="J243" s="491">
        <f t="shared" si="55"/>
        <v>18667.400000000023</v>
      </c>
      <c r="K243" s="490">
        <f t="shared" si="49"/>
        <v>10</v>
      </c>
      <c r="L243" s="491">
        <f t="shared" si="51"/>
        <v>3578765.49</v>
      </c>
      <c r="M243" s="491">
        <f t="shared" si="52"/>
        <v>3165836.44</v>
      </c>
      <c r="N243" s="500">
        <f t="shared" si="53"/>
        <v>412929.05000000028</v>
      </c>
    </row>
    <row r="244" spans="1:14" x14ac:dyDescent="0.2">
      <c r="A244" s="488">
        <f t="shared" si="54"/>
        <v>11</v>
      </c>
      <c r="B244" s="488" t="s">
        <v>44</v>
      </c>
      <c r="C244" s="490">
        <v>19</v>
      </c>
      <c r="D244" s="502">
        <f>5143647.16-1379310.35</f>
        <v>3764336.81</v>
      </c>
      <c r="E244" s="507">
        <f>4688924.22-1253950.31</f>
        <v>3434973.9099999997</v>
      </c>
      <c r="F244" s="491">
        <f t="shared" si="50"/>
        <v>329362.90000000037</v>
      </c>
      <c r="G244" s="490">
        <v>8</v>
      </c>
      <c r="H244" s="511">
        <f>1746517.82-192306.88</f>
        <v>1554210.94</v>
      </c>
      <c r="I244" s="512">
        <f>1730374.57-185123.95</f>
        <v>1545250.62</v>
      </c>
      <c r="J244" s="491">
        <f t="shared" si="55"/>
        <v>8960.3199999998324</v>
      </c>
      <c r="K244" s="490">
        <f t="shared" si="49"/>
        <v>27</v>
      </c>
      <c r="L244" s="491">
        <f t="shared" si="51"/>
        <v>5318547.75</v>
      </c>
      <c r="M244" s="491">
        <f t="shared" si="52"/>
        <v>4980224.5299999993</v>
      </c>
      <c r="N244" s="500">
        <f t="shared" si="53"/>
        <v>338323.22000000067</v>
      </c>
    </row>
    <row r="245" spans="1:14" x14ac:dyDescent="0.2">
      <c r="A245" s="488">
        <f t="shared" si="54"/>
        <v>12</v>
      </c>
      <c r="B245" s="488" t="s">
        <v>382</v>
      </c>
      <c r="C245" s="490">
        <v>25</v>
      </c>
      <c r="D245" s="502">
        <f>7988177.32-1078899.83</f>
        <v>6909277.4900000002</v>
      </c>
      <c r="E245" s="507">
        <f>7154521.97-976979.16</f>
        <v>6177542.8099999996</v>
      </c>
      <c r="F245" s="491">
        <f t="shared" si="50"/>
        <v>731734.68000000063</v>
      </c>
      <c r="G245" s="490">
        <v>6</v>
      </c>
      <c r="H245" s="514">
        <v>1482961.18</v>
      </c>
      <c r="I245" s="515">
        <f>1470649.11+0.86</f>
        <v>1470649.9700000002</v>
      </c>
      <c r="J245" s="491">
        <f t="shared" si="55"/>
        <v>12311.20999999973</v>
      </c>
      <c r="K245" s="490">
        <f t="shared" si="49"/>
        <v>31</v>
      </c>
      <c r="L245" s="491">
        <f t="shared" si="51"/>
        <v>8392238.6699999999</v>
      </c>
      <c r="M245" s="491">
        <f t="shared" si="52"/>
        <v>7648192.7799999993</v>
      </c>
      <c r="N245" s="500">
        <f t="shared" si="53"/>
        <v>744045.8900000006</v>
      </c>
    </row>
    <row r="246" spans="1:14" x14ac:dyDescent="0.2">
      <c r="A246" s="488">
        <f t="shared" si="54"/>
        <v>13</v>
      </c>
      <c r="B246" s="488" t="s">
        <v>226</v>
      </c>
      <c r="C246" s="490">
        <v>7</v>
      </c>
      <c r="D246" s="502">
        <f>3037899.77-390506.91</f>
        <v>2647392.86</v>
      </c>
      <c r="E246" s="507">
        <f>2703284.64-350564.04</f>
        <v>2352720.6</v>
      </c>
      <c r="F246" s="491">
        <f t="shared" si="50"/>
        <v>294672.25999999978</v>
      </c>
      <c r="G246" s="490">
        <v>2</v>
      </c>
      <c r="H246" s="517">
        <v>623803.79</v>
      </c>
      <c r="I246" s="518">
        <v>623093.1</v>
      </c>
      <c r="J246" s="491">
        <f t="shared" si="55"/>
        <v>710.69000000006054</v>
      </c>
      <c r="K246" s="490">
        <f t="shared" si="49"/>
        <v>9</v>
      </c>
      <c r="L246" s="491">
        <f t="shared" si="51"/>
        <v>3271196.65</v>
      </c>
      <c r="M246" s="491">
        <f t="shared" si="52"/>
        <v>2975813.7</v>
      </c>
      <c r="N246" s="500">
        <f t="shared" si="53"/>
        <v>295382.94999999972</v>
      </c>
    </row>
    <row r="247" spans="1:14" x14ac:dyDescent="0.2">
      <c r="A247" s="488">
        <f t="shared" si="54"/>
        <v>14</v>
      </c>
      <c r="B247" s="488" t="s">
        <v>224</v>
      </c>
      <c r="C247" s="490">
        <v>4</v>
      </c>
      <c r="D247" s="170">
        <v>2167898.19</v>
      </c>
      <c r="E247" s="170">
        <f>1919802.29-411.2</f>
        <v>1919391.09</v>
      </c>
      <c r="F247" s="491">
        <f t="shared" si="50"/>
        <v>248507.09999999986</v>
      </c>
      <c r="G247" s="490"/>
      <c r="H247" s="505"/>
      <c r="I247" s="505"/>
      <c r="J247" s="491">
        <f t="shared" si="55"/>
        <v>0</v>
      </c>
      <c r="K247" s="490">
        <f t="shared" si="49"/>
        <v>4</v>
      </c>
      <c r="L247" s="491">
        <f t="shared" si="51"/>
        <v>2167898.19</v>
      </c>
      <c r="M247" s="491">
        <f t="shared" si="52"/>
        <v>1919391.09</v>
      </c>
      <c r="N247" s="500">
        <f t="shared" si="53"/>
        <v>248507.09999999986</v>
      </c>
    </row>
    <row r="248" spans="1:14" x14ac:dyDescent="0.2">
      <c r="A248" s="488">
        <f t="shared" si="54"/>
        <v>15</v>
      </c>
      <c r="B248" s="488" t="s">
        <v>97</v>
      </c>
      <c r="C248" s="490">
        <v>10</v>
      </c>
      <c r="D248" s="502">
        <f>3416865.01-1257614.39</f>
        <v>2159250.62</v>
      </c>
      <c r="E248" s="507">
        <f>3119707.99-1141557.6</f>
        <v>1978150.3900000001</v>
      </c>
      <c r="F248" s="491">
        <f t="shared" si="50"/>
        <v>181100.22999999998</v>
      </c>
      <c r="G248" s="490">
        <v>3</v>
      </c>
      <c r="H248" s="505">
        <v>551964.59</v>
      </c>
      <c r="I248" s="521">
        <v>551608.04</v>
      </c>
      <c r="J248" s="491">
        <f t="shared" si="55"/>
        <v>356.54999999993015</v>
      </c>
      <c r="K248" s="490">
        <f t="shared" si="49"/>
        <v>13</v>
      </c>
      <c r="L248" s="491">
        <f t="shared" si="51"/>
        <v>2711215.21</v>
      </c>
      <c r="M248" s="491">
        <f t="shared" si="52"/>
        <v>2529758.4300000002</v>
      </c>
      <c r="N248" s="500">
        <f t="shared" si="53"/>
        <v>181456.7799999998</v>
      </c>
    </row>
    <row r="249" spans="1:14" x14ac:dyDescent="0.2">
      <c r="A249" s="488">
        <f t="shared" si="54"/>
        <v>16</v>
      </c>
      <c r="B249" s="488" t="s">
        <v>98</v>
      </c>
      <c r="C249" s="490">
        <v>3</v>
      </c>
      <c r="D249" s="491">
        <f>3422413.8-1368965.52</f>
        <v>2053448.2799999998</v>
      </c>
      <c r="E249" s="507">
        <f>3028600.26-1210221.24</f>
        <v>1818379.0199999998</v>
      </c>
      <c r="F249" s="491">
        <f t="shared" si="50"/>
        <v>235069.26</v>
      </c>
      <c r="G249" s="490"/>
      <c r="H249" s="503"/>
      <c r="I249" s="503"/>
      <c r="J249" s="491">
        <f t="shared" si="55"/>
        <v>0</v>
      </c>
      <c r="K249" s="490">
        <f t="shared" si="49"/>
        <v>3</v>
      </c>
      <c r="L249" s="491">
        <f t="shared" si="51"/>
        <v>2053448.2799999998</v>
      </c>
      <c r="M249" s="491">
        <f t="shared" si="52"/>
        <v>1818379.0199999998</v>
      </c>
      <c r="N249" s="500">
        <f t="shared" si="53"/>
        <v>235069.26</v>
      </c>
    </row>
    <row r="250" spans="1:14" x14ac:dyDescent="0.2">
      <c r="A250" s="488">
        <f t="shared" si="54"/>
        <v>17</v>
      </c>
      <c r="B250" s="488" t="s">
        <v>301</v>
      </c>
      <c r="C250" s="490">
        <v>5</v>
      </c>
      <c r="D250" s="491">
        <f>3971329.49-1150349.12</f>
        <v>2820980.37</v>
      </c>
      <c r="E250" s="507">
        <f>3467044.03-994085.97</f>
        <v>2472958.0599999996</v>
      </c>
      <c r="F250" s="491">
        <f t="shared" si="50"/>
        <v>348022.31000000052</v>
      </c>
      <c r="G250" s="490">
        <v>2</v>
      </c>
      <c r="H250" s="523">
        <v>962152.19</v>
      </c>
      <c r="I250" s="524">
        <v>961441.49</v>
      </c>
      <c r="J250" s="491">
        <f t="shared" si="55"/>
        <v>710.69999999995343</v>
      </c>
      <c r="K250" s="490">
        <f t="shared" si="49"/>
        <v>7</v>
      </c>
      <c r="L250" s="491">
        <f t="shared" si="51"/>
        <v>3783132.56</v>
      </c>
      <c r="M250" s="491">
        <f t="shared" si="52"/>
        <v>3434399.55</v>
      </c>
      <c r="N250" s="500">
        <f t="shared" si="53"/>
        <v>348733.01000000024</v>
      </c>
    </row>
    <row r="251" spans="1:14" x14ac:dyDescent="0.2">
      <c r="A251" s="488">
        <f t="shared" si="54"/>
        <v>18</v>
      </c>
      <c r="B251" s="488" t="s">
        <v>136</v>
      </c>
      <c r="C251" s="490"/>
      <c r="D251" s="491"/>
      <c r="E251" s="503"/>
      <c r="F251" s="491"/>
      <c r="G251" s="490"/>
      <c r="H251" s="503"/>
      <c r="I251" s="503"/>
      <c r="J251" s="491">
        <f t="shared" si="55"/>
        <v>0</v>
      </c>
      <c r="K251" s="490">
        <f t="shared" si="49"/>
        <v>0</v>
      </c>
      <c r="L251" s="491">
        <f t="shared" si="51"/>
        <v>0</v>
      </c>
      <c r="M251" s="491">
        <f>+E251+I251</f>
        <v>0</v>
      </c>
      <c r="N251" s="500">
        <f t="shared" si="53"/>
        <v>0</v>
      </c>
    </row>
    <row r="252" spans="1:14" x14ac:dyDescent="0.2">
      <c r="A252" s="488">
        <f t="shared" si="54"/>
        <v>19</v>
      </c>
      <c r="B252" s="488" t="s">
        <v>227</v>
      </c>
      <c r="C252" s="490"/>
      <c r="D252" s="502"/>
      <c r="E252" s="525"/>
      <c r="F252" s="491"/>
      <c r="G252" s="490"/>
      <c r="H252" s="491"/>
      <c r="I252" s="503"/>
      <c r="J252" s="491">
        <f t="shared" si="55"/>
        <v>0</v>
      </c>
      <c r="K252" s="490">
        <f t="shared" si="49"/>
        <v>0</v>
      </c>
      <c r="L252" s="491">
        <f t="shared" si="51"/>
        <v>0</v>
      </c>
      <c r="M252" s="491">
        <f>+E252+I252</f>
        <v>0</v>
      </c>
      <c r="N252" s="500">
        <f t="shared" si="53"/>
        <v>0</v>
      </c>
    </row>
    <row r="253" spans="1:14" x14ac:dyDescent="0.2">
      <c r="A253" s="488">
        <f t="shared" si="54"/>
        <v>20</v>
      </c>
      <c r="B253" s="488" t="s">
        <v>63</v>
      </c>
      <c r="C253" s="490"/>
      <c r="D253" s="503"/>
      <c r="E253" s="503"/>
      <c r="F253" s="491"/>
      <c r="G253" s="490"/>
      <c r="H253" s="503"/>
      <c r="I253" s="503"/>
      <c r="J253" s="491"/>
      <c r="K253" s="490">
        <f t="shared" si="49"/>
        <v>0</v>
      </c>
      <c r="L253" s="491"/>
      <c r="M253" s="491">
        <f>+E253+I253</f>
        <v>0</v>
      </c>
      <c r="N253" s="500"/>
    </row>
    <row r="254" spans="1:14" x14ac:dyDescent="0.2">
      <c r="A254" s="489"/>
      <c r="B254" s="489" t="s">
        <v>45</v>
      </c>
      <c r="C254" s="714">
        <f t="shared" ref="C254:I254" si="56">+SUM(C234:C253)</f>
        <v>96</v>
      </c>
      <c r="D254" s="526">
        <f t="shared" si="56"/>
        <v>30408242.280000005</v>
      </c>
      <c r="E254" s="526">
        <f t="shared" si="56"/>
        <v>27031519.98</v>
      </c>
      <c r="F254" s="526">
        <f t="shared" si="56"/>
        <v>3376722.3000000007</v>
      </c>
      <c r="G254" s="714">
        <f t="shared" si="56"/>
        <v>28</v>
      </c>
      <c r="H254" s="526">
        <f t="shared" si="56"/>
        <v>7698182.9299999997</v>
      </c>
      <c r="I254" s="526">
        <f t="shared" si="56"/>
        <v>7621763.6600000001</v>
      </c>
      <c r="J254" s="527">
        <f>SUM(J234:J253)</f>
        <v>76419.269999999437</v>
      </c>
      <c r="K254" s="714">
        <f>SUM(K234:K253)</f>
        <v>124</v>
      </c>
      <c r="L254" s="526">
        <f>SUM(L234:L253)</f>
        <v>38106425.210000001</v>
      </c>
      <c r="M254" s="526">
        <f>SUM(M234:M253)</f>
        <v>34653283.639999993</v>
      </c>
      <c r="N254" s="527">
        <f>SUM(N234:N253)</f>
        <v>3453141.5700000017</v>
      </c>
    </row>
    <row r="255" spans="1:14" x14ac:dyDescent="0.2">
      <c r="A255" s="488"/>
      <c r="B255" s="488" t="s">
        <v>61</v>
      </c>
      <c r="C255" s="528"/>
      <c r="D255" s="529">
        <v>30408242.280000001</v>
      </c>
      <c r="E255" s="529">
        <v>27031519.98</v>
      </c>
      <c r="F255" s="527"/>
      <c r="G255" s="490"/>
      <c r="H255" s="529">
        <v>7698182.9299999997</v>
      </c>
      <c r="I255" s="529">
        <v>7621763.6600000001</v>
      </c>
      <c r="J255" s="491"/>
      <c r="K255" s="488"/>
      <c r="L255" s="488"/>
      <c r="M255" s="488"/>
      <c r="N255" s="488"/>
    </row>
    <row r="256" spans="1:14" x14ac:dyDescent="0.2">
      <c r="A256" s="489"/>
      <c r="B256" s="489" t="s">
        <v>230</v>
      </c>
      <c r="C256" s="714"/>
      <c r="D256" s="527">
        <f>+D255-D254</f>
        <v>0</v>
      </c>
      <c r="E256" s="527">
        <f>+E254-E255</f>
        <v>0</v>
      </c>
      <c r="F256" s="527"/>
      <c r="G256" s="714"/>
      <c r="H256" s="527">
        <f>+H254-H255</f>
        <v>0</v>
      </c>
      <c r="I256" s="527">
        <f>+I254-I255</f>
        <v>0</v>
      </c>
      <c r="J256" s="489"/>
      <c r="K256" s="489"/>
      <c r="L256" s="527"/>
      <c r="M256" s="527"/>
      <c r="N256" s="489"/>
    </row>
    <row r="257" spans="1:14" x14ac:dyDescent="0.2">
      <c r="A257" s="489"/>
      <c r="B257" s="489"/>
      <c r="C257" s="714"/>
      <c r="D257" s="527"/>
      <c r="E257" s="527"/>
      <c r="F257" s="527"/>
      <c r="G257" s="714"/>
      <c r="H257" s="489"/>
      <c r="I257" s="489"/>
      <c r="J257" s="489"/>
      <c r="K257" s="489"/>
      <c r="L257" s="530"/>
      <c r="M257" s="530"/>
      <c r="N257" s="489"/>
    </row>
    <row r="258" spans="1:14" x14ac:dyDescent="0.2">
      <c r="A258" s="489"/>
      <c r="B258" s="488" t="s">
        <v>403</v>
      </c>
      <c r="C258" s="490"/>
      <c r="D258" s="491"/>
      <c r="E258" s="503"/>
      <c r="F258" s="491"/>
      <c r="G258" s="531"/>
      <c r="H258" s="489"/>
      <c r="I258" s="489"/>
      <c r="J258" s="489"/>
      <c r="K258" s="489"/>
      <c r="L258" s="489"/>
      <c r="M258" s="489"/>
      <c r="N258" s="489"/>
    </row>
    <row r="259" spans="1:14" x14ac:dyDescent="0.2">
      <c r="A259" s="489"/>
      <c r="B259" s="488" t="s">
        <v>168</v>
      </c>
      <c r="C259" s="490">
        <v>7</v>
      </c>
      <c r="D259" s="491">
        <f>4159586.16-2538862.03</f>
        <v>1620724.1300000004</v>
      </c>
      <c r="E259" s="532">
        <f>3725116.92-2226004.18</f>
        <v>1499112.7399999998</v>
      </c>
      <c r="F259" s="491">
        <f>+D259-E259</f>
        <v>121611.3900000006</v>
      </c>
      <c r="G259" s="531"/>
      <c r="H259" s="489"/>
      <c r="I259" s="489"/>
      <c r="J259" s="489"/>
      <c r="K259" s="489"/>
      <c r="L259" s="489"/>
      <c r="M259" s="489"/>
      <c r="N259" s="489"/>
    </row>
    <row r="260" spans="1:14" x14ac:dyDescent="0.2">
      <c r="A260" s="488"/>
      <c r="B260" s="488" t="s">
        <v>169</v>
      </c>
      <c r="C260" s="490">
        <v>19</v>
      </c>
      <c r="D260" s="502">
        <f>5330241.37-1438862.08</f>
        <v>3891379.29</v>
      </c>
      <c r="E260" s="533">
        <f>4646703.96-1205931.03</f>
        <v>3440772.9299999997</v>
      </c>
      <c r="F260" s="491">
        <f>+D260-E260</f>
        <v>450606.36000000034</v>
      </c>
      <c r="G260" s="534"/>
      <c r="H260" s="491"/>
      <c r="I260" s="491"/>
      <c r="J260" s="491"/>
      <c r="K260" s="488"/>
      <c r="L260" s="488"/>
      <c r="M260" s="488"/>
      <c r="N260" s="488"/>
    </row>
    <row r="261" spans="1:14" x14ac:dyDescent="0.2">
      <c r="A261" s="489"/>
      <c r="B261" s="489" t="s">
        <v>170</v>
      </c>
      <c r="C261" s="714">
        <f>+C259+C260</f>
        <v>26</v>
      </c>
      <c r="D261" s="526">
        <f>SUM(D258:D260)</f>
        <v>5512103.4199999999</v>
      </c>
      <c r="E261" s="526">
        <f>SUM(E258:E260)</f>
        <v>4939885.67</v>
      </c>
      <c r="F261" s="527">
        <f>SUM(F258:F260)</f>
        <v>572217.75000000093</v>
      </c>
      <c r="G261" s="531">
        <f>+F261/F263</f>
        <v>0.14490413699747118</v>
      </c>
      <c r="H261" s="489"/>
      <c r="I261" s="489"/>
      <c r="J261" s="489"/>
      <c r="K261" s="489"/>
      <c r="L261" s="489"/>
      <c r="M261" s="489"/>
      <c r="N261" s="489"/>
    </row>
    <row r="262" spans="1:14" x14ac:dyDescent="0.2">
      <c r="A262" s="488"/>
      <c r="B262" s="488"/>
      <c r="C262" s="490"/>
      <c r="D262" s="529"/>
      <c r="E262" s="529"/>
      <c r="F262" s="491">
        <f>+D262-E262</f>
        <v>0</v>
      </c>
      <c r="G262" s="490"/>
      <c r="H262" s="489" t="s">
        <v>9</v>
      </c>
      <c r="I262" s="488"/>
      <c r="J262" s="488"/>
      <c r="K262" s="488"/>
      <c r="L262" s="488"/>
      <c r="M262" s="488"/>
      <c r="N262" s="488"/>
    </row>
    <row r="263" spans="1:14" x14ac:dyDescent="0.2">
      <c r="A263" s="489"/>
      <c r="B263" s="489" t="s">
        <v>130</v>
      </c>
      <c r="C263" s="714">
        <f>+C261+C254</f>
        <v>122</v>
      </c>
      <c r="D263" s="527">
        <f>+D254+D261</f>
        <v>35920345.700000003</v>
      </c>
      <c r="E263" s="527">
        <f>+E254+E261</f>
        <v>31971405.649999999</v>
      </c>
      <c r="F263" s="527">
        <f>+F261+F254</f>
        <v>3948940.0500000017</v>
      </c>
      <c r="G263" s="714"/>
      <c r="H263" s="489"/>
      <c r="I263" s="489"/>
      <c r="J263" s="489"/>
      <c r="K263" s="489"/>
      <c r="L263" s="489"/>
      <c r="M263" s="489"/>
      <c r="N263" s="489"/>
    </row>
    <row r="264" spans="1:14" x14ac:dyDescent="0.2">
      <c r="A264" s="489"/>
      <c r="B264" s="489"/>
      <c r="C264" s="714"/>
      <c r="D264" s="527"/>
      <c r="E264" s="527"/>
      <c r="F264" s="527"/>
      <c r="G264" s="714"/>
      <c r="H264" s="489"/>
      <c r="I264" s="489"/>
      <c r="J264" s="489"/>
      <c r="K264" s="489"/>
      <c r="L264" s="489"/>
      <c r="M264" s="489"/>
      <c r="N264" s="489"/>
    </row>
    <row r="265" spans="1:14" x14ac:dyDescent="0.2">
      <c r="A265" s="489"/>
      <c r="B265" s="489"/>
      <c r="C265" s="714"/>
      <c r="D265" s="527"/>
      <c r="E265" s="527"/>
      <c r="F265" s="527"/>
      <c r="G265" s="714"/>
      <c r="H265" s="489"/>
      <c r="I265" s="489"/>
      <c r="J265" s="489"/>
      <c r="K265" s="489"/>
      <c r="L265" s="489"/>
      <c r="M265" s="489"/>
      <c r="N265" s="489"/>
    </row>
    <row r="266" spans="1:14" x14ac:dyDescent="0.2">
      <c r="A266" s="488"/>
      <c r="B266" s="489" t="s">
        <v>133</v>
      </c>
      <c r="C266" s="490"/>
      <c r="D266" s="491"/>
      <c r="E266" s="491"/>
      <c r="F266" s="491"/>
      <c r="G266" s="490"/>
      <c r="H266" s="488"/>
      <c r="I266" s="488"/>
      <c r="J266" s="488"/>
      <c r="K266" s="488"/>
      <c r="L266" s="488"/>
      <c r="M266" s="488"/>
      <c r="N266" s="488"/>
    </row>
    <row r="267" spans="1:14" x14ac:dyDescent="0.2">
      <c r="A267" s="488"/>
      <c r="B267" s="489" t="s">
        <v>46</v>
      </c>
      <c r="C267" s="490"/>
      <c r="D267" s="491"/>
      <c r="E267" s="491"/>
      <c r="F267" s="491"/>
      <c r="G267" s="490"/>
      <c r="H267" s="488"/>
      <c r="I267" s="488"/>
      <c r="J267" s="488"/>
      <c r="K267" s="488"/>
      <c r="L267" s="488"/>
      <c r="M267" s="488"/>
      <c r="N267" s="488"/>
    </row>
    <row r="268" spans="1:14" x14ac:dyDescent="0.2">
      <c r="A268" s="488"/>
      <c r="B268" s="489"/>
      <c r="C268" s="490"/>
      <c r="D268" s="491"/>
      <c r="E268" s="491"/>
      <c r="F268" s="491"/>
      <c r="G268" s="492"/>
      <c r="H268" s="488"/>
      <c r="I268" s="488"/>
      <c r="J268" s="488"/>
      <c r="K268" s="488"/>
      <c r="L268" s="488"/>
      <c r="M268" s="488"/>
      <c r="N268" s="488"/>
    </row>
    <row r="269" spans="1:14" x14ac:dyDescent="0.2">
      <c r="A269" s="488"/>
      <c r="B269" s="493" t="s">
        <v>2687</v>
      </c>
      <c r="C269" s="490"/>
      <c r="D269" s="491"/>
      <c r="E269" s="491"/>
      <c r="F269" s="491"/>
      <c r="G269" s="490"/>
      <c r="H269" s="488"/>
      <c r="I269" s="488"/>
      <c r="J269" s="488"/>
      <c r="K269" s="488"/>
      <c r="L269" s="488"/>
      <c r="M269" s="488"/>
      <c r="N269" s="488"/>
    </row>
    <row r="270" spans="1:14" x14ac:dyDescent="0.2">
      <c r="A270" s="488"/>
      <c r="B270" s="488"/>
      <c r="C270" s="490"/>
      <c r="D270" s="491"/>
      <c r="E270" s="491"/>
      <c r="F270" s="491"/>
      <c r="G270" s="828" t="s">
        <v>283</v>
      </c>
      <c r="H270" s="828"/>
      <c r="I270" s="828"/>
      <c r="J270" s="828"/>
      <c r="K270" s="828" t="s">
        <v>39</v>
      </c>
      <c r="L270" s="828"/>
      <c r="M270" s="828"/>
      <c r="N270" s="828"/>
    </row>
    <row r="271" spans="1:14" x14ac:dyDescent="0.2">
      <c r="A271" s="681"/>
      <c r="B271" s="681" t="s">
        <v>154</v>
      </c>
      <c r="C271" s="681" t="s">
        <v>41</v>
      </c>
      <c r="D271" s="495" t="s">
        <v>42</v>
      </c>
      <c r="E271" s="495" t="s">
        <v>376</v>
      </c>
      <c r="F271" s="495" t="s">
        <v>43</v>
      </c>
      <c r="G271" s="681" t="s">
        <v>41</v>
      </c>
      <c r="H271" s="495" t="s">
        <v>42</v>
      </c>
      <c r="I271" s="495" t="s">
        <v>376</v>
      </c>
      <c r="J271" s="495" t="s">
        <v>43</v>
      </c>
      <c r="K271" s="681" t="s">
        <v>41</v>
      </c>
      <c r="L271" s="495" t="s">
        <v>42</v>
      </c>
      <c r="M271" s="495" t="s">
        <v>376</v>
      </c>
      <c r="N271" s="495" t="s">
        <v>43</v>
      </c>
    </row>
    <row r="272" spans="1:14" x14ac:dyDescent="0.2">
      <c r="A272" s="488">
        <v>1</v>
      </c>
      <c r="B272" s="488" t="s">
        <v>35</v>
      </c>
      <c r="C272" s="490"/>
      <c r="D272" s="496"/>
      <c r="E272" s="497">
        <f>289122.77-299898.63</f>
        <v>-10775.859999999986</v>
      </c>
      <c r="F272" s="491">
        <f>+D272-E272</f>
        <v>10775.859999999986</v>
      </c>
      <c r="G272" s="490">
        <v>1</v>
      </c>
      <c r="H272" s="498">
        <v>309975.33</v>
      </c>
      <c r="I272" s="499">
        <v>309664.12</v>
      </c>
      <c r="J272" s="491">
        <f>+H272-I272</f>
        <v>311.21000000002095</v>
      </c>
      <c r="K272" s="490">
        <f t="shared" ref="K272:K291" si="57">+C272+G272</f>
        <v>1</v>
      </c>
      <c r="L272" s="491">
        <f>+D272+H272</f>
        <v>309975.33</v>
      </c>
      <c r="M272" s="491">
        <f>E272+I272</f>
        <v>298888.26</v>
      </c>
      <c r="N272" s="500">
        <f>+L272-M272</f>
        <v>11087.070000000007</v>
      </c>
    </row>
    <row r="273" spans="1:14" x14ac:dyDescent="0.2">
      <c r="A273" s="488">
        <v>2</v>
      </c>
      <c r="B273" s="488" t="s">
        <v>229</v>
      </c>
      <c r="C273" s="490">
        <v>5</v>
      </c>
      <c r="D273" s="496">
        <f>2335568.01-1032339.17</f>
        <v>1303228.8399999999</v>
      </c>
      <c r="E273" s="497">
        <f>2118215.66-953474.91</f>
        <v>1164740.75</v>
      </c>
      <c r="F273" s="491">
        <f>+D273-E273</f>
        <v>138488.08999999985</v>
      </c>
      <c r="G273" s="490">
        <v>3</v>
      </c>
      <c r="H273" s="498">
        <f>2539220.39-665970.84</f>
        <v>1873249.5500000003</v>
      </c>
      <c r="I273" s="501">
        <f>2536171.77-665259.27</f>
        <v>1870912.5</v>
      </c>
      <c r="J273" s="491">
        <f>+H273-I273</f>
        <v>2337.0500000002794</v>
      </c>
      <c r="K273" s="490">
        <f t="shared" si="57"/>
        <v>8</v>
      </c>
      <c r="L273" s="491">
        <f t="shared" ref="L273:L290" si="58">+D273+H273</f>
        <v>3176478.39</v>
      </c>
      <c r="M273" s="491">
        <f t="shared" ref="M273:M288" si="59">E273+I273</f>
        <v>3035653.25</v>
      </c>
      <c r="N273" s="500">
        <f t="shared" ref="N273:N290" si="60">+L273-M273</f>
        <v>140825.14000000013</v>
      </c>
    </row>
    <row r="274" spans="1:14" x14ac:dyDescent="0.2">
      <c r="A274" s="488">
        <f t="shared" ref="A274:A291" si="61">+A273+1</f>
        <v>3</v>
      </c>
      <c r="B274" s="488" t="s">
        <v>378</v>
      </c>
      <c r="C274" s="490"/>
      <c r="D274" s="502"/>
      <c r="E274" s="503"/>
      <c r="F274" s="491">
        <f t="shared" ref="F274:F291" si="62">+D274-E274</f>
        <v>0</v>
      </c>
      <c r="G274" s="490"/>
      <c r="H274" s="503"/>
      <c r="I274" s="503"/>
      <c r="J274" s="491">
        <f t="shared" ref="J274:J290" si="63">+H274-I274</f>
        <v>0</v>
      </c>
      <c r="K274" s="490">
        <f t="shared" si="57"/>
        <v>0</v>
      </c>
      <c r="L274" s="491">
        <f t="shared" si="58"/>
        <v>0</v>
      </c>
      <c r="M274" s="491">
        <f t="shared" si="59"/>
        <v>0</v>
      </c>
      <c r="N274" s="500">
        <f t="shared" si="60"/>
        <v>0</v>
      </c>
    </row>
    <row r="275" spans="1:14" x14ac:dyDescent="0.2">
      <c r="A275" s="488">
        <f>+A274+1</f>
        <v>4</v>
      </c>
      <c r="B275" s="488" t="s">
        <v>30</v>
      </c>
      <c r="C275" s="490">
        <v>5</v>
      </c>
      <c r="D275" s="502">
        <f>3069137.93-1380086.2</f>
        <v>1689051.7300000002</v>
      </c>
      <c r="E275" s="504">
        <f>2768300.8-1262083</f>
        <v>1506217.7999999998</v>
      </c>
      <c r="F275" s="491">
        <f t="shared" si="62"/>
        <v>182833.9300000004</v>
      </c>
      <c r="G275" s="490"/>
      <c r="H275" s="505"/>
      <c r="I275" s="506"/>
      <c r="J275" s="491">
        <f t="shared" si="63"/>
        <v>0</v>
      </c>
      <c r="K275" s="490">
        <f t="shared" si="57"/>
        <v>5</v>
      </c>
      <c r="L275" s="491">
        <f t="shared" si="58"/>
        <v>1689051.7300000002</v>
      </c>
      <c r="M275" s="491">
        <f t="shared" si="59"/>
        <v>1506217.7999999998</v>
      </c>
      <c r="N275" s="500">
        <f t="shared" si="60"/>
        <v>182833.9300000004</v>
      </c>
    </row>
    <row r="276" spans="1:14" x14ac:dyDescent="0.2">
      <c r="A276" s="488">
        <f t="shared" si="61"/>
        <v>5</v>
      </c>
      <c r="B276" s="488" t="s">
        <v>48</v>
      </c>
      <c r="C276" s="490"/>
      <c r="D276" s="491"/>
      <c r="E276" s="503"/>
      <c r="F276" s="491">
        <f t="shared" si="62"/>
        <v>0</v>
      </c>
      <c r="G276" s="490"/>
      <c r="H276" s="503"/>
      <c r="I276" s="503"/>
      <c r="J276" s="491">
        <f t="shared" si="63"/>
        <v>0</v>
      </c>
      <c r="K276" s="490">
        <f t="shared" si="57"/>
        <v>0</v>
      </c>
      <c r="L276" s="491">
        <f t="shared" si="58"/>
        <v>0</v>
      </c>
      <c r="M276" s="491">
        <f t="shared" si="59"/>
        <v>0</v>
      </c>
      <c r="N276" s="500">
        <f t="shared" si="60"/>
        <v>0</v>
      </c>
    </row>
    <row r="277" spans="1:14" x14ac:dyDescent="0.2">
      <c r="A277" s="488">
        <f t="shared" si="61"/>
        <v>6</v>
      </c>
      <c r="B277" s="488" t="s">
        <v>231</v>
      </c>
      <c r="C277" s="490"/>
      <c r="D277" s="491"/>
      <c r="E277" s="491"/>
      <c r="F277" s="491">
        <f t="shared" si="62"/>
        <v>0</v>
      </c>
      <c r="G277" s="490"/>
      <c r="H277" s="503"/>
      <c r="I277" s="503"/>
      <c r="J277" s="491">
        <f t="shared" si="63"/>
        <v>0</v>
      </c>
      <c r="K277" s="490">
        <f t="shared" si="57"/>
        <v>0</v>
      </c>
      <c r="L277" s="491">
        <f t="shared" si="58"/>
        <v>0</v>
      </c>
      <c r="M277" s="491">
        <f t="shared" si="59"/>
        <v>0</v>
      </c>
      <c r="N277" s="500">
        <f t="shared" si="60"/>
        <v>0</v>
      </c>
    </row>
    <row r="278" spans="1:14" x14ac:dyDescent="0.2">
      <c r="A278" s="488">
        <f t="shared" si="61"/>
        <v>7</v>
      </c>
      <c r="B278" s="488" t="s">
        <v>282</v>
      </c>
      <c r="C278" s="490"/>
      <c r="D278" s="491"/>
      <c r="E278" s="491"/>
      <c r="F278" s="491">
        <f t="shared" si="62"/>
        <v>0</v>
      </c>
      <c r="G278" s="490"/>
      <c r="H278" s="503"/>
      <c r="I278" s="503"/>
      <c r="J278" s="491">
        <f t="shared" si="63"/>
        <v>0</v>
      </c>
      <c r="K278" s="490">
        <f t="shared" si="57"/>
        <v>0</v>
      </c>
      <c r="L278" s="491">
        <f t="shared" si="58"/>
        <v>0</v>
      </c>
      <c r="M278" s="491">
        <f t="shared" si="59"/>
        <v>0</v>
      </c>
      <c r="N278" s="500">
        <f t="shared" si="60"/>
        <v>0</v>
      </c>
    </row>
    <row r="279" spans="1:14" x14ac:dyDescent="0.2">
      <c r="A279" s="488">
        <f t="shared" si="61"/>
        <v>8</v>
      </c>
      <c r="B279" s="488" t="s">
        <v>228</v>
      </c>
      <c r="C279" s="490">
        <v>7</v>
      </c>
      <c r="D279" s="502">
        <f>4376988.03-985671.83</f>
        <v>3391316.2</v>
      </c>
      <c r="E279" s="502">
        <f>3917111.61-872311.3</f>
        <v>3044800.3099999996</v>
      </c>
      <c r="F279" s="491">
        <f t="shared" si="62"/>
        <v>346515.8900000006</v>
      </c>
      <c r="G279" s="490"/>
      <c r="H279" s="505"/>
      <c r="I279" s="505"/>
      <c r="J279" s="491">
        <f t="shared" si="63"/>
        <v>0</v>
      </c>
      <c r="K279" s="490">
        <f t="shared" si="57"/>
        <v>7</v>
      </c>
      <c r="L279" s="491">
        <f t="shared" si="58"/>
        <v>3391316.2</v>
      </c>
      <c r="M279" s="491">
        <f t="shared" si="59"/>
        <v>3044800.3099999996</v>
      </c>
      <c r="N279" s="500">
        <f t="shared" si="60"/>
        <v>346515.8900000006</v>
      </c>
    </row>
    <row r="280" spans="1:14" x14ac:dyDescent="0.2">
      <c r="A280" s="488">
        <f t="shared" si="61"/>
        <v>9</v>
      </c>
      <c r="B280" s="488" t="s">
        <v>76</v>
      </c>
      <c r="C280" s="490"/>
      <c r="D280" s="491"/>
      <c r="E280" s="491"/>
      <c r="F280" s="491">
        <f t="shared" si="62"/>
        <v>0</v>
      </c>
      <c r="G280" s="490"/>
      <c r="H280" s="503"/>
      <c r="I280" s="503"/>
      <c r="J280" s="491">
        <f t="shared" si="63"/>
        <v>0</v>
      </c>
      <c r="K280" s="490">
        <f t="shared" si="57"/>
        <v>0</v>
      </c>
      <c r="L280" s="491">
        <f t="shared" si="58"/>
        <v>0</v>
      </c>
      <c r="M280" s="491">
        <f t="shared" si="59"/>
        <v>0</v>
      </c>
      <c r="N280" s="500">
        <f t="shared" si="60"/>
        <v>0</v>
      </c>
    </row>
    <row r="281" spans="1:14" x14ac:dyDescent="0.2">
      <c r="A281" s="488">
        <f t="shared" si="61"/>
        <v>10</v>
      </c>
      <c r="B281" s="488" t="s">
        <v>379</v>
      </c>
      <c r="C281" s="490">
        <v>8</v>
      </c>
      <c r="D281" s="502">
        <f>3283671.88-407598.37</f>
        <v>2876073.51</v>
      </c>
      <c r="E281" s="507">
        <f>2877035.04-356670.4</f>
        <v>2520364.64</v>
      </c>
      <c r="F281" s="491">
        <f t="shared" si="62"/>
        <v>355708.86999999965</v>
      </c>
      <c r="G281" s="490">
        <v>1</v>
      </c>
      <c r="H281" s="508">
        <v>303808.34000000003</v>
      </c>
      <c r="I281" s="509">
        <v>303453</v>
      </c>
      <c r="J281" s="491">
        <f t="shared" si="63"/>
        <v>355.34000000002561</v>
      </c>
      <c r="K281" s="490">
        <f t="shared" si="57"/>
        <v>9</v>
      </c>
      <c r="L281" s="491">
        <f t="shared" si="58"/>
        <v>3179881.8499999996</v>
      </c>
      <c r="M281" s="491">
        <f t="shared" si="59"/>
        <v>2823817.64</v>
      </c>
      <c r="N281" s="500">
        <f t="shared" si="60"/>
        <v>356064.2099999995</v>
      </c>
    </row>
    <row r="282" spans="1:14" x14ac:dyDescent="0.2">
      <c r="A282" s="488">
        <f t="shared" si="61"/>
        <v>11</v>
      </c>
      <c r="B282" s="488" t="s">
        <v>44</v>
      </c>
      <c r="C282" s="490">
        <v>30</v>
      </c>
      <c r="D282" s="502">
        <f>6892758.51-1162758.6</f>
        <v>5729999.9100000001</v>
      </c>
      <c r="E282" s="510">
        <f>6300969.28-1069013.09</f>
        <v>5231956.1900000004</v>
      </c>
      <c r="F282" s="491">
        <f t="shared" si="62"/>
        <v>498043.71999999974</v>
      </c>
      <c r="G282" s="490">
        <v>6</v>
      </c>
      <c r="H282" s="511">
        <v>1081802.4099999999</v>
      </c>
      <c r="I282" s="512">
        <v>1047654.92</v>
      </c>
      <c r="J282" s="491">
        <f t="shared" si="63"/>
        <v>34147.489999999874</v>
      </c>
      <c r="K282" s="490">
        <f t="shared" si="57"/>
        <v>36</v>
      </c>
      <c r="L282" s="491">
        <f t="shared" si="58"/>
        <v>6811802.3200000003</v>
      </c>
      <c r="M282" s="491">
        <f t="shared" si="59"/>
        <v>6279611.1100000003</v>
      </c>
      <c r="N282" s="500">
        <f t="shared" si="60"/>
        <v>532191.21</v>
      </c>
    </row>
    <row r="283" spans="1:14" x14ac:dyDescent="0.2">
      <c r="A283" s="488">
        <f t="shared" si="61"/>
        <v>12</v>
      </c>
      <c r="B283" s="488" t="s">
        <v>382</v>
      </c>
      <c r="C283" s="490">
        <v>40</v>
      </c>
      <c r="D283" s="502">
        <f>13752298.66-3269293.88</f>
        <v>10483004.780000001</v>
      </c>
      <c r="E283" s="513">
        <f>12521606.4-2973146.21</f>
        <v>9548460.1900000013</v>
      </c>
      <c r="F283" s="491">
        <f t="shared" si="62"/>
        <v>934544.58999999985</v>
      </c>
      <c r="G283" s="490">
        <v>6</v>
      </c>
      <c r="H283" s="514">
        <v>1497473.78</v>
      </c>
      <c r="I283" s="515">
        <v>1495341.69</v>
      </c>
      <c r="J283" s="491">
        <f t="shared" si="63"/>
        <v>2132.0900000000838</v>
      </c>
      <c r="K283" s="490">
        <f t="shared" si="57"/>
        <v>46</v>
      </c>
      <c r="L283" s="491">
        <f t="shared" si="58"/>
        <v>11980478.560000001</v>
      </c>
      <c r="M283" s="491">
        <f t="shared" si="59"/>
        <v>11043801.880000001</v>
      </c>
      <c r="N283" s="500">
        <f t="shared" si="60"/>
        <v>936676.6799999997</v>
      </c>
    </row>
    <row r="284" spans="1:14" x14ac:dyDescent="0.2">
      <c r="A284" s="488">
        <f t="shared" si="61"/>
        <v>13</v>
      </c>
      <c r="B284" s="488" t="s">
        <v>226</v>
      </c>
      <c r="C284" s="490">
        <v>3</v>
      </c>
      <c r="D284" s="502">
        <f>2282321.84-1137337.83</f>
        <v>1144984.0099999998</v>
      </c>
      <c r="E284" s="516">
        <f>2029264.6-1010479.93</f>
        <v>1018784.67</v>
      </c>
      <c r="F284" s="491">
        <f t="shared" si="62"/>
        <v>126199.33999999973</v>
      </c>
      <c r="G284" s="490">
        <v>8</v>
      </c>
      <c r="H284" s="517">
        <v>2293101.5</v>
      </c>
      <c r="I284" s="518">
        <v>2218004.7999999998</v>
      </c>
      <c r="J284" s="491">
        <f t="shared" si="63"/>
        <v>75096.700000000186</v>
      </c>
      <c r="K284" s="490">
        <f t="shared" si="57"/>
        <v>11</v>
      </c>
      <c r="L284" s="491">
        <f t="shared" si="58"/>
        <v>3438085.51</v>
      </c>
      <c r="M284" s="491">
        <f t="shared" si="59"/>
        <v>3236789.4699999997</v>
      </c>
      <c r="N284" s="500">
        <f t="shared" si="60"/>
        <v>201296.04000000004</v>
      </c>
    </row>
    <row r="285" spans="1:14" x14ac:dyDescent="0.2">
      <c r="A285" s="488">
        <f t="shared" si="61"/>
        <v>14</v>
      </c>
      <c r="B285" s="488" t="s">
        <v>224</v>
      </c>
      <c r="C285" s="490">
        <v>2</v>
      </c>
      <c r="D285" s="170">
        <v>921264.37</v>
      </c>
      <c r="E285" s="170">
        <v>816560.84</v>
      </c>
      <c r="F285" s="491">
        <f t="shared" si="62"/>
        <v>104703.53000000003</v>
      </c>
      <c r="G285" s="490"/>
      <c r="H285" s="505"/>
      <c r="I285" s="505"/>
      <c r="J285" s="491">
        <f t="shared" si="63"/>
        <v>0</v>
      </c>
      <c r="K285" s="490">
        <f t="shared" si="57"/>
        <v>2</v>
      </c>
      <c r="L285" s="491">
        <f t="shared" si="58"/>
        <v>921264.37</v>
      </c>
      <c r="M285" s="491">
        <f t="shared" si="59"/>
        <v>816560.84</v>
      </c>
      <c r="N285" s="500">
        <f t="shared" si="60"/>
        <v>104703.53000000003</v>
      </c>
    </row>
    <row r="286" spans="1:14" x14ac:dyDescent="0.2">
      <c r="A286" s="488">
        <f t="shared" si="61"/>
        <v>15</v>
      </c>
      <c r="B286" s="488" t="s">
        <v>97</v>
      </c>
      <c r="C286" s="490">
        <v>8</v>
      </c>
      <c r="D286" s="502">
        <f>2373793.14-678620.7</f>
        <v>1695172.4400000002</v>
      </c>
      <c r="E286" s="519">
        <f>2156663.56-614385.86</f>
        <v>1542277.7000000002</v>
      </c>
      <c r="F286" s="491">
        <f t="shared" si="62"/>
        <v>152894.74</v>
      </c>
      <c r="G286" s="490">
        <v>4</v>
      </c>
      <c r="H286" s="505">
        <f>925990.26-179254.95</f>
        <v>746735.31</v>
      </c>
      <c r="I286" s="521">
        <f>924922.5-179254.09</f>
        <v>745668.41</v>
      </c>
      <c r="J286" s="491">
        <f t="shared" si="63"/>
        <v>1066.9000000000233</v>
      </c>
      <c r="K286" s="490">
        <f t="shared" si="57"/>
        <v>12</v>
      </c>
      <c r="L286" s="491">
        <f t="shared" si="58"/>
        <v>2441907.75</v>
      </c>
      <c r="M286" s="491">
        <f t="shared" si="59"/>
        <v>2287946.1100000003</v>
      </c>
      <c r="N286" s="500">
        <f t="shared" si="60"/>
        <v>153961.63999999966</v>
      </c>
    </row>
    <row r="287" spans="1:14" x14ac:dyDescent="0.2">
      <c r="A287" s="488">
        <f t="shared" si="61"/>
        <v>16</v>
      </c>
      <c r="B287" s="488" t="s">
        <v>98</v>
      </c>
      <c r="C287" s="490"/>
      <c r="D287" s="491"/>
      <c r="E287" s="507">
        <v>411.2</v>
      </c>
      <c r="F287" s="491">
        <f t="shared" si="62"/>
        <v>-411.2</v>
      </c>
      <c r="G287" s="490"/>
      <c r="H287" s="503"/>
      <c r="I287" s="503"/>
      <c r="J287" s="491">
        <f t="shared" si="63"/>
        <v>0</v>
      </c>
      <c r="K287" s="490">
        <f t="shared" si="57"/>
        <v>0</v>
      </c>
      <c r="L287" s="491">
        <f t="shared" si="58"/>
        <v>0</v>
      </c>
      <c r="M287" s="491">
        <f t="shared" si="59"/>
        <v>411.2</v>
      </c>
      <c r="N287" s="500">
        <f t="shared" si="60"/>
        <v>-411.2</v>
      </c>
    </row>
    <row r="288" spans="1:14" x14ac:dyDescent="0.2">
      <c r="A288" s="488">
        <f t="shared" si="61"/>
        <v>17</v>
      </c>
      <c r="B288" s="488" t="s">
        <v>301</v>
      </c>
      <c r="C288" s="490">
        <v>2</v>
      </c>
      <c r="D288" s="491">
        <f>1414352.61-496630.49</f>
        <v>917722.12000000011</v>
      </c>
      <c r="E288" s="522">
        <f>1269311.69-439958.94</f>
        <v>829352.75</v>
      </c>
      <c r="F288" s="491">
        <f t="shared" si="62"/>
        <v>88369.370000000112</v>
      </c>
      <c r="G288" s="490">
        <v>2</v>
      </c>
      <c r="H288" s="523">
        <f>1344506.36-478612.2</f>
        <v>865894.16000000015</v>
      </c>
      <c r="I288" s="524">
        <f>1343440.31-478256.85</f>
        <v>865183.46000000008</v>
      </c>
      <c r="J288" s="491">
        <f t="shared" si="63"/>
        <v>710.70000000006985</v>
      </c>
      <c r="K288" s="490">
        <f t="shared" si="57"/>
        <v>4</v>
      </c>
      <c r="L288" s="491">
        <f t="shared" si="58"/>
        <v>1783616.2800000003</v>
      </c>
      <c r="M288" s="491">
        <f t="shared" si="59"/>
        <v>1694536.21</v>
      </c>
      <c r="N288" s="500">
        <f t="shared" si="60"/>
        <v>89080.070000000298</v>
      </c>
    </row>
    <row r="289" spans="1:14" x14ac:dyDescent="0.2">
      <c r="A289" s="488">
        <f t="shared" si="61"/>
        <v>18</v>
      </c>
      <c r="B289" s="488" t="s">
        <v>136</v>
      </c>
      <c r="C289" s="490"/>
      <c r="D289" s="491"/>
      <c r="E289" s="503"/>
      <c r="F289" s="491">
        <f t="shared" si="62"/>
        <v>0</v>
      </c>
      <c r="G289" s="490"/>
      <c r="H289" s="503"/>
      <c r="I289" s="503"/>
      <c r="J289" s="491">
        <f t="shared" si="63"/>
        <v>0</v>
      </c>
      <c r="K289" s="490">
        <f t="shared" si="57"/>
        <v>0</v>
      </c>
      <c r="L289" s="491">
        <f t="shared" si="58"/>
        <v>0</v>
      </c>
      <c r="M289" s="491">
        <f>+E289+I289</f>
        <v>0</v>
      </c>
      <c r="N289" s="500">
        <f t="shared" si="60"/>
        <v>0</v>
      </c>
    </row>
    <row r="290" spans="1:14" x14ac:dyDescent="0.2">
      <c r="A290" s="488">
        <f t="shared" si="61"/>
        <v>19</v>
      </c>
      <c r="B290" s="488" t="s">
        <v>227</v>
      </c>
      <c r="C290" s="490">
        <v>1</v>
      </c>
      <c r="D290" s="502">
        <v>729603.13</v>
      </c>
      <c r="E290" s="525">
        <v>644606.24</v>
      </c>
      <c r="F290" s="491">
        <f t="shared" si="62"/>
        <v>84996.890000000014</v>
      </c>
      <c r="G290" s="490"/>
      <c r="H290" s="491"/>
      <c r="I290" s="503"/>
      <c r="J290" s="491">
        <f t="shared" si="63"/>
        <v>0</v>
      </c>
      <c r="K290" s="490">
        <f t="shared" si="57"/>
        <v>1</v>
      </c>
      <c r="L290" s="491">
        <f t="shared" si="58"/>
        <v>729603.13</v>
      </c>
      <c r="M290" s="491">
        <f>+E290+I290</f>
        <v>644606.24</v>
      </c>
      <c r="N290" s="500">
        <f t="shared" si="60"/>
        <v>84996.890000000014</v>
      </c>
    </row>
    <row r="291" spans="1:14" x14ac:dyDescent="0.2">
      <c r="A291" s="488">
        <f t="shared" si="61"/>
        <v>20</v>
      </c>
      <c r="B291" s="488" t="s">
        <v>63</v>
      </c>
      <c r="C291" s="490"/>
      <c r="D291" s="503"/>
      <c r="E291" s="503"/>
      <c r="F291" s="491">
        <f t="shared" si="62"/>
        <v>0</v>
      </c>
      <c r="G291" s="490"/>
      <c r="H291" s="503"/>
      <c r="I291" s="503"/>
      <c r="J291" s="491"/>
      <c r="K291" s="490">
        <f t="shared" si="57"/>
        <v>0</v>
      </c>
      <c r="L291" s="491"/>
      <c r="M291" s="491">
        <f>+E291+I291</f>
        <v>0</v>
      </c>
      <c r="N291" s="500"/>
    </row>
    <row r="292" spans="1:14" x14ac:dyDescent="0.2">
      <c r="A292" s="489"/>
      <c r="B292" s="489" t="s">
        <v>45</v>
      </c>
      <c r="C292" s="681">
        <f>+SUM(C272:C291)</f>
        <v>111</v>
      </c>
      <c r="D292" s="526">
        <f>+SUM(D272:D291)</f>
        <v>30881421.040000007</v>
      </c>
      <c r="E292" s="526">
        <f>+SUM(E272:E291)</f>
        <v>27857757.420000002</v>
      </c>
      <c r="F292" s="527">
        <f>SUM(F272:F291)</f>
        <v>3023663.6200000006</v>
      </c>
      <c r="G292" s="681">
        <f>+SUM(G272:G291)</f>
        <v>31</v>
      </c>
      <c r="H292" s="526">
        <f>+SUM(H272:H291)</f>
        <v>8972040.3800000008</v>
      </c>
      <c r="I292" s="526">
        <f>+SUM(I272:I291)</f>
        <v>8855882.9000000004</v>
      </c>
      <c r="J292" s="527">
        <f>SUM(J272:J291)</f>
        <v>116157.48000000056</v>
      </c>
      <c r="K292" s="681">
        <f>SUM(K272:K291)</f>
        <v>142</v>
      </c>
      <c r="L292" s="526">
        <f>SUM(L272:L291)</f>
        <v>39853461.420000002</v>
      </c>
      <c r="M292" s="526">
        <f>SUM(M272:M291)</f>
        <v>36713640.320000008</v>
      </c>
      <c r="N292" s="527">
        <f>SUM(N272:N291)</f>
        <v>3139821.1</v>
      </c>
    </row>
    <row r="293" spans="1:14" x14ac:dyDescent="0.2">
      <c r="A293" s="488"/>
      <c r="B293" s="488" t="s">
        <v>61</v>
      </c>
      <c r="C293" s="528"/>
      <c r="D293" s="529">
        <v>30881421.039999999</v>
      </c>
      <c r="E293" s="529">
        <v>27857757.420000002</v>
      </c>
      <c r="F293" s="527"/>
      <c r="G293" s="490"/>
      <c r="H293" s="529">
        <v>8972040.3800000008</v>
      </c>
      <c r="I293" s="529">
        <v>8855882.9000000004</v>
      </c>
      <c r="J293" s="491"/>
      <c r="K293" s="488"/>
      <c r="L293" s="488"/>
      <c r="M293" s="488"/>
      <c r="N293" s="488"/>
    </row>
    <row r="294" spans="1:14" x14ac:dyDescent="0.2">
      <c r="A294" s="489"/>
      <c r="B294" s="489" t="s">
        <v>230</v>
      </c>
      <c r="C294" s="681"/>
      <c r="D294" s="527">
        <f>+D293-D292</f>
        <v>0</v>
      </c>
      <c r="E294" s="527">
        <f>+E292-E293</f>
        <v>0</v>
      </c>
      <c r="F294" s="527"/>
      <c r="G294" s="681"/>
      <c r="H294" s="527">
        <f>+H292-H293</f>
        <v>0</v>
      </c>
      <c r="I294" s="527">
        <f>+I292-I293</f>
        <v>0</v>
      </c>
      <c r="J294" s="489"/>
      <c r="K294" s="489"/>
      <c r="L294" s="527"/>
      <c r="M294" s="527"/>
      <c r="N294" s="489"/>
    </row>
    <row r="295" spans="1:14" x14ac:dyDescent="0.2">
      <c r="A295" s="489"/>
      <c r="B295" s="489"/>
      <c r="C295" s="681"/>
      <c r="D295" s="527"/>
      <c r="E295" s="527"/>
      <c r="F295" s="527"/>
      <c r="G295" s="681"/>
      <c r="H295" s="489"/>
      <c r="I295" s="489"/>
      <c r="J295" s="489"/>
      <c r="K295" s="489"/>
      <c r="L295" s="530"/>
      <c r="M295" s="530"/>
      <c r="N295" s="489"/>
    </row>
    <row r="296" spans="1:14" x14ac:dyDescent="0.2">
      <c r="A296" s="489"/>
      <c r="B296" s="488" t="s">
        <v>403</v>
      </c>
      <c r="C296" s="490"/>
      <c r="D296" s="491"/>
      <c r="E296" s="503"/>
      <c r="F296" s="491"/>
      <c r="G296" s="531"/>
      <c r="H296" s="489"/>
      <c r="I296" s="489"/>
      <c r="J296" s="489"/>
      <c r="K296" s="489"/>
      <c r="L296" s="489"/>
      <c r="M296" s="489"/>
      <c r="N296" s="489"/>
    </row>
    <row r="297" spans="1:14" x14ac:dyDescent="0.2">
      <c r="A297" s="489"/>
      <c r="B297" s="488" t="s">
        <v>168</v>
      </c>
      <c r="C297" s="490">
        <v>4</v>
      </c>
      <c r="D297" s="491">
        <f>1286896.54-218275.86</f>
        <v>1068620.6800000002</v>
      </c>
      <c r="E297" s="532">
        <f>1186542.57-195000</f>
        <v>991542.57000000007</v>
      </c>
      <c r="F297" s="491">
        <f>+D297-E297</f>
        <v>77078.110000000102</v>
      </c>
      <c r="G297" s="531"/>
      <c r="H297" s="489"/>
      <c r="I297" s="489"/>
      <c r="J297" s="489"/>
      <c r="K297" s="489"/>
      <c r="L297" s="489"/>
      <c r="M297" s="489"/>
      <c r="N297" s="489"/>
    </row>
    <row r="298" spans="1:14" x14ac:dyDescent="0.2">
      <c r="A298" s="488"/>
      <c r="B298" s="488" t="s">
        <v>169</v>
      </c>
      <c r="C298" s="490">
        <v>19</v>
      </c>
      <c r="D298" s="502">
        <f>5051603.43-1637724.14</f>
        <v>3413879.29</v>
      </c>
      <c r="E298" s="533">
        <f>4350029.92-1395482.41</f>
        <v>2954547.51</v>
      </c>
      <c r="F298" s="491">
        <f>+D298-E298</f>
        <v>459331.78000000026</v>
      </c>
      <c r="G298" s="534"/>
      <c r="H298" s="491"/>
      <c r="I298" s="491"/>
      <c r="J298" s="491"/>
      <c r="K298" s="488"/>
      <c r="L298" s="488"/>
      <c r="M298" s="488"/>
      <c r="N298" s="488"/>
    </row>
    <row r="299" spans="1:14" x14ac:dyDescent="0.2">
      <c r="A299" s="489"/>
      <c r="B299" s="489" t="s">
        <v>170</v>
      </c>
      <c r="C299" s="681">
        <f>+C297+C298</f>
        <v>23</v>
      </c>
      <c r="D299" s="526">
        <f>SUM(D296:D298)</f>
        <v>4482499.9700000007</v>
      </c>
      <c r="E299" s="526">
        <f>SUM(E296:E298)</f>
        <v>3946090.08</v>
      </c>
      <c r="F299" s="527">
        <f>SUM(F296:F298)</f>
        <v>536409.89000000036</v>
      </c>
      <c r="G299" s="531">
        <f>+F299/F301</f>
        <v>0.15067382414808628</v>
      </c>
      <c r="H299" s="489"/>
      <c r="I299" s="489"/>
      <c r="J299" s="489"/>
      <c r="K299" s="489"/>
      <c r="L299" s="489"/>
      <c r="M299" s="489"/>
      <c r="N299" s="489"/>
    </row>
    <row r="300" spans="1:14" x14ac:dyDescent="0.2">
      <c r="A300" s="488"/>
      <c r="B300" s="488"/>
      <c r="C300" s="490"/>
      <c r="D300" s="529"/>
      <c r="E300" s="529"/>
      <c r="F300" s="491">
        <f>+D300-E300</f>
        <v>0</v>
      </c>
      <c r="G300" s="490"/>
      <c r="H300" s="489" t="s">
        <v>9</v>
      </c>
      <c r="I300" s="488"/>
      <c r="J300" s="488"/>
      <c r="K300" s="488"/>
      <c r="L300" s="488"/>
      <c r="M300" s="488"/>
      <c r="N300" s="488"/>
    </row>
    <row r="301" spans="1:14" x14ac:dyDescent="0.2">
      <c r="A301" s="489"/>
      <c r="B301" s="489" t="s">
        <v>130</v>
      </c>
      <c r="C301" s="681">
        <f>+C299+C292</f>
        <v>134</v>
      </c>
      <c r="D301" s="527">
        <f>+D292+D299</f>
        <v>35363921.010000005</v>
      </c>
      <c r="E301" s="527">
        <f>+E292+E299</f>
        <v>31803847.5</v>
      </c>
      <c r="F301" s="527">
        <f>+F299+F292</f>
        <v>3560073.5100000007</v>
      </c>
      <c r="G301" s="681"/>
      <c r="H301" s="489"/>
      <c r="I301" s="489"/>
      <c r="J301" s="489"/>
      <c r="K301" s="489"/>
      <c r="L301" s="489"/>
      <c r="M301" s="489"/>
      <c r="N301" s="489"/>
    </row>
    <row r="303" spans="1:14" x14ac:dyDescent="0.2">
      <c r="A303" s="488"/>
      <c r="B303" s="489" t="s">
        <v>133</v>
      </c>
      <c r="C303" s="490"/>
      <c r="D303" s="491"/>
      <c r="E303" s="491"/>
      <c r="F303" s="491"/>
      <c r="G303" s="490"/>
      <c r="H303" s="488"/>
      <c r="I303" s="488"/>
      <c r="J303" s="488"/>
      <c r="K303" s="488"/>
      <c r="L303" s="488"/>
      <c r="M303" s="488"/>
      <c r="N303" s="488"/>
    </row>
    <row r="304" spans="1:14" x14ac:dyDescent="0.2">
      <c r="A304" s="488"/>
      <c r="B304" s="489" t="s">
        <v>46</v>
      </c>
      <c r="C304" s="490"/>
      <c r="D304" s="491"/>
      <c r="E304" s="491"/>
      <c r="F304" s="491"/>
      <c r="G304" s="490"/>
      <c r="H304" s="488"/>
      <c r="I304" s="488"/>
      <c r="J304" s="488"/>
      <c r="K304" s="488"/>
      <c r="L304" s="488"/>
      <c r="M304" s="488"/>
      <c r="N304" s="488"/>
    </row>
    <row r="305" spans="1:14" x14ac:dyDescent="0.2">
      <c r="A305" s="488"/>
      <c r="B305" s="489"/>
      <c r="C305" s="490"/>
      <c r="D305" s="491"/>
      <c r="E305" s="491"/>
      <c r="F305" s="491"/>
      <c r="G305" s="492"/>
      <c r="H305" s="488"/>
      <c r="I305" s="488"/>
      <c r="J305" s="488"/>
      <c r="K305" s="488"/>
      <c r="L305" s="488"/>
      <c r="M305" s="488"/>
      <c r="N305" s="488"/>
    </row>
    <row r="306" spans="1:14" x14ac:dyDescent="0.2">
      <c r="A306" s="488"/>
      <c r="B306" s="493" t="s">
        <v>2686</v>
      </c>
      <c r="C306" s="490"/>
      <c r="D306" s="491"/>
      <c r="E306" s="491"/>
      <c r="F306" s="491"/>
      <c r="G306" s="490"/>
      <c r="H306" s="488"/>
      <c r="I306" s="488"/>
      <c r="J306" s="488"/>
      <c r="K306" s="488"/>
      <c r="L306" s="488"/>
      <c r="M306" s="488"/>
      <c r="N306" s="488"/>
    </row>
    <row r="307" spans="1:14" x14ac:dyDescent="0.2">
      <c r="A307" s="488"/>
      <c r="B307" s="488"/>
      <c r="C307" s="490"/>
      <c r="D307" s="491"/>
      <c r="E307" s="491"/>
      <c r="F307" s="491"/>
      <c r="G307" s="828" t="s">
        <v>283</v>
      </c>
      <c r="H307" s="828"/>
      <c r="I307" s="828"/>
      <c r="J307" s="828"/>
      <c r="K307" s="828" t="s">
        <v>39</v>
      </c>
      <c r="L307" s="828"/>
      <c r="M307" s="828"/>
      <c r="N307" s="828"/>
    </row>
    <row r="308" spans="1:14" x14ac:dyDescent="0.2">
      <c r="A308" s="680"/>
      <c r="B308" s="680" t="s">
        <v>154</v>
      </c>
      <c r="C308" s="680" t="s">
        <v>41</v>
      </c>
      <c r="D308" s="495" t="s">
        <v>42</v>
      </c>
      <c r="E308" s="495" t="s">
        <v>376</v>
      </c>
      <c r="F308" s="495" t="s">
        <v>43</v>
      </c>
      <c r="G308" s="680" t="s">
        <v>41</v>
      </c>
      <c r="H308" s="495" t="s">
        <v>42</v>
      </c>
      <c r="I308" s="495" t="s">
        <v>376</v>
      </c>
      <c r="J308" s="495" t="s">
        <v>43</v>
      </c>
      <c r="K308" s="680" t="s">
        <v>41</v>
      </c>
      <c r="L308" s="495" t="s">
        <v>42</v>
      </c>
      <c r="M308" s="495" t="s">
        <v>376</v>
      </c>
      <c r="N308" s="495" t="s">
        <v>43</v>
      </c>
    </row>
    <row r="309" spans="1:14" x14ac:dyDescent="0.2">
      <c r="A309" s="488">
        <v>1</v>
      </c>
      <c r="B309" s="488" t="s">
        <v>35</v>
      </c>
      <c r="C309" s="490">
        <v>1</v>
      </c>
      <c r="D309" s="496">
        <v>314205.78999999998</v>
      </c>
      <c r="E309" s="497">
        <f>289533.97-21551.72</f>
        <v>267982.25</v>
      </c>
      <c r="F309" s="491">
        <f>+D309-E309</f>
        <v>46223.539999999979</v>
      </c>
      <c r="G309" s="490">
        <v>1</v>
      </c>
      <c r="H309" s="498">
        <v>263058.05</v>
      </c>
      <c r="I309" s="499">
        <v>262702.71000000002</v>
      </c>
      <c r="J309" s="491">
        <f>+H309-I309</f>
        <v>355.3399999999674</v>
      </c>
      <c r="K309" s="490">
        <f t="shared" ref="K309:L328" si="64">+C309+G309</f>
        <v>2</v>
      </c>
      <c r="L309" s="491">
        <f>+D309+H309</f>
        <v>577263.84</v>
      </c>
      <c r="M309" s="491">
        <f>E309+I309</f>
        <v>530684.96</v>
      </c>
      <c r="N309" s="500">
        <f>+L309-M309</f>
        <v>46578.880000000005</v>
      </c>
    </row>
    <row r="310" spans="1:14" x14ac:dyDescent="0.2">
      <c r="A310" s="488">
        <v>2</v>
      </c>
      <c r="B310" s="488" t="s">
        <v>229</v>
      </c>
      <c r="C310" s="490">
        <v>9</v>
      </c>
      <c r="D310" s="496">
        <f>2828689.77-517977.83</f>
        <v>2310711.94</v>
      </c>
      <c r="E310" s="497">
        <f>2582010.33-499929.52</f>
        <v>2082080.81</v>
      </c>
      <c r="F310" s="491">
        <f>+D310-E310</f>
        <v>228631.12999999989</v>
      </c>
      <c r="G310" s="490">
        <v>5</v>
      </c>
      <c r="H310" s="498">
        <v>1169424.44</v>
      </c>
      <c r="I310" s="501">
        <v>1168003.1299999999</v>
      </c>
      <c r="J310" s="491">
        <f>+H310-I310</f>
        <v>1421.3100000000559</v>
      </c>
      <c r="K310" s="490">
        <f t="shared" si="64"/>
        <v>14</v>
      </c>
      <c r="L310" s="491">
        <f t="shared" si="64"/>
        <v>3480136.38</v>
      </c>
      <c r="M310" s="491">
        <f t="shared" ref="M310:M325" si="65">E310+I310</f>
        <v>3250083.94</v>
      </c>
      <c r="N310" s="500">
        <f t="shared" ref="N310:N327" si="66">+L310-M310</f>
        <v>230052.43999999994</v>
      </c>
    </row>
    <row r="311" spans="1:14" x14ac:dyDescent="0.2">
      <c r="A311" s="488">
        <f t="shared" ref="A311:A328" si="67">+A310+1</f>
        <v>3</v>
      </c>
      <c r="B311" s="488" t="s">
        <v>378</v>
      </c>
      <c r="C311" s="490"/>
      <c r="D311" s="502"/>
      <c r="E311" s="503"/>
      <c r="F311" s="491">
        <f t="shared" ref="F311:F328" si="68">+D311-E311</f>
        <v>0</v>
      </c>
      <c r="G311" s="490"/>
      <c r="H311" s="503"/>
      <c r="I311" s="503"/>
      <c r="J311" s="491">
        <f t="shared" ref="J311:J327" si="69">+H311-I311</f>
        <v>0</v>
      </c>
      <c r="K311" s="490">
        <f t="shared" si="64"/>
        <v>0</v>
      </c>
      <c r="L311" s="491">
        <f t="shared" si="64"/>
        <v>0</v>
      </c>
      <c r="M311" s="491">
        <f t="shared" si="65"/>
        <v>0</v>
      </c>
      <c r="N311" s="500">
        <f t="shared" si="66"/>
        <v>0</v>
      </c>
    </row>
    <row r="312" spans="1:14" x14ac:dyDescent="0.2">
      <c r="A312" s="488">
        <f>+A311+1</f>
        <v>4</v>
      </c>
      <c r="B312" s="488" t="s">
        <v>30</v>
      </c>
      <c r="C312" s="490">
        <v>3</v>
      </c>
      <c r="D312" s="502">
        <f>3038017.23-2077068.96</f>
        <v>960948.27</v>
      </c>
      <c r="E312" s="504">
        <f>2817521.63-1915595.39</f>
        <v>901926.24</v>
      </c>
      <c r="F312" s="491">
        <f t="shared" si="68"/>
        <v>59022.030000000028</v>
      </c>
      <c r="G312" s="490">
        <v>3</v>
      </c>
      <c r="H312" s="505">
        <v>894420.27</v>
      </c>
      <c r="I312" s="506">
        <v>893354.24</v>
      </c>
      <c r="J312" s="491">
        <f t="shared" si="69"/>
        <v>1066.0300000000279</v>
      </c>
      <c r="K312" s="490">
        <f t="shared" si="64"/>
        <v>6</v>
      </c>
      <c r="L312" s="491">
        <f t="shared" si="64"/>
        <v>1855368.54</v>
      </c>
      <c r="M312" s="491">
        <f t="shared" si="65"/>
        <v>1795280.48</v>
      </c>
      <c r="N312" s="500">
        <f t="shared" si="66"/>
        <v>60088.060000000056</v>
      </c>
    </row>
    <row r="313" spans="1:14" x14ac:dyDescent="0.2">
      <c r="A313" s="488">
        <f t="shared" si="67"/>
        <v>5</v>
      </c>
      <c r="B313" s="488" t="s">
        <v>48</v>
      </c>
      <c r="C313" s="490"/>
      <c r="D313" s="491"/>
      <c r="E313" s="503"/>
      <c r="F313" s="491">
        <f t="shared" si="68"/>
        <v>0</v>
      </c>
      <c r="G313" s="490"/>
      <c r="H313" s="503"/>
      <c r="I313" s="503"/>
      <c r="J313" s="491">
        <f t="shared" si="69"/>
        <v>0</v>
      </c>
      <c r="K313" s="490">
        <f t="shared" si="64"/>
        <v>0</v>
      </c>
      <c r="L313" s="491">
        <f t="shared" si="64"/>
        <v>0</v>
      </c>
      <c r="M313" s="491">
        <f t="shared" si="65"/>
        <v>0</v>
      </c>
      <c r="N313" s="500">
        <f t="shared" si="66"/>
        <v>0</v>
      </c>
    </row>
    <row r="314" spans="1:14" x14ac:dyDescent="0.2">
      <c r="A314" s="488">
        <f t="shared" si="67"/>
        <v>6</v>
      </c>
      <c r="B314" s="488" t="s">
        <v>231</v>
      </c>
      <c r="C314" s="490"/>
      <c r="D314" s="491"/>
      <c r="E314" s="491"/>
      <c r="F314" s="491">
        <f t="shared" si="68"/>
        <v>0</v>
      </c>
      <c r="G314" s="490"/>
      <c r="H314" s="503"/>
      <c r="I314" s="503"/>
      <c r="J314" s="491">
        <f t="shared" si="69"/>
        <v>0</v>
      </c>
      <c r="K314" s="490">
        <f t="shared" si="64"/>
        <v>0</v>
      </c>
      <c r="L314" s="491">
        <f t="shared" si="64"/>
        <v>0</v>
      </c>
      <c r="M314" s="491">
        <f t="shared" si="65"/>
        <v>0</v>
      </c>
      <c r="N314" s="500">
        <f t="shared" si="66"/>
        <v>0</v>
      </c>
    </row>
    <row r="315" spans="1:14" x14ac:dyDescent="0.2">
      <c r="A315" s="488">
        <f t="shared" si="67"/>
        <v>7</v>
      </c>
      <c r="B315" s="488" t="s">
        <v>282</v>
      </c>
      <c r="C315" s="490"/>
      <c r="D315" s="491"/>
      <c r="E315" s="491"/>
      <c r="F315" s="491">
        <f t="shared" si="68"/>
        <v>0</v>
      </c>
      <c r="G315" s="490"/>
      <c r="H315" s="503"/>
      <c r="I315" s="503"/>
      <c r="J315" s="491">
        <f t="shared" si="69"/>
        <v>0</v>
      </c>
      <c r="K315" s="490">
        <f t="shared" si="64"/>
        <v>0</v>
      </c>
      <c r="L315" s="491">
        <f t="shared" si="64"/>
        <v>0</v>
      </c>
      <c r="M315" s="491">
        <f t="shared" si="65"/>
        <v>0</v>
      </c>
      <c r="N315" s="500">
        <f t="shared" si="66"/>
        <v>0</v>
      </c>
    </row>
    <row r="316" spans="1:14" x14ac:dyDescent="0.2">
      <c r="A316" s="488">
        <f t="shared" si="67"/>
        <v>8</v>
      </c>
      <c r="B316" s="488" t="s">
        <v>228</v>
      </c>
      <c r="C316" s="490">
        <v>5</v>
      </c>
      <c r="D316" s="502">
        <f>5874912.28-2925754.12</f>
        <v>2949158.16</v>
      </c>
      <c r="E316" s="502">
        <f>5222015.54-2589764.26</f>
        <v>2632251.2800000003</v>
      </c>
      <c r="F316" s="491">
        <f t="shared" si="68"/>
        <v>316906.87999999989</v>
      </c>
      <c r="G316" s="490">
        <v>1</v>
      </c>
      <c r="H316" s="505">
        <v>416755.42</v>
      </c>
      <c r="I316" s="505">
        <v>416400.08</v>
      </c>
      <c r="J316" s="491">
        <f t="shared" si="69"/>
        <v>355.3399999999674</v>
      </c>
      <c r="K316" s="490">
        <f t="shared" si="64"/>
        <v>6</v>
      </c>
      <c r="L316" s="491">
        <f t="shared" si="64"/>
        <v>3365913.58</v>
      </c>
      <c r="M316" s="491">
        <f t="shared" si="65"/>
        <v>3048651.3600000003</v>
      </c>
      <c r="N316" s="500">
        <f t="shared" si="66"/>
        <v>317262.21999999974</v>
      </c>
    </row>
    <row r="317" spans="1:14" x14ac:dyDescent="0.2">
      <c r="A317" s="488">
        <f t="shared" si="67"/>
        <v>9</v>
      </c>
      <c r="B317" s="488" t="s">
        <v>76</v>
      </c>
      <c r="C317" s="490"/>
      <c r="D317" s="491"/>
      <c r="E317" s="491"/>
      <c r="F317" s="491">
        <f t="shared" si="68"/>
        <v>0</v>
      </c>
      <c r="G317" s="490"/>
      <c r="H317" s="503"/>
      <c r="I317" s="503"/>
      <c r="J317" s="491">
        <f t="shared" si="69"/>
        <v>0</v>
      </c>
      <c r="K317" s="490">
        <f t="shared" si="64"/>
        <v>0</v>
      </c>
      <c r="L317" s="491">
        <f t="shared" si="64"/>
        <v>0</v>
      </c>
      <c r="M317" s="491">
        <f t="shared" si="65"/>
        <v>0</v>
      </c>
      <c r="N317" s="500">
        <f t="shared" si="66"/>
        <v>0</v>
      </c>
    </row>
    <row r="318" spans="1:14" x14ac:dyDescent="0.2">
      <c r="A318" s="488">
        <f t="shared" si="67"/>
        <v>10</v>
      </c>
      <c r="B318" s="488" t="s">
        <v>379</v>
      </c>
      <c r="C318" s="490">
        <v>4</v>
      </c>
      <c r="D318" s="502">
        <v>960420.48</v>
      </c>
      <c r="E318" s="507">
        <v>849503.71</v>
      </c>
      <c r="F318" s="491">
        <f t="shared" si="68"/>
        <v>110916.77000000002</v>
      </c>
      <c r="G318" s="490">
        <v>3</v>
      </c>
      <c r="H318" s="508">
        <f>1405470.15-538903.7</f>
        <v>866566.45</v>
      </c>
      <c r="I318" s="509">
        <f>1404755.15-538901.12</f>
        <v>865854.02999999991</v>
      </c>
      <c r="J318" s="491">
        <f t="shared" si="69"/>
        <v>712.42000000004191</v>
      </c>
      <c r="K318" s="490">
        <f t="shared" si="64"/>
        <v>7</v>
      </c>
      <c r="L318" s="491">
        <f t="shared" si="64"/>
        <v>1826986.93</v>
      </c>
      <c r="M318" s="491">
        <f t="shared" si="65"/>
        <v>1715357.7399999998</v>
      </c>
      <c r="N318" s="500">
        <f t="shared" si="66"/>
        <v>111629.19000000018</v>
      </c>
    </row>
    <row r="319" spans="1:14" x14ac:dyDescent="0.2">
      <c r="A319" s="488">
        <f t="shared" si="67"/>
        <v>11</v>
      </c>
      <c r="B319" s="488" t="s">
        <v>44</v>
      </c>
      <c r="C319" s="490">
        <v>23</v>
      </c>
      <c r="D319" s="502">
        <f>7124568.93-2527499.99</f>
        <v>4597068.9399999995</v>
      </c>
      <c r="E319" s="510">
        <f>6491177.71-2292649.16</f>
        <v>4198528.55</v>
      </c>
      <c r="F319" s="491">
        <f t="shared" si="68"/>
        <v>398540.38999999966</v>
      </c>
      <c r="G319" s="490">
        <v>3</v>
      </c>
      <c r="H319" s="511">
        <v>558282.09</v>
      </c>
      <c r="I319" s="512">
        <v>557570.52</v>
      </c>
      <c r="J319" s="491">
        <f t="shared" si="69"/>
        <v>711.56999999994878</v>
      </c>
      <c r="K319" s="490">
        <f t="shared" si="64"/>
        <v>26</v>
      </c>
      <c r="L319" s="491">
        <f t="shared" si="64"/>
        <v>5155351.0299999993</v>
      </c>
      <c r="M319" s="491">
        <f t="shared" si="65"/>
        <v>4756099.07</v>
      </c>
      <c r="N319" s="500">
        <f t="shared" si="66"/>
        <v>399251.95999999903</v>
      </c>
    </row>
    <row r="320" spans="1:14" x14ac:dyDescent="0.2">
      <c r="A320" s="488">
        <f t="shared" si="67"/>
        <v>12</v>
      </c>
      <c r="B320" s="488" t="s">
        <v>382</v>
      </c>
      <c r="C320" s="490">
        <v>27</v>
      </c>
      <c r="D320" s="502">
        <f>8625861.96-1366174.04</f>
        <v>7259687.9200000009</v>
      </c>
      <c r="E320" s="513">
        <f>7843686.66-1240679.99</f>
        <v>6603006.6699999999</v>
      </c>
      <c r="F320" s="491">
        <f t="shared" si="68"/>
        <v>656681.25000000093</v>
      </c>
      <c r="G320" s="490">
        <v>11</v>
      </c>
      <c r="H320" s="514">
        <f>2667585.82-205538.62</f>
        <v>2462047.1999999997</v>
      </c>
      <c r="I320" s="515">
        <f>2663321.14-205183</f>
        <v>2458138.14</v>
      </c>
      <c r="J320" s="491">
        <f t="shared" si="69"/>
        <v>3909.0599999995902</v>
      </c>
      <c r="K320" s="490">
        <f t="shared" si="64"/>
        <v>38</v>
      </c>
      <c r="L320" s="491">
        <f t="shared" si="64"/>
        <v>9721735.120000001</v>
      </c>
      <c r="M320" s="491">
        <f t="shared" si="65"/>
        <v>9061144.8100000005</v>
      </c>
      <c r="N320" s="500">
        <f t="shared" si="66"/>
        <v>660590.31000000052</v>
      </c>
    </row>
    <row r="321" spans="1:14" x14ac:dyDescent="0.2">
      <c r="A321" s="488">
        <f t="shared" si="67"/>
        <v>13</v>
      </c>
      <c r="B321" s="488" t="s">
        <v>226</v>
      </c>
      <c r="C321" s="490">
        <v>13</v>
      </c>
      <c r="D321" s="502">
        <f>6001960.08-1516450.44</f>
        <v>4485509.6400000006</v>
      </c>
      <c r="E321" s="516">
        <f>5324166.12-1342910.88</f>
        <v>3981255.24</v>
      </c>
      <c r="F321" s="491">
        <f t="shared" si="68"/>
        <v>504254.40000000037</v>
      </c>
      <c r="G321" s="490">
        <v>1</v>
      </c>
      <c r="H321" s="517">
        <f>616161.04-279990.18</f>
        <v>336170.86000000004</v>
      </c>
      <c r="I321" s="518">
        <f>615362.56-279634.84</f>
        <v>335727.72000000003</v>
      </c>
      <c r="J321" s="491">
        <f t="shared" si="69"/>
        <v>443.14000000001397</v>
      </c>
      <c r="K321" s="490">
        <f t="shared" si="64"/>
        <v>14</v>
      </c>
      <c r="L321" s="491">
        <f t="shared" si="64"/>
        <v>4821680.5000000009</v>
      </c>
      <c r="M321" s="491">
        <f t="shared" si="65"/>
        <v>4316982.96</v>
      </c>
      <c r="N321" s="500">
        <f t="shared" si="66"/>
        <v>504697.54000000097</v>
      </c>
    </row>
    <row r="322" spans="1:14" x14ac:dyDescent="0.2">
      <c r="A322" s="488">
        <f t="shared" si="67"/>
        <v>14</v>
      </c>
      <c r="B322" s="488" t="s">
        <v>224</v>
      </c>
      <c r="C322" s="490">
        <v>3</v>
      </c>
      <c r="D322" s="170">
        <f>2294827.58-441379.31</f>
        <v>1853448.27</v>
      </c>
      <c r="E322" s="170">
        <f>2034699.8-391337.89</f>
        <v>1643361.9100000001</v>
      </c>
      <c r="F322" s="491">
        <f t="shared" si="68"/>
        <v>210086.35999999987</v>
      </c>
      <c r="G322" s="490">
        <v>7</v>
      </c>
      <c r="H322" s="505"/>
      <c r="I322" s="505"/>
      <c r="J322" s="491">
        <f t="shared" si="69"/>
        <v>0</v>
      </c>
      <c r="K322" s="490">
        <f t="shared" si="64"/>
        <v>10</v>
      </c>
      <c r="L322" s="491">
        <f t="shared" si="64"/>
        <v>1853448.27</v>
      </c>
      <c r="M322" s="491">
        <f t="shared" si="65"/>
        <v>1643361.9100000001</v>
      </c>
      <c r="N322" s="500">
        <f t="shared" si="66"/>
        <v>210086.35999999987</v>
      </c>
    </row>
    <row r="323" spans="1:14" x14ac:dyDescent="0.2">
      <c r="A323" s="488">
        <f t="shared" si="67"/>
        <v>15</v>
      </c>
      <c r="B323" s="488" t="s">
        <v>97</v>
      </c>
      <c r="C323" s="490">
        <v>6</v>
      </c>
      <c r="D323" s="502">
        <f>1659913.81-403965.52</f>
        <v>1255948.29</v>
      </c>
      <c r="E323" s="519">
        <f>1510198.55-365712.99</f>
        <v>1144485.56</v>
      </c>
      <c r="F323" s="491">
        <f t="shared" si="68"/>
        <v>111462.72999999998</v>
      </c>
      <c r="G323" s="490"/>
      <c r="H323" s="505">
        <f>1883713.28-589282.09</f>
        <v>1294431.19</v>
      </c>
      <c r="I323" s="521">
        <f>1880159.8-588216.04</f>
        <v>1291943.76</v>
      </c>
      <c r="J323" s="491">
        <f t="shared" si="69"/>
        <v>2487.4299999999348</v>
      </c>
      <c r="K323" s="490">
        <f t="shared" si="64"/>
        <v>6</v>
      </c>
      <c r="L323" s="491">
        <f t="shared" si="64"/>
        <v>2550379.48</v>
      </c>
      <c r="M323" s="491">
        <f t="shared" si="65"/>
        <v>2436429.3200000003</v>
      </c>
      <c r="N323" s="500">
        <f t="shared" si="66"/>
        <v>113950.15999999968</v>
      </c>
    </row>
    <row r="324" spans="1:14" x14ac:dyDescent="0.2">
      <c r="A324" s="488">
        <f t="shared" si="67"/>
        <v>16</v>
      </c>
      <c r="B324" s="488" t="s">
        <v>98</v>
      </c>
      <c r="C324" s="490">
        <v>1</v>
      </c>
      <c r="D324" s="491">
        <f>1283908.04-641954.02</f>
        <v>641954.02</v>
      </c>
      <c r="E324" s="507">
        <f>1134776.6-567388.3</f>
        <v>567388.30000000005</v>
      </c>
      <c r="F324" s="491">
        <f t="shared" si="68"/>
        <v>74565.719999999972</v>
      </c>
      <c r="G324" s="490"/>
      <c r="H324" s="503"/>
      <c r="I324" s="503"/>
      <c r="J324" s="491">
        <f t="shared" si="69"/>
        <v>0</v>
      </c>
      <c r="K324" s="490">
        <f t="shared" si="64"/>
        <v>1</v>
      </c>
      <c r="L324" s="491">
        <f t="shared" si="64"/>
        <v>641954.02</v>
      </c>
      <c r="M324" s="491">
        <f t="shared" si="65"/>
        <v>567388.30000000005</v>
      </c>
      <c r="N324" s="500">
        <f t="shared" si="66"/>
        <v>74565.719999999972</v>
      </c>
    </row>
    <row r="325" spans="1:14" x14ac:dyDescent="0.2">
      <c r="A325" s="488">
        <f t="shared" si="67"/>
        <v>17</v>
      </c>
      <c r="B325" s="488" t="s">
        <v>301</v>
      </c>
      <c r="C325" s="490">
        <v>1</v>
      </c>
      <c r="D325" s="502">
        <v>556975.31999999995</v>
      </c>
      <c r="E325" s="522">
        <v>494985.61</v>
      </c>
      <c r="F325" s="491">
        <f t="shared" si="68"/>
        <v>61989.709999999963</v>
      </c>
      <c r="G325" s="490">
        <v>1</v>
      </c>
      <c r="H325" s="523">
        <v>478612.2</v>
      </c>
      <c r="I325" s="524">
        <v>478256.85</v>
      </c>
      <c r="J325" s="491">
        <f t="shared" si="69"/>
        <v>355.35000000003492</v>
      </c>
      <c r="K325" s="490">
        <f t="shared" si="64"/>
        <v>2</v>
      </c>
      <c r="L325" s="491">
        <f t="shared" si="64"/>
        <v>1035587.52</v>
      </c>
      <c r="M325" s="491">
        <f t="shared" si="65"/>
        <v>973242.46</v>
      </c>
      <c r="N325" s="500">
        <f t="shared" si="66"/>
        <v>62345.060000000056</v>
      </c>
    </row>
    <row r="326" spans="1:14" x14ac:dyDescent="0.2">
      <c r="A326" s="488">
        <f t="shared" si="67"/>
        <v>18</v>
      </c>
      <c r="B326" s="488" t="s">
        <v>136</v>
      </c>
      <c r="C326" s="490"/>
      <c r="D326" s="491"/>
      <c r="E326" s="503"/>
      <c r="F326" s="491">
        <f t="shared" si="68"/>
        <v>0</v>
      </c>
      <c r="G326" s="490"/>
      <c r="H326" s="503"/>
      <c r="I326" s="503"/>
      <c r="J326" s="491">
        <f t="shared" si="69"/>
        <v>0</v>
      </c>
      <c r="K326" s="490">
        <f t="shared" si="64"/>
        <v>0</v>
      </c>
      <c r="L326" s="491">
        <f t="shared" si="64"/>
        <v>0</v>
      </c>
      <c r="M326" s="491">
        <f>+E326+I326</f>
        <v>0</v>
      </c>
      <c r="N326" s="500">
        <f t="shared" si="66"/>
        <v>0</v>
      </c>
    </row>
    <row r="327" spans="1:14" x14ac:dyDescent="0.2">
      <c r="A327" s="488">
        <f t="shared" si="67"/>
        <v>19</v>
      </c>
      <c r="B327" s="488" t="s">
        <v>227</v>
      </c>
      <c r="C327" s="490"/>
      <c r="D327" s="502"/>
      <c r="E327" s="525"/>
      <c r="F327" s="491">
        <f t="shared" si="68"/>
        <v>0</v>
      </c>
      <c r="G327" s="490">
        <v>1</v>
      </c>
      <c r="H327" s="491">
        <v>596684.68999999994</v>
      </c>
      <c r="I327" s="503">
        <v>582736.73</v>
      </c>
      <c r="J327" s="491">
        <f t="shared" si="69"/>
        <v>13947.959999999963</v>
      </c>
      <c r="K327" s="490">
        <f t="shared" si="64"/>
        <v>1</v>
      </c>
      <c r="L327" s="491">
        <f t="shared" si="64"/>
        <v>596684.68999999994</v>
      </c>
      <c r="M327" s="491">
        <f>+E327+I327</f>
        <v>582736.73</v>
      </c>
      <c r="N327" s="500">
        <f t="shared" si="66"/>
        <v>13947.959999999963</v>
      </c>
    </row>
    <row r="328" spans="1:14" x14ac:dyDescent="0.2">
      <c r="A328" s="488">
        <f t="shared" si="67"/>
        <v>20</v>
      </c>
      <c r="B328" s="488" t="s">
        <v>63</v>
      </c>
      <c r="C328" s="490"/>
      <c r="D328" s="503"/>
      <c r="E328" s="503"/>
      <c r="F328" s="491">
        <f t="shared" si="68"/>
        <v>0</v>
      </c>
      <c r="G328" s="490"/>
      <c r="H328" s="503"/>
      <c r="I328" s="503"/>
      <c r="J328" s="491"/>
      <c r="K328" s="490">
        <f t="shared" si="64"/>
        <v>0</v>
      </c>
      <c r="L328" s="491"/>
      <c r="M328" s="491">
        <f>+E328+I328</f>
        <v>0</v>
      </c>
      <c r="N328" s="500"/>
    </row>
    <row r="329" spans="1:14" x14ac:dyDescent="0.2">
      <c r="A329" s="489"/>
      <c r="B329" s="489" t="s">
        <v>45</v>
      </c>
      <c r="C329" s="680">
        <f>+SUM(C309:C328)</f>
        <v>96</v>
      </c>
      <c r="D329" s="526">
        <f>+SUM(D309:D328)</f>
        <v>28146037.039999999</v>
      </c>
      <c r="E329" s="526">
        <f>+SUM(E309:E328)</f>
        <v>25366756.129999999</v>
      </c>
      <c r="F329" s="527">
        <f>SUM(F309:F328)</f>
        <v>2779280.91</v>
      </c>
      <c r="G329" s="680">
        <f>+SUM(G309:G328)</f>
        <v>37</v>
      </c>
      <c r="H329" s="526">
        <f>+SUM(H309:H328)</f>
        <v>9336452.8599999994</v>
      </c>
      <c r="I329" s="526">
        <f>+SUM(I309:I328)</f>
        <v>9310687.9100000001</v>
      </c>
      <c r="J329" s="527">
        <f>SUM(J309:J328)</f>
        <v>25764.949999999546</v>
      </c>
      <c r="K329" s="680">
        <f>SUM(K309:K328)</f>
        <v>133</v>
      </c>
      <c r="L329" s="526">
        <f>SUM(L309:L328)</f>
        <v>37482489.900000006</v>
      </c>
      <c r="M329" s="526">
        <f>SUM(M309:M328)</f>
        <v>34677444.039999999</v>
      </c>
      <c r="N329" s="527">
        <f>SUM(N309:N328)</f>
        <v>2805045.86</v>
      </c>
    </row>
    <row r="330" spans="1:14" x14ac:dyDescent="0.2">
      <c r="A330" s="488"/>
      <c r="B330" s="488" t="s">
        <v>61</v>
      </c>
      <c r="C330" s="528"/>
      <c r="D330" s="529">
        <v>28146037.039999999</v>
      </c>
      <c r="E330" s="529">
        <v>25366756.129999999</v>
      </c>
      <c r="F330" s="527"/>
      <c r="G330" s="490"/>
      <c r="H330" s="529">
        <v>9336452.8599999994</v>
      </c>
      <c r="I330" s="529">
        <v>9310687.9100000001</v>
      </c>
      <c r="J330" s="491"/>
      <c r="K330" s="488"/>
      <c r="L330" s="488"/>
      <c r="M330" s="488"/>
      <c r="N330" s="488"/>
    </row>
    <row r="331" spans="1:14" x14ac:dyDescent="0.2">
      <c r="A331" s="489"/>
      <c r="B331" s="489" t="s">
        <v>230</v>
      </c>
      <c r="C331" s="680"/>
      <c r="D331" s="527">
        <f>+D330-D329</f>
        <v>0</v>
      </c>
      <c r="E331" s="527">
        <f>+E329-E330</f>
        <v>0</v>
      </c>
      <c r="F331" s="527"/>
      <c r="G331" s="680"/>
      <c r="H331" s="527">
        <f>+H329-H330</f>
        <v>0</v>
      </c>
      <c r="I331" s="527">
        <f>+I329-I330</f>
        <v>0</v>
      </c>
      <c r="J331" s="489"/>
      <c r="K331" s="489"/>
      <c r="L331" s="527"/>
      <c r="M331" s="527"/>
      <c r="N331" s="489"/>
    </row>
    <row r="332" spans="1:14" x14ac:dyDescent="0.2">
      <c r="A332" s="489"/>
      <c r="B332" s="489"/>
      <c r="C332" s="680"/>
      <c r="D332" s="527"/>
      <c r="E332" s="527"/>
      <c r="F332" s="527"/>
      <c r="G332" s="680"/>
      <c r="H332" s="489"/>
      <c r="I332" s="489"/>
      <c r="J332" s="489"/>
      <c r="K332" s="489"/>
      <c r="L332" s="530"/>
      <c r="M332" s="530"/>
      <c r="N332" s="489"/>
    </row>
    <row r="333" spans="1:14" x14ac:dyDescent="0.2">
      <c r="A333" s="489"/>
      <c r="B333" s="488" t="s">
        <v>403</v>
      </c>
      <c r="C333" s="490"/>
      <c r="D333" s="491"/>
      <c r="E333" s="503"/>
      <c r="F333" s="491"/>
      <c r="G333" s="531"/>
      <c r="H333" s="489"/>
      <c r="I333" s="489"/>
      <c r="J333" s="489"/>
      <c r="K333" s="489"/>
      <c r="L333" s="489"/>
      <c r="M333" s="489"/>
      <c r="N333" s="489"/>
    </row>
    <row r="334" spans="1:14" x14ac:dyDescent="0.2">
      <c r="A334" s="489"/>
      <c r="B334" s="488" t="s">
        <v>168</v>
      </c>
      <c r="C334" s="490">
        <v>4</v>
      </c>
      <c r="D334" s="491">
        <v>857482.75</v>
      </c>
      <c r="E334" s="532">
        <v>915605.17</v>
      </c>
      <c r="F334" s="491">
        <f>+D334-E334</f>
        <v>-58122.420000000042</v>
      </c>
      <c r="G334" s="531"/>
      <c r="H334" s="489"/>
      <c r="I334" s="489"/>
      <c r="J334" s="489"/>
      <c r="K334" s="489"/>
      <c r="L334" s="489"/>
      <c r="M334" s="489"/>
      <c r="N334" s="489"/>
    </row>
    <row r="335" spans="1:14" x14ac:dyDescent="0.2">
      <c r="A335" s="488"/>
      <c r="B335" s="488" t="s">
        <v>169</v>
      </c>
      <c r="C335" s="490">
        <v>28</v>
      </c>
      <c r="D335" s="502">
        <f>5495241.35-1349310.34</f>
        <v>4145931.01</v>
      </c>
      <c r="E335" s="533">
        <f>4774949.06-1178034.29</f>
        <v>3596914.7699999996</v>
      </c>
      <c r="F335" s="491">
        <f>+D335-E335</f>
        <v>549016.24000000022</v>
      </c>
      <c r="G335" s="534"/>
      <c r="H335" s="491"/>
      <c r="I335" s="491"/>
      <c r="J335" s="491"/>
      <c r="K335" s="488"/>
      <c r="L335" s="488"/>
      <c r="M335" s="488"/>
      <c r="N335" s="488"/>
    </row>
    <row r="336" spans="1:14" x14ac:dyDescent="0.2">
      <c r="A336" s="489"/>
      <c r="B336" s="489" t="s">
        <v>170</v>
      </c>
      <c r="C336" s="680"/>
      <c r="D336" s="526">
        <f>SUM(D333:D335)</f>
        <v>5003413.76</v>
      </c>
      <c r="E336" s="526">
        <f>SUM(E333:E335)</f>
        <v>4512519.9399999995</v>
      </c>
      <c r="F336" s="527">
        <f>SUM(F333:F335)</f>
        <v>490893.82000000018</v>
      </c>
      <c r="G336" s="531">
        <f>+F336/F338</f>
        <v>0.15011241310643977</v>
      </c>
      <c r="H336" s="489"/>
      <c r="I336" s="489"/>
      <c r="J336" s="489"/>
      <c r="K336" s="489"/>
      <c r="L336" s="489"/>
      <c r="M336" s="489"/>
      <c r="N336" s="489"/>
    </row>
    <row r="337" spans="1:14" x14ac:dyDescent="0.2">
      <c r="A337" s="488"/>
      <c r="B337" s="488"/>
      <c r="C337" s="490"/>
      <c r="D337" s="529"/>
      <c r="E337" s="529"/>
      <c r="F337" s="491">
        <f>+D337-E337</f>
        <v>0</v>
      </c>
      <c r="G337" s="490"/>
      <c r="H337" s="489" t="s">
        <v>9</v>
      </c>
      <c r="I337" s="488"/>
      <c r="J337" s="488"/>
      <c r="K337" s="488"/>
      <c r="L337" s="488"/>
      <c r="M337" s="488"/>
      <c r="N337" s="488"/>
    </row>
    <row r="338" spans="1:14" x14ac:dyDescent="0.2">
      <c r="A338" s="489"/>
      <c r="B338" s="489" t="s">
        <v>130</v>
      </c>
      <c r="C338" s="680"/>
      <c r="D338" s="527">
        <f>+D329+D336</f>
        <v>33149450.799999997</v>
      </c>
      <c r="E338" s="527">
        <f>+E329+E336</f>
        <v>29879276.07</v>
      </c>
      <c r="F338" s="527">
        <f>+F336+F329</f>
        <v>3270174.7300000004</v>
      </c>
      <c r="G338" s="680"/>
      <c r="H338" s="489"/>
      <c r="I338" s="489"/>
      <c r="J338" s="489"/>
      <c r="K338" s="489"/>
      <c r="L338" s="489"/>
      <c r="M338" s="489"/>
      <c r="N338" s="489"/>
    </row>
    <row r="341" spans="1:14" x14ac:dyDescent="0.2">
      <c r="A341" s="488"/>
      <c r="B341" s="489" t="s">
        <v>133</v>
      </c>
      <c r="C341" s="490"/>
      <c r="D341" s="491"/>
      <c r="E341" s="491"/>
      <c r="F341" s="491"/>
      <c r="G341" s="490"/>
      <c r="H341" s="488"/>
      <c r="I341" s="488"/>
      <c r="J341" s="488"/>
      <c r="K341" s="488"/>
      <c r="L341" s="488"/>
      <c r="M341" s="488"/>
      <c r="N341" s="488"/>
    </row>
    <row r="342" spans="1:14" x14ac:dyDescent="0.2">
      <c r="A342" s="488"/>
      <c r="B342" s="489" t="s">
        <v>46</v>
      </c>
      <c r="C342" s="490"/>
      <c r="D342" s="491"/>
      <c r="E342" s="491"/>
      <c r="F342" s="491"/>
      <c r="G342" s="490"/>
      <c r="H342" s="488"/>
      <c r="I342" s="488"/>
      <c r="J342" s="488"/>
      <c r="K342" s="488"/>
      <c r="L342" s="488"/>
      <c r="M342" s="488"/>
      <c r="N342" s="488"/>
    </row>
    <row r="343" spans="1:14" x14ac:dyDescent="0.2">
      <c r="A343" s="488"/>
      <c r="B343" s="489"/>
      <c r="C343" s="490"/>
      <c r="D343" s="491"/>
      <c r="E343" s="491"/>
      <c r="F343" s="491"/>
      <c r="G343" s="492"/>
      <c r="H343" s="488"/>
      <c r="I343" s="488"/>
      <c r="J343" s="488"/>
      <c r="K343" s="488"/>
      <c r="L343" s="488"/>
      <c r="M343" s="488"/>
      <c r="N343" s="488"/>
    </row>
    <row r="344" spans="1:14" x14ac:dyDescent="0.2">
      <c r="A344" s="488"/>
      <c r="B344" s="493" t="s">
        <v>1273</v>
      </c>
      <c r="C344" s="490"/>
      <c r="D344" s="491"/>
      <c r="E344" s="491"/>
      <c r="F344" s="491"/>
      <c r="G344" s="490"/>
      <c r="H344" s="488"/>
      <c r="I344" s="488"/>
      <c r="J344" s="488"/>
      <c r="K344" s="488"/>
      <c r="L344" s="488"/>
      <c r="M344" s="488"/>
      <c r="N344" s="488"/>
    </row>
    <row r="345" spans="1:14" x14ac:dyDescent="0.2">
      <c r="A345" s="488"/>
      <c r="B345" s="488"/>
      <c r="C345" s="490"/>
      <c r="D345" s="491"/>
      <c r="E345" s="491"/>
      <c r="F345" s="491"/>
      <c r="G345" s="828" t="s">
        <v>283</v>
      </c>
      <c r="H345" s="828"/>
      <c r="I345" s="828"/>
      <c r="J345" s="828"/>
      <c r="K345" s="828" t="s">
        <v>39</v>
      </c>
      <c r="L345" s="828"/>
      <c r="M345" s="828"/>
      <c r="N345" s="828"/>
    </row>
    <row r="346" spans="1:14" x14ac:dyDescent="0.2">
      <c r="A346" s="494"/>
      <c r="B346" s="494" t="s">
        <v>154</v>
      </c>
      <c r="C346" s="494" t="s">
        <v>41</v>
      </c>
      <c r="D346" s="495" t="s">
        <v>42</v>
      </c>
      <c r="E346" s="495" t="s">
        <v>376</v>
      </c>
      <c r="F346" s="495" t="s">
        <v>43</v>
      </c>
      <c r="G346" s="494" t="s">
        <v>41</v>
      </c>
      <c r="H346" s="495" t="s">
        <v>42</v>
      </c>
      <c r="I346" s="495" t="s">
        <v>376</v>
      </c>
      <c r="J346" s="495" t="s">
        <v>43</v>
      </c>
      <c r="K346" s="494" t="s">
        <v>41</v>
      </c>
      <c r="L346" s="495" t="s">
        <v>42</v>
      </c>
      <c r="M346" s="495" t="s">
        <v>376</v>
      </c>
      <c r="N346" s="495" t="s">
        <v>43</v>
      </c>
    </row>
    <row r="347" spans="1:14" x14ac:dyDescent="0.2">
      <c r="A347" s="488">
        <v>1</v>
      </c>
      <c r="B347" s="488" t="s">
        <v>35</v>
      </c>
      <c r="C347" s="490"/>
      <c r="D347" s="496"/>
      <c r="E347" s="497">
        <v>822.4</v>
      </c>
      <c r="F347" s="491">
        <f>+D347-E347</f>
        <v>-822.4</v>
      </c>
      <c r="G347" s="490"/>
      <c r="H347" s="498"/>
      <c r="I347" s="499"/>
      <c r="J347" s="491">
        <f>+H347-I347</f>
        <v>0</v>
      </c>
      <c r="K347" s="490">
        <f t="shared" ref="K347:K366" si="70">+C347+G347</f>
        <v>0</v>
      </c>
      <c r="L347" s="491">
        <f>+D347+H347</f>
        <v>0</v>
      </c>
      <c r="M347" s="491">
        <f>E347+I347</f>
        <v>822.4</v>
      </c>
      <c r="N347" s="500">
        <f>+L347-M347</f>
        <v>-822.4</v>
      </c>
    </row>
    <row r="348" spans="1:14" x14ac:dyDescent="0.2">
      <c r="A348" s="488">
        <v>2</v>
      </c>
      <c r="B348" s="488" t="s">
        <v>229</v>
      </c>
      <c r="C348" s="490">
        <v>7</v>
      </c>
      <c r="D348" s="496">
        <f>3432815.27-1621150.51</f>
        <v>1811664.76</v>
      </c>
      <c r="E348" s="497">
        <f>3027369.86-1425154.66</f>
        <v>1602215.2</v>
      </c>
      <c r="F348" s="491">
        <f>+D348-E348</f>
        <v>209449.56000000006</v>
      </c>
      <c r="G348" s="490">
        <v>4</v>
      </c>
      <c r="H348" s="498">
        <f>1165828.03-211926.45</f>
        <v>953901.58000000007</v>
      </c>
      <c r="I348" s="501">
        <f>1164095.44-211571.1</f>
        <v>952524.34</v>
      </c>
      <c r="J348" s="491">
        <f>+H348-I348</f>
        <v>1377.2400000001071</v>
      </c>
      <c r="K348" s="490">
        <f t="shared" si="70"/>
        <v>11</v>
      </c>
      <c r="L348" s="491">
        <f t="shared" ref="L348:L365" si="71">+D348+H348</f>
        <v>2765566.34</v>
      </c>
      <c r="M348" s="491">
        <f t="shared" ref="M348:M363" si="72">E348+I348</f>
        <v>2554739.54</v>
      </c>
      <c r="N348" s="500">
        <f t="shared" ref="N348:N365" si="73">+L348-M348</f>
        <v>210826.79999999981</v>
      </c>
    </row>
    <row r="349" spans="1:14" x14ac:dyDescent="0.2">
      <c r="A349" s="488">
        <f t="shared" ref="A349:A366" si="74">+A348+1</f>
        <v>3</v>
      </c>
      <c r="B349" s="488" t="s">
        <v>378</v>
      </c>
      <c r="C349" s="490"/>
      <c r="D349" s="502"/>
      <c r="E349" s="503"/>
      <c r="F349" s="491">
        <f t="shared" ref="F349:F366" si="75">+D349-E349</f>
        <v>0</v>
      </c>
      <c r="G349" s="490"/>
      <c r="H349" s="503"/>
      <c r="I349" s="503"/>
      <c r="J349" s="491">
        <f t="shared" ref="J349:J365" si="76">+H349-I349</f>
        <v>0</v>
      </c>
      <c r="K349" s="490">
        <f t="shared" si="70"/>
        <v>0</v>
      </c>
      <c r="L349" s="491">
        <f t="shared" si="71"/>
        <v>0</v>
      </c>
      <c r="M349" s="491">
        <f t="shared" si="72"/>
        <v>0</v>
      </c>
      <c r="N349" s="500">
        <f t="shared" si="73"/>
        <v>0</v>
      </c>
    </row>
    <row r="350" spans="1:14" x14ac:dyDescent="0.2">
      <c r="A350" s="488">
        <f>+A349+1</f>
        <v>4</v>
      </c>
      <c r="B350" s="488" t="s">
        <v>30</v>
      </c>
      <c r="C350" s="490">
        <v>9</v>
      </c>
      <c r="D350" s="502">
        <f>4978534.46-1837068.95</f>
        <v>3141465.51</v>
      </c>
      <c r="E350" s="504">
        <f>4449487.17-1631047.31</f>
        <v>2818439.86</v>
      </c>
      <c r="F350" s="491">
        <f t="shared" si="75"/>
        <v>323025.64999999991</v>
      </c>
      <c r="G350" s="490">
        <v>5</v>
      </c>
      <c r="H350" s="505">
        <v>1537721.02</v>
      </c>
      <c r="I350" s="506">
        <v>1526581.56</v>
      </c>
      <c r="J350" s="491">
        <f t="shared" si="76"/>
        <v>11139.459999999963</v>
      </c>
      <c r="K350" s="490">
        <f t="shared" si="70"/>
        <v>14</v>
      </c>
      <c r="L350" s="491">
        <f t="shared" si="71"/>
        <v>4679186.5299999993</v>
      </c>
      <c r="M350" s="491">
        <f t="shared" si="72"/>
        <v>4345021.42</v>
      </c>
      <c r="N350" s="500">
        <f t="shared" si="73"/>
        <v>334165.1099999994</v>
      </c>
    </row>
    <row r="351" spans="1:14" x14ac:dyDescent="0.2">
      <c r="A351" s="488">
        <f t="shared" si="74"/>
        <v>5</v>
      </c>
      <c r="B351" s="488" t="s">
        <v>48</v>
      </c>
      <c r="C351" s="490"/>
      <c r="D351" s="491"/>
      <c r="E351" s="503"/>
      <c r="F351" s="491">
        <f t="shared" si="75"/>
        <v>0</v>
      </c>
      <c r="G351" s="490"/>
      <c r="H351" s="503"/>
      <c r="I351" s="503"/>
      <c r="J351" s="491">
        <f t="shared" si="76"/>
        <v>0</v>
      </c>
      <c r="K351" s="490">
        <f t="shared" si="70"/>
        <v>0</v>
      </c>
      <c r="L351" s="491">
        <f t="shared" si="71"/>
        <v>0</v>
      </c>
      <c r="M351" s="491">
        <f t="shared" si="72"/>
        <v>0</v>
      </c>
      <c r="N351" s="500">
        <f t="shared" si="73"/>
        <v>0</v>
      </c>
    </row>
    <row r="352" spans="1:14" x14ac:dyDescent="0.2">
      <c r="A352" s="488">
        <f t="shared" si="74"/>
        <v>6</v>
      </c>
      <c r="B352" s="488" t="s">
        <v>231</v>
      </c>
      <c r="C352" s="490"/>
      <c r="D352" s="491"/>
      <c r="E352" s="491"/>
      <c r="F352" s="491">
        <f t="shared" si="75"/>
        <v>0</v>
      </c>
      <c r="G352" s="490"/>
      <c r="H352" s="503"/>
      <c r="I352" s="503"/>
      <c r="J352" s="491">
        <f t="shared" si="76"/>
        <v>0</v>
      </c>
      <c r="K352" s="490">
        <f t="shared" si="70"/>
        <v>0</v>
      </c>
      <c r="L352" s="491">
        <f t="shared" si="71"/>
        <v>0</v>
      </c>
      <c r="M352" s="491">
        <f t="shared" si="72"/>
        <v>0</v>
      </c>
      <c r="N352" s="500">
        <f t="shared" si="73"/>
        <v>0</v>
      </c>
    </row>
    <row r="353" spans="1:14" x14ac:dyDescent="0.2">
      <c r="A353" s="488">
        <f t="shared" si="74"/>
        <v>7</v>
      </c>
      <c r="B353" s="488" t="s">
        <v>282</v>
      </c>
      <c r="C353" s="490"/>
      <c r="D353" s="491"/>
      <c r="E353" s="491"/>
      <c r="F353" s="491">
        <f t="shared" si="75"/>
        <v>0</v>
      </c>
      <c r="G353" s="490"/>
      <c r="H353" s="503"/>
      <c r="I353" s="503"/>
      <c r="J353" s="491">
        <f t="shared" si="76"/>
        <v>0</v>
      </c>
      <c r="K353" s="490">
        <f t="shared" si="70"/>
        <v>0</v>
      </c>
      <c r="L353" s="491">
        <f t="shared" si="71"/>
        <v>0</v>
      </c>
      <c r="M353" s="491">
        <f t="shared" si="72"/>
        <v>0</v>
      </c>
      <c r="N353" s="500">
        <f t="shared" si="73"/>
        <v>0</v>
      </c>
    </row>
    <row r="354" spans="1:14" x14ac:dyDescent="0.2">
      <c r="A354" s="488">
        <f t="shared" si="74"/>
        <v>8</v>
      </c>
      <c r="B354" s="488" t="s">
        <v>228</v>
      </c>
      <c r="C354" s="490">
        <v>7</v>
      </c>
      <c r="D354" s="502">
        <f>5467851.47-1971343.66</f>
        <v>3496507.8099999996</v>
      </c>
      <c r="E354" s="502">
        <f>4852394.26-1746218.4</f>
        <v>3106175.86</v>
      </c>
      <c r="F354" s="491">
        <f t="shared" si="75"/>
        <v>390331.94999999972</v>
      </c>
      <c r="G354" s="490"/>
      <c r="H354" s="505"/>
      <c r="I354" s="505"/>
      <c r="J354" s="491">
        <f t="shared" si="76"/>
        <v>0</v>
      </c>
      <c r="K354" s="490">
        <f t="shared" si="70"/>
        <v>7</v>
      </c>
      <c r="L354" s="491">
        <f t="shared" si="71"/>
        <v>3496507.8099999996</v>
      </c>
      <c r="M354" s="491">
        <f t="shared" si="72"/>
        <v>3106175.86</v>
      </c>
      <c r="N354" s="500">
        <f t="shared" si="73"/>
        <v>390331.94999999972</v>
      </c>
    </row>
    <row r="355" spans="1:14" x14ac:dyDescent="0.2">
      <c r="A355" s="488">
        <f t="shared" si="74"/>
        <v>9</v>
      </c>
      <c r="B355" s="488" t="s">
        <v>76</v>
      </c>
      <c r="C355" s="490"/>
      <c r="D355" s="491"/>
      <c r="E355" s="491"/>
      <c r="F355" s="491">
        <f t="shared" si="75"/>
        <v>0</v>
      </c>
      <c r="G355" s="490"/>
      <c r="H355" s="503"/>
      <c r="I355" s="503"/>
      <c r="J355" s="491">
        <f t="shared" si="76"/>
        <v>0</v>
      </c>
      <c r="K355" s="490">
        <f t="shared" si="70"/>
        <v>0</v>
      </c>
      <c r="L355" s="491">
        <f t="shared" si="71"/>
        <v>0</v>
      </c>
      <c r="M355" s="491">
        <f t="shared" si="72"/>
        <v>0</v>
      </c>
      <c r="N355" s="500">
        <f t="shared" si="73"/>
        <v>0</v>
      </c>
    </row>
    <row r="356" spans="1:14" x14ac:dyDescent="0.2">
      <c r="A356" s="488">
        <f t="shared" si="74"/>
        <v>10</v>
      </c>
      <c r="B356" s="488" t="s">
        <v>379</v>
      </c>
      <c r="C356" s="490">
        <v>9</v>
      </c>
      <c r="D356" s="502">
        <f>3891219.54-720219.23</f>
        <v>3171000.31</v>
      </c>
      <c r="E356" s="507">
        <f>3421586.39-623632.17</f>
        <v>2797954.22</v>
      </c>
      <c r="F356" s="491">
        <f t="shared" si="75"/>
        <v>373046.08999999985</v>
      </c>
      <c r="G356" s="490">
        <v>4</v>
      </c>
      <c r="H356" s="508">
        <v>1162783.56</v>
      </c>
      <c r="I356" s="509">
        <v>1154607.5</v>
      </c>
      <c r="J356" s="491">
        <f t="shared" si="76"/>
        <v>8176.0600000000559</v>
      </c>
      <c r="K356" s="490">
        <f t="shared" si="70"/>
        <v>13</v>
      </c>
      <c r="L356" s="491">
        <f t="shared" si="71"/>
        <v>4333783.87</v>
      </c>
      <c r="M356" s="491">
        <f t="shared" si="72"/>
        <v>3952561.72</v>
      </c>
      <c r="N356" s="500">
        <f t="shared" si="73"/>
        <v>381222.14999999991</v>
      </c>
    </row>
    <row r="357" spans="1:14" x14ac:dyDescent="0.2">
      <c r="A357" s="488">
        <f t="shared" si="74"/>
        <v>11</v>
      </c>
      <c r="B357" s="488" t="s">
        <v>44</v>
      </c>
      <c r="C357" s="490">
        <v>21</v>
      </c>
      <c r="D357" s="502">
        <f>5336386.86-1246724.13</f>
        <v>4089662.7300000004</v>
      </c>
      <c r="E357" s="510">
        <f>4926537.61-1135274.11</f>
        <v>3791263.5</v>
      </c>
      <c r="F357" s="491">
        <f t="shared" si="75"/>
        <v>298399.23000000045</v>
      </c>
      <c r="G357" s="490">
        <v>9</v>
      </c>
      <c r="H357" s="511">
        <f>2437380.3-752380.47</f>
        <v>1684999.8299999998</v>
      </c>
      <c r="I357" s="512">
        <f>2433707-750840.65</f>
        <v>1682866.35</v>
      </c>
      <c r="J357" s="491">
        <f t="shared" si="76"/>
        <v>2133.4799999997485</v>
      </c>
      <c r="K357" s="490">
        <f t="shared" si="70"/>
        <v>30</v>
      </c>
      <c r="L357" s="491">
        <f t="shared" si="71"/>
        <v>5774662.5600000005</v>
      </c>
      <c r="M357" s="491">
        <f t="shared" si="72"/>
        <v>5474129.8499999996</v>
      </c>
      <c r="N357" s="500">
        <f t="shared" si="73"/>
        <v>300532.71000000089</v>
      </c>
    </row>
    <row r="358" spans="1:14" x14ac:dyDescent="0.2">
      <c r="A358" s="488">
        <f t="shared" si="74"/>
        <v>12</v>
      </c>
      <c r="B358" s="488" t="s">
        <v>382</v>
      </c>
      <c r="C358" s="490">
        <v>21</v>
      </c>
      <c r="D358" s="502">
        <f>7495812.7-1853940.86</f>
        <v>5641871.8399999999</v>
      </c>
      <c r="E358" s="513">
        <f>6847381.25-1681243.21</f>
        <v>5166138.04</v>
      </c>
      <c r="F358" s="491">
        <f t="shared" si="75"/>
        <v>475733.79999999981</v>
      </c>
      <c r="G358" s="490">
        <v>6</v>
      </c>
      <c r="H358" s="514">
        <f>1589498.27-205538.34</f>
        <v>1383959.93</v>
      </c>
      <c r="I358" s="515">
        <f>1587216.72-205183</f>
        <v>1382033.72</v>
      </c>
      <c r="J358" s="491">
        <f t="shared" si="76"/>
        <v>1926.2099999999627</v>
      </c>
      <c r="K358" s="490">
        <f t="shared" si="70"/>
        <v>27</v>
      </c>
      <c r="L358" s="491">
        <f t="shared" si="71"/>
        <v>7025831.7699999996</v>
      </c>
      <c r="M358" s="491">
        <f t="shared" si="72"/>
        <v>6548171.7599999998</v>
      </c>
      <c r="N358" s="500">
        <f t="shared" si="73"/>
        <v>477660.00999999978</v>
      </c>
    </row>
    <row r="359" spans="1:14" x14ac:dyDescent="0.2">
      <c r="A359" s="488">
        <f t="shared" si="74"/>
        <v>13</v>
      </c>
      <c r="B359" s="488" t="s">
        <v>226</v>
      </c>
      <c r="C359" s="490">
        <v>6</v>
      </c>
      <c r="D359" s="502">
        <f>3791126.1-1516450.44</f>
        <v>2274675.66</v>
      </c>
      <c r="E359" s="516">
        <f>3367457.2-1343322.08</f>
        <v>2024135.12</v>
      </c>
      <c r="F359" s="491">
        <f t="shared" si="75"/>
        <v>250540.54000000004</v>
      </c>
      <c r="G359" s="490">
        <v>1</v>
      </c>
      <c r="H359" s="517">
        <v>279990.18</v>
      </c>
      <c r="I359" s="518">
        <v>279634.84000000003</v>
      </c>
      <c r="J359" s="491">
        <f t="shared" si="76"/>
        <v>355.3399999999674</v>
      </c>
      <c r="K359" s="490">
        <f t="shared" si="70"/>
        <v>7</v>
      </c>
      <c r="L359" s="491">
        <f t="shared" si="71"/>
        <v>2554665.8400000003</v>
      </c>
      <c r="M359" s="491">
        <f t="shared" si="72"/>
        <v>2303769.96</v>
      </c>
      <c r="N359" s="500">
        <f t="shared" si="73"/>
        <v>250895.88000000035</v>
      </c>
    </row>
    <row r="360" spans="1:14" x14ac:dyDescent="0.2">
      <c r="A360" s="488">
        <f t="shared" si="74"/>
        <v>14</v>
      </c>
      <c r="B360" s="488" t="s">
        <v>224</v>
      </c>
      <c r="C360" s="490">
        <v>1</v>
      </c>
      <c r="D360" s="170">
        <v>529310.34</v>
      </c>
      <c r="E360" s="170">
        <v>469117.21</v>
      </c>
      <c r="F360" s="491">
        <f t="shared" si="75"/>
        <v>60193.129999999946</v>
      </c>
      <c r="G360" s="490"/>
      <c r="H360" s="505"/>
      <c r="I360" s="505"/>
      <c r="J360" s="491">
        <f t="shared" si="76"/>
        <v>0</v>
      </c>
      <c r="K360" s="490">
        <f t="shared" si="70"/>
        <v>1</v>
      </c>
      <c r="L360" s="491">
        <f t="shared" si="71"/>
        <v>529310.34</v>
      </c>
      <c r="M360" s="491">
        <f t="shared" si="72"/>
        <v>469117.21</v>
      </c>
      <c r="N360" s="500">
        <f t="shared" si="73"/>
        <v>60193.129999999946</v>
      </c>
    </row>
    <row r="361" spans="1:14" x14ac:dyDescent="0.2">
      <c r="A361" s="488">
        <f t="shared" si="74"/>
        <v>15</v>
      </c>
      <c r="B361" s="488" t="s">
        <v>97</v>
      </c>
      <c r="C361" s="490">
        <v>7</v>
      </c>
      <c r="D361" s="502">
        <f>1872931.06-423793.11</f>
        <v>1449137.9500000002</v>
      </c>
      <c r="E361" s="519">
        <f>1707982.26-384268.8</f>
        <v>1323713.46</v>
      </c>
      <c r="F361" s="491">
        <f t="shared" si="75"/>
        <v>125424.49000000022</v>
      </c>
      <c r="G361" s="490">
        <v>5</v>
      </c>
      <c r="H361" s="520">
        <v>904188.53</v>
      </c>
      <c r="I361" s="521">
        <v>902767.14</v>
      </c>
      <c r="J361" s="491">
        <f t="shared" si="76"/>
        <v>1421.390000000014</v>
      </c>
      <c r="K361" s="490">
        <f t="shared" si="70"/>
        <v>12</v>
      </c>
      <c r="L361" s="491">
        <f t="shared" si="71"/>
        <v>2353326.4800000004</v>
      </c>
      <c r="M361" s="491">
        <f t="shared" si="72"/>
        <v>2226480.6</v>
      </c>
      <c r="N361" s="500">
        <f t="shared" si="73"/>
        <v>126845.88000000035</v>
      </c>
    </row>
    <row r="362" spans="1:14" x14ac:dyDescent="0.2">
      <c r="A362" s="488">
        <f t="shared" si="74"/>
        <v>16</v>
      </c>
      <c r="B362" s="488" t="s">
        <v>98</v>
      </c>
      <c r="C362" s="490"/>
      <c r="D362" s="491"/>
      <c r="E362" s="507">
        <f>1029210.76-1042622.11</f>
        <v>-13411.349999999977</v>
      </c>
      <c r="F362" s="491">
        <f t="shared" si="75"/>
        <v>13411.349999999977</v>
      </c>
      <c r="G362" s="490"/>
      <c r="H362" s="503"/>
      <c r="I362" s="503"/>
      <c r="J362" s="491">
        <f t="shared" si="76"/>
        <v>0</v>
      </c>
      <c r="K362" s="490">
        <f t="shared" si="70"/>
        <v>0</v>
      </c>
      <c r="L362" s="491">
        <f t="shared" si="71"/>
        <v>0</v>
      </c>
      <c r="M362" s="491">
        <f t="shared" si="72"/>
        <v>-13411.349999999977</v>
      </c>
      <c r="N362" s="500">
        <f t="shared" si="73"/>
        <v>13411.349999999977</v>
      </c>
    </row>
    <row r="363" spans="1:14" x14ac:dyDescent="0.2">
      <c r="A363" s="488">
        <f t="shared" si="74"/>
        <v>17</v>
      </c>
      <c r="B363" s="488" t="s">
        <v>301</v>
      </c>
      <c r="C363" s="490">
        <v>2</v>
      </c>
      <c r="D363" s="502">
        <f>1597318.54-556975.32</f>
        <v>1040343.2200000001</v>
      </c>
      <c r="E363" s="522">
        <f>1451310.47-492545.47</f>
        <v>958765</v>
      </c>
      <c r="F363" s="491">
        <f t="shared" si="75"/>
        <v>81578.220000000088</v>
      </c>
      <c r="G363" s="490"/>
      <c r="H363" s="523"/>
      <c r="I363" s="524"/>
      <c r="J363" s="491">
        <f t="shared" si="76"/>
        <v>0</v>
      </c>
      <c r="K363" s="490">
        <f t="shared" si="70"/>
        <v>2</v>
      </c>
      <c r="L363" s="491">
        <f t="shared" si="71"/>
        <v>1040343.2200000001</v>
      </c>
      <c r="M363" s="491">
        <f t="shared" si="72"/>
        <v>958765</v>
      </c>
      <c r="N363" s="500">
        <f t="shared" si="73"/>
        <v>81578.220000000088</v>
      </c>
    </row>
    <row r="364" spans="1:14" x14ac:dyDescent="0.2">
      <c r="A364" s="488">
        <f t="shared" si="74"/>
        <v>18</v>
      </c>
      <c r="B364" s="488" t="s">
        <v>136</v>
      </c>
      <c r="C364" s="490"/>
      <c r="D364" s="491"/>
      <c r="E364" s="503"/>
      <c r="F364" s="491">
        <f t="shared" si="75"/>
        <v>0</v>
      </c>
      <c r="G364" s="490"/>
      <c r="H364" s="503"/>
      <c r="I364" s="503"/>
      <c r="J364" s="491">
        <f t="shared" si="76"/>
        <v>0</v>
      </c>
      <c r="K364" s="490">
        <f t="shared" si="70"/>
        <v>0</v>
      </c>
      <c r="L364" s="491">
        <f t="shared" si="71"/>
        <v>0</v>
      </c>
      <c r="M364" s="491">
        <f>+E364+I364</f>
        <v>0</v>
      </c>
      <c r="N364" s="500">
        <f t="shared" si="73"/>
        <v>0</v>
      </c>
    </row>
    <row r="365" spans="1:14" x14ac:dyDescent="0.2">
      <c r="A365" s="488">
        <f t="shared" si="74"/>
        <v>19</v>
      </c>
      <c r="B365" s="488" t="s">
        <v>227</v>
      </c>
      <c r="C365" s="490"/>
      <c r="D365" s="502"/>
      <c r="E365" s="525"/>
      <c r="F365" s="491">
        <f t="shared" si="75"/>
        <v>0</v>
      </c>
      <c r="G365" s="490"/>
      <c r="H365" s="491"/>
      <c r="I365" s="503"/>
      <c r="J365" s="491">
        <f t="shared" si="76"/>
        <v>0</v>
      </c>
      <c r="K365" s="490">
        <f t="shared" si="70"/>
        <v>0</v>
      </c>
      <c r="L365" s="491">
        <f t="shared" si="71"/>
        <v>0</v>
      </c>
      <c r="M365" s="491">
        <f>+E365+I365</f>
        <v>0</v>
      </c>
      <c r="N365" s="500">
        <f t="shared" si="73"/>
        <v>0</v>
      </c>
    </row>
    <row r="366" spans="1:14" x14ac:dyDescent="0.2">
      <c r="A366" s="488">
        <f t="shared" si="74"/>
        <v>20</v>
      </c>
      <c r="B366" s="488" t="s">
        <v>63</v>
      </c>
      <c r="C366" s="490"/>
      <c r="D366" s="503"/>
      <c r="E366" s="503"/>
      <c r="F366" s="491">
        <f t="shared" si="75"/>
        <v>0</v>
      </c>
      <c r="G366" s="490"/>
      <c r="H366" s="503"/>
      <c r="I366" s="503"/>
      <c r="J366" s="491"/>
      <c r="K366" s="490">
        <f t="shared" si="70"/>
        <v>0</v>
      </c>
      <c r="L366" s="491"/>
      <c r="M366" s="491">
        <f>+E366+I366</f>
        <v>0</v>
      </c>
      <c r="N366" s="500"/>
    </row>
    <row r="367" spans="1:14" x14ac:dyDescent="0.2">
      <c r="A367" s="489"/>
      <c r="B367" s="489" t="s">
        <v>45</v>
      </c>
      <c r="C367" s="494"/>
      <c r="D367" s="526">
        <f>+SUM(D347:D366)</f>
        <v>26645640.129999999</v>
      </c>
      <c r="E367" s="526">
        <f>+SUM(E347:E366)</f>
        <v>24045328.520000003</v>
      </c>
      <c r="F367" s="527">
        <f>SUM(F347:F366)</f>
        <v>2600311.6100000003</v>
      </c>
      <c r="G367" s="494"/>
      <c r="H367" s="526">
        <f>+SUM(H347:H366)</f>
        <v>7907544.6299999999</v>
      </c>
      <c r="I367" s="526">
        <f>+SUM(I347:I366)</f>
        <v>7881015.4499999993</v>
      </c>
      <c r="J367" s="527">
        <f>SUM(J347:J366)</f>
        <v>26529.179999999818</v>
      </c>
      <c r="K367" s="494">
        <f>SUM(K347:K366)</f>
        <v>124</v>
      </c>
      <c r="L367" s="526">
        <f>SUM(L347:L366)</f>
        <v>34553184.759999998</v>
      </c>
      <c r="M367" s="526">
        <f>SUM(M347:M366)</f>
        <v>31926343.969999999</v>
      </c>
      <c r="N367" s="527">
        <f>SUM(N347:N366)</f>
        <v>2626840.7900000005</v>
      </c>
    </row>
    <row r="368" spans="1:14" x14ac:dyDescent="0.2">
      <c r="A368" s="488"/>
      <c r="B368" s="488" t="s">
        <v>61</v>
      </c>
      <c r="C368" s="528"/>
      <c r="D368" s="529">
        <v>26645640.129999999</v>
      </c>
      <c r="E368" s="529">
        <v>24045328.52</v>
      </c>
      <c r="F368" s="527"/>
      <c r="G368" s="490"/>
      <c r="H368" s="529">
        <v>7907544.6299999999</v>
      </c>
      <c r="I368" s="529">
        <v>7881015.4500000002</v>
      </c>
      <c r="J368" s="491"/>
      <c r="K368" s="488"/>
      <c r="L368" s="488"/>
      <c r="M368" s="488"/>
      <c r="N368" s="488"/>
    </row>
    <row r="369" spans="1:16" x14ac:dyDescent="0.2">
      <c r="A369" s="489"/>
      <c r="B369" s="489" t="s">
        <v>230</v>
      </c>
      <c r="C369" s="494"/>
      <c r="D369" s="527">
        <f>+D368-D367</f>
        <v>0</v>
      </c>
      <c r="E369" s="527">
        <f>+E367-E368</f>
        <v>0</v>
      </c>
      <c r="F369" s="527"/>
      <c r="G369" s="494"/>
      <c r="H369" s="527">
        <f>+H367-H368</f>
        <v>0</v>
      </c>
      <c r="I369" s="527">
        <f>+I367-I368</f>
        <v>0</v>
      </c>
      <c r="J369" s="489"/>
      <c r="K369" s="489"/>
      <c r="L369" s="527"/>
      <c r="M369" s="527"/>
      <c r="N369" s="489"/>
    </row>
    <row r="370" spans="1:16" x14ac:dyDescent="0.2">
      <c r="A370" s="489"/>
      <c r="B370" s="489"/>
      <c r="C370" s="494"/>
      <c r="D370" s="527"/>
      <c r="E370" s="527"/>
      <c r="F370" s="527"/>
      <c r="G370" s="494"/>
      <c r="H370" s="489"/>
      <c r="I370" s="489"/>
      <c r="J370" s="489"/>
      <c r="K370" s="489"/>
      <c r="L370" s="530"/>
      <c r="M370" s="530"/>
      <c r="N370" s="489"/>
    </row>
    <row r="371" spans="1:16" x14ac:dyDescent="0.2">
      <c r="A371" s="489"/>
      <c r="B371" s="488" t="s">
        <v>403</v>
      </c>
      <c r="C371" s="490"/>
      <c r="D371" s="491"/>
      <c r="E371" s="503"/>
      <c r="F371" s="491">
        <f>+D371-E371</f>
        <v>0</v>
      </c>
      <c r="G371" s="531"/>
      <c r="H371" s="489"/>
      <c r="I371" s="489"/>
      <c r="J371" s="489"/>
      <c r="K371" s="489"/>
      <c r="L371" s="489"/>
      <c r="M371" s="489"/>
      <c r="N371" s="489"/>
    </row>
    <row r="372" spans="1:16" x14ac:dyDescent="0.2">
      <c r="A372" s="489"/>
      <c r="B372" s="488" t="s">
        <v>168</v>
      </c>
      <c r="C372" s="490">
        <v>6</v>
      </c>
      <c r="D372" s="491">
        <f>1952068.95-322931.03</f>
        <v>1629137.9199999999</v>
      </c>
      <c r="E372" s="532">
        <f>1709764.83-260000</f>
        <v>1449764.83</v>
      </c>
      <c r="F372" s="491">
        <f>+D372-E372</f>
        <v>179373.08999999985</v>
      </c>
      <c r="G372" s="531"/>
      <c r="H372" s="489"/>
      <c r="I372" s="489"/>
      <c r="J372" s="489"/>
      <c r="K372" s="489"/>
      <c r="L372" s="489"/>
      <c r="M372" s="489"/>
      <c r="N372" s="489"/>
    </row>
    <row r="373" spans="1:16" x14ac:dyDescent="0.2">
      <c r="A373" s="488"/>
      <c r="B373" s="488" t="s">
        <v>169</v>
      </c>
      <c r="C373" s="490">
        <v>11</v>
      </c>
      <c r="D373" s="502">
        <f>2650931.02-758793.1</f>
        <v>1892137.92</v>
      </c>
      <c r="E373" s="533">
        <f>2282193.36-626810.34</f>
        <v>1655383.02</v>
      </c>
      <c r="F373" s="491">
        <f>+D373-E373</f>
        <v>236754.89999999991</v>
      </c>
      <c r="G373" s="534"/>
      <c r="H373" s="491"/>
      <c r="I373" s="491"/>
      <c r="J373" s="491"/>
      <c r="K373" s="488"/>
      <c r="L373" s="488"/>
      <c r="M373" s="488"/>
      <c r="N373" s="488"/>
    </row>
    <row r="374" spans="1:16" x14ac:dyDescent="0.2">
      <c r="A374" s="489"/>
      <c r="B374" s="489" t="s">
        <v>170</v>
      </c>
      <c r="C374" s="494"/>
      <c r="D374" s="526">
        <f>SUM(D371:D373)</f>
        <v>3521275.84</v>
      </c>
      <c r="E374" s="526">
        <f>SUM(E371:E373)</f>
        <v>3105147.85</v>
      </c>
      <c r="F374" s="527">
        <f>SUM(F371:F373)</f>
        <v>416127.98999999976</v>
      </c>
      <c r="G374" s="531">
        <f>+F374/F376</f>
        <v>0.1379533639592849</v>
      </c>
      <c r="H374" s="489"/>
      <c r="I374" s="489"/>
      <c r="J374" s="489"/>
      <c r="K374" s="489"/>
      <c r="L374" s="489"/>
      <c r="M374" s="489"/>
      <c r="N374" s="489"/>
    </row>
    <row r="375" spans="1:16" x14ac:dyDescent="0.2">
      <c r="A375" s="488"/>
      <c r="B375" s="488"/>
      <c r="C375" s="490"/>
      <c r="D375" s="529"/>
      <c r="E375" s="529"/>
      <c r="F375" s="491">
        <f>+D375-E375</f>
        <v>0</v>
      </c>
      <c r="G375" s="490"/>
      <c r="H375" s="489" t="s">
        <v>9</v>
      </c>
      <c r="I375" s="488"/>
      <c r="J375" s="488"/>
      <c r="K375" s="488"/>
      <c r="L375" s="488"/>
      <c r="M375" s="488"/>
      <c r="N375" s="488"/>
    </row>
    <row r="376" spans="1:16" x14ac:dyDescent="0.2">
      <c r="A376" s="489"/>
      <c r="B376" s="489" t="s">
        <v>130</v>
      </c>
      <c r="C376" s="494"/>
      <c r="D376" s="527">
        <f>+D367+D374</f>
        <v>30166915.969999999</v>
      </c>
      <c r="E376" s="527">
        <f>+E367+E374</f>
        <v>27150476.370000005</v>
      </c>
      <c r="F376" s="527">
        <f>+F374+F367</f>
        <v>3016439.6</v>
      </c>
      <c r="G376" s="494"/>
      <c r="H376" s="489"/>
      <c r="I376" s="489"/>
      <c r="J376" s="489"/>
      <c r="K376" s="489"/>
      <c r="L376" s="489"/>
      <c r="M376" s="489"/>
      <c r="N376" s="489"/>
    </row>
    <row r="377" spans="1:16" x14ac:dyDescent="0.2">
      <c r="A377" s="489"/>
      <c r="B377" s="489"/>
      <c r="C377" s="494"/>
      <c r="D377" s="527"/>
      <c r="E377" s="527"/>
      <c r="F377" s="527"/>
      <c r="G377" s="494"/>
      <c r="H377" s="489"/>
      <c r="I377" s="489"/>
      <c r="J377" s="489"/>
      <c r="K377" s="489"/>
      <c r="L377" s="489"/>
      <c r="M377" s="489"/>
      <c r="N377" s="489"/>
    </row>
    <row r="378" spans="1:16" x14ac:dyDescent="0.2">
      <c r="A378" s="489"/>
      <c r="B378" s="489"/>
      <c r="C378" s="494"/>
      <c r="D378" s="527"/>
      <c r="E378" s="527"/>
      <c r="F378" s="527"/>
      <c r="G378" s="494"/>
      <c r="H378" s="489"/>
      <c r="I378" s="489"/>
      <c r="J378" s="489"/>
      <c r="K378" s="489"/>
      <c r="L378" s="489"/>
      <c r="M378" s="489"/>
      <c r="N378" s="489"/>
    </row>
    <row r="379" spans="1:16" s="291" customFormat="1" x14ac:dyDescent="0.2">
      <c r="A379" s="488"/>
      <c r="B379" s="489" t="s">
        <v>133</v>
      </c>
      <c r="C379" s="490"/>
      <c r="D379" s="491"/>
      <c r="E379" s="491"/>
      <c r="F379" s="491"/>
      <c r="G379" s="490"/>
      <c r="H379" s="488"/>
      <c r="I379" s="488"/>
      <c r="J379" s="488"/>
      <c r="K379" s="488"/>
      <c r="L379" s="488"/>
      <c r="M379" s="488"/>
      <c r="N379" s="488"/>
      <c r="P379" s="78"/>
    </row>
    <row r="380" spans="1:16" s="291" customFormat="1" x14ac:dyDescent="0.2">
      <c r="A380" s="488"/>
      <c r="B380" s="489" t="s">
        <v>46</v>
      </c>
      <c r="C380" s="490"/>
      <c r="D380" s="491"/>
      <c r="E380" s="491"/>
      <c r="F380" s="491"/>
      <c r="G380" s="490"/>
      <c r="H380" s="488"/>
      <c r="I380" s="488"/>
      <c r="J380" s="488"/>
      <c r="K380" s="488"/>
      <c r="L380" s="488"/>
      <c r="M380" s="488"/>
      <c r="N380" s="488"/>
      <c r="P380" s="78"/>
    </row>
    <row r="381" spans="1:16" s="291" customFormat="1" x14ac:dyDescent="0.2">
      <c r="A381" s="488"/>
      <c r="B381" s="489"/>
      <c r="C381" s="490"/>
      <c r="D381" s="491"/>
      <c r="E381" s="491"/>
      <c r="F381" s="491"/>
      <c r="G381" s="492"/>
      <c r="H381" s="488"/>
      <c r="I381" s="488"/>
      <c r="J381" s="488"/>
      <c r="K381" s="488"/>
      <c r="L381" s="488"/>
      <c r="M381" s="488"/>
      <c r="N381" s="488"/>
      <c r="P381" s="78"/>
    </row>
    <row r="382" spans="1:16" s="291" customFormat="1" x14ac:dyDescent="0.2">
      <c r="A382" s="488"/>
      <c r="B382" s="493" t="s">
        <v>410</v>
      </c>
      <c r="C382" s="490"/>
      <c r="D382" s="491"/>
      <c r="E382" s="491"/>
      <c r="F382" s="491"/>
      <c r="G382" s="490"/>
      <c r="H382" s="488"/>
      <c r="I382" s="488"/>
      <c r="J382" s="488"/>
      <c r="K382" s="488"/>
      <c r="L382" s="488"/>
      <c r="M382" s="488"/>
      <c r="N382" s="488"/>
      <c r="P382" s="78"/>
    </row>
    <row r="383" spans="1:16" s="291" customFormat="1" x14ac:dyDescent="0.2">
      <c r="A383" s="488"/>
      <c r="B383" s="488"/>
      <c r="C383" s="490"/>
      <c r="D383" s="491"/>
      <c r="E383" s="491"/>
      <c r="F383" s="491"/>
      <c r="G383" s="828" t="s">
        <v>283</v>
      </c>
      <c r="H383" s="828"/>
      <c r="I383" s="828"/>
      <c r="J383" s="828"/>
      <c r="K383" s="828" t="s">
        <v>39</v>
      </c>
      <c r="L383" s="828"/>
      <c r="M383" s="828"/>
      <c r="N383" s="828"/>
      <c r="P383" s="78"/>
    </row>
    <row r="384" spans="1:16" s="291" customFormat="1" x14ac:dyDescent="0.2">
      <c r="A384" s="494"/>
      <c r="B384" s="494" t="s">
        <v>154</v>
      </c>
      <c r="C384" s="494" t="s">
        <v>41</v>
      </c>
      <c r="D384" s="495" t="s">
        <v>42</v>
      </c>
      <c r="E384" s="495" t="s">
        <v>376</v>
      </c>
      <c r="F384" s="495" t="s">
        <v>43</v>
      </c>
      <c r="G384" s="494" t="s">
        <v>41</v>
      </c>
      <c r="H384" s="495" t="s">
        <v>42</v>
      </c>
      <c r="I384" s="495" t="s">
        <v>376</v>
      </c>
      <c r="J384" s="495" t="s">
        <v>43</v>
      </c>
      <c r="K384" s="494" t="s">
        <v>41</v>
      </c>
      <c r="L384" s="495" t="s">
        <v>42</v>
      </c>
      <c r="M384" s="495" t="s">
        <v>376</v>
      </c>
      <c r="N384" s="495" t="s">
        <v>43</v>
      </c>
      <c r="P384" s="78"/>
    </row>
    <row r="385" spans="1:16" s="291" customFormat="1" x14ac:dyDescent="0.2">
      <c r="A385" s="488">
        <v>1</v>
      </c>
      <c r="B385" s="488" t="s">
        <v>35</v>
      </c>
      <c r="C385" s="490">
        <v>3</v>
      </c>
      <c r="D385" s="496">
        <v>894627.49</v>
      </c>
      <c r="E385" s="497">
        <f>828364.99-13291.04</f>
        <v>815073.95</v>
      </c>
      <c r="F385" s="491">
        <f>+D385-E385</f>
        <v>79553.540000000037</v>
      </c>
      <c r="G385" s="490">
        <v>1</v>
      </c>
      <c r="H385" s="498">
        <f>631950.66-315975.33</f>
        <v>315975.33</v>
      </c>
      <c r="I385" s="499">
        <f>631284.1-315664.12</f>
        <v>315619.98</v>
      </c>
      <c r="J385" s="491">
        <f>+H385-I385</f>
        <v>355.35000000003492</v>
      </c>
      <c r="K385" s="490">
        <f t="shared" ref="K385:L404" si="77">+C385+G385</f>
        <v>4</v>
      </c>
      <c r="L385" s="491">
        <f>+D385+H385</f>
        <v>1210602.82</v>
      </c>
      <c r="M385" s="491">
        <f>E385+I385</f>
        <v>1130693.93</v>
      </c>
      <c r="N385" s="500">
        <f>+L385-M385</f>
        <v>79908.89000000013</v>
      </c>
      <c r="P385" s="78"/>
    </row>
    <row r="386" spans="1:16" s="291" customFormat="1" x14ac:dyDescent="0.2">
      <c r="A386" s="488">
        <v>2</v>
      </c>
      <c r="B386" s="488" t="s">
        <v>229</v>
      </c>
      <c r="C386" s="490">
        <v>13</v>
      </c>
      <c r="D386" s="496">
        <f>5607053.6-2203193.11</f>
        <v>3403860.4899999998</v>
      </c>
      <c r="E386" s="497">
        <f>5064318.23-1986890.25</f>
        <v>3077427.9800000004</v>
      </c>
      <c r="F386" s="491">
        <f>+D386-E386</f>
        <v>326432.50999999931</v>
      </c>
      <c r="G386" s="490">
        <v>3</v>
      </c>
      <c r="H386" s="498">
        <v>615227.57999999996</v>
      </c>
      <c r="I386" s="501">
        <v>609171.29</v>
      </c>
      <c r="J386" s="491">
        <f>+H386-I386</f>
        <v>6056.2899999999208</v>
      </c>
      <c r="K386" s="490">
        <f t="shared" si="77"/>
        <v>16</v>
      </c>
      <c r="L386" s="491">
        <f t="shared" si="77"/>
        <v>4019088.07</v>
      </c>
      <c r="M386" s="491">
        <f t="shared" ref="M386:M401" si="78">E386+I386</f>
        <v>3686599.2700000005</v>
      </c>
      <c r="N386" s="500">
        <f t="shared" ref="N386:N403" si="79">+L386-M386</f>
        <v>332488.79999999935</v>
      </c>
      <c r="P386" s="78"/>
    </row>
    <row r="387" spans="1:16" s="291" customFormat="1" x14ac:dyDescent="0.2">
      <c r="A387" s="488">
        <f t="shared" ref="A387:A404" si="80">+A386+1</f>
        <v>3</v>
      </c>
      <c r="B387" s="488" t="s">
        <v>378</v>
      </c>
      <c r="C387" s="490"/>
      <c r="D387" s="502"/>
      <c r="E387" s="503"/>
      <c r="F387" s="491">
        <f t="shared" ref="F387:F404" si="81">+D387-E387</f>
        <v>0</v>
      </c>
      <c r="G387" s="490"/>
      <c r="H387" s="503"/>
      <c r="I387" s="503"/>
      <c r="J387" s="491">
        <f t="shared" ref="J387:J403" si="82">+H387-I387</f>
        <v>0</v>
      </c>
      <c r="K387" s="490">
        <f t="shared" si="77"/>
        <v>0</v>
      </c>
      <c r="L387" s="491">
        <f t="shared" si="77"/>
        <v>0</v>
      </c>
      <c r="M387" s="491">
        <f t="shared" si="78"/>
        <v>0</v>
      </c>
      <c r="N387" s="500">
        <f t="shared" si="79"/>
        <v>0</v>
      </c>
      <c r="P387" s="78"/>
    </row>
    <row r="388" spans="1:16" s="291" customFormat="1" x14ac:dyDescent="0.2">
      <c r="A388" s="488">
        <f>+A387+1</f>
        <v>4</v>
      </c>
      <c r="B388" s="488" t="s">
        <v>30</v>
      </c>
      <c r="C388" s="490">
        <v>5</v>
      </c>
      <c r="D388" s="502">
        <f>2057413.8-303189.66</f>
        <v>1754224.1400000001</v>
      </c>
      <c r="E388" s="504">
        <f>1875038.12-280063.38</f>
        <v>1594974.7400000002</v>
      </c>
      <c r="F388" s="491">
        <f t="shared" si="81"/>
        <v>159249.39999999991</v>
      </c>
      <c r="G388" s="490">
        <v>1</v>
      </c>
      <c r="H388" s="505">
        <v>326375.90999999997</v>
      </c>
      <c r="I388" s="506">
        <v>326020.56</v>
      </c>
      <c r="J388" s="491">
        <f t="shared" si="82"/>
        <v>355.34999999997672</v>
      </c>
      <c r="K388" s="490">
        <f t="shared" si="77"/>
        <v>6</v>
      </c>
      <c r="L388" s="491">
        <f t="shared" si="77"/>
        <v>2080600.05</v>
      </c>
      <c r="M388" s="491">
        <f t="shared" si="78"/>
        <v>1920995.3000000003</v>
      </c>
      <c r="N388" s="500">
        <f t="shared" si="79"/>
        <v>159604.74999999977</v>
      </c>
      <c r="P388" s="78"/>
    </row>
    <row r="389" spans="1:16" s="291" customFormat="1" x14ac:dyDescent="0.2">
      <c r="A389" s="488">
        <f t="shared" si="80"/>
        <v>5</v>
      </c>
      <c r="B389" s="488" t="s">
        <v>48</v>
      </c>
      <c r="C389" s="490"/>
      <c r="D389" s="491"/>
      <c r="E389" s="503"/>
      <c r="F389" s="491">
        <f t="shared" si="81"/>
        <v>0</v>
      </c>
      <c r="G389" s="490"/>
      <c r="H389" s="503"/>
      <c r="I389" s="503"/>
      <c r="J389" s="491">
        <f t="shared" si="82"/>
        <v>0</v>
      </c>
      <c r="K389" s="490">
        <f t="shared" si="77"/>
        <v>0</v>
      </c>
      <c r="L389" s="491">
        <f t="shared" si="77"/>
        <v>0</v>
      </c>
      <c r="M389" s="491">
        <f t="shared" si="78"/>
        <v>0</v>
      </c>
      <c r="N389" s="500">
        <f t="shared" si="79"/>
        <v>0</v>
      </c>
      <c r="P389" s="78"/>
    </row>
    <row r="390" spans="1:16" s="291" customFormat="1" x14ac:dyDescent="0.2">
      <c r="A390" s="488">
        <f t="shared" si="80"/>
        <v>6</v>
      </c>
      <c r="B390" s="488" t="s">
        <v>231</v>
      </c>
      <c r="C390" s="490"/>
      <c r="D390" s="491"/>
      <c r="E390" s="491"/>
      <c r="F390" s="491">
        <f t="shared" si="81"/>
        <v>0</v>
      </c>
      <c r="G390" s="490"/>
      <c r="H390" s="503"/>
      <c r="I390" s="503"/>
      <c r="J390" s="491">
        <f t="shared" si="82"/>
        <v>0</v>
      </c>
      <c r="K390" s="490">
        <f t="shared" si="77"/>
        <v>0</v>
      </c>
      <c r="L390" s="491">
        <f t="shared" si="77"/>
        <v>0</v>
      </c>
      <c r="M390" s="491">
        <f t="shared" si="78"/>
        <v>0</v>
      </c>
      <c r="N390" s="500">
        <f t="shared" si="79"/>
        <v>0</v>
      </c>
      <c r="P390" s="78"/>
    </row>
    <row r="391" spans="1:16" s="291" customFormat="1" x14ac:dyDescent="0.2">
      <c r="A391" s="488">
        <f t="shared" si="80"/>
        <v>7</v>
      </c>
      <c r="B391" s="488" t="s">
        <v>282</v>
      </c>
      <c r="C391" s="490"/>
      <c r="D391" s="491"/>
      <c r="E391" s="491"/>
      <c r="F391" s="491">
        <f t="shared" si="81"/>
        <v>0</v>
      </c>
      <c r="G391" s="490">
        <v>3</v>
      </c>
      <c r="H391" s="503">
        <v>956223.02</v>
      </c>
      <c r="I391" s="503">
        <v>947121.77</v>
      </c>
      <c r="J391" s="491">
        <f t="shared" si="82"/>
        <v>9101.25</v>
      </c>
      <c r="K391" s="490">
        <f t="shared" si="77"/>
        <v>3</v>
      </c>
      <c r="L391" s="491">
        <f t="shared" si="77"/>
        <v>956223.02</v>
      </c>
      <c r="M391" s="491">
        <f t="shared" si="78"/>
        <v>947121.77</v>
      </c>
      <c r="N391" s="500">
        <f t="shared" si="79"/>
        <v>9101.25</v>
      </c>
      <c r="P391" s="78"/>
    </row>
    <row r="392" spans="1:16" s="291" customFormat="1" x14ac:dyDescent="0.2">
      <c r="A392" s="488">
        <f t="shared" si="80"/>
        <v>8</v>
      </c>
      <c r="B392" s="488" t="s">
        <v>228</v>
      </c>
      <c r="C392" s="490">
        <v>6</v>
      </c>
      <c r="D392" s="502">
        <f>3673215.68-598531.47</f>
        <v>3074684.21</v>
      </c>
      <c r="E392" s="502">
        <f>3238535.36-528605.01</f>
        <v>2709930.3499999996</v>
      </c>
      <c r="F392" s="491">
        <f t="shared" si="81"/>
        <v>364753.86000000034</v>
      </c>
      <c r="G392" s="490"/>
      <c r="H392" s="505"/>
      <c r="I392" s="505"/>
      <c r="J392" s="491">
        <f t="shared" si="82"/>
        <v>0</v>
      </c>
      <c r="K392" s="490">
        <f t="shared" si="77"/>
        <v>6</v>
      </c>
      <c r="L392" s="491">
        <f t="shared" si="77"/>
        <v>3074684.21</v>
      </c>
      <c r="M392" s="491">
        <f t="shared" si="78"/>
        <v>2709930.3499999996</v>
      </c>
      <c r="N392" s="500">
        <f t="shared" si="79"/>
        <v>364753.86000000034</v>
      </c>
      <c r="P392" s="78"/>
    </row>
    <row r="393" spans="1:16" s="291" customFormat="1" x14ac:dyDescent="0.2">
      <c r="A393" s="488">
        <f t="shared" si="80"/>
        <v>9</v>
      </c>
      <c r="B393" s="488" t="s">
        <v>76</v>
      </c>
      <c r="C393" s="490"/>
      <c r="D393" s="491"/>
      <c r="E393" s="491"/>
      <c r="F393" s="491">
        <f t="shared" si="81"/>
        <v>0</v>
      </c>
      <c r="G393" s="490"/>
      <c r="H393" s="503"/>
      <c r="I393" s="503"/>
      <c r="J393" s="491">
        <f t="shared" si="82"/>
        <v>0</v>
      </c>
      <c r="K393" s="490">
        <f t="shared" si="77"/>
        <v>0</v>
      </c>
      <c r="L393" s="491">
        <f t="shared" si="77"/>
        <v>0</v>
      </c>
      <c r="M393" s="491">
        <f t="shared" si="78"/>
        <v>0</v>
      </c>
      <c r="N393" s="500">
        <f t="shared" si="79"/>
        <v>0</v>
      </c>
      <c r="P393" s="78"/>
    </row>
    <row r="394" spans="1:16" s="291" customFormat="1" x14ac:dyDescent="0.2">
      <c r="A394" s="488">
        <f t="shared" si="80"/>
        <v>10</v>
      </c>
      <c r="B394" s="488" t="s">
        <v>379</v>
      </c>
      <c r="C394" s="490">
        <v>8</v>
      </c>
      <c r="D394" s="502">
        <f>3429555.4-613991.52</f>
        <v>2815563.88</v>
      </c>
      <c r="E394" s="507">
        <f>3029335.28-553510.13</f>
        <v>2475825.15</v>
      </c>
      <c r="F394" s="491">
        <f t="shared" si="81"/>
        <v>339738.73</v>
      </c>
      <c r="G394" s="490"/>
      <c r="H394" s="508"/>
      <c r="I394" s="509"/>
      <c r="J394" s="491">
        <f t="shared" si="82"/>
        <v>0</v>
      </c>
      <c r="K394" s="490">
        <f t="shared" si="77"/>
        <v>8</v>
      </c>
      <c r="L394" s="491">
        <f t="shared" si="77"/>
        <v>2815563.88</v>
      </c>
      <c r="M394" s="491">
        <f t="shared" si="78"/>
        <v>2475825.15</v>
      </c>
      <c r="N394" s="500">
        <f t="shared" si="79"/>
        <v>339738.73</v>
      </c>
      <c r="P394" s="78"/>
    </row>
    <row r="395" spans="1:16" s="291" customFormat="1" x14ac:dyDescent="0.2">
      <c r="A395" s="488">
        <f t="shared" si="80"/>
        <v>11</v>
      </c>
      <c r="B395" s="488" t="s">
        <v>44</v>
      </c>
      <c r="C395" s="490">
        <v>21</v>
      </c>
      <c r="D395" s="502">
        <f>5191724.09-1145517.23</f>
        <v>4046206.86</v>
      </c>
      <c r="E395" s="510">
        <f>4735055.94-1042469.4</f>
        <v>3692586.5400000005</v>
      </c>
      <c r="F395" s="491">
        <f t="shared" si="81"/>
        <v>353620.31999999937</v>
      </c>
      <c r="G395" s="490">
        <v>2</v>
      </c>
      <c r="H395" s="511">
        <v>371577.82</v>
      </c>
      <c r="I395" s="512">
        <v>370955.4</v>
      </c>
      <c r="J395" s="491">
        <f t="shared" si="82"/>
        <v>622.4199999999837</v>
      </c>
      <c r="K395" s="490">
        <f t="shared" si="77"/>
        <v>23</v>
      </c>
      <c r="L395" s="491">
        <f t="shared" si="77"/>
        <v>4417784.68</v>
      </c>
      <c r="M395" s="491">
        <f t="shared" si="78"/>
        <v>4063541.9400000004</v>
      </c>
      <c r="N395" s="500">
        <f t="shared" si="79"/>
        <v>354242.73999999929</v>
      </c>
      <c r="P395" s="78"/>
    </row>
    <row r="396" spans="1:16" s="291" customFormat="1" x14ac:dyDescent="0.2">
      <c r="A396" s="488">
        <f t="shared" si="80"/>
        <v>12</v>
      </c>
      <c r="B396" s="488" t="s">
        <v>382</v>
      </c>
      <c r="C396" s="490">
        <v>37</v>
      </c>
      <c r="D396" s="502">
        <f>13170279.08-3374466.33</f>
        <v>9795812.75</v>
      </c>
      <c r="E396" s="513">
        <f>12046891.95-3069577.02</f>
        <v>8977314.9299999997</v>
      </c>
      <c r="F396" s="491">
        <f t="shared" si="81"/>
        <v>818497.8200000003</v>
      </c>
      <c r="G396" s="490">
        <v>4</v>
      </c>
      <c r="H396" s="514">
        <v>981999.79</v>
      </c>
      <c r="I396" s="515">
        <f>980754.95-360</f>
        <v>980394.95</v>
      </c>
      <c r="J396" s="491">
        <f t="shared" si="82"/>
        <v>1604.8400000000838</v>
      </c>
      <c r="K396" s="490">
        <f t="shared" si="77"/>
        <v>41</v>
      </c>
      <c r="L396" s="491">
        <f t="shared" si="77"/>
        <v>10777812.539999999</v>
      </c>
      <c r="M396" s="491">
        <f t="shared" si="78"/>
        <v>9957709.879999999</v>
      </c>
      <c r="N396" s="500">
        <f t="shared" si="79"/>
        <v>820102.66000000015</v>
      </c>
      <c r="P396" s="78"/>
    </row>
    <row r="397" spans="1:16" s="291" customFormat="1" x14ac:dyDescent="0.2">
      <c r="A397" s="488">
        <f t="shared" si="80"/>
        <v>13</v>
      </c>
      <c r="B397" s="488" t="s">
        <v>226</v>
      </c>
      <c r="C397" s="490">
        <v>8</v>
      </c>
      <c r="D397" s="502">
        <f>3466173.86-679129.84</f>
        <v>2787044.02</v>
      </c>
      <c r="E397" s="516">
        <f>3086315.93-602337.43</f>
        <v>2483978.5</v>
      </c>
      <c r="F397" s="491">
        <f t="shared" si="81"/>
        <v>303065.52</v>
      </c>
      <c r="G397" s="490">
        <v>1</v>
      </c>
      <c r="H397" s="517">
        <v>273949.34000000003</v>
      </c>
      <c r="I397" s="518">
        <v>273638.13</v>
      </c>
      <c r="J397" s="491">
        <f t="shared" si="82"/>
        <v>311.21000000002095</v>
      </c>
      <c r="K397" s="490">
        <f t="shared" si="77"/>
        <v>9</v>
      </c>
      <c r="L397" s="491">
        <f t="shared" si="77"/>
        <v>3060993.36</v>
      </c>
      <c r="M397" s="491">
        <f t="shared" si="78"/>
        <v>2757616.63</v>
      </c>
      <c r="N397" s="500">
        <f t="shared" si="79"/>
        <v>303376.73</v>
      </c>
      <c r="P397" s="78"/>
    </row>
    <row r="398" spans="1:16" s="291" customFormat="1" x14ac:dyDescent="0.2">
      <c r="A398" s="488">
        <f t="shared" si="80"/>
        <v>14</v>
      </c>
      <c r="B398" s="488" t="s">
        <v>224</v>
      </c>
      <c r="C398" s="490">
        <v>2</v>
      </c>
      <c r="D398" s="170">
        <f>2283908.05-1362643.68</f>
        <v>921264.36999999988</v>
      </c>
      <c r="E398" s="170">
        <f>2024069.83-1206708.97</f>
        <v>817360.8600000001</v>
      </c>
      <c r="F398" s="491">
        <f t="shared" si="81"/>
        <v>103903.50999999978</v>
      </c>
      <c r="G398" s="490"/>
      <c r="H398" s="505"/>
      <c r="I398" s="505"/>
      <c r="J398" s="491">
        <f t="shared" si="82"/>
        <v>0</v>
      </c>
      <c r="K398" s="490">
        <f t="shared" si="77"/>
        <v>2</v>
      </c>
      <c r="L398" s="491">
        <f t="shared" si="77"/>
        <v>921264.36999999988</v>
      </c>
      <c r="M398" s="491">
        <f t="shared" si="78"/>
        <v>817360.8600000001</v>
      </c>
      <c r="N398" s="500">
        <f t="shared" si="79"/>
        <v>103903.50999999978</v>
      </c>
      <c r="P398" s="78"/>
    </row>
    <row r="399" spans="1:16" s="291" customFormat="1" x14ac:dyDescent="0.2">
      <c r="A399" s="488">
        <f t="shared" si="80"/>
        <v>15</v>
      </c>
      <c r="B399" s="488" t="s">
        <v>97</v>
      </c>
      <c r="C399" s="490">
        <v>11</v>
      </c>
      <c r="D399" s="502">
        <f>4273646.23-2030801.38</f>
        <v>2242844.8500000006</v>
      </c>
      <c r="E399" s="519">
        <f>3832285.72-1770176.5</f>
        <v>2062109.2200000002</v>
      </c>
      <c r="F399" s="491">
        <f t="shared" si="81"/>
        <v>180735.63000000035</v>
      </c>
      <c r="G399" s="490">
        <v>3</v>
      </c>
      <c r="H399" s="520">
        <v>539100.96</v>
      </c>
      <c r="I399" s="521">
        <v>538479.75</v>
      </c>
      <c r="J399" s="491">
        <f t="shared" si="82"/>
        <v>621.20999999996275</v>
      </c>
      <c r="K399" s="490">
        <f t="shared" si="77"/>
        <v>14</v>
      </c>
      <c r="L399" s="491">
        <f t="shared" si="77"/>
        <v>2781945.8100000005</v>
      </c>
      <c r="M399" s="491">
        <f t="shared" si="78"/>
        <v>2600588.9700000002</v>
      </c>
      <c r="N399" s="500">
        <f t="shared" si="79"/>
        <v>181356.84000000032</v>
      </c>
      <c r="P399" s="78"/>
    </row>
    <row r="400" spans="1:16" s="291" customFormat="1" x14ac:dyDescent="0.2">
      <c r="A400" s="488">
        <f t="shared" si="80"/>
        <v>16</v>
      </c>
      <c r="B400" s="488" t="s">
        <v>98</v>
      </c>
      <c r="C400" s="490">
        <v>1</v>
      </c>
      <c r="D400" s="491">
        <v>641954.02</v>
      </c>
      <c r="E400" s="507">
        <v>567799.5</v>
      </c>
      <c r="F400" s="491">
        <f t="shared" si="81"/>
        <v>74154.520000000019</v>
      </c>
      <c r="G400" s="490"/>
      <c r="H400" s="503"/>
      <c r="I400" s="503"/>
      <c r="J400" s="491">
        <f t="shared" si="82"/>
        <v>0</v>
      </c>
      <c r="K400" s="490">
        <f t="shared" si="77"/>
        <v>1</v>
      </c>
      <c r="L400" s="491">
        <f t="shared" si="77"/>
        <v>641954.02</v>
      </c>
      <c r="M400" s="491">
        <f t="shared" si="78"/>
        <v>567799.5</v>
      </c>
      <c r="N400" s="500">
        <f t="shared" si="79"/>
        <v>74154.520000000019</v>
      </c>
      <c r="P400" s="78"/>
    </row>
    <row r="401" spans="1:16" s="291" customFormat="1" x14ac:dyDescent="0.2">
      <c r="A401" s="488">
        <f t="shared" si="80"/>
        <v>17</v>
      </c>
      <c r="B401" s="488" t="s">
        <v>301</v>
      </c>
      <c r="C401" s="490">
        <v>3</v>
      </c>
      <c r="D401" s="502">
        <v>1592998.23</v>
      </c>
      <c r="E401" s="522">
        <f>1412491.4-10775.86</f>
        <v>1401715.5399999998</v>
      </c>
      <c r="F401" s="491">
        <f t="shared" si="81"/>
        <v>191282.69000000018</v>
      </c>
      <c r="G401" s="490">
        <v>3</v>
      </c>
      <c r="H401" s="523">
        <f>1872257.18-491883.78</f>
        <v>1380373.4</v>
      </c>
      <c r="I401" s="524">
        <f>1871013.2-491572.57</f>
        <v>1379440.63</v>
      </c>
      <c r="J401" s="491">
        <f t="shared" si="82"/>
        <v>932.77000000001863</v>
      </c>
      <c r="K401" s="490">
        <f t="shared" si="77"/>
        <v>6</v>
      </c>
      <c r="L401" s="491">
        <f t="shared" si="77"/>
        <v>2973371.63</v>
      </c>
      <c r="M401" s="491">
        <f t="shared" si="78"/>
        <v>2781156.17</v>
      </c>
      <c r="N401" s="500">
        <f t="shared" si="79"/>
        <v>192215.45999999996</v>
      </c>
      <c r="P401" s="78"/>
    </row>
    <row r="402" spans="1:16" s="291" customFormat="1" x14ac:dyDescent="0.2">
      <c r="A402" s="488">
        <f t="shared" si="80"/>
        <v>18</v>
      </c>
      <c r="B402" s="488" t="s">
        <v>136</v>
      </c>
      <c r="C402" s="490"/>
      <c r="D402" s="491"/>
      <c r="E402" s="503"/>
      <c r="F402" s="491">
        <f t="shared" si="81"/>
        <v>0</v>
      </c>
      <c r="G402" s="490"/>
      <c r="H402" s="503"/>
      <c r="I402" s="503"/>
      <c r="J402" s="491">
        <f t="shared" si="82"/>
        <v>0</v>
      </c>
      <c r="K402" s="490">
        <f t="shared" si="77"/>
        <v>0</v>
      </c>
      <c r="L402" s="491">
        <f t="shared" si="77"/>
        <v>0</v>
      </c>
      <c r="M402" s="491">
        <f>+E402+I402</f>
        <v>0</v>
      </c>
      <c r="N402" s="500">
        <f t="shared" si="79"/>
        <v>0</v>
      </c>
      <c r="P402" s="78"/>
    </row>
    <row r="403" spans="1:16" s="291" customFormat="1" x14ac:dyDescent="0.2">
      <c r="A403" s="488">
        <f t="shared" si="80"/>
        <v>19</v>
      </c>
      <c r="B403" s="488" t="s">
        <v>227</v>
      </c>
      <c r="C403" s="490">
        <v>1</v>
      </c>
      <c r="D403" s="502">
        <f>1459206.26-729603.13</f>
        <v>729603.13</v>
      </c>
      <c r="E403" s="525">
        <f>1260995.1-630494.02</f>
        <v>630501.08000000007</v>
      </c>
      <c r="F403" s="491">
        <f t="shared" si="81"/>
        <v>99102.04999999993</v>
      </c>
      <c r="G403" s="490"/>
      <c r="H403" s="491"/>
      <c r="I403" s="503"/>
      <c r="J403" s="491">
        <f t="shared" si="82"/>
        <v>0</v>
      </c>
      <c r="K403" s="490">
        <f t="shared" si="77"/>
        <v>1</v>
      </c>
      <c r="L403" s="491">
        <f t="shared" si="77"/>
        <v>729603.13</v>
      </c>
      <c r="M403" s="491">
        <f>+E403+I403</f>
        <v>630501.08000000007</v>
      </c>
      <c r="N403" s="500">
        <f t="shared" si="79"/>
        <v>99102.04999999993</v>
      </c>
      <c r="P403" s="78"/>
    </row>
    <row r="404" spans="1:16" s="291" customFormat="1" x14ac:dyDescent="0.2">
      <c r="A404" s="488">
        <f t="shared" si="80"/>
        <v>20</v>
      </c>
      <c r="B404" s="488" t="s">
        <v>63</v>
      </c>
      <c r="C404" s="490"/>
      <c r="D404" s="503"/>
      <c r="E404" s="503"/>
      <c r="F404" s="491">
        <f t="shared" si="81"/>
        <v>0</v>
      </c>
      <c r="G404" s="490"/>
      <c r="H404" s="503"/>
      <c r="I404" s="503"/>
      <c r="J404" s="491"/>
      <c r="K404" s="490">
        <f t="shared" si="77"/>
        <v>0</v>
      </c>
      <c r="L404" s="491"/>
      <c r="M404" s="491">
        <f>+E404+I404</f>
        <v>0</v>
      </c>
      <c r="N404" s="500"/>
      <c r="P404" s="78"/>
    </row>
    <row r="405" spans="1:16" s="291" customFormat="1" x14ac:dyDescent="0.2">
      <c r="A405" s="489"/>
      <c r="B405" s="489" t="s">
        <v>45</v>
      </c>
      <c r="C405" s="494"/>
      <c r="D405" s="526">
        <f>+SUM(D385:D404)</f>
        <v>34700688.439999998</v>
      </c>
      <c r="E405" s="526">
        <f>+SUM(E385:E404)</f>
        <v>31306598.339999996</v>
      </c>
      <c r="F405" s="527">
        <f>SUM(F385:F404)</f>
        <v>3394090.0999999996</v>
      </c>
      <c r="G405" s="494"/>
      <c r="H405" s="526">
        <f>+SUM(H385:H404)</f>
        <v>5760803.1500000004</v>
      </c>
      <c r="I405" s="526">
        <f>+SUM(I385:I404)</f>
        <v>5740842.46</v>
      </c>
      <c r="J405" s="527">
        <f>SUM(J385:J404)</f>
        <v>19960.690000000002</v>
      </c>
      <c r="K405" s="494">
        <f>SUM(K385:K404)</f>
        <v>140</v>
      </c>
      <c r="L405" s="526">
        <f>SUM(L385:L404)</f>
        <v>40461491.590000004</v>
      </c>
      <c r="M405" s="526">
        <f>SUM(M385:M404)</f>
        <v>37047440.799999997</v>
      </c>
      <c r="N405" s="527">
        <f>SUM(N385:N404)</f>
        <v>3414050.7899999986</v>
      </c>
      <c r="P405" s="78"/>
    </row>
    <row r="406" spans="1:16" s="291" customFormat="1" x14ac:dyDescent="0.2">
      <c r="A406" s="488"/>
      <c r="B406" s="488" t="s">
        <v>61</v>
      </c>
      <c r="C406" s="528"/>
      <c r="D406" s="529">
        <v>34700688.439999998</v>
      </c>
      <c r="E406" s="529">
        <v>31306598.34</v>
      </c>
      <c r="F406" s="527"/>
      <c r="G406" s="490"/>
      <c r="H406" s="529">
        <v>5760803.1500000004</v>
      </c>
      <c r="I406" s="529">
        <v>5740842.46</v>
      </c>
      <c r="J406" s="491"/>
      <c r="K406" s="488"/>
      <c r="L406" s="488"/>
      <c r="M406" s="488"/>
      <c r="N406" s="488"/>
      <c r="P406" s="78"/>
    </row>
    <row r="407" spans="1:16" s="291" customFormat="1" x14ac:dyDescent="0.2">
      <c r="A407" s="489"/>
      <c r="B407" s="489" t="s">
        <v>230</v>
      </c>
      <c r="C407" s="494"/>
      <c r="D407" s="527">
        <f>+D406-D405</f>
        <v>0</v>
      </c>
      <c r="E407" s="527">
        <f>+E405-E406</f>
        <v>0</v>
      </c>
      <c r="F407" s="527"/>
      <c r="G407" s="494"/>
      <c r="H407" s="527">
        <f>+H405-H406</f>
        <v>0</v>
      </c>
      <c r="I407" s="527">
        <f>+I405-I406</f>
        <v>0</v>
      </c>
      <c r="J407" s="489"/>
      <c r="K407" s="489"/>
      <c r="L407" s="527"/>
      <c r="M407" s="527"/>
      <c r="N407" s="489"/>
      <c r="P407" s="78"/>
    </row>
    <row r="408" spans="1:16" s="291" customFormat="1" x14ac:dyDescent="0.2">
      <c r="A408" s="489"/>
      <c r="B408" s="489"/>
      <c r="C408" s="494"/>
      <c r="D408" s="527"/>
      <c r="E408" s="527"/>
      <c r="F408" s="527"/>
      <c r="G408" s="494"/>
      <c r="H408" s="489"/>
      <c r="I408" s="489"/>
      <c r="J408" s="489"/>
      <c r="K408" s="489"/>
      <c r="L408" s="530"/>
      <c r="M408" s="530"/>
      <c r="N408" s="489"/>
      <c r="P408" s="78"/>
    </row>
    <row r="409" spans="1:16" s="291" customFormat="1" x14ac:dyDescent="0.2">
      <c r="A409" s="489"/>
      <c r="B409" s="488" t="s">
        <v>403</v>
      </c>
      <c r="C409" s="490"/>
      <c r="D409" s="491"/>
      <c r="E409" s="503"/>
      <c r="F409" s="491">
        <f>+D409-E409</f>
        <v>0</v>
      </c>
      <c r="G409" s="531"/>
      <c r="H409" s="489"/>
      <c r="I409" s="489"/>
      <c r="J409" s="489"/>
      <c r="K409" s="489"/>
      <c r="L409" s="489"/>
      <c r="M409" s="489"/>
      <c r="N409" s="489"/>
      <c r="P409" s="78"/>
    </row>
    <row r="410" spans="1:16" s="291" customFormat="1" x14ac:dyDescent="0.2">
      <c r="A410" s="489"/>
      <c r="B410" s="488" t="s">
        <v>168</v>
      </c>
      <c r="C410" s="490">
        <v>6</v>
      </c>
      <c r="D410" s="491">
        <v>1271275.8700000001</v>
      </c>
      <c r="E410" s="532">
        <f>1185138.49-208.8</f>
        <v>1184929.69</v>
      </c>
      <c r="F410" s="491">
        <f>+D410-E410</f>
        <v>86346.180000000168</v>
      </c>
      <c r="G410" s="531"/>
      <c r="H410" s="489"/>
      <c r="I410" s="489"/>
      <c r="J410" s="489"/>
      <c r="K410" s="489"/>
      <c r="L410" s="489"/>
      <c r="M410" s="489"/>
      <c r="N410" s="489"/>
      <c r="P410" s="78"/>
    </row>
    <row r="411" spans="1:16" s="291" customFormat="1" x14ac:dyDescent="0.2">
      <c r="A411" s="488"/>
      <c r="B411" s="488" t="s">
        <v>169</v>
      </c>
      <c r="C411" s="490">
        <v>18</v>
      </c>
      <c r="D411" s="502">
        <f>3636675.87-617137.94</f>
        <v>3019537.93</v>
      </c>
      <c r="E411" s="533">
        <f>3096673.65-517137.93</f>
        <v>2579535.7199999997</v>
      </c>
      <c r="F411" s="491">
        <f>+D411-E411</f>
        <v>440002.21000000043</v>
      </c>
      <c r="G411" s="534"/>
      <c r="H411" s="491"/>
      <c r="I411" s="491"/>
      <c r="J411" s="491"/>
      <c r="K411" s="488"/>
      <c r="L411" s="488"/>
      <c r="M411" s="488"/>
      <c r="N411" s="488"/>
      <c r="P411" s="78"/>
    </row>
    <row r="412" spans="1:16" s="291" customFormat="1" x14ac:dyDescent="0.2">
      <c r="A412" s="489"/>
      <c r="B412" s="489" t="s">
        <v>170</v>
      </c>
      <c r="C412" s="494"/>
      <c r="D412" s="526">
        <f>SUM(D409:D411)</f>
        <v>4290813.8000000007</v>
      </c>
      <c r="E412" s="526">
        <f>SUM(E409:E411)</f>
        <v>3764465.4099999997</v>
      </c>
      <c r="F412" s="527">
        <f>SUM(F409:F411)</f>
        <v>526348.3900000006</v>
      </c>
      <c r="G412" s="531">
        <f>+F412/F414</f>
        <v>0.13425753046312955</v>
      </c>
      <c r="H412" s="489"/>
      <c r="I412" s="489"/>
      <c r="J412" s="489"/>
      <c r="K412" s="489"/>
      <c r="L412" s="489"/>
      <c r="M412" s="489"/>
      <c r="N412" s="489"/>
      <c r="P412" s="78"/>
    </row>
    <row r="413" spans="1:16" s="291" customFormat="1" x14ac:dyDescent="0.2">
      <c r="A413" s="488"/>
      <c r="B413" s="488"/>
      <c r="C413" s="490"/>
      <c r="D413" s="529"/>
      <c r="E413" s="529"/>
      <c r="F413" s="491">
        <f>+D413-E413</f>
        <v>0</v>
      </c>
      <c r="G413" s="490"/>
      <c r="H413" s="489" t="s">
        <v>9</v>
      </c>
      <c r="I413" s="488"/>
      <c r="J413" s="488"/>
      <c r="K413" s="488"/>
      <c r="L413" s="488"/>
      <c r="M413" s="488"/>
      <c r="N413" s="488"/>
      <c r="P413" s="78"/>
    </row>
    <row r="414" spans="1:16" s="291" customFormat="1" x14ac:dyDescent="0.2">
      <c r="A414" s="489"/>
      <c r="B414" s="489" t="s">
        <v>130</v>
      </c>
      <c r="C414" s="494"/>
      <c r="D414" s="527">
        <f>+D405+D412</f>
        <v>38991502.239999995</v>
      </c>
      <c r="E414" s="527">
        <f>+E405+E412</f>
        <v>35071063.749999993</v>
      </c>
      <c r="F414" s="527">
        <f>+F412+F405</f>
        <v>3920438.49</v>
      </c>
      <c r="G414" s="494"/>
      <c r="H414" s="489"/>
      <c r="I414" s="489"/>
      <c r="J414" s="489"/>
      <c r="K414" s="489"/>
      <c r="L414" s="489"/>
      <c r="M414" s="489"/>
      <c r="N414" s="489"/>
      <c r="P414" s="78"/>
    </row>
  </sheetData>
  <mergeCells count="22">
    <mergeCell ref="G5:J5"/>
    <mergeCell ref="K5:N5"/>
    <mergeCell ref="G156:J156"/>
    <mergeCell ref="K156:N156"/>
    <mergeCell ref="G383:J383"/>
    <mergeCell ref="K383:N383"/>
    <mergeCell ref="G345:J345"/>
    <mergeCell ref="K345:N345"/>
    <mergeCell ref="G307:J307"/>
    <mergeCell ref="K307:N307"/>
    <mergeCell ref="G195:J195"/>
    <mergeCell ref="K195:N195"/>
    <mergeCell ref="G232:J232"/>
    <mergeCell ref="K232:N232"/>
    <mergeCell ref="G270:J270"/>
    <mergeCell ref="K270:N270"/>
    <mergeCell ref="G44:J44"/>
    <mergeCell ref="K44:N44"/>
    <mergeCell ref="G81:J81"/>
    <mergeCell ref="K81:N81"/>
    <mergeCell ref="G118:J118"/>
    <mergeCell ref="K118:N118"/>
  </mergeCells>
  <phoneticPr fontId="0" type="noConversion"/>
  <printOptions gridLines="1"/>
  <pageMargins left="0.43307086614173229" right="0.43307086614173229" top="0.6692913385826772" bottom="0.98425196850393704" header="0" footer="0"/>
  <pageSetup scale="10" orientation="landscape" r:id="rId1"/>
  <headerFooter alignWithMargins="0"/>
  <ignoredErrors>
    <ignoredError sqref="F32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55"/>
  <sheetViews>
    <sheetView defaultGridColor="0" colorId="62" workbookViewId="0">
      <pane xSplit="1" ySplit="5" topLeftCell="T120" activePane="bottomRight" state="frozen"/>
      <selection activeCell="H309" sqref="H309"/>
      <selection pane="topRight" activeCell="H309" sqref="H309"/>
      <selection pane="bottomLeft" activeCell="H309" sqref="H309"/>
      <selection pane="bottomRight" activeCell="AC132" sqref="AC132:AF132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1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1" style="177" customWidth="1" outlineLevel="1"/>
    <col min="28" max="28" width="9" style="50" bestFit="1" customWidth="1"/>
    <col min="29" max="29" width="7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" style="19" bestFit="1" customWidth="1"/>
    <col min="33" max="33" width="11.425781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ht="12.75" customHeight="1" x14ac:dyDescent="0.2">
      <c r="A1" s="1" t="s">
        <v>49</v>
      </c>
      <c r="B1" s="336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281"/>
      <c r="U1" s="1"/>
      <c r="V1" s="1"/>
      <c r="Z1" s="259"/>
      <c r="AA1" s="177"/>
      <c r="AB1" s="309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299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282"/>
      <c r="T2" s="32"/>
      <c r="U2" s="1"/>
      <c r="V2" s="1"/>
      <c r="Z2" s="259"/>
      <c r="AA2" s="177"/>
      <c r="AB2" s="309"/>
      <c r="AC2" s="5"/>
      <c r="AD2" s="63"/>
      <c r="AE2" s="5"/>
      <c r="AF2" s="5"/>
      <c r="AG2" s="52"/>
      <c r="AH2" s="119"/>
      <c r="AI2" s="123"/>
    </row>
    <row r="3" spans="1:45" s="6" customFormat="1" ht="13.5" customHeight="1" thickBot="1" x14ac:dyDescent="0.25">
      <c r="A3" s="1"/>
      <c r="B3" s="299"/>
      <c r="C3" s="127" t="s">
        <v>412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282"/>
      <c r="T3" s="32"/>
      <c r="U3" s="67" t="s">
        <v>133</v>
      </c>
      <c r="V3" s="67"/>
      <c r="Z3" s="259"/>
      <c r="AA3" s="177"/>
      <c r="AB3" s="309"/>
      <c r="AC3" s="5"/>
      <c r="AD3" s="324"/>
      <c r="AE3" s="5"/>
      <c r="AF3" s="5"/>
      <c r="AG3" s="52"/>
      <c r="AH3" s="119"/>
      <c r="AI3" s="123"/>
    </row>
    <row r="4" spans="1:45" ht="13.5" thickBot="1" x14ac:dyDescent="0.25">
      <c r="B4" s="300"/>
      <c r="C4" s="312"/>
      <c r="D4" s="273"/>
      <c r="E4" s="274"/>
      <c r="F4" s="15"/>
      <c r="G4" s="16"/>
      <c r="H4" s="252"/>
      <c r="I4" s="292"/>
      <c r="J4" s="95"/>
      <c r="K4" s="278" t="s">
        <v>25</v>
      </c>
      <c r="L4" s="17"/>
      <c r="M4" s="325" t="s">
        <v>201</v>
      </c>
      <c r="N4" s="107" t="s">
        <v>34</v>
      </c>
      <c r="O4" s="134" t="s">
        <v>32</v>
      </c>
      <c r="P4" s="71"/>
      <c r="Q4" s="71"/>
      <c r="R4" s="411" t="s">
        <v>96</v>
      </c>
      <c r="S4" s="283"/>
      <c r="T4" s="21"/>
      <c r="U4" s="67" t="s">
        <v>413</v>
      </c>
      <c r="V4" s="67"/>
      <c r="W4" s="67"/>
      <c r="Y4" s="21"/>
      <c r="Z4" s="260"/>
      <c r="AB4" s="177"/>
      <c r="AC4" s="820" t="s">
        <v>153</v>
      </c>
      <c r="AD4" s="821"/>
      <c r="AE4" s="821"/>
      <c r="AF4" s="822"/>
      <c r="AG4" s="19"/>
      <c r="AI4" s="123"/>
    </row>
    <row r="5" spans="1:45" s="22" customFormat="1" ht="34.5" thickBot="1" x14ac:dyDescent="0.25">
      <c r="A5" s="22">
        <v>0</v>
      </c>
      <c r="B5" s="301" t="s">
        <v>51</v>
      </c>
      <c r="C5" s="24" t="s">
        <v>52</v>
      </c>
      <c r="D5" s="452" t="s">
        <v>53</v>
      </c>
      <c r="E5" s="453"/>
      <c r="F5" s="25" t="s">
        <v>47</v>
      </c>
      <c r="G5" s="26" t="s">
        <v>155</v>
      </c>
      <c r="H5" s="26" t="s">
        <v>189</v>
      </c>
      <c r="I5" s="293" t="s">
        <v>54</v>
      </c>
      <c r="J5" s="25" t="s">
        <v>364</v>
      </c>
      <c r="K5" s="25" t="s">
        <v>55</v>
      </c>
      <c r="L5" s="25" t="s">
        <v>56</v>
      </c>
      <c r="M5" s="27" t="s">
        <v>302</v>
      </c>
      <c r="N5" s="96" t="s">
        <v>303</v>
      </c>
      <c r="O5" s="27" t="s">
        <v>304</v>
      </c>
      <c r="P5" s="28" t="s">
        <v>305</v>
      </c>
      <c r="Q5" s="28" t="s">
        <v>0</v>
      </c>
      <c r="R5" s="277" t="s">
        <v>376</v>
      </c>
      <c r="S5" s="284" t="s">
        <v>377</v>
      </c>
      <c r="T5" s="22" t="s">
        <v>359</v>
      </c>
      <c r="U5" s="110" t="s">
        <v>156</v>
      </c>
      <c r="V5" s="110" t="s">
        <v>347</v>
      </c>
      <c r="W5" s="110" t="s">
        <v>332</v>
      </c>
      <c r="X5" s="446" t="s">
        <v>154</v>
      </c>
      <c r="Y5" s="446" t="s">
        <v>36</v>
      </c>
      <c r="Z5" s="447" t="s">
        <v>236</v>
      </c>
      <c r="AA5" s="178"/>
      <c r="AB5" s="310"/>
      <c r="AC5" s="110" t="s">
        <v>237</v>
      </c>
      <c r="AD5" s="446" t="s">
        <v>330</v>
      </c>
      <c r="AE5" s="110" t="s">
        <v>331</v>
      </c>
      <c r="AF5" s="110" t="s">
        <v>303</v>
      </c>
      <c r="AG5" s="110"/>
      <c r="AH5" s="121"/>
      <c r="AI5" s="121"/>
    </row>
    <row r="6" spans="1:45" s="291" customFormat="1" ht="12.75" customHeight="1" x14ac:dyDescent="0.2">
      <c r="A6" s="423">
        <v>1</v>
      </c>
      <c r="B6" s="456" t="s">
        <v>414</v>
      </c>
      <c r="C6" s="457">
        <v>520111</v>
      </c>
      <c r="D6" s="458">
        <v>2592</v>
      </c>
      <c r="E6" s="454" t="s">
        <v>684</v>
      </c>
      <c r="F6" s="390">
        <v>2017</v>
      </c>
      <c r="G6" s="455">
        <v>42738</v>
      </c>
      <c r="H6" s="459" t="s">
        <v>722</v>
      </c>
      <c r="I6" s="460" t="s">
        <v>723</v>
      </c>
      <c r="J6" s="461" t="s">
        <v>724</v>
      </c>
      <c r="K6" s="462" t="s">
        <v>725</v>
      </c>
      <c r="L6" s="463" t="s">
        <v>726</v>
      </c>
      <c r="M6" s="464">
        <v>286869.48</v>
      </c>
      <c r="N6" s="464">
        <v>3475.35</v>
      </c>
      <c r="O6" s="464">
        <v>46455.17</v>
      </c>
      <c r="P6" s="465">
        <v>336800</v>
      </c>
      <c r="Q6" s="392"/>
      <c r="R6" s="466">
        <v>252978.16</v>
      </c>
      <c r="S6" s="393">
        <f t="shared" ref="S6:S69" si="0">+P6-R6</f>
        <v>83821.84</v>
      </c>
      <c r="T6" s="267" t="s">
        <v>131</v>
      </c>
      <c r="U6" s="267" t="str">
        <f>+B6</f>
        <v>AA10186</v>
      </c>
      <c r="V6" s="423" t="str">
        <f>+I6</f>
        <v>0593-TCN17</v>
      </c>
      <c r="W6" s="362">
        <f>+C6</f>
        <v>520111</v>
      </c>
      <c r="X6" s="362" t="str">
        <f>+E6</f>
        <v>CAMRY LE SEDAN 2.5</v>
      </c>
      <c r="Y6" s="93">
        <f>+F6</f>
        <v>2017</v>
      </c>
      <c r="Z6" s="260">
        <f>+M6</f>
        <v>286869.48</v>
      </c>
      <c r="AA6" s="467">
        <f>SUM(Z6)</f>
        <v>286869.48</v>
      </c>
      <c r="AB6" s="467">
        <v>1</v>
      </c>
      <c r="AC6" s="424">
        <f t="shared" ref="AC6" si="1">VLOOKUP(Z6,TARIFA,1)</f>
        <v>246423.66</v>
      </c>
      <c r="AD6" s="425">
        <f t="shared" ref="AD6" si="2">VLOOKUP(Z6,TARIFA,4)</f>
        <v>0.05</v>
      </c>
      <c r="AE6" s="424">
        <f t="shared" ref="AE6" si="3">VLOOKUP(Z6,TARIFA,3)</f>
        <v>4928.3900000000003</v>
      </c>
      <c r="AF6" s="424">
        <f t="shared" ref="AF6" si="4">IF(Z6&lt;281240.78,(((Z6-AC6)*AD6+AE6)/2),(Z6-AC6)*AD6+AE6)</f>
        <v>6950.6809999999996</v>
      </c>
      <c r="AG6" s="448">
        <f>+N6-AF6</f>
        <v>-3475.3309999999997</v>
      </c>
      <c r="AH6" s="361"/>
      <c r="AI6" s="313"/>
      <c r="AK6" s="296"/>
      <c r="AL6" s="296"/>
      <c r="AM6" s="296"/>
    </row>
    <row r="7" spans="1:45" s="291" customFormat="1" ht="12.75" customHeight="1" x14ac:dyDescent="0.2">
      <c r="A7" s="423">
        <f>+A6+1</f>
        <v>2</v>
      </c>
      <c r="B7" s="456" t="s">
        <v>415</v>
      </c>
      <c r="C7" s="457">
        <v>520112</v>
      </c>
      <c r="D7" s="458">
        <v>2593</v>
      </c>
      <c r="E7" s="454" t="s">
        <v>685</v>
      </c>
      <c r="F7" s="391">
        <v>2017</v>
      </c>
      <c r="G7" s="455">
        <v>42756</v>
      </c>
      <c r="H7" s="459" t="s">
        <v>727</v>
      </c>
      <c r="I7" s="460" t="s">
        <v>728</v>
      </c>
      <c r="J7" s="461" t="s">
        <v>729</v>
      </c>
      <c r="K7" s="462" t="s">
        <v>730</v>
      </c>
      <c r="L7" s="463" t="s">
        <v>731</v>
      </c>
      <c r="M7" s="464">
        <v>302215.19</v>
      </c>
      <c r="N7" s="464">
        <v>8043.43</v>
      </c>
      <c r="O7" s="464">
        <v>49641.38</v>
      </c>
      <c r="P7" s="465">
        <v>359900</v>
      </c>
      <c r="Q7" s="392"/>
      <c r="R7" s="466">
        <v>277909.40000000002</v>
      </c>
      <c r="S7" s="394">
        <f t="shared" si="0"/>
        <v>81990.599999999977</v>
      </c>
      <c r="T7" s="444" t="s">
        <v>131</v>
      </c>
      <c r="U7" s="267" t="str">
        <f t="shared" ref="U7:U70" si="5">+B7</f>
        <v>AA10292</v>
      </c>
      <c r="V7" s="423" t="str">
        <f t="shared" ref="V7:V70" si="6">+I7</f>
        <v>0023-TCN17</v>
      </c>
      <c r="W7" s="362">
        <f t="shared" ref="W7:W70" si="7">+C7</f>
        <v>520112</v>
      </c>
      <c r="X7" s="362" t="str">
        <f t="shared" ref="X7:X70" si="8">+E7</f>
        <v>CAMRY XLE 4 -DOOR</v>
      </c>
      <c r="Y7" s="93">
        <f t="shared" ref="Y7:Y70" si="9">+F7</f>
        <v>2017</v>
      </c>
      <c r="Z7" s="260">
        <f t="shared" ref="Z7:Z70" si="10">+M7</f>
        <v>302215.19</v>
      </c>
      <c r="AA7" s="424"/>
      <c r="AB7" s="424"/>
      <c r="AC7" s="424">
        <f t="shared" ref="AC7:AC14" si="11">VLOOKUP(Z7,TARIFA,1)</f>
        <v>295708.34000000003</v>
      </c>
      <c r="AD7" s="425">
        <f t="shared" ref="AD7:AD31" si="12">VLOOKUP(Z7,TARIFA,4)</f>
        <v>0.1</v>
      </c>
      <c r="AE7" s="424">
        <f t="shared" ref="AE7:AE31" si="13">VLOOKUP(Z7,TARIFA,3)</f>
        <v>7392.74</v>
      </c>
      <c r="AF7" s="424">
        <f t="shared" ref="AF7" si="14">IF(Z7&lt;281240.78,(((Z7-AC7)*AD7+AE7)/2),(Z7-AC7)*AD7+AE7)</f>
        <v>8043.4249999999975</v>
      </c>
      <c r="AG7" s="396">
        <f t="shared" ref="AG7:AG70" si="15">+N7-AF7</f>
        <v>5.0000000028376235E-3</v>
      </c>
      <c r="AH7" s="361"/>
      <c r="AI7" s="313"/>
    </row>
    <row r="8" spans="1:45" s="291" customFormat="1" ht="12.75" customHeight="1" x14ac:dyDescent="0.2">
      <c r="A8" s="423">
        <f t="shared" ref="A8:A69" si="16">+A7+1</f>
        <v>3</v>
      </c>
      <c r="B8" s="456" t="s">
        <v>416</v>
      </c>
      <c r="C8" s="457">
        <v>520112</v>
      </c>
      <c r="D8" s="458">
        <v>2593</v>
      </c>
      <c r="E8" s="454" t="s">
        <v>685</v>
      </c>
      <c r="F8" s="391">
        <v>2017</v>
      </c>
      <c r="G8" s="455">
        <v>42738</v>
      </c>
      <c r="H8" s="459" t="s">
        <v>722</v>
      </c>
      <c r="I8" s="460" t="s">
        <v>732</v>
      </c>
      <c r="J8" s="461" t="s">
        <v>724</v>
      </c>
      <c r="K8" s="462" t="s">
        <v>733</v>
      </c>
      <c r="L8" s="463" t="s">
        <v>734</v>
      </c>
      <c r="M8" s="464">
        <v>309660.34000000003</v>
      </c>
      <c r="N8" s="464">
        <v>8787.94</v>
      </c>
      <c r="O8" s="464">
        <v>50951.72</v>
      </c>
      <c r="P8" s="465">
        <v>369400</v>
      </c>
      <c r="Q8" s="392"/>
      <c r="R8" s="466">
        <v>278323.43</v>
      </c>
      <c r="S8" s="394">
        <f t="shared" si="0"/>
        <v>91076.57</v>
      </c>
      <c r="T8" s="113" t="s">
        <v>131</v>
      </c>
      <c r="U8" s="267" t="str">
        <f t="shared" si="5"/>
        <v>AA10179</v>
      </c>
      <c r="V8" s="423" t="str">
        <f t="shared" si="6"/>
        <v>0447-TCN17</v>
      </c>
      <c r="W8" s="362">
        <f t="shared" si="7"/>
        <v>520112</v>
      </c>
      <c r="X8" s="362" t="str">
        <f t="shared" si="8"/>
        <v>CAMRY XLE 4 -DOOR</v>
      </c>
      <c r="Y8" s="93">
        <f t="shared" si="9"/>
        <v>2017</v>
      </c>
      <c r="Z8" s="260">
        <f t="shared" si="10"/>
        <v>309660.34000000003</v>
      </c>
      <c r="AA8" s="467">
        <f>+Z8++Z7</f>
        <v>611875.53</v>
      </c>
      <c r="AB8" s="467">
        <v>3</v>
      </c>
      <c r="AC8" s="424">
        <f t="shared" si="11"/>
        <v>295708.34000000003</v>
      </c>
      <c r="AD8" s="425">
        <f t="shared" ref="AD8:AD9" si="17">VLOOKUP(Z8,TARIFA,4)</f>
        <v>0.1</v>
      </c>
      <c r="AE8" s="424">
        <f t="shared" ref="AE8:AE9" si="18">VLOOKUP(Z8,TARIFA,3)</f>
        <v>7392.74</v>
      </c>
      <c r="AF8" s="424">
        <f t="shared" ref="AF8:AF9" si="19">IF(Z8&lt;281240.78,(((Z8-AC8)*AD8+AE8)/2),(Z8-AC8)*AD8+AE8)</f>
        <v>8787.94</v>
      </c>
      <c r="AG8" s="396">
        <f t="shared" si="15"/>
        <v>0</v>
      </c>
      <c r="AH8" s="361"/>
      <c r="AI8" s="313"/>
      <c r="AL8" s="296"/>
      <c r="AM8" s="296"/>
    </row>
    <row r="9" spans="1:45" s="291" customFormat="1" ht="12.75" customHeight="1" x14ac:dyDescent="0.2">
      <c r="A9" s="423">
        <f t="shared" si="16"/>
        <v>4</v>
      </c>
      <c r="B9" s="456" t="s">
        <v>420</v>
      </c>
      <c r="C9" s="457">
        <v>520220</v>
      </c>
      <c r="D9" s="458">
        <v>1794</v>
      </c>
      <c r="E9" s="454" t="s">
        <v>687</v>
      </c>
      <c r="F9" s="391">
        <v>2017</v>
      </c>
      <c r="G9" s="455">
        <v>42746</v>
      </c>
      <c r="H9" s="459" t="s">
        <v>747</v>
      </c>
      <c r="I9" s="460" t="s">
        <v>748</v>
      </c>
      <c r="J9" s="461" t="s">
        <v>729</v>
      </c>
      <c r="K9" s="462" t="s">
        <v>749</v>
      </c>
      <c r="L9" s="463" t="s">
        <v>750</v>
      </c>
      <c r="M9" s="464">
        <v>262226.93</v>
      </c>
      <c r="N9" s="464">
        <v>2859.28</v>
      </c>
      <c r="O9" s="464">
        <v>42413.79</v>
      </c>
      <c r="P9" s="465">
        <v>307500</v>
      </c>
      <c r="Q9" s="392"/>
      <c r="R9" s="466">
        <v>224798.3</v>
      </c>
      <c r="S9" s="394">
        <f t="shared" si="0"/>
        <v>82701.700000000012</v>
      </c>
      <c r="T9" s="113" t="s">
        <v>131</v>
      </c>
      <c r="U9" s="267" t="str">
        <f t="shared" si="5"/>
        <v>AA10232</v>
      </c>
      <c r="V9" s="423" t="str">
        <f t="shared" si="6"/>
        <v>0211-TCN17</v>
      </c>
      <c r="W9" s="362">
        <f t="shared" si="7"/>
        <v>520220</v>
      </c>
      <c r="X9" s="362" t="str">
        <f t="shared" si="8"/>
        <v>COROLLA LE AT</v>
      </c>
      <c r="Y9" s="93">
        <f t="shared" si="9"/>
        <v>2017</v>
      </c>
      <c r="Z9" s="260">
        <f t="shared" si="10"/>
        <v>262226.93</v>
      </c>
      <c r="AA9" s="424"/>
      <c r="AB9" s="424"/>
      <c r="AC9" s="424">
        <f t="shared" si="11"/>
        <v>246423.66</v>
      </c>
      <c r="AD9" s="425">
        <f t="shared" si="17"/>
        <v>0.05</v>
      </c>
      <c r="AE9" s="424">
        <f t="shared" si="18"/>
        <v>4928.3900000000003</v>
      </c>
      <c r="AF9" s="424">
        <f t="shared" si="19"/>
        <v>2859.27675</v>
      </c>
      <c r="AG9" s="396">
        <f t="shared" si="15"/>
        <v>3.2500000002073648E-3</v>
      </c>
      <c r="AH9" s="361"/>
      <c r="AI9" s="313"/>
    </row>
    <row r="10" spans="1:45" s="291" customFormat="1" ht="12.75" customHeight="1" x14ac:dyDescent="0.2">
      <c r="A10" s="423">
        <f t="shared" si="16"/>
        <v>5</v>
      </c>
      <c r="B10" s="456" t="s">
        <v>419</v>
      </c>
      <c r="C10" s="457">
        <v>520220</v>
      </c>
      <c r="D10" s="458">
        <v>1794</v>
      </c>
      <c r="E10" s="454" t="s">
        <v>687</v>
      </c>
      <c r="F10" s="391">
        <v>2017</v>
      </c>
      <c r="G10" s="455">
        <v>42738</v>
      </c>
      <c r="H10" s="459" t="s">
        <v>743</v>
      </c>
      <c r="I10" s="460" t="s">
        <v>744</v>
      </c>
      <c r="J10" s="461" t="s">
        <v>729</v>
      </c>
      <c r="K10" s="462" t="s">
        <v>745</v>
      </c>
      <c r="L10" s="463" t="s">
        <v>746</v>
      </c>
      <c r="M10" s="464">
        <v>247424.57</v>
      </c>
      <c r="N10" s="464">
        <v>2489.2199999999998</v>
      </c>
      <c r="O10" s="464">
        <v>39986.21</v>
      </c>
      <c r="P10" s="465">
        <v>289900</v>
      </c>
      <c r="Q10" s="392"/>
      <c r="R10" s="466">
        <v>224798.3</v>
      </c>
      <c r="S10" s="394">
        <f t="shared" si="0"/>
        <v>65101.700000000012</v>
      </c>
      <c r="T10" s="113" t="s">
        <v>131</v>
      </c>
      <c r="U10" s="267" t="str">
        <f t="shared" si="5"/>
        <v>AA10171</v>
      </c>
      <c r="V10" s="423" t="str">
        <f t="shared" si="6"/>
        <v>0209-TCN17</v>
      </c>
      <c r="W10" s="362">
        <f t="shared" si="7"/>
        <v>520220</v>
      </c>
      <c r="X10" s="362" t="str">
        <f t="shared" si="8"/>
        <v>COROLLA LE AT</v>
      </c>
      <c r="Y10" s="93">
        <f t="shared" si="9"/>
        <v>2017</v>
      </c>
      <c r="Z10" s="260">
        <f t="shared" si="10"/>
        <v>247424.57</v>
      </c>
      <c r="AA10" s="424"/>
      <c r="AB10" s="424"/>
      <c r="AC10" s="424">
        <f t="shared" si="11"/>
        <v>246423.66</v>
      </c>
      <c r="AD10" s="425">
        <f t="shared" si="12"/>
        <v>0.05</v>
      </c>
      <c r="AE10" s="424">
        <f t="shared" si="13"/>
        <v>4928.3900000000003</v>
      </c>
      <c r="AF10" s="424">
        <f t="shared" ref="AF10:AF31" si="20">IF(Z10&lt;281240.78,(((Z10-AC10)*AD10+AE10)/2),(Z10-AC10)*AD10+AE10)</f>
        <v>2489.2177500000003</v>
      </c>
      <c r="AG10" s="396">
        <f t="shared" si="15"/>
        <v>2.2499999995488906E-3</v>
      </c>
      <c r="AH10" s="361"/>
      <c r="AI10" s="313"/>
      <c r="AK10" s="296"/>
      <c r="AL10" s="296"/>
      <c r="AM10" s="296"/>
    </row>
    <row r="11" spans="1:45" s="348" customFormat="1" ht="12.75" customHeight="1" x14ac:dyDescent="0.2">
      <c r="A11" s="423">
        <f t="shared" si="16"/>
        <v>6</v>
      </c>
      <c r="B11" s="456" t="s">
        <v>421</v>
      </c>
      <c r="C11" s="457">
        <v>520220</v>
      </c>
      <c r="D11" s="458">
        <v>1794</v>
      </c>
      <c r="E11" s="454" t="s">
        <v>687</v>
      </c>
      <c r="F11" s="391">
        <v>2017</v>
      </c>
      <c r="G11" s="455">
        <v>42738</v>
      </c>
      <c r="H11" s="459" t="s">
        <v>751</v>
      </c>
      <c r="I11" s="460" t="s">
        <v>752</v>
      </c>
      <c r="J11" s="461" t="s">
        <v>729</v>
      </c>
      <c r="K11" s="462" t="s">
        <v>753</v>
      </c>
      <c r="L11" s="463" t="s">
        <v>754</v>
      </c>
      <c r="M11" s="464">
        <v>231819.73</v>
      </c>
      <c r="N11" s="464">
        <v>2318.1999999999998</v>
      </c>
      <c r="O11" s="464">
        <v>37462.07</v>
      </c>
      <c r="P11" s="465">
        <v>271600</v>
      </c>
      <c r="Q11" s="392"/>
      <c r="R11" s="466">
        <v>224798.3</v>
      </c>
      <c r="S11" s="394">
        <f t="shared" si="0"/>
        <v>46801.700000000012</v>
      </c>
      <c r="T11" s="445" t="s">
        <v>131</v>
      </c>
      <c r="U11" s="267" t="str">
        <f t="shared" si="5"/>
        <v>AA10177</v>
      </c>
      <c r="V11" s="423" t="str">
        <f t="shared" si="6"/>
        <v>0217-TCN17</v>
      </c>
      <c r="W11" s="362">
        <f t="shared" si="7"/>
        <v>520220</v>
      </c>
      <c r="X11" s="362" t="str">
        <f t="shared" si="8"/>
        <v>COROLLA LE AT</v>
      </c>
      <c r="Y11" s="93">
        <f t="shared" si="9"/>
        <v>2017</v>
      </c>
      <c r="Z11" s="260">
        <f t="shared" si="10"/>
        <v>231819.73</v>
      </c>
      <c r="AA11" s="424"/>
      <c r="AB11" s="424"/>
      <c r="AC11" s="424">
        <f t="shared" si="11"/>
        <v>0.01</v>
      </c>
      <c r="AD11" s="425">
        <f t="shared" si="12"/>
        <v>0.02</v>
      </c>
      <c r="AE11" s="424">
        <f t="shared" si="13"/>
        <v>0</v>
      </c>
      <c r="AF11" s="424">
        <f t="shared" si="20"/>
        <v>2318.1972000000001</v>
      </c>
      <c r="AG11" s="396">
        <f t="shared" si="15"/>
        <v>2.7999999997518898E-3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ht="12.75" customHeight="1" x14ac:dyDescent="0.2">
      <c r="A12" s="423">
        <f t="shared" si="16"/>
        <v>7</v>
      </c>
      <c r="B12" s="456" t="s">
        <v>422</v>
      </c>
      <c r="C12" s="457">
        <v>520220</v>
      </c>
      <c r="D12" s="458">
        <v>1794</v>
      </c>
      <c r="E12" s="454" t="s">
        <v>687</v>
      </c>
      <c r="F12" s="391">
        <v>2017</v>
      </c>
      <c r="G12" s="455">
        <v>42738</v>
      </c>
      <c r="H12" s="459" t="s">
        <v>743</v>
      </c>
      <c r="I12" s="460" t="s">
        <v>755</v>
      </c>
      <c r="J12" s="461" t="s">
        <v>729</v>
      </c>
      <c r="K12" s="462" t="s">
        <v>745</v>
      </c>
      <c r="L12" s="463" t="s">
        <v>756</v>
      </c>
      <c r="M12" s="464">
        <v>247424.57</v>
      </c>
      <c r="N12" s="464">
        <v>2489.2199999999998</v>
      </c>
      <c r="O12" s="464">
        <v>39986.21</v>
      </c>
      <c r="P12" s="465">
        <v>289900</v>
      </c>
      <c r="Q12" s="392"/>
      <c r="R12" s="466">
        <v>224798.3</v>
      </c>
      <c r="S12" s="394">
        <f t="shared" si="0"/>
        <v>65101.700000000012</v>
      </c>
      <c r="T12" s="267" t="s">
        <v>131</v>
      </c>
      <c r="U12" s="267" t="str">
        <f t="shared" si="5"/>
        <v>AA10172</v>
      </c>
      <c r="V12" s="423" t="str">
        <f t="shared" si="6"/>
        <v>0241-TCN17</v>
      </c>
      <c r="W12" s="362">
        <f t="shared" si="7"/>
        <v>520220</v>
      </c>
      <c r="X12" s="362" t="str">
        <f t="shared" si="8"/>
        <v>COROLLA LE AT</v>
      </c>
      <c r="Y12" s="93">
        <f t="shared" si="9"/>
        <v>2017</v>
      </c>
      <c r="Z12" s="260">
        <f t="shared" si="10"/>
        <v>247424.57</v>
      </c>
      <c r="AA12" s="424"/>
      <c r="AB12" s="424"/>
      <c r="AC12" s="424">
        <f t="shared" si="11"/>
        <v>246423.66</v>
      </c>
      <c r="AD12" s="425">
        <f t="shared" si="12"/>
        <v>0.05</v>
      </c>
      <c r="AE12" s="424">
        <f t="shared" si="13"/>
        <v>4928.3900000000003</v>
      </c>
      <c r="AF12" s="424">
        <f t="shared" si="20"/>
        <v>2489.2177500000003</v>
      </c>
      <c r="AG12" s="396">
        <f t="shared" si="15"/>
        <v>2.2499999995488906E-3</v>
      </c>
      <c r="AH12" s="361"/>
      <c r="AI12" s="313"/>
      <c r="AK12" s="374"/>
      <c r="AL12" s="374"/>
      <c r="AM12" s="374"/>
    </row>
    <row r="13" spans="1:45" s="296" customFormat="1" ht="12.75" customHeight="1" x14ac:dyDescent="0.2">
      <c r="A13" s="423">
        <f t="shared" si="16"/>
        <v>8</v>
      </c>
      <c r="B13" s="456" t="s">
        <v>417</v>
      </c>
      <c r="C13" s="457">
        <v>520220</v>
      </c>
      <c r="D13" s="458" t="s">
        <v>686</v>
      </c>
      <c r="E13" s="454" t="s">
        <v>687</v>
      </c>
      <c r="F13" s="391">
        <v>2017</v>
      </c>
      <c r="G13" s="455">
        <v>42756</v>
      </c>
      <c r="H13" s="459" t="s">
        <v>735</v>
      </c>
      <c r="I13" s="460" t="s">
        <v>736</v>
      </c>
      <c r="J13" s="461" t="s">
        <v>729</v>
      </c>
      <c r="K13" s="462" t="s">
        <v>737</v>
      </c>
      <c r="L13" s="463" t="s">
        <v>738</v>
      </c>
      <c r="M13" s="464">
        <v>243257.09</v>
      </c>
      <c r="N13" s="464">
        <v>2432.5700000000002</v>
      </c>
      <c r="O13" s="464">
        <v>39310.339999999997</v>
      </c>
      <c r="P13" s="465">
        <v>285000</v>
      </c>
      <c r="Q13" s="392"/>
      <c r="R13" s="466">
        <v>224798.3</v>
      </c>
      <c r="S13" s="394">
        <f t="shared" si="0"/>
        <v>60201.700000000012</v>
      </c>
      <c r="T13" s="113" t="s">
        <v>131</v>
      </c>
      <c r="U13" s="267" t="str">
        <f t="shared" si="5"/>
        <v>AA10291</v>
      </c>
      <c r="V13" s="423" t="str">
        <f t="shared" si="6"/>
        <v>0202-TCN17</v>
      </c>
      <c r="W13" s="362">
        <f t="shared" si="7"/>
        <v>520220</v>
      </c>
      <c r="X13" s="362" t="str">
        <f t="shared" si="8"/>
        <v>COROLLA LE AT</v>
      </c>
      <c r="Y13" s="93">
        <f t="shared" si="9"/>
        <v>2017</v>
      </c>
      <c r="Z13" s="260">
        <f t="shared" si="10"/>
        <v>243257.09</v>
      </c>
      <c r="AA13" s="424"/>
      <c r="AB13" s="424"/>
      <c r="AC13" s="424">
        <f t="shared" si="11"/>
        <v>0.01</v>
      </c>
      <c r="AD13" s="425">
        <f t="shared" si="12"/>
        <v>0.02</v>
      </c>
      <c r="AE13" s="424">
        <f t="shared" si="13"/>
        <v>0</v>
      </c>
      <c r="AF13" s="424">
        <f t="shared" si="20"/>
        <v>2432.5708</v>
      </c>
      <c r="AG13" s="396">
        <f t="shared" si="15"/>
        <v>-7.9999999979918357E-4</v>
      </c>
      <c r="AH13" s="361"/>
      <c r="AI13" s="313"/>
      <c r="AJ13" s="291"/>
      <c r="AL13" s="374"/>
      <c r="AM13" s="374"/>
    </row>
    <row r="14" spans="1:45" s="291" customFormat="1" ht="12.75" customHeight="1" x14ac:dyDescent="0.2">
      <c r="A14" s="423">
        <f t="shared" si="16"/>
        <v>9</v>
      </c>
      <c r="B14" s="456" t="s">
        <v>418</v>
      </c>
      <c r="C14" s="457">
        <v>520220</v>
      </c>
      <c r="D14" s="458">
        <v>1794</v>
      </c>
      <c r="E14" s="454" t="s">
        <v>687</v>
      </c>
      <c r="F14" s="391">
        <v>2017</v>
      </c>
      <c r="G14" s="455">
        <v>42766</v>
      </c>
      <c r="H14" s="459" t="s">
        <v>739</v>
      </c>
      <c r="I14" s="460" t="s">
        <v>740</v>
      </c>
      <c r="J14" s="461" t="s">
        <v>729</v>
      </c>
      <c r="K14" s="462" t="s">
        <v>741</v>
      </c>
      <c r="L14" s="463" t="s">
        <v>742</v>
      </c>
      <c r="M14" s="464">
        <v>262226.93</v>
      </c>
      <c r="N14" s="464">
        <v>2859.28</v>
      </c>
      <c r="O14" s="464">
        <v>42413.79</v>
      </c>
      <c r="P14" s="465">
        <v>307500</v>
      </c>
      <c r="Q14" s="392"/>
      <c r="R14" s="466">
        <v>224798.3</v>
      </c>
      <c r="S14" s="394">
        <f t="shared" si="0"/>
        <v>82701.700000000012</v>
      </c>
      <c r="T14" s="267" t="s">
        <v>131</v>
      </c>
      <c r="U14" s="267" t="str">
        <f t="shared" si="5"/>
        <v>AA10365</v>
      </c>
      <c r="V14" s="423" t="str">
        <f t="shared" si="6"/>
        <v>0207-TCN17</v>
      </c>
      <c r="W14" s="362">
        <f t="shared" si="7"/>
        <v>520220</v>
      </c>
      <c r="X14" s="362" t="str">
        <f t="shared" si="8"/>
        <v>COROLLA LE AT</v>
      </c>
      <c r="Y14" s="93">
        <f t="shared" si="9"/>
        <v>2017</v>
      </c>
      <c r="Z14" s="260">
        <f t="shared" si="10"/>
        <v>262226.93</v>
      </c>
      <c r="AA14" s="467">
        <f>SUM(Z9:Z14)</f>
        <v>1494379.82</v>
      </c>
      <c r="AB14" s="467">
        <v>6</v>
      </c>
      <c r="AC14" s="424">
        <f t="shared" si="11"/>
        <v>246423.66</v>
      </c>
      <c r="AD14" s="425">
        <f t="shared" si="12"/>
        <v>0.05</v>
      </c>
      <c r="AE14" s="424">
        <f t="shared" si="13"/>
        <v>4928.3900000000003</v>
      </c>
      <c r="AF14" s="424">
        <f t="shared" si="20"/>
        <v>2859.27675</v>
      </c>
      <c r="AG14" s="396">
        <f t="shared" si="15"/>
        <v>3.2500000002073648E-3</v>
      </c>
      <c r="AH14" s="361"/>
      <c r="AI14" s="313"/>
      <c r="AJ14" s="374"/>
      <c r="AK14" s="296"/>
      <c r="AL14" s="374"/>
      <c r="AM14" s="374"/>
    </row>
    <row r="15" spans="1:45" s="291" customFormat="1" ht="12.75" customHeight="1" x14ac:dyDescent="0.2">
      <c r="A15" s="423">
        <f t="shared" si="16"/>
        <v>10</v>
      </c>
      <c r="B15" s="456" t="s">
        <v>423</v>
      </c>
      <c r="C15" s="457">
        <v>520222</v>
      </c>
      <c r="D15" s="458">
        <v>1797</v>
      </c>
      <c r="E15" s="454" t="s">
        <v>688</v>
      </c>
      <c r="F15" s="391">
        <v>2017</v>
      </c>
      <c r="G15" s="455">
        <v>42738</v>
      </c>
      <c r="H15" s="459" t="s">
        <v>727</v>
      </c>
      <c r="I15" s="460" t="s">
        <v>757</v>
      </c>
      <c r="J15" s="461" t="s">
        <v>729</v>
      </c>
      <c r="K15" s="462" t="s">
        <v>758</v>
      </c>
      <c r="L15" s="463" t="s">
        <v>759</v>
      </c>
      <c r="M15" s="464">
        <v>-228362.07</v>
      </c>
      <c r="N15" s="464">
        <v>0</v>
      </c>
      <c r="O15" s="464">
        <v>-36537.93</v>
      </c>
      <c r="P15" s="465">
        <v>-264900</v>
      </c>
      <c r="Q15" s="392"/>
      <c r="R15" s="466">
        <v>-198874.78</v>
      </c>
      <c r="S15" s="394">
        <f t="shared" si="0"/>
        <v>-66025.22</v>
      </c>
      <c r="T15" s="113" t="s">
        <v>1266</v>
      </c>
      <c r="U15" s="267" t="str">
        <f t="shared" si="5"/>
        <v>ZA03829</v>
      </c>
      <c r="V15" s="423" t="str">
        <f t="shared" si="6"/>
        <v>0326-TCN17</v>
      </c>
      <c r="W15" s="362">
        <f t="shared" si="7"/>
        <v>520222</v>
      </c>
      <c r="X15" s="362" t="str">
        <f t="shared" si="8"/>
        <v>COROLLA BASE MANUAL</v>
      </c>
      <c r="Y15" s="93">
        <f t="shared" si="9"/>
        <v>2017</v>
      </c>
      <c r="Z15" s="260">
        <f t="shared" si="10"/>
        <v>-228362.07</v>
      </c>
      <c r="AA15" s="424"/>
      <c r="AB15" s="424"/>
      <c r="AC15" s="424"/>
      <c r="AD15" s="425"/>
      <c r="AE15" s="424"/>
      <c r="AF15" s="424">
        <f>+N15</f>
        <v>0</v>
      </c>
      <c r="AG15" s="396">
        <f t="shared" si="15"/>
        <v>0</v>
      </c>
      <c r="AH15" s="361"/>
      <c r="AI15" s="313"/>
      <c r="AK15" s="296"/>
      <c r="AL15" s="374"/>
      <c r="AM15" s="374"/>
    </row>
    <row r="16" spans="1:45" s="291" customFormat="1" ht="12.75" customHeight="1" x14ac:dyDescent="0.2">
      <c r="A16" s="423">
        <f t="shared" si="16"/>
        <v>11</v>
      </c>
      <c r="B16" s="456" t="s">
        <v>426</v>
      </c>
      <c r="C16" s="457">
        <v>520223</v>
      </c>
      <c r="D16" s="458">
        <v>1796</v>
      </c>
      <c r="E16" s="454" t="s">
        <v>689</v>
      </c>
      <c r="F16" s="391">
        <v>2017</v>
      </c>
      <c r="G16" s="455">
        <v>42746</v>
      </c>
      <c r="H16" s="459" t="s">
        <v>727</v>
      </c>
      <c r="I16" s="460" t="s">
        <v>768</v>
      </c>
      <c r="J16" s="461" t="s">
        <v>724</v>
      </c>
      <c r="K16" s="462" t="s">
        <v>769</v>
      </c>
      <c r="L16" s="463" t="s">
        <v>770</v>
      </c>
      <c r="M16" s="464">
        <v>228362.07</v>
      </c>
      <c r="N16" s="464">
        <v>0</v>
      </c>
      <c r="O16" s="464">
        <v>36537.93</v>
      </c>
      <c r="P16" s="465">
        <v>264900</v>
      </c>
      <c r="Q16" s="392"/>
      <c r="R16" s="466">
        <v>211881.44</v>
      </c>
      <c r="S16" s="394">
        <f t="shared" si="0"/>
        <v>53018.559999999998</v>
      </c>
      <c r="T16" s="267" t="s">
        <v>131</v>
      </c>
      <c r="U16" s="267" t="str">
        <f t="shared" si="5"/>
        <v>AA10234</v>
      </c>
      <c r="V16" s="423" t="str">
        <f t="shared" si="6"/>
        <v>0655-TCN17</v>
      </c>
      <c r="W16" s="362">
        <f t="shared" si="7"/>
        <v>520223</v>
      </c>
      <c r="X16" s="362" t="str">
        <f t="shared" si="8"/>
        <v>COROLLA BASE AT</v>
      </c>
      <c r="Y16" s="93">
        <f t="shared" si="9"/>
        <v>2017</v>
      </c>
      <c r="Z16" s="260">
        <f t="shared" si="10"/>
        <v>228362.07</v>
      </c>
      <c r="AA16" s="424"/>
      <c r="AB16" s="424"/>
      <c r="AC16" s="424">
        <f t="shared" ref="AC16:AC19" si="21">VLOOKUP(Z16,TARIFA,1)</f>
        <v>0.01</v>
      </c>
      <c r="AD16" s="425">
        <f t="shared" ref="AD16:AD19" si="22">VLOOKUP(Z16,TARIFA,4)</f>
        <v>0.02</v>
      </c>
      <c r="AE16" s="424">
        <f t="shared" ref="AE16:AE19" si="23">VLOOKUP(Z16,TARIFA,3)</f>
        <v>0</v>
      </c>
      <c r="AF16" s="424">
        <v>0</v>
      </c>
      <c r="AG16" s="396">
        <f t="shared" si="15"/>
        <v>0</v>
      </c>
      <c r="AH16" s="361"/>
      <c r="AI16" s="313"/>
      <c r="AK16" s="374"/>
      <c r="AL16" s="374"/>
      <c r="AM16" s="374"/>
    </row>
    <row r="17" spans="1:45" s="348" customFormat="1" ht="12.75" customHeight="1" x14ac:dyDescent="0.2">
      <c r="A17" s="423">
        <f t="shared" si="16"/>
        <v>12</v>
      </c>
      <c r="B17" s="456" t="s">
        <v>424</v>
      </c>
      <c r="C17" s="457">
        <v>520223</v>
      </c>
      <c r="D17" s="458">
        <v>1796</v>
      </c>
      <c r="E17" s="454" t="s">
        <v>689</v>
      </c>
      <c r="F17" s="391">
        <v>2017</v>
      </c>
      <c r="G17" s="455">
        <v>42765</v>
      </c>
      <c r="H17" s="459" t="s">
        <v>760</v>
      </c>
      <c r="I17" s="460" t="s">
        <v>761</v>
      </c>
      <c r="J17" s="461" t="s">
        <v>724</v>
      </c>
      <c r="K17" s="462" t="s">
        <v>762</v>
      </c>
      <c r="L17" s="463" t="s">
        <v>763</v>
      </c>
      <c r="M17" s="464">
        <v>240611.13</v>
      </c>
      <c r="N17" s="464">
        <v>2406.11</v>
      </c>
      <c r="O17" s="464">
        <v>38882.76</v>
      </c>
      <c r="P17" s="465">
        <v>281900</v>
      </c>
      <c r="Q17" s="392"/>
      <c r="R17" s="466">
        <v>206653.54</v>
      </c>
      <c r="S17" s="394">
        <f t="shared" si="0"/>
        <v>75246.459999999992</v>
      </c>
      <c r="T17" s="113" t="s">
        <v>131</v>
      </c>
      <c r="U17" s="267" t="str">
        <f t="shared" si="5"/>
        <v>AA10349</v>
      </c>
      <c r="V17" s="423" t="str">
        <f t="shared" si="6"/>
        <v>0491-TCN17</v>
      </c>
      <c r="W17" s="362">
        <f t="shared" si="7"/>
        <v>520223</v>
      </c>
      <c r="X17" s="362" t="str">
        <f t="shared" si="8"/>
        <v>COROLLA BASE AT</v>
      </c>
      <c r="Y17" s="93">
        <f t="shared" si="9"/>
        <v>2017</v>
      </c>
      <c r="Z17" s="260">
        <f t="shared" si="10"/>
        <v>240611.13</v>
      </c>
      <c r="AA17" s="424"/>
      <c r="AB17" s="424"/>
      <c r="AC17" s="424">
        <f t="shared" si="21"/>
        <v>0.01</v>
      </c>
      <c r="AD17" s="425">
        <f t="shared" si="22"/>
        <v>0.02</v>
      </c>
      <c r="AE17" s="424">
        <f t="shared" si="23"/>
        <v>0</v>
      </c>
      <c r="AF17" s="424">
        <f t="shared" ref="AF17:AF18" si="24">IF(Z17&lt;281240.78,(((Z17-AC17)*AD17+AE17)/2),(Z17-AC17)*AD17+AE17)</f>
        <v>2406.1111999999998</v>
      </c>
      <c r="AG17" s="396">
        <f t="shared" si="15"/>
        <v>-1.1999999996987754E-3</v>
      </c>
      <c r="AH17" s="361"/>
      <c r="AI17" s="364"/>
      <c r="AK17" s="330"/>
      <c r="AL17" s="330"/>
      <c r="AM17" s="330"/>
      <c r="AN17" s="353"/>
    </row>
    <row r="18" spans="1:45" s="291" customFormat="1" ht="12.75" customHeight="1" x14ac:dyDescent="0.2">
      <c r="A18" s="423">
        <f t="shared" si="16"/>
        <v>13</v>
      </c>
      <c r="B18" s="456" t="s">
        <v>427</v>
      </c>
      <c r="C18" s="457">
        <v>520223</v>
      </c>
      <c r="D18" s="458">
        <v>1796</v>
      </c>
      <c r="E18" s="454" t="s">
        <v>689</v>
      </c>
      <c r="F18" s="391">
        <v>2017</v>
      </c>
      <c r="G18" s="455">
        <v>42761</v>
      </c>
      <c r="H18" s="459" t="s">
        <v>760</v>
      </c>
      <c r="I18" s="460" t="s">
        <v>771</v>
      </c>
      <c r="J18" s="461" t="s">
        <v>724</v>
      </c>
      <c r="K18" s="462" t="s">
        <v>772</v>
      </c>
      <c r="L18" s="463" t="s">
        <v>773</v>
      </c>
      <c r="M18" s="464">
        <v>240611.13</v>
      </c>
      <c r="N18" s="464">
        <v>2406.11</v>
      </c>
      <c r="O18" s="464">
        <v>38882.76</v>
      </c>
      <c r="P18" s="465">
        <v>281900</v>
      </c>
      <c r="Q18" s="392"/>
      <c r="R18" s="466">
        <v>211925.59</v>
      </c>
      <c r="S18" s="394">
        <f t="shared" si="0"/>
        <v>69974.41</v>
      </c>
      <c r="T18" s="267" t="s">
        <v>131</v>
      </c>
      <c r="U18" s="267" t="str">
        <f t="shared" si="5"/>
        <v>AA10318</v>
      </c>
      <c r="V18" s="423" t="str">
        <f t="shared" si="6"/>
        <v>0683-TCN17</v>
      </c>
      <c r="W18" s="362">
        <f t="shared" si="7"/>
        <v>520223</v>
      </c>
      <c r="X18" s="362" t="str">
        <f t="shared" si="8"/>
        <v>COROLLA BASE AT</v>
      </c>
      <c r="Y18" s="93">
        <f t="shared" si="9"/>
        <v>2017</v>
      </c>
      <c r="Z18" s="260">
        <f t="shared" si="10"/>
        <v>240611.13</v>
      </c>
      <c r="AA18" s="424"/>
      <c r="AB18" s="424"/>
      <c r="AC18" s="424">
        <f t="shared" si="21"/>
        <v>0.01</v>
      </c>
      <c r="AD18" s="425">
        <f t="shared" si="22"/>
        <v>0.02</v>
      </c>
      <c r="AE18" s="424">
        <f t="shared" si="23"/>
        <v>0</v>
      </c>
      <c r="AF18" s="424">
        <f t="shared" si="24"/>
        <v>2406.1111999999998</v>
      </c>
      <c r="AG18" s="396">
        <f t="shared" si="15"/>
        <v>-1.1999999996987754E-3</v>
      </c>
      <c r="AH18" s="361"/>
      <c r="AI18" s="361"/>
      <c r="AK18" s="374"/>
      <c r="AL18" s="374"/>
      <c r="AM18" s="374"/>
      <c r="AN18" s="296"/>
    </row>
    <row r="19" spans="1:45" s="291" customFormat="1" ht="12.75" customHeight="1" x14ac:dyDescent="0.2">
      <c r="A19" s="423">
        <f t="shared" si="16"/>
        <v>14</v>
      </c>
      <c r="B19" s="456" t="s">
        <v>425</v>
      </c>
      <c r="C19" s="457">
        <v>520223</v>
      </c>
      <c r="D19" s="458">
        <v>1796</v>
      </c>
      <c r="E19" s="454" t="s">
        <v>689</v>
      </c>
      <c r="F19" s="391">
        <v>2017</v>
      </c>
      <c r="G19" s="455">
        <v>42738</v>
      </c>
      <c r="H19" s="459" t="s">
        <v>764</v>
      </c>
      <c r="I19" s="460" t="s">
        <v>765</v>
      </c>
      <c r="J19" s="461" t="s">
        <v>724</v>
      </c>
      <c r="K19" s="462" t="s">
        <v>766</v>
      </c>
      <c r="L19" s="463" t="s">
        <v>767</v>
      </c>
      <c r="M19" s="464">
        <v>228362.07</v>
      </c>
      <c r="N19" s="464">
        <v>0</v>
      </c>
      <c r="O19" s="464">
        <v>36537.93</v>
      </c>
      <c r="P19" s="465">
        <v>264900</v>
      </c>
      <c r="Q19" s="392"/>
      <c r="R19" s="466">
        <v>206653.54</v>
      </c>
      <c r="S19" s="394">
        <f t="shared" si="0"/>
        <v>58246.459999999992</v>
      </c>
      <c r="T19" s="113" t="s">
        <v>131</v>
      </c>
      <c r="U19" s="267" t="str">
        <f t="shared" si="5"/>
        <v>AA10168</v>
      </c>
      <c r="V19" s="423" t="str">
        <f t="shared" si="6"/>
        <v>0600-TCN17</v>
      </c>
      <c r="W19" s="362">
        <f t="shared" si="7"/>
        <v>520223</v>
      </c>
      <c r="X19" s="362" t="str">
        <f t="shared" si="8"/>
        <v>COROLLA BASE AT</v>
      </c>
      <c r="Y19" s="93">
        <f t="shared" si="9"/>
        <v>2017</v>
      </c>
      <c r="Z19" s="260">
        <f t="shared" si="10"/>
        <v>228362.07</v>
      </c>
      <c r="AA19" s="424"/>
      <c r="AB19" s="424"/>
      <c r="AC19" s="424">
        <f t="shared" si="21"/>
        <v>0.01</v>
      </c>
      <c r="AD19" s="425">
        <f t="shared" si="22"/>
        <v>0.02</v>
      </c>
      <c r="AE19" s="424">
        <f t="shared" si="23"/>
        <v>0</v>
      </c>
      <c r="AF19" s="424">
        <v>0</v>
      </c>
      <c r="AG19" s="396">
        <f t="shared" si="15"/>
        <v>0</v>
      </c>
      <c r="AH19" s="361"/>
      <c r="AI19" s="313"/>
      <c r="AK19" s="296"/>
      <c r="AL19" s="374"/>
      <c r="AM19" s="374"/>
      <c r="AN19" s="296"/>
    </row>
    <row r="20" spans="1:45" s="291" customFormat="1" ht="12.75" customHeight="1" x14ac:dyDescent="0.2">
      <c r="A20" s="423">
        <f t="shared" si="16"/>
        <v>15</v>
      </c>
      <c r="B20" s="456" t="s">
        <v>428</v>
      </c>
      <c r="C20" s="457">
        <v>520223</v>
      </c>
      <c r="D20" s="458">
        <v>1796</v>
      </c>
      <c r="E20" s="454" t="s">
        <v>689</v>
      </c>
      <c r="F20" s="391">
        <v>2017</v>
      </c>
      <c r="G20" s="455">
        <v>42738</v>
      </c>
      <c r="H20" s="459" t="s">
        <v>774</v>
      </c>
      <c r="I20" s="460" t="s">
        <v>775</v>
      </c>
      <c r="J20" s="461" t="s">
        <v>729</v>
      </c>
      <c r="K20" s="462" t="s">
        <v>776</v>
      </c>
      <c r="L20" s="463" t="s">
        <v>777</v>
      </c>
      <c r="M20" s="464">
        <v>-228362.07</v>
      </c>
      <c r="N20" s="464">
        <v>0</v>
      </c>
      <c r="O20" s="464">
        <v>-36537.93</v>
      </c>
      <c r="P20" s="465">
        <v>-264900</v>
      </c>
      <c r="Q20" s="392"/>
      <c r="R20" s="466">
        <v>-206343.2</v>
      </c>
      <c r="S20" s="394">
        <f t="shared" si="0"/>
        <v>-58556.799999999988</v>
      </c>
      <c r="T20" s="267" t="s">
        <v>1266</v>
      </c>
      <c r="U20" s="267" t="str">
        <f t="shared" si="5"/>
        <v>ZA03830</v>
      </c>
      <c r="V20" s="423" t="str">
        <f t="shared" si="6"/>
        <v>0431-TCN17</v>
      </c>
      <c r="W20" s="362">
        <f t="shared" si="7"/>
        <v>520223</v>
      </c>
      <c r="X20" s="362" t="str">
        <f t="shared" si="8"/>
        <v>COROLLA BASE AT</v>
      </c>
      <c r="Y20" s="93">
        <f t="shared" si="9"/>
        <v>2017</v>
      </c>
      <c r="Z20" s="260">
        <f t="shared" si="10"/>
        <v>-228362.07</v>
      </c>
      <c r="AA20" s="467">
        <f>+SUM(Z15:Z20)</f>
        <v>481222.26000000007</v>
      </c>
      <c r="AB20" s="467">
        <v>4</v>
      </c>
      <c r="AC20" s="424"/>
      <c r="AD20" s="425"/>
      <c r="AE20" s="424"/>
      <c r="AF20" s="424">
        <f>+N20</f>
        <v>0</v>
      </c>
      <c r="AG20" s="396">
        <f t="shared" si="15"/>
        <v>0</v>
      </c>
      <c r="AH20" s="361"/>
      <c r="AI20" s="313"/>
      <c r="AK20" s="296"/>
      <c r="AL20" s="374"/>
      <c r="AM20" s="374"/>
    </row>
    <row r="21" spans="1:45" s="291" customFormat="1" ht="12.75" customHeight="1" x14ac:dyDescent="0.2">
      <c r="A21" s="423">
        <f t="shared" si="16"/>
        <v>16</v>
      </c>
      <c r="B21" s="456" t="s">
        <v>429</v>
      </c>
      <c r="C21" s="457">
        <v>520224</v>
      </c>
      <c r="D21" s="458">
        <v>1781</v>
      </c>
      <c r="E21" s="454" t="s">
        <v>690</v>
      </c>
      <c r="F21" s="391">
        <v>2017</v>
      </c>
      <c r="G21" s="455">
        <v>42762</v>
      </c>
      <c r="H21" s="459" t="s">
        <v>778</v>
      </c>
      <c r="I21" s="460" t="s">
        <v>779</v>
      </c>
      <c r="J21" s="461" t="s">
        <v>729</v>
      </c>
      <c r="K21" s="462" t="s">
        <v>780</v>
      </c>
      <c r="L21" s="463" t="s">
        <v>781</v>
      </c>
      <c r="M21" s="464">
        <v>270889.67</v>
      </c>
      <c r="N21" s="464">
        <v>3075.85</v>
      </c>
      <c r="O21" s="464">
        <v>43834.48</v>
      </c>
      <c r="P21" s="465">
        <v>317800</v>
      </c>
      <c r="Q21" s="392"/>
      <c r="R21" s="466">
        <v>238055.64</v>
      </c>
      <c r="S21" s="394">
        <f t="shared" si="0"/>
        <v>79744.359999999986</v>
      </c>
      <c r="T21" s="267" t="s">
        <v>131</v>
      </c>
      <c r="U21" s="267" t="str">
        <f t="shared" si="5"/>
        <v>AA10327</v>
      </c>
      <c r="V21" s="423" t="str">
        <f t="shared" si="6"/>
        <v>0718-TCN17</v>
      </c>
      <c r="W21" s="362">
        <f t="shared" si="7"/>
        <v>520224</v>
      </c>
      <c r="X21" s="362" t="str">
        <f t="shared" si="8"/>
        <v>COROLLA SE MT</v>
      </c>
      <c r="Y21" s="93">
        <f t="shared" si="9"/>
        <v>2017</v>
      </c>
      <c r="Z21" s="260">
        <f t="shared" si="10"/>
        <v>270889.67</v>
      </c>
      <c r="AA21" s="467">
        <f>+Z21</f>
        <v>270889.67</v>
      </c>
      <c r="AB21" s="467">
        <v>1</v>
      </c>
      <c r="AC21" s="424">
        <f t="shared" ref="AC21:AC31" si="25">VLOOKUP(Z21,TARIFA,1)</f>
        <v>246423.66</v>
      </c>
      <c r="AD21" s="425">
        <f t="shared" si="12"/>
        <v>0.05</v>
      </c>
      <c r="AE21" s="424">
        <f t="shared" si="13"/>
        <v>4928.3900000000003</v>
      </c>
      <c r="AF21" s="424">
        <f t="shared" si="20"/>
        <v>3075.8452499999999</v>
      </c>
      <c r="AG21" s="396">
        <f t="shared" si="15"/>
        <v>4.7500000000582077E-3</v>
      </c>
      <c r="AH21" s="361"/>
      <c r="AI21" s="313"/>
      <c r="AK21" s="296"/>
      <c r="AL21" s="374"/>
      <c r="AM21" s="374"/>
    </row>
    <row r="22" spans="1:45" s="348" customFormat="1" ht="12.75" customHeight="1" x14ac:dyDescent="0.2">
      <c r="A22" s="423">
        <f t="shared" si="16"/>
        <v>17</v>
      </c>
      <c r="B22" s="456" t="s">
        <v>430</v>
      </c>
      <c r="C22" s="457">
        <v>520225</v>
      </c>
      <c r="D22" s="458">
        <v>1782</v>
      </c>
      <c r="E22" s="454" t="s">
        <v>691</v>
      </c>
      <c r="F22" s="391">
        <v>2017</v>
      </c>
      <c r="G22" s="455">
        <v>42766</v>
      </c>
      <c r="H22" s="459" t="s">
        <v>774</v>
      </c>
      <c r="I22" s="460" t="s">
        <v>782</v>
      </c>
      <c r="J22" s="461" t="s">
        <v>729</v>
      </c>
      <c r="K22" s="462" t="s">
        <v>783</v>
      </c>
      <c r="L22" s="463" t="s">
        <v>784</v>
      </c>
      <c r="M22" s="464">
        <v>288131.05</v>
      </c>
      <c r="N22" s="464">
        <v>3506.88</v>
      </c>
      <c r="O22" s="464">
        <v>46662.07</v>
      </c>
      <c r="P22" s="465">
        <v>338300</v>
      </c>
      <c r="Q22" s="392"/>
      <c r="R22" s="466">
        <v>246875.67</v>
      </c>
      <c r="S22" s="394">
        <f t="shared" si="0"/>
        <v>91424.329999999987</v>
      </c>
      <c r="T22" s="113" t="s">
        <v>131</v>
      </c>
      <c r="U22" s="267" t="str">
        <f t="shared" si="5"/>
        <v>AA10356</v>
      </c>
      <c r="V22" s="423" t="str">
        <f t="shared" si="6"/>
        <v>0269-TCN17</v>
      </c>
      <c r="W22" s="362">
        <f t="shared" si="7"/>
        <v>520225</v>
      </c>
      <c r="X22" s="362" t="str">
        <f t="shared" si="8"/>
        <v>COROLLA SE CVT</v>
      </c>
      <c r="Y22" s="93">
        <f t="shared" si="9"/>
        <v>2017</v>
      </c>
      <c r="Z22" s="260">
        <f t="shared" si="10"/>
        <v>288131.05</v>
      </c>
      <c r="AA22" s="467">
        <f>+Z22</f>
        <v>288131.05</v>
      </c>
      <c r="AB22" s="467">
        <v>1</v>
      </c>
      <c r="AC22" s="424">
        <f t="shared" ref="AC22:AC23" si="26">VLOOKUP(Z22,TARIFA,1)</f>
        <v>246423.66</v>
      </c>
      <c r="AD22" s="425">
        <f t="shared" ref="AD22:AD23" si="27">VLOOKUP(Z22,TARIFA,4)</f>
        <v>0.05</v>
      </c>
      <c r="AE22" s="424">
        <f t="shared" ref="AE22:AE23" si="28">VLOOKUP(Z22,TARIFA,3)</f>
        <v>4928.3900000000003</v>
      </c>
      <c r="AF22" s="424">
        <f>IF(Z22&lt;281240.78,(((Z22-AC22)*AD22+AE22)/2),(Z22-AC22)*AD22+AE22)</f>
        <v>7013.7595000000001</v>
      </c>
      <c r="AG22" s="448">
        <f t="shared" si="15"/>
        <v>-3506.8795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ht="12.75" customHeight="1" x14ac:dyDescent="0.2">
      <c r="A23" s="423">
        <f t="shared" si="16"/>
        <v>18</v>
      </c>
      <c r="B23" s="456" t="s">
        <v>432</v>
      </c>
      <c r="C23" s="457">
        <v>520226</v>
      </c>
      <c r="D23" s="458">
        <v>1783</v>
      </c>
      <c r="E23" s="454" t="s">
        <v>692</v>
      </c>
      <c r="F23" s="391">
        <v>2017</v>
      </c>
      <c r="G23" s="455">
        <v>42747</v>
      </c>
      <c r="H23" s="459" t="s">
        <v>788</v>
      </c>
      <c r="I23" s="460" t="s">
        <v>789</v>
      </c>
      <c r="J23" s="461" t="s">
        <v>724</v>
      </c>
      <c r="K23" s="462" t="s">
        <v>790</v>
      </c>
      <c r="L23" s="463" t="s">
        <v>791</v>
      </c>
      <c r="M23" s="464">
        <v>301353.12</v>
      </c>
      <c r="N23" s="464">
        <v>7957.22</v>
      </c>
      <c r="O23" s="464">
        <v>49489.66</v>
      </c>
      <c r="P23" s="465">
        <v>358800</v>
      </c>
      <c r="Q23" s="392"/>
      <c r="R23" s="466">
        <v>264669</v>
      </c>
      <c r="S23" s="394">
        <f t="shared" si="0"/>
        <v>94131</v>
      </c>
      <c r="T23" s="113" t="s">
        <v>131</v>
      </c>
      <c r="U23" s="267" t="str">
        <f t="shared" si="5"/>
        <v>AA10238</v>
      </c>
      <c r="V23" s="423" t="str">
        <f t="shared" si="6"/>
        <v>0662-TCN17</v>
      </c>
      <c r="W23" s="362">
        <f t="shared" si="7"/>
        <v>520226</v>
      </c>
      <c r="X23" s="362" t="str">
        <f t="shared" si="8"/>
        <v>COROLLA SE  PLUS  AT</v>
      </c>
      <c r="Y23" s="93">
        <f t="shared" si="9"/>
        <v>2017</v>
      </c>
      <c r="Z23" s="260">
        <f t="shared" si="10"/>
        <v>301353.12</v>
      </c>
      <c r="AA23" s="424"/>
      <c r="AB23" s="424"/>
      <c r="AC23" s="424">
        <f t="shared" si="26"/>
        <v>295708.34000000003</v>
      </c>
      <c r="AD23" s="425">
        <f t="shared" si="27"/>
        <v>0.1</v>
      </c>
      <c r="AE23" s="424">
        <f t="shared" si="28"/>
        <v>7392.74</v>
      </c>
      <c r="AF23" s="424">
        <f t="shared" ref="AF23" si="29">IF(Z23&lt;281240.78,(((Z23-AC23)*AD23+AE23)/2),(Z23-AC23)*AD23+AE23)</f>
        <v>7957.2179999999971</v>
      </c>
      <c r="AG23" s="448">
        <f t="shared" si="15"/>
        <v>2.0000000031359377E-3</v>
      </c>
      <c r="AH23" s="361"/>
      <c r="AI23" s="363"/>
      <c r="AK23" s="353"/>
      <c r="AL23" s="330"/>
      <c r="AM23" s="330"/>
    </row>
    <row r="24" spans="1:45" s="348" customFormat="1" ht="12.75" customHeight="1" x14ac:dyDescent="0.2">
      <c r="A24" s="423">
        <f t="shared" si="16"/>
        <v>19</v>
      </c>
      <c r="B24" s="456" t="s">
        <v>431</v>
      </c>
      <c r="C24" s="457">
        <v>520226</v>
      </c>
      <c r="D24" s="458">
        <v>1783</v>
      </c>
      <c r="E24" s="454" t="s">
        <v>692</v>
      </c>
      <c r="F24" s="391">
        <v>2017</v>
      </c>
      <c r="G24" s="455">
        <v>42737</v>
      </c>
      <c r="H24" s="459" t="s">
        <v>751</v>
      </c>
      <c r="I24" s="460" t="s">
        <v>785</v>
      </c>
      <c r="J24" s="461" t="s">
        <v>729</v>
      </c>
      <c r="K24" s="462" t="s">
        <v>786</v>
      </c>
      <c r="L24" s="463" t="s">
        <v>787</v>
      </c>
      <c r="M24" s="464">
        <v>266852.65999999997</v>
      </c>
      <c r="N24" s="464">
        <v>2974.93</v>
      </c>
      <c r="O24" s="464">
        <v>43172.41</v>
      </c>
      <c r="P24" s="465">
        <v>313000</v>
      </c>
      <c r="Q24" s="392"/>
      <c r="R24" s="466">
        <v>258093.48</v>
      </c>
      <c r="S24" s="394">
        <f t="shared" si="0"/>
        <v>54906.51999999999</v>
      </c>
      <c r="T24" s="267" t="s">
        <v>131</v>
      </c>
      <c r="U24" s="267" t="str">
        <f t="shared" si="5"/>
        <v>AA10162</v>
      </c>
      <c r="V24" s="423" t="str">
        <f t="shared" si="6"/>
        <v>0595-TCN17</v>
      </c>
      <c r="W24" s="362">
        <f t="shared" si="7"/>
        <v>520226</v>
      </c>
      <c r="X24" s="362" t="str">
        <f t="shared" si="8"/>
        <v>COROLLA SE  PLUS  AT</v>
      </c>
      <c r="Y24" s="93">
        <f t="shared" si="9"/>
        <v>2017</v>
      </c>
      <c r="Z24" s="260">
        <f t="shared" si="10"/>
        <v>266852.65999999997</v>
      </c>
      <c r="AA24" s="424"/>
      <c r="AB24" s="424"/>
      <c r="AC24" s="424">
        <f t="shared" si="25"/>
        <v>246423.66</v>
      </c>
      <c r="AD24" s="425">
        <f t="shared" si="12"/>
        <v>0.05</v>
      </c>
      <c r="AE24" s="424">
        <f t="shared" si="13"/>
        <v>4928.3900000000003</v>
      </c>
      <c r="AF24" s="424">
        <f t="shared" si="20"/>
        <v>2974.9199999999996</v>
      </c>
      <c r="AG24" s="396">
        <f t="shared" si="15"/>
        <v>1.0000000000218279E-2</v>
      </c>
      <c r="AH24" s="361"/>
      <c r="AI24" s="363"/>
      <c r="AK24" s="353"/>
      <c r="AL24" s="330"/>
      <c r="AM24" s="330"/>
    </row>
    <row r="25" spans="1:45" s="348" customFormat="1" ht="12.75" customHeight="1" x14ac:dyDescent="0.2">
      <c r="A25" s="423">
        <f t="shared" si="16"/>
        <v>20</v>
      </c>
      <c r="B25" s="456" t="s">
        <v>433</v>
      </c>
      <c r="C25" s="457">
        <v>520226</v>
      </c>
      <c r="D25" s="458">
        <v>1783</v>
      </c>
      <c r="E25" s="454" t="s">
        <v>692</v>
      </c>
      <c r="F25" s="391">
        <v>2017</v>
      </c>
      <c r="G25" s="455">
        <v>42752</v>
      </c>
      <c r="H25" s="459" t="s">
        <v>792</v>
      </c>
      <c r="I25" s="460" t="s">
        <v>793</v>
      </c>
      <c r="J25" s="461" t="s">
        <v>729</v>
      </c>
      <c r="K25" s="462" t="s">
        <v>794</v>
      </c>
      <c r="L25" s="463" t="s">
        <v>795</v>
      </c>
      <c r="M25" s="464">
        <v>301353.12</v>
      </c>
      <c r="N25" s="464">
        <v>7957.22</v>
      </c>
      <c r="O25" s="464">
        <v>49489.66</v>
      </c>
      <c r="P25" s="465">
        <v>358800</v>
      </c>
      <c r="Q25" s="392"/>
      <c r="R25" s="466">
        <v>264669</v>
      </c>
      <c r="S25" s="394">
        <f t="shared" si="0"/>
        <v>94131</v>
      </c>
      <c r="T25" s="113" t="s">
        <v>131</v>
      </c>
      <c r="U25" s="267" t="str">
        <f t="shared" si="5"/>
        <v>AA10269</v>
      </c>
      <c r="V25" s="423" t="str">
        <f t="shared" si="6"/>
        <v>0672-TCN17</v>
      </c>
      <c r="W25" s="362">
        <f t="shared" si="7"/>
        <v>520226</v>
      </c>
      <c r="X25" s="362" t="str">
        <f t="shared" si="8"/>
        <v>COROLLA SE  PLUS  AT</v>
      </c>
      <c r="Y25" s="93">
        <f t="shared" si="9"/>
        <v>2017</v>
      </c>
      <c r="Z25" s="260">
        <f t="shared" si="10"/>
        <v>301353.12</v>
      </c>
      <c r="AA25" s="467">
        <f>SUM(Z23:Z25)</f>
        <v>869558.9</v>
      </c>
      <c r="AB25" s="467">
        <v>3</v>
      </c>
      <c r="AC25" s="424">
        <f t="shared" si="25"/>
        <v>295708.34000000003</v>
      </c>
      <c r="AD25" s="425">
        <f t="shared" si="12"/>
        <v>0.1</v>
      </c>
      <c r="AE25" s="424">
        <f t="shared" si="13"/>
        <v>7392.74</v>
      </c>
      <c r="AF25" s="424">
        <f t="shared" si="20"/>
        <v>7957.2179999999971</v>
      </c>
      <c r="AG25" s="396">
        <f t="shared" si="15"/>
        <v>2.0000000031359377E-3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ht="12.75" customHeight="1" x14ac:dyDescent="0.2">
      <c r="A26" s="423">
        <f t="shared" si="16"/>
        <v>21</v>
      </c>
      <c r="B26" s="456" t="s">
        <v>435</v>
      </c>
      <c r="C26" s="457">
        <v>520513</v>
      </c>
      <c r="D26" s="458">
        <v>5396</v>
      </c>
      <c r="E26" s="454" t="s">
        <v>132</v>
      </c>
      <c r="F26" s="391">
        <v>2017</v>
      </c>
      <c r="G26" s="455">
        <v>42751</v>
      </c>
      <c r="H26" s="459" t="s">
        <v>778</v>
      </c>
      <c r="I26" s="460" t="s">
        <v>799</v>
      </c>
      <c r="J26" s="461" t="s">
        <v>729</v>
      </c>
      <c r="K26" s="462" t="s">
        <v>800</v>
      </c>
      <c r="L26" s="463" t="s">
        <v>801</v>
      </c>
      <c r="M26" s="464">
        <v>470326.34</v>
      </c>
      <c r="N26" s="464">
        <v>31656.42</v>
      </c>
      <c r="O26" s="464">
        <v>80317.240000000005</v>
      </c>
      <c r="P26" s="465">
        <v>582300</v>
      </c>
      <c r="Q26" s="392"/>
      <c r="R26" s="466">
        <v>416338.5</v>
      </c>
      <c r="S26" s="394">
        <f t="shared" si="0"/>
        <v>165961.5</v>
      </c>
      <c r="T26" s="113" t="s">
        <v>131</v>
      </c>
      <c r="U26" s="267" t="str">
        <f t="shared" si="5"/>
        <v>AA10263</v>
      </c>
      <c r="V26" s="423" t="str">
        <f t="shared" si="6"/>
        <v>0670-TCN17</v>
      </c>
      <c r="W26" s="362">
        <f t="shared" si="7"/>
        <v>520513</v>
      </c>
      <c r="X26" s="362" t="str">
        <f t="shared" si="8"/>
        <v>SIENNA XLE</v>
      </c>
      <c r="Y26" s="93">
        <f t="shared" si="9"/>
        <v>2017</v>
      </c>
      <c r="Z26" s="260">
        <f t="shared" si="10"/>
        <v>470326.34</v>
      </c>
      <c r="AA26" s="424"/>
      <c r="AB26" s="424"/>
      <c r="AC26" s="424">
        <f t="shared" si="25"/>
        <v>443562.4</v>
      </c>
      <c r="AD26" s="425">
        <f t="shared" si="12"/>
        <v>0.17</v>
      </c>
      <c r="AE26" s="424">
        <f t="shared" si="13"/>
        <v>27106.55</v>
      </c>
      <c r="AF26" s="424">
        <f t="shared" si="20"/>
        <v>31656.4198</v>
      </c>
      <c r="AG26" s="396">
        <f t="shared" si="15"/>
        <v>1.9999999858555384E-4</v>
      </c>
      <c r="AH26" s="361"/>
      <c r="AI26" s="313"/>
      <c r="AK26" s="296"/>
      <c r="AL26" s="374"/>
      <c r="AM26" s="374"/>
    </row>
    <row r="27" spans="1:45" s="348" customFormat="1" ht="12.75" customHeight="1" x14ac:dyDescent="0.2">
      <c r="A27" s="423">
        <f t="shared" si="16"/>
        <v>22</v>
      </c>
      <c r="B27" s="456" t="s">
        <v>436</v>
      </c>
      <c r="C27" s="457">
        <v>520513</v>
      </c>
      <c r="D27" s="458">
        <v>5396</v>
      </c>
      <c r="E27" s="454" t="s">
        <v>132</v>
      </c>
      <c r="F27" s="391">
        <v>2017</v>
      </c>
      <c r="G27" s="455">
        <v>42758</v>
      </c>
      <c r="H27" s="459" t="s">
        <v>727</v>
      </c>
      <c r="I27" s="460" t="s">
        <v>802</v>
      </c>
      <c r="J27" s="461" t="s">
        <v>729</v>
      </c>
      <c r="K27" s="462" t="s">
        <v>803</v>
      </c>
      <c r="L27" s="463" t="s">
        <v>804</v>
      </c>
      <c r="M27" s="464">
        <v>470326.34</v>
      </c>
      <c r="N27" s="464">
        <v>31656.42</v>
      </c>
      <c r="O27" s="464">
        <v>80317.240000000005</v>
      </c>
      <c r="P27" s="465">
        <v>582300</v>
      </c>
      <c r="Q27" s="392"/>
      <c r="R27" s="466">
        <v>416250.22</v>
      </c>
      <c r="S27" s="394">
        <f t="shared" si="0"/>
        <v>166049.78000000003</v>
      </c>
      <c r="T27" s="113" t="s">
        <v>131</v>
      </c>
      <c r="U27" s="267" t="str">
        <f t="shared" si="5"/>
        <v>AA10299</v>
      </c>
      <c r="V27" s="423" t="str">
        <f t="shared" si="6"/>
        <v>0707-TCN17</v>
      </c>
      <c r="W27" s="362">
        <f t="shared" si="7"/>
        <v>520513</v>
      </c>
      <c r="X27" s="362" t="str">
        <f t="shared" si="8"/>
        <v>SIENNA XLE</v>
      </c>
      <c r="Y27" s="93">
        <f t="shared" si="9"/>
        <v>2017</v>
      </c>
      <c r="Z27" s="260">
        <f t="shared" si="10"/>
        <v>470326.34</v>
      </c>
      <c r="AA27" s="424"/>
      <c r="AB27" s="424"/>
      <c r="AC27" s="424">
        <f t="shared" si="25"/>
        <v>443562.4</v>
      </c>
      <c r="AD27" s="425">
        <f t="shared" si="12"/>
        <v>0.17</v>
      </c>
      <c r="AE27" s="424">
        <f t="shared" si="13"/>
        <v>27106.55</v>
      </c>
      <c r="AF27" s="424">
        <f t="shared" si="20"/>
        <v>31656.4198</v>
      </c>
      <c r="AG27" s="396">
        <f t="shared" si="15"/>
        <v>1.9999999858555384E-4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ht="12.75" customHeight="1" x14ac:dyDescent="0.2">
      <c r="A28" s="423">
        <f t="shared" si="16"/>
        <v>23</v>
      </c>
      <c r="B28" s="456" t="s">
        <v>434</v>
      </c>
      <c r="C28" s="457">
        <v>520513</v>
      </c>
      <c r="D28" s="458">
        <v>5396</v>
      </c>
      <c r="E28" s="454" t="s">
        <v>132</v>
      </c>
      <c r="F28" s="391">
        <v>2017</v>
      </c>
      <c r="G28" s="455">
        <v>42747</v>
      </c>
      <c r="H28" s="459" t="s">
        <v>722</v>
      </c>
      <c r="I28" s="460" t="s">
        <v>796</v>
      </c>
      <c r="J28" s="461" t="s">
        <v>729</v>
      </c>
      <c r="K28" s="462" t="s">
        <v>797</v>
      </c>
      <c r="L28" s="463" t="s">
        <v>798</v>
      </c>
      <c r="M28" s="464">
        <v>470326.34</v>
      </c>
      <c r="N28" s="464">
        <v>31656.42</v>
      </c>
      <c r="O28" s="464">
        <v>80317.240000000005</v>
      </c>
      <c r="P28" s="465">
        <v>582300</v>
      </c>
      <c r="Q28" s="392"/>
      <c r="R28" s="466">
        <v>416294.36</v>
      </c>
      <c r="S28" s="394">
        <f t="shared" si="0"/>
        <v>166005.64000000001</v>
      </c>
      <c r="T28" s="113" t="s">
        <v>131</v>
      </c>
      <c r="U28" s="267" t="str">
        <f t="shared" si="5"/>
        <v>AA10239</v>
      </c>
      <c r="V28" s="423" t="str">
        <f t="shared" si="6"/>
        <v>0663-TCN17</v>
      </c>
      <c r="W28" s="362">
        <f t="shared" si="7"/>
        <v>520513</v>
      </c>
      <c r="X28" s="362" t="str">
        <f t="shared" si="8"/>
        <v>SIENNA XLE</v>
      </c>
      <c r="Y28" s="93">
        <f t="shared" si="9"/>
        <v>2017</v>
      </c>
      <c r="Z28" s="260">
        <f t="shared" si="10"/>
        <v>470326.34</v>
      </c>
      <c r="AA28" s="467">
        <f>SUM(Z26:Z28)</f>
        <v>1410979.02</v>
      </c>
      <c r="AB28" s="467">
        <v>3</v>
      </c>
      <c r="AC28" s="424">
        <f t="shared" si="25"/>
        <v>443562.4</v>
      </c>
      <c r="AD28" s="425">
        <f t="shared" si="12"/>
        <v>0.17</v>
      </c>
      <c r="AE28" s="424">
        <f t="shared" si="13"/>
        <v>27106.55</v>
      </c>
      <c r="AF28" s="424">
        <f t="shared" si="20"/>
        <v>31656.4198</v>
      </c>
      <c r="AG28" s="396">
        <f t="shared" si="15"/>
        <v>1.9999999858555384E-4</v>
      </c>
      <c r="AH28" s="361"/>
      <c r="AI28" s="313"/>
      <c r="AK28" s="296"/>
      <c r="AL28" s="374"/>
      <c r="AM28" s="374"/>
    </row>
    <row r="29" spans="1:45" s="348" customFormat="1" ht="12.75" customHeight="1" x14ac:dyDescent="0.2">
      <c r="A29" s="423">
        <f t="shared" si="16"/>
        <v>24</v>
      </c>
      <c r="B29" s="456" t="s">
        <v>437</v>
      </c>
      <c r="C29" s="457">
        <v>520514</v>
      </c>
      <c r="D29" s="458">
        <v>5398</v>
      </c>
      <c r="E29" s="454" t="s">
        <v>117</v>
      </c>
      <c r="F29" s="391">
        <v>2017</v>
      </c>
      <c r="G29" s="455">
        <v>42756</v>
      </c>
      <c r="H29" s="459" t="s">
        <v>739</v>
      </c>
      <c r="I29" s="460" t="s">
        <v>805</v>
      </c>
      <c r="J29" s="461" t="s">
        <v>729</v>
      </c>
      <c r="K29" s="462" t="s">
        <v>806</v>
      </c>
      <c r="L29" s="463" t="s">
        <v>807</v>
      </c>
      <c r="M29" s="464">
        <v>515345.49</v>
      </c>
      <c r="N29" s="464">
        <v>39309.68</v>
      </c>
      <c r="O29" s="464">
        <v>88744.83</v>
      </c>
      <c r="P29" s="465">
        <v>643400</v>
      </c>
      <c r="Q29" s="392"/>
      <c r="R29" s="466">
        <v>455867.08</v>
      </c>
      <c r="S29" s="394">
        <f t="shared" si="0"/>
        <v>187532.91999999998</v>
      </c>
      <c r="T29" s="267" t="s">
        <v>131</v>
      </c>
      <c r="U29" s="267" t="str">
        <f t="shared" si="5"/>
        <v>AA10295</v>
      </c>
      <c r="V29" s="423" t="str">
        <f t="shared" si="6"/>
        <v>0703-TCN17</v>
      </c>
      <c r="W29" s="362">
        <f t="shared" si="7"/>
        <v>520514</v>
      </c>
      <c r="X29" s="362" t="str">
        <f t="shared" si="8"/>
        <v>SIENNA XLE PIEL</v>
      </c>
      <c r="Y29" s="93">
        <f t="shared" si="9"/>
        <v>2017</v>
      </c>
      <c r="Z29" s="260">
        <f t="shared" si="10"/>
        <v>515345.49</v>
      </c>
      <c r="AA29" s="424"/>
      <c r="AB29" s="424"/>
      <c r="AC29" s="424">
        <f t="shared" si="25"/>
        <v>443562.4</v>
      </c>
      <c r="AD29" s="425">
        <f t="shared" si="12"/>
        <v>0.17</v>
      </c>
      <c r="AE29" s="424">
        <f t="shared" si="13"/>
        <v>27106.55</v>
      </c>
      <c r="AF29" s="424">
        <f t="shared" si="20"/>
        <v>39309.675299999995</v>
      </c>
      <c r="AG29" s="396">
        <f t="shared" si="15"/>
        <v>4.7000000049592927E-3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ht="12.75" customHeight="1" x14ac:dyDescent="0.2">
      <c r="A30" s="423">
        <f t="shared" si="16"/>
        <v>25</v>
      </c>
      <c r="B30" s="456" t="s">
        <v>438</v>
      </c>
      <c r="C30" s="457">
        <v>520514</v>
      </c>
      <c r="D30" s="458">
        <v>5398</v>
      </c>
      <c r="E30" s="454" t="s">
        <v>117</v>
      </c>
      <c r="F30" s="391">
        <v>2017</v>
      </c>
      <c r="G30" s="455">
        <v>42758</v>
      </c>
      <c r="H30" s="459" t="s">
        <v>727</v>
      </c>
      <c r="I30" s="460" t="s">
        <v>808</v>
      </c>
      <c r="J30" s="461" t="s">
        <v>729</v>
      </c>
      <c r="K30" s="462" t="s">
        <v>803</v>
      </c>
      <c r="L30" s="463" t="s">
        <v>809</v>
      </c>
      <c r="M30" s="464">
        <v>515345.49</v>
      </c>
      <c r="N30" s="464">
        <v>39309.68</v>
      </c>
      <c r="O30" s="464">
        <v>88744.83</v>
      </c>
      <c r="P30" s="465">
        <v>643400</v>
      </c>
      <c r="Q30" s="392"/>
      <c r="R30" s="466">
        <v>455867.08</v>
      </c>
      <c r="S30" s="394">
        <f t="shared" si="0"/>
        <v>187532.91999999998</v>
      </c>
      <c r="T30" s="113" t="s">
        <v>131</v>
      </c>
      <c r="U30" s="267" t="str">
        <f t="shared" si="5"/>
        <v>AA10300</v>
      </c>
      <c r="V30" s="423" t="str">
        <f t="shared" si="6"/>
        <v>0704-TCN17</v>
      </c>
      <c r="W30" s="362">
        <f t="shared" si="7"/>
        <v>520514</v>
      </c>
      <c r="X30" s="362" t="str">
        <f t="shared" si="8"/>
        <v>SIENNA XLE PIEL</v>
      </c>
      <c r="Y30" s="93">
        <f t="shared" si="9"/>
        <v>2017</v>
      </c>
      <c r="Z30" s="260">
        <f t="shared" si="10"/>
        <v>515345.49</v>
      </c>
      <c r="AA30" s="424">
        <f>+Z30+Z29</f>
        <v>1030690.98</v>
      </c>
      <c r="AB30" s="424">
        <v>2</v>
      </c>
      <c r="AC30" s="424">
        <f t="shared" si="25"/>
        <v>443562.4</v>
      </c>
      <c r="AD30" s="425">
        <f t="shared" si="12"/>
        <v>0.17</v>
      </c>
      <c r="AE30" s="424">
        <f t="shared" si="13"/>
        <v>27106.55</v>
      </c>
      <c r="AF30" s="424">
        <f t="shared" si="20"/>
        <v>39309.675299999995</v>
      </c>
      <c r="AG30" s="396">
        <f t="shared" si="15"/>
        <v>4.7000000049592927E-3</v>
      </c>
      <c r="AH30" s="361"/>
      <c r="AI30" s="313"/>
      <c r="AK30" s="296"/>
      <c r="AL30" s="374"/>
      <c r="AM30" s="374"/>
    </row>
    <row r="31" spans="1:45" s="348" customFormat="1" ht="12.75" customHeight="1" x14ac:dyDescent="0.2">
      <c r="A31" s="423">
        <f t="shared" si="16"/>
        <v>26</v>
      </c>
      <c r="B31" s="456" t="s">
        <v>440</v>
      </c>
      <c r="C31" s="457">
        <v>520515</v>
      </c>
      <c r="D31" s="458">
        <v>5399</v>
      </c>
      <c r="E31" s="454" t="s">
        <v>267</v>
      </c>
      <c r="F31" s="391">
        <v>2017</v>
      </c>
      <c r="G31" s="455">
        <v>42766</v>
      </c>
      <c r="H31" s="459" t="s">
        <v>722</v>
      </c>
      <c r="I31" s="460" t="s">
        <v>814</v>
      </c>
      <c r="J31" s="461" t="s">
        <v>729</v>
      </c>
      <c r="K31" s="462" t="s">
        <v>815</v>
      </c>
      <c r="L31" s="463" t="s">
        <v>816</v>
      </c>
      <c r="M31" s="464">
        <v>615772.84</v>
      </c>
      <c r="N31" s="464">
        <v>56382.33</v>
      </c>
      <c r="O31" s="464">
        <v>107544.83</v>
      </c>
      <c r="P31" s="465">
        <v>779700</v>
      </c>
      <c r="Q31" s="392"/>
      <c r="R31" s="466">
        <v>544287.29</v>
      </c>
      <c r="S31" s="394">
        <f t="shared" si="0"/>
        <v>235412.70999999996</v>
      </c>
      <c r="T31" s="113" t="s">
        <v>131</v>
      </c>
      <c r="U31" s="267" t="str">
        <f t="shared" si="5"/>
        <v>AA10363</v>
      </c>
      <c r="V31" s="423" t="str">
        <f t="shared" si="6"/>
        <v>0659-TCN17</v>
      </c>
      <c r="W31" s="362">
        <f t="shared" si="7"/>
        <v>520515</v>
      </c>
      <c r="X31" s="362" t="str">
        <f t="shared" si="8"/>
        <v>SIENNA LIMITED</v>
      </c>
      <c r="Y31" s="93">
        <f t="shared" si="9"/>
        <v>2017</v>
      </c>
      <c r="Z31" s="260">
        <f t="shared" si="10"/>
        <v>615772.84</v>
      </c>
      <c r="AA31" s="424"/>
      <c r="AB31" s="424"/>
      <c r="AC31" s="424">
        <f t="shared" si="25"/>
        <v>443562.4</v>
      </c>
      <c r="AD31" s="425">
        <f t="shared" si="12"/>
        <v>0.17</v>
      </c>
      <c r="AE31" s="424">
        <f t="shared" si="13"/>
        <v>27106.55</v>
      </c>
      <c r="AF31" s="424">
        <f t="shared" si="20"/>
        <v>56382.324799999988</v>
      </c>
      <c r="AG31" s="396">
        <f t="shared" si="15"/>
        <v>5.2000000141561031E-3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ht="12.75" customHeight="1" x14ac:dyDescent="0.2">
      <c r="A32" s="423">
        <f t="shared" si="16"/>
        <v>27</v>
      </c>
      <c r="B32" s="456" t="s">
        <v>439</v>
      </c>
      <c r="C32" s="457">
        <v>520515</v>
      </c>
      <c r="D32" s="458">
        <v>5399</v>
      </c>
      <c r="E32" s="454" t="s">
        <v>267</v>
      </c>
      <c r="F32" s="391">
        <v>2017</v>
      </c>
      <c r="G32" s="455">
        <v>42746</v>
      </c>
      <c r="H32" s="459" t="s">
        <v>810</v>
      </c>
      <c r="I32" s="460" t="s">
        <v>811</v>
      </c>
      <c r="J32" s="461" t="s">
        <v>729</v>
      </c>
      <c r="K32" s="462" t="s">
        <v>812</v>
      </c>
      <c r="L32" s="463" t="s">
        <v>813</v>
      </c>
      <c r="M32" s="464">
        <v>615772.84</v>
      </c>
      <c r="N32" s="464">
        <v>56382.33</v>
      </c>
      <c r="O32" s="464">
        <v>107544.83</v>
      </c>
      <c r="P32" s="465">
        <v>779700</v>
      </c>
      <c r="Q32" s="392"/>
      <c r="R32" s="466">
        <v>528193.81000000006</v>
      </c>
      <c r="S32" s="394">
        <f t="shared" si="0"/>
        <v>251506.18999999994</v>
      </c>
      <c r="T32" s="113" t="s">
        <v>131</v>
      </c>
      <c r="U32" s="426" t="str">
        <f t="shared" si="5"/>
        <v>AA10233</v>
      </c>
      <c r="V32" s="427" t="str">
        <f t="shared" si="6"/>
        <v>0545-TCN17</v>
      </c>
      <c r="W32" s="428">
        <f t="shared" si="7"/>
        <v>520515</v>
      </c>
      <c r="X32" s="428" t="str">
        <f t="shared" si="8"/>
        <v>SIENNA LIMITED</v>
      </c>
      <c r="Y32" s="429">
        <f t="shared" si="9"/>
        <v>2017</v>
      </c>
      <c r="Z32" s="430">
        <f t="shared" si="10"/>
        <v>615772.84</v>
      </c>
      <c r="AA32" s="431"/>
      <c r="AB32" s="431"/>
      <c r="AC32" s="424">
        <f t="shared" ref="AC32:AC90" si="30">VLOOKUP(Z32,TARIFA,1)</f>
        <v>443562.4</v>
      </c>
      <c r="AD32" s="425">
        <f t="shared" ref="AD32:AD90" si="31">VLOOKUP(Z32,TARIFA,4)</f>
        <v>0.17</v>
      </c>
      <c r="AE32" s="424">
        <f t="shared" ref="AE32:AE90" si="32">VLOOKUP(Z32,TARIFA,3)</f>
        <v>27106.55</v>
      </c>
      <c r="AF32" s="424">
        <f t="shared" ref="AF32:AF86" si="33">IF(Z32&lt;281240.78,(((Z32-AC32)*AD32+AE32)/2),(Z32-AC32)*AD32+AE32)</f>
        <v>56382.324799999988</v>
      </c>
      <c r="AG32" s="396">
        <f t="shared" si="15"/>
        <v>5.2000000141561031E-3</v>
      </c>
      <c r="AH32" s="361"/>
      <c r="AI32" s="313"/>
      <c r="AK32" s="296"/>
      <c r="AL32" s="374"/>
      <c r="AM32" s="374"/>
    </row>
    <row r="33" spans="1:47" s="291" customFormat="1" ht="12.75" customHeight="1" x14ac:dyDescent="0.2">
      <c r="A33" s="423">
        <f t="shared" si="16"/>
        <v>28</v>
      </c>
      <c r="B33" s="456" t="s">
        <v>441</v>
      </c>
      <c r="C33" s="457">
        <v>520515</v>
      </c>
      <c r="D33" s="458">
        <v>5399</v>
      </c>
      <c r="E33" s="454" t="s">
        <v>267</v>
      </c>
      <c r="F33" s="391">
        <v>2017</v>
      </c>
      <c r="G33" s="455">
        <v>42746</v>
      </c>
      <c r="H33" s="459" t="s">
        <v>817</v>
      </c>
      <c r="I33" s="460" t="s">
        <v>811</v>
      </c>
      <c r="J33" s="461" t="s">
        <v>729</v>
      </c>
      <c r="K33" s="462" t="s">
        <v>818</v>
      </c>
      <c r="L33" s="463" t="s">
        <v>813</v>
      </c>
      <c r="M33" s="464">
        <v>-598531.47</v>
      </c>
      <c r="N33" s="464">
        <v>-53451.29</v>
      </c>
      <c r="O33" s="464">
        <v>-104317.24</v>
      </c>
      <c r="P33" s="465">
        <v>-756300</v>
      </c>
      <c r="Q33" s="392"/>
      <c r="R33" s="466">
        <v>-528193.81000000006</v>
      </c>
      <c r="S33" s="394">
        <f t="shared" si="0"/>
        <v>-228106.18999999994</v>
      </c>
      <c r="T33" s="113" t="s">
        <v>1266</v>
      </c>
      <c r="U33" s="267" t="str">
        <f t="shared" si="5"/>
        <v>ZA03840</v>
      </c>
      <c r="V33" s="423" t="str">
        <f t="shared" si="6"/>
        <v>0545-TCN17</v>
      </c>
      <c r="W33" s="362">
        <f t="shared" si="7"/>
        <v>520515</v>
      </c>
      <c r="X33" s="362" t="str">
        <f t="shared" si="8"/>
        <v>SIENNA LIMITED</v>
      </c>
      <c r="Y33" s="93">
        <f t="shared" si="9"/>
        <v>2017</v>
      </c>
      <c r="Z33" s="260">
        <f t="shared" si="10"/>
        <v>-598531.47</v>
      </c>
      <c r="AA33" s="467">
        <f>+SUM(Z31:Z33)</f>
        <v>633014.21</v>
      </c>
      <c r="AB33" s="467">
        <v>1</v>
      </c>
      <c r="AC33" s="424"/>
      <c r="AD33" s="425"/>
      <c r="AE33" s="424"/>
      <c r="AF33" s="424">
        <f>+N33</f>
        <v>-53451.29</v>
      </c>
      <c r="AG33" s="396">
        <f t="shared" si="15"/>
        <v>0</v>
      </c>
      <c r="AH33" s="361"/>
      <c r="AI33" s="313"/>
      <c r="AK33" s="296"/>
      <c r="AL33" s="374"/>
      <c r="AM33" s="374"/>
    </row>
    <row r="34" spans="1:47" s="291" customFormat="1" ht="12.75" customHeight="1" x14ac:dyDescent="0.2">
      <c r="A34" s="423">
        <f t="shared" si="16"/>
        <v>29</v>
      </c>
      <c r="B34" s="456" t="s">
        <v>442</v>
      </c>
      <c r="C34" s="457">
        <v>520814</v>
      </c>
      <c r="D34" s="458">
        <v>4493</v>
      </c>
      <c r="E34" s="454" t="s">
        <v>693</v>
      </c>
      <c r="F34" s="391">
        <v>2017</v>
      </c>
      <c r="G34" s="455">
        <v>42761</v>
      </c>
      <c r="H34" s="459" t="s">
        <v>819</v>
      </c>
      <c r="I34" s="460" t="s">
        <v>820</v>
      </c>
      <c r="J34" s="461" t="s">
        <v>724</v>
      </c>
      <c r="K34" s="462" t="s">
        <v>821</v>
      </c>
      <c r="L34" s="463" t="s">
        <v>822</v>
      </c>
      <c r="M34" s="464">
        <v>306995.76</v>
      </c>
      <c r="N34" s="464">
        <v>8521.48</v>
      </c>
      <c r="O34" s="464">
        <v>50482.76</v>
      </c>
      <c r="P34" s="465">
        <v>366000</v>
      </c>
      <c r="Q34" s="392"/>
      <c r="R34" s="466">
        <v>269449.56</v>
      </c>
      <c r="S34" s="394">
        <f t="shared" si="0"/>
        <v>96550.44</v>
      </c>
      <c r="T34" s="267" t="s">
        <v>131</v>
      </c>
      <c r="U34" s="267" t="str">
        <f t="shared" si="5"/>
        <v>AA10323</v>
      </c>
      <c r="V34" s="423" t="str">
        <f t="shared" si="6"/>
        <v>0701-TCN17</v>
      </c>
      <c r="W34" s="362">
        <f t="shared" si="7"/>
        <v>520814</v>
      </c>
      <c r="X34" s="362" t="str">
        <f t="shared" si="8"/>
        <v>RAV4 4X2  SUV  LE</v>
      </c>
      <c r="Y34" s="93">
        <f t="shared" si="9"/>
        <v>2017</v>
      </c>
      <c r="Z34" s="260">
        <f t="shared" si="10"/>
        <v>306995.76</v>
      </c>
      <c r="AA34" s="424"/>
      <c r="AB34" s="424"/>
      <c r="AC34" s="424">
        <f t="shared" si="30"/>
        <v>295708.34000000003</v>
      </c>
      <c r="AD34" s="425">
        <f t="shared" si="31"/>
        <v>0.1</v>
      </c>
      <c r="AE34" s="424">
        <f t="shared" si="32"/>
        <v>7392.74</v>
      </c>
      <c r="AF34" s="424">
        <f t="shared" si="33"/>
        <v>8521.4819999999982</v>
      </c>
      <c r="AG34" s="396">
        <f t="shared" si="15"/>
        <v>-1.9999999985884642E-3</v>
      </c>
      <c r="AH34" s="361"/>
      <c r="AI34" s="313"/>
      <c r="AK34" s="296"/>
      <c r="AL34" s="374"/>
      <c r="AM34" s="374"/>
    </row>
    <row r="35" spans="1:47" s="291" customFormat="1" ht="12.75" customHeight="1" x14ac:dyDescent="0.2">
      <c r="A35" s="423">
        <f t="shared" si="16"/>
        <v>30</v>
      </c>
      <c r="B35" s="456" t="s">
        <v>443</v>
      </c>
      <c r="C35" s="457">
        <v>520814</v>
      </c>
      <c r="D35" s="458">
        <v>4493</v>
      </c>
      <c r="E35" s="454" t="s">
        <v>693</v>
      </c>
      <c r="F35" s="391">
        <v>2017</v>
      </c>
      <c r="G35" s="455">
        <v>42762</v>
      </c>
      <c r="H35" s="459" t="s">
        <v>778</v>
      </c>
      <c r="I35" s="460" t="s">
        <v>823</v>
      </c>
      <c r="J35" s="461" t="s">
        <v>724</v>
      </c>
      <c r="K35" s="462" t="s">
        <v>824</v>
      </c>
      <c r="L35" s="463" t="s">
        <v>825</v>
      </c>
      <c r="M35" s="464">
        <v>306995.76</v>
      </c>
      <c r="N35" s="464">
        <v>8521.48</v>
      </c>
      <c r="O35" s="464">
        <v>50482.76</v>
      </c>
      <c r="P35" s="465">
        <v>366000</v>
      </c>
      <c r="Q35" s="392"/>
      <c r="R35" s="466">
        <v>269405.40999999997</v>
      </c>
      <c r="S35" s="394">
        <f t="shared" si="0"/>
        <v>96594.590000000026</v>
      </c>
      <c r="T35" s="267" t="s">
        <v>131</v>
      </c>
      <c r="U35" s="267" t="str">
        <f t="shared" si="5"/>
        <v>AA10326</v>
      </c>
      <c r="V35" s="423" t="str">
        <f t="shared" si="6"/>
        <v>0717-TCN17</v>
      </c>
      <c r="W35" s="362">
        <f t="shared" si="7"/>
        <v>520814</v>
      </c>
      <c r="X35" s="362" t="str">
        <f t="shared" si="8"/>
        <v>RAV4 4X2  SUV  LE</v>
      </c>
      <c r="Y35" s="93">
        <f t="shared" si="9"/>
        <v>2017</v>
      </c>
      <c r="Z35" s="260">
        <f t="shared" si="10"/>
        <v>306995.76</v>
      </c>
      <c r="AA35" s="424"/>
      <c r="AB35" s="424"/>
      <c r="AC35" s="424">
        <f t="shared" si="30"/>
        <v>295708.34000000003</v>
      </c>
      <c r="AD35" s="425">
        <f t="shared" si="31"/>
        <v>0.1</v>
      </c>
      <c r="AE35" s="424">
        <f t="shared" si="32"/>
        <v>7392.74</v>
      </c>
      <c r="AF35" s="424">
        <f t="shared" si="33"/>
        <v>8521.4819999999982</v>
      </c>
      <c r="AG35" s="396">
        <f t="shared" si="15"/>
        <v>-1.9999999985884642E-3</v>
      </c>
      <c r="AH35" s="361"/>
      <c r="AI35" s="313"/>
      <c r="AK35" s="296"/>
      <c r="AL35" s="374"/>
      <c r="AM35" s="374"/>
    </row>
    <row r="36" spans="1:47" s="291" customFormat="1" ht="12.75" customHeight="1" x14ac:dyDescent="0.2">
      <c r="A36" s="423">
        <f t="shared" si="16"/>
        <v>31</v>
      </c>
      <c r="B36" s="456" t="s">
        <v>444</v>
      </c>
      <c r="C36" s="457">
        <v>520814</v>
      </c>
      <c r="D36" s="458">
        <v>4493</v>
      </c>
      <c r="E36" s="454" t="s">
        <v>693</v>
      </c>
      <c r="F36" s="391">
        <v>2017</v>
      </c>
      <c r="G36" s="455">
        <v>42741</v>
      </c>
      <c r="H36" s="459" t="s">
        <v>788</v>
      </c>
      <c r="I36" s="460" t="s">
        <v>826</v>
      </c>
      <c r="J36" s="461" t="s">
        <v>724</v>
      </c>
      <c r="K36" s="462" t="s">
        <v>827</v>
      </c>
      <c r="L36" s="463" t="s">
        <v>828</v>
      </c>
      <c r="M36" s="464">
        <v>306995.76</v>
      </c>
      <c r="N36" s="464">
        <v>8521.48</v>
      </c>
      <c r="O36" s="464">
        <v>50482.76</v>
      </c>
      <c r="P36" s="465">
        <v>366000</v>
      </c>
      <c r="Q36" s="392"/>
      <c r="R36" s="466">
        <v>366611.33</v>
      </c>
      <c r="S36" s="394">
        <f t="shared" si="0"/>
        <v>-611.3300000000163</v>
      </c>
      <c r="T36" s="113" t="s">
        <v>1266</v>
      </c>
      <c r="U36" s="267" t="str">
        <f t="shared" si="5"/>
        <v>AA10201</v>
      </c>
      <c r="V36" s="423" t="str">
        <f t="shared" si="6"/>
        <v>0615-TCN17</v>
      </c>
      <c r="W36" s="362">
        <f t="shared" si="7"/>
        <v>520814</v>
      </c>
      <c r="X36" s="362" t="str">
        <f t="shared" si="8"/>
        <v>RAV4 4X2  SUV  LE</v>
      </c>
      <c r="Y36" s="93">
        <f t="shared" si="9"/>
        <v>2017</v>
      </c>
      <c r="Z36" s="260">
        <f t="shared" si="10"/>
        <v>306995.76</v>
      </c>
      <c r="AA36" s="467">
        <f>+SUM(Z34:Z36)</f>
        <v>920987.28</v>
      </c>
      <c r="AB36" s="467">
        <v>3</v>
      </c>
      <c r="AC36" s="424">
        <f t="shared" si="30"/>
        <v>295708.34000000003</v>
      </c>
      <c r="AD36" s="425">
        <f t="shared" si="31"/>
        <v>0.1</v>
      </c>
      <c r="AE36" s="424">
        <f t="shared" si="32"/>
        <v>7392.74</v>
      </c>
      <c r="AF36" s="424">
        <f t="shared" si="33"/>
        <v>8521.4819999999982</v>
      </c>
      <c r="AG36" s="396">
        <f t="shared" si="15"/>
        <v>-1.9999999985884642E-3</v>
      </c>
      <c r="AH36" s="361"/>
      <c r="AI36" s="313"/>
      <c r="AK36" s="296"/>
      <c r="AL36" s="374"/>
      <c r="AM36" s="374"/>
    </row>
    <row r="37" spans="1:47" s="348" customFormat="1" ht="12.75" customHeight="1" x14ac:dyDescent="0.2">
      <c r="A37" s="423">
        <f t="shared" si="16"/>
        <v>32</v>
      </c>
      <c r="B37" s="456" t="s">
        <v>445</v>
      </c>
      <c r="C37" s="457">
        <v>520815</v>
      </c>
      <c r="D37" s="458">
        <v>4492</v>
      </c>
      <c r="E37" s="454" t="s">
        <v>694</v>
      </c>
      <c r="F37" s="391">
        <v>2017</v>
      </c>
      <c r="G37" s="455">
        <v>42748</v>
      </c>
      <c r="H37" s="459" t="s">
        <v>760</v>
      </c>
      <c r="I37" s="460" t="s">
        <v>829</v>
      </c>
      <c r="J37" s="461" t="s">
        <v>729</v>
      </c>
      <c r="K37" s="462" t="s">
        <v>830</v>
      </c>
      <c r="L37" s="463" t="s">
        <v>831</v>
      </c>
      <c r="M37" s="464">
        <v>346428.96</v>
      </c>
      <c r="N37" s="464">
        <v>12536.56</v>
      </c>
      <c r="O37" s="464">
        <v>57434.48</v>
      </c>
      <c r="P37" s="465">
        <v>416400</v>
      </c>
      <c r="Q37" s="392"/>
      <c r="R37" s="466">
        <v>296567.37</v>
      </c>
      <c r="S37" s="394">
        <f t="shared" si="0"/>
        <v>119832.63</v>
      </c>
      <c r="T37" s="113" t="s">
        <v>131</v>
      </c>
      <c r="U37" s="267" t="str">
        <f t="shared" si="5"/>
        <v>AA10245</v>
      </c>
      <c r="V37" s="423" t="str">
        <f t="shared" si="6"/>
        <v>0395-TCN17</v>
      </c>
      <c r="W37" s="362">
        <f t="shared" si="7"/>
        <v>520815</v>
      </c>
      <c r="X37" s="362" t="str">
        <f t="shared" si="8"/>
        <v>RAV4 L4 AWD XLE</v>
      </c>
      <c r="Y37" s="93">
        <f t="shared" si="9"/>
        <v>2017</v>
      </c>
      <c r="Z37" s="260">
        <f t="shared" si="10"/>
        <v>346428.96</v>
      </c>
      <c r="AA37" s="468">
        <f>+Z37</f>
        <v>346428.96</v>
      </c>
      <c r="AB37" s="468">
        <v>1</v>
      </c>
      <c r="AC37" s="424">
        <f t="shared" si="30"/>
        <v>344993.21</v>
      </c>
      <c r="AD37" s="425">
        <f t="shared" si="31"/>
        <v>0.15</v>
      </c>
      <c r="AE37" s="424">
        <f t="shared" si="32"/>
        <v>12321.2</v>
      </c>
      <c r="AF37" s="424">
        <f t="shared" si="33"/>
        <v>12536.5625</v>
      </c>
      <c r="AG37" s="396">
        <f t="shared" si="15"/>
        <v>-2.500000000509317E-3</v>
      </c>
      <c r="AH37" s="361"/>
      <c r="AI37" s="347"/>
      <c r="AK37" s="353"/>
      <c r="AL37" s="330"/>
      <c r="AM37" s="330"/>
    </row>
    <row r="38" spans="1:47" s="291" customFormat="1" ht="12.75" customHeight="1" x14ac:dyDescent="0.2">
      <c r="A38" s="423">
        <f t="shared" si="16"/>
        <v>33</v>
      </c>
      <c r="B38" s="456" t="s">
        <v>447</v>
      </c>
      <c r="C38" s="457">
        <v>520816</v>
      </c>
      <c r="D38" s="458">
        <v>4497</v>
      </c>
      <c r="E38" s="454" t="s">
        <v>695</v>
      </c>
      <c r="F38" s="391">
        <v>2017</v>
      </c>
      <c r="G38" s="455">
        <v>42738</v>
      </c>
      <c r="H38" s="459" t="s">
        <v>760</v>
      </c>
      <c r="I38" s="460" t="s">
        <v>835</v>
      </c>
      <c r="J38" s="461" t="s">
        <v>724</v>
      </c>
      <c r="K38" s="462" t="s">
        <v>836</v>
      </c>
      <c r="L38" s="463" t="s">
        <v>837</v>
      </c>
      <c r="M38" s="464">
        <v>401301.52</v>
      </c>
      <c r="N38" s="464">
        <v>20767.45</v>
      </c>
      <c r="O38" s="464">
        <v>67531.03</v>
      </c>
      <c r="P38" s="465">
        <v>489600</v>
      </c>
      <c r="Q38" s="392"/>
      <c r="R38" s="466">
        <v>358442.92</v>
      </c>
      <c r="S38" s="394">
        <f t="shared" si="0"/>
        <v>131157.08000000002</v>
      </c>
      <c r="T38" s="113" t="s">
        <v>131</v>
      </c>
      <c r="U38" s="267" t="str">
        <f t="shared" si="5"/>
        <v>AA10196</v>
      </c>
      <c r="V38" s="423" t="str">
        <f t="shared" si="6"/>
        <v>0609-TCN17</v>
      </c>
      <c r="W38" s="362">
        <f t="shared" si="7"/>
        <v>520816</v>
      </c>
      <c r="X38" s="362" t="str">
        <f t="shared" si="8"/>
        <v>RAV4 L4 AWD LIMITED</v>
      </c>
      <c r="Y38" s="93">
        <f t="shared" si="9"/>
        <v>2017</v>
      </c>
      <c r="Z38" s="260">
        <f t="shared" si="10"/>
        <v>401301.52</v>
      </c>
      <c r="AA38" s="424"/>
      <c r="AB38" s="424"/>
      <c r="AC38" s="424">
        <f t="shared" si="30"/>
        <v>344993.21</v>
      </c>
      <c r="AD38" s="425">
        <f t="shared" si="31"/>
        <v>0.15</v>
      </c>
      <c r="AE38" s="424">
        <f t="shared" si="32"/>
        <v>12321.2</v>
      </c>
      <c r="AF38" s="424">
        <f t="shared" si="33"/>
        <v>20767.446499999998</v>
      </c>
      <c r="AG38" s="396">
        <f t="shared" si="15"/>
        <v>3.5000000025320332E-3</v>
      </c>
      <c r="AH38" s="361"/>
      <c r="AI38" s="313"/>
      <c r="AK38" s="296"/>
      <c r="AL38" s="313"/>
      <c r="AM38" s="374"/>
    </row>
    <row r="39" spans="1:47" s="348" customFormat="1" ht="12.75" customHeight="1" x14ac:dyDescent="0.2">
      <c r="A39" s="423">
        <f t="shared" si="16"/>
        <v>34</v>
      </c>
      <c r="B39" s="456" t="s">
        <v>446</v>
      </c>
      <c r="C39" s="457">
        <v>520816</v>
      </c>
      <c r="D39" s="458">
        <v>4497</v>
      </c>
      <c r="E39" s="454" t="s">
        <v>695</v>
      </c>
      <c r="F39" s="391">
        <v>2017</v>
      </c>
      <c r="G39" s="455">
        <v>42738</v>
      </c>
      <c r="H39" s="459" t="s">
        <v>778</v>
      </c>
      <c r="I39" s="460" t="s">
        <v>832</v>
      </c>
      <c r="J39" s="461" t="s">
        <v>729</v>
      </c>
      <c r="K39" s="462" t="s">
        <v>833</v>
      </c>
      <c r="L39" s="463" t="s">
        <v>834</v>
      </c>
      <c r="M39" s="464">
        <v>401301.52</v>
      </c>
      <c r="N39" s="464">
        <v>20767.45</v>
      </c>
      <c r="O39" s="464">
        <v>67531.03</v>
      </c>
      <c r="P39" s="465">
        <v>489600</v>
      </c>
      <c r="Q39" s="392"/>
      <c r="R39" s="466">
        <v>358132.58</v>
      </c>
      <c r="S39" s="394">
        <f t="shared" si="0"/>
        <v>131467.41999999998</v>
      </c>
      <c r="T39" s="113" t="s">
        <v>131</v>
      </c>
      <c r="U39" s="267" t="str">
        <f t="shared" si="5"/>
        <v>AA10187</v>
      </c>
      <c r="V39" s="423" t="str">
        <f t="shared" si="6"/>
        <v>0266-TCN17</v>
      </c>
      <c r="W39" s="362">
        <f t="shared" si="7"/>
        <v>520816</v>
      </c>
      <c r="X39" s="362" t="str">
        <f t="shared" si="8"/>
        <v>RAV4 L4 AWD LIMITED</v>
      </c>
      <c r="Y39" s="93">
        <f t="shared" si="9"/>
        <v>2017</v>
      </c>
      <c r="Z39" s="260">
        <f t="shared" si="10"/>
        <v>401301.52</v>
      </c>
      <c r="AA39" s="467">
        <f>+Z39+Z38</f>
        <v>802603.04</v>
      </c>
      <c r="AB39" s="467">
        <v>2</v>
      </c>
      <c r="AC39" s="424">
        <f t="shared" si="30"/>
        <v>344993.21</v>
      </c>
      <c r="AD39" s="425">
        <f t="shared" si="31"/>
        <v>0.15</v>
      </c>
      <c r="AE39" s="424">
        <f t="shared" si="32"/>
        <v>12321.2</v>
      </c>
      <c r="AF39" s="424">
        <f t="shared" si="33"/>
        <v>20767.446499999998</v>
      </c>
      <c r="AG39" s="396">
        <f t="shared" si="15"/>
        <v>3.5000000025320332E-3</v>
      </c>
      <c r="AH39" s="361"/>
      <c r="AI39" s="363"/>
      <c r="AK39" s="353"/>
      <c r="AL39" s="330"/>
      <c r="AM39" s="330"/>
    </row>
    <row r="40" spans="1:47" s="291" customFormat="1" ht="12.75" customHeight="1" x14ac:dyDescent="0.2">
      <c r="A40" s="423">
        <f t="shared" si="16"/>
        <v>35</v>
      </c>
      <c r="B40" s="456" t="s">
        <v>448</v>
      </c>
      <c r="C40" s="457">
        <v>520819</v>
      </c>
      <c r="D40" s="458">
        <v>4498</v>
      </c>
      <c r="E40" s="454" t="s">
        <v>696</v>
      </c>
      <c r="F40" s="391">
        <v>2017</v>
      </c>
      <c r="G40" s="455">
        <v>42763</v>
      </c>
      <c r="H40" s="459" t="s">
        <v>792</v>
      </c>
      <c r="I40" s="460" t="s">
        <v>838</v>
      </c>
      <c r="J40" s="461" t="s">
        <v>729</v>
      </c>
      <c r="K40" s="462" t="s">
        <v>839</v>
      </c>
      <c r="L40" s="463" t="s">
        <v>840</v>
      </c>
      <c r="M40" s="464">
        <v>373790.27</v>
      </c>
      <c r="N40" s="464">
        <v>16640.759999999998</v>
      </c>
      <c r="O40" s="464">
        <v>62468.97</v>
      </c>
      <c r="P40" s="465">
        <v>452900</v>
      </c>
      <c r="Q40" s="392"/>
      <c r="R40" s="466">
        <v>319849.96999999997</v>
      </c>
      <c r="S40" s="394">
        <f t="shared" si="0"/>
        <v>133050.03000000003</v>
      </c>
      <c r="T40" s="113" t="s">
        <v>131</v>
      </c>
      <c r="U40" s="267" t="str">
        <f t="shared" si="5"/>
        <v>AA10343</v>
      </c>
      <c r="V40" s="423" t="str">
        <f t="shared" si="6"/>
        <v>0430-TCN17</v>
      </c>
      <c r="W40" s="362">
        <f t="shared" si="7"/>
        <v>520819</v>
      </c>
      <c r="X40" s="362" t="str">
        <f t="shared" si="8"/>
        <v>RAV4 XLE PLUS</v>
      </c>
      <c r="Y40" s="93">
        <f t="shared" si="9"/>
        <v>2017</v>
      </c>
      <c r="Z40" s="260">
        <f t="shared" si="10"/>
        <v>373790.27</v>
      </c>
      <c r="AA40" s="424"/>
      <c r="AB40" s="424"/>
      <c r="AC40" s="424">
        <f t="shared" si="30"/>
        <v>344993.21</v>
      </c>
      <c r="AD40" s="425">
        <f t="shared" si="31"/>
        <v>0.15</v>
      </c>
      <c r="AE40" s="424">
        <f t="shared" si="32"/>
        <v>12321.2</v>
      </c>
      <c r="AF40" s="424">
        <f t="shared" si="33"/>
        <v>16640.758999999998</v>
      </c>
      <c r="AG40" s="396">
        <f t="shared" si="15"/>
        <v>1.0000000002037268E-3</v>
      </c>
      <c r="AH40" s="361"/>
      <c r="AI40" s="313"/>
      <c r="AK40" s="296"/>
      <c r="AL40" s="374"/>
      <c r="AM40" s="374"/>
    </row>
    <row r="41" spans="1:47" s="291" customFormat="1" ht="12.75" customHeight="1" x14ac:dyDescent="0.2">
      <c r="A41" s="423">
        <f t="shared" si="16"/>
        <v>36</v>
      </c>
      <c r="B41" s="456" t="s">
        <v>449</v>
      </c>
      <c r="C41" s="457">
        <v>520819</v>
      </c>
      <c r="D41" s="458">
        <v>4498</v>
      </c>
      <c r="E41" s="454" t="s">
        <v>696</v>
      </c>
      <c r="F41" s="391">
        <v>2017</v>
      </c>
      <c r="G41" s="455">
        <v>42765</v>
      </c>
      <c r="H41" s="459" t="s">
        <v>760</v>
      </c>
      <c r="I41" s="460" t="s">
        <v>841</v>
      </c>
      <c r="J41" s="461" t="s">
        <v>729</v>
      </c>
      <c r="K41" s="462" t="s">
        <v>842</v>
      </c>
      <c r="L41" s="463" t="s">
        <v>843</v>
      </c>
      <c r="M41" s="464">
        <v>373790.27</v>
      </c>
      <c r="N41" s="464">
        <v>16640.759999999998</v>
      </c>
      <c r="O41" s="464">
        <v>62468.97</v>
      </c>
      <c r="P41" s="465">
        <v>452900</v>
      </c>
      <c r="Q41" s="392"/>
      <c r="R41" s="466">
        <v>319849.96999999997</v>
      </c>
      <c r="S41" s="394">
        <f t="shared" si="0"/>
        <v>133050.03000000003</v>
      </c>
      <c r="T41" s="113" t="s">
        <v>131</v>
      </c>
      <c r="U41" s="267" t="str">
        <f t="shared" si="5"/>
        <v>AA10345</v>
      </c>
      <c r="V41" s="423" t="str">
        <f t="shared" si="6"/>
        <v>0436-TCN17</v>
      </c>
      <c r="W41" s="362">
        <f t="shared" si="7"/>
        <v>520819</v>
      </c>
      <c r="X41" s="362" t="str">
        <f t="shared" si="8"/>
        <v>RAV4 XLE PLUS</v>
      </c>
      <c r="Y41" s="93">
        <f t="shared" si="9"/>
        <v>2017</v>
      </c>
      <c r="Z41" s="260">
        <f t="shared" si="10"/>
        <v>373790.27</v>
      </c>
      <c r="AA41" s="467">
        <f>+Z40+Z41</f>
        <v>747580.54</v>
      </c>
      <c r="AB41" s="467">
        <v>2</v>
      </c>
      <c r="AC41" s="424">
        <f t="shared" si="30"/>
        <v>344993.21</v>
      </c>
      <c r="AD41" s="425">
        <f t="shared" si="31"/>
        <v>0.15</v>
      </c>
      <c r="AE41" s="424">
        <f t="shared" si="32"/>
        <v>12321.2</v>
      </c>
      <c r="AF41" s="424">
        <f t="shared" si="33"/>
        <v>16640.758999999998</v>
      </c>
      <c r="AG41" s="396">
        <f t="shared" si="15"/>
        <v>1.0000000002037268E-3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ht="12.75" customHeight="1" x14ac:dyDescent="0.2">
      <c r="A42" s="423">
        <f t="shared" si="16"/>
        <v>37</v>
      </c>
      <c r="B42" s="456" t="s">
        <v>450</v>
      </c>
      <c r="C42" s="457">
        <v>520908</v>
      </c>
      <c r="D42" s="458">
        <v>2008</v>
      </c>
      <c r="E42" s="454" t="s">
        <v>697</v>
      </c>
      <c r="F42" s="391">
        <v>2017</v>
      </c>
      <c r="G42" s="455">
        <v>42738</v>
      </c>
      <c r="H42" s="459" t="s">
        <v>810</v>
      </c>
      <c r="I42" s="460" t="s">
        <v>844</v>
      </c>
      <c r="J42" s="461" t="s">
        <v>729</v>
      </c>
      <c r="K42" s="462" t="s">
        <v>845</v>
      </c>
      <c r="L42" s="463" t="s">
        <v>846</v>
      </c>
      <c r="M42" s="464">
        <v>196034.48</v>
      </c>
      <c r="N42" s="464">
        <v>0</v>
      </c>
      <c r="O42" s="464">
        <v>31365.52</v>
      </c>
      <c r="P42" s="465">
        <v>227400</v>
      </c>
      <c r="Q42" s="392"/>
      <c r="R42" s="466">
        <v>177580.64</v>
      </c>
      <c r="S42" s="394">
        <f t="shared" si="0"/>
        <v>49819.359999999986</v>
      </c>
      <c r="T42" s="267" t="s">
        <v>131</v>
      </c>
      <c r="U42" s="267" t="str">
        <f t="shared" si="5"/>
        <v>AA10191</v>
      </c>
      <c r="V42" s="423" t="str">
        <f t="shared" si="6"/>
        <v>0606-TCN17</v>
      </c>
      <c r="W42" s="362">
        <f t="shared" si="7"/>
        <v>520908</v>
      </c>
      <c r="X42" s="362" t="str">
        <f t="shared" si="8"/>
        <v>YARIS HB S MT</v>
      </c>
      <c r="Y42" s="93">
        <f t="shared" si="9"/>
        <v>2017</v>
      </c>
      <c r="Z42" s="260">
        <f t="shared" si="10"/>
        <v>196034.48</v>
      </c>
      <c r="AA42" s="468">
        <f>+Z42</f>
        <v>196034.48</v>
      </c>
      <c r="AB42" s="468">
        <v>1</v>
      </c>
      <c r="AC42" s="424">
        <f t="shared" si="30"/>
        <v>0.01</v>
      </c>
      <c r="AD42" s="425">
        <f t="shared" si="31"/>
        <v>0.02</v>
      </c>
      <c r="AE42" s="424">
        <f t="shared" si="32"/>
        <v>0</v>
      </c>
      <c r="AF42" s="424">
        <f t="shared" si="33"/>
        <v>1960.3447000000001</v>
      </c>
      <c r="AG42" s="448">
        <f t="shared" si="15"/>
        <v>-1960.3447000000001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ht="12.75" customHeight="1" x14ac:dyDescent="0.2">
      <c r="A43" s="423">
        <f t="shared" si="16"/>
        <v>38</v>
      </c>
      <c r="B43" s="456" t="s">
        <v>451</v>
      </c>
      <c r="C43" s="457">
        <v>520909</v>
      </c>
      <c r="D43" s="458">
        <v>2009</v>
      </c>
      <c r="E43" s="454" t="s">
        <v>698</v>
      </c>
      <c r="F43" s="391">
        <v>2017</v>
      </c>
      <c r="G43" s="455">
        <v>42760</v>
      </c>
      <c r="H43" s="459" t="s">
        <v>847</v>
      </c>
      <c r="I43" s="460" t="s">
        <v>848</v>
      </c>
      <c r="J43" s="461" t="s">
        <v>729</v>
      </c>
      <c r="K43" s="462" t="s">
        <v>849</v>
      </c>
      <c r="L43" s="463" t="s">
        <v>850</v>
      </c>
      <c r="M43" s="464">
        <v>213965.52</v>
      </c>
      <c r="N43" s="464">
        <v>0</v>
      </c>
      <c r="O43" s="464">
        <v>34234.480000000003</v>
      </c>
      <c r="P43" s="465">
        <v>248200</v>
      </c>
      <c r="Q43" s="392"/>
      <c r="R43" s="466">
        <v>189373.74</v>
      </c>
      <c r="S43" s="394">
        <f t="shared" si="0"/>
        <v>58826.260000000009</v>
      </c>
      <c r="T43" s="113" t="s">
        <v>131</v>
      </c>
      <c r="U43" s="267" t="str">
        <f t="shared" si="5"/>
        <v>AA10313</v>
      </c>
      <c r="V43" s="423" t="str">
        <f t="shared" si="6"/>
        <v>0345-TCN17</v>
      </c>
      <c r="W43" s="362">
        <f t="shared" si="7"/>
        <v>520909</v>
      </c>
      <c r="X43" s="362" t="str">
        <f t="shared" si="8"/>
        <v>YARIS HB S CVT</v>
      </c>
      <c r="Y43" s="93">
        <f t="shared" si="9"/>
        <v>2017</v>
      </c>
      <c r="Z43" s="260">
        <f t="shared" si="10"/>
        <v>213965.52</v>
      </c>
      <c r="AA43" s="468">
        <f>+Z43</f>
        <v>213965.52</v>
      </c>
      <c r="AB43" s="468">
        <v>1</v>
      </c>
      <c r="AC43" s="424">
        <f t="shared" si="30"/>
        <v>0.01</v>
      </c>
      <c r="AD43" s="425">
        <f t="shared" si="31"/>
        <v>0.02</v>
      </c>
      <c r="AE43" s="424">
        <f t="shared" si="32"/>
        <v>0</v>
      </c>
      <c r="AF43" s="424">
        <f t="shared" si="33"/>
        <v>2139.6550999999999</v>
      </c>
      <c r="AG43" s="448">
        <f t="shared" si="15"/>
        <v>-2139.6550999999999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3">
        <f t="shared" si="16"/>
        <v>39</v>
      </c>
      <c r="B44" s="456" t="s">
        <v>452</v>
      </c>
      <c r="C44" s="457">
        <v>521006</v>
      </c>
      <c r="D44" s="458">
        <v>7983</v>
      </c>
      <c r="E44" s="454" t="s">
        <v>699</v>
      </c>
      <c r="F44" s="391">
        <v>2017</v>
      </c>
      <c r="G44" s="455">
        <v>42759</v>
      </c>
      <c r="H44" s="459" t="s">
        <v>817</v>
      </c>
      <c r="I44" s="460" t="s">
        <v>851</v>
      </c>
      <c r="J44" s="461" t="s">
        <v>729</v>
      </c>
      <c r="K44" s="462" t="s">
        <v>852</v>
      </c>
      <c r="L44" s="463" t="s">
        <v>853</v>
      </c>
      <c r="M44" s="464">
        <v>729603.13</v>
      </c>
      <c r="N44" s="464">
        <v>72293.42</v>
      </c>
      <c r="O44" s="464">
        <v>128303.45</v>
      </c>
      <c r="P44" s="465">
        <v>930200</v>
      </c>
      <c r="Q44" s="392"/>
      <c r="R44" s="466">
        <v>630089.88</v>
      </c>
      <c r="S44" s="394">
        <f t="shared" si="0"/>
        <v>300110.12</v>
      </c>
      <c r="T44" s="113" t="s">
        <v>131</v>
      </c>
      <c r="U44" s="267" t="str">
        <f t="shared" si="5"/>
        <v>AA10311</v>
      </c>
      <c r="V44" s="423" t="str">
        <f t="shared" si="6"/>
        <v>0587-TCN17</v>
      </c>
      <c r="W44" s="362">
        <f t="shared" si="7"/>
        <v>521006</v>
      </c>
      <c r="X44" s="362" t="str">
        <f t="shared" si="8"/>
        <v>SEQUOIA 4 DOOR PLATINUM SUV</v>
      </c>
      <c r="Y44" s="93">
        <f t="shared" si="9"/>
        <v>2017</v>
      </c>
      <c r="Z44" s="260">
        <f t="shared" si="10"/>
        <v>729603.13</v>
      </c>
      <c r="AA44" s="468">
        <f>+Z44</f>
        <v>729603.13</v>
      </c>
      <c r="AB44" s="468">
        <v>1</v>
      </c>
      <c r="AC44" s="424">
        <f t="shared" si="30"/>
        <v>443562.4</v>
      </c>
      <c r="AD44" s="425">
        <f t="shared" si="31"/>
        <v>0.17</v>
      </c>
      <c r="AE44" s="424">
        <f t="shared" si="32"/>
        <v>27106.55</v>
      </c>
      <c r="AF44" s="424">
        <f t="shared" si="33"/>
        <v>75733.474100000007</v>
      </c>
      <c r="AG44" s="396">
        <f t="shared" si="15"/>
        <v>-3440.0541000000085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3">
        <f t="shared" si="16"/>
        <v>40</v>
      </c>
      <c r="B45" s="456" t="s">
        <v>458</v>
      </c>
      <c r="C45" s="457">
        <v>521101</v>
      </c>
      <c r="D45" s="458">
        <v>1253</v>
      </c>
      <c r="E45" s="454" t="s">
        <v>30</v>
      </c>
      <c r="F45" s="391">
        <v>2017</v>
      </c>
      <c r="G45" s="455">
        <v>42738</v>
      </c>
      <c r="H45" s="459" t="s">
        <v>817</v>
      </c>
      <c r="I45" s="460" t="s">
        <v>868</v>
      </c>
      <c r="J45" s="461" t="s">
        <v>724</v>
      </c>
      <c r="K45" s="462" t="s">
        <v>869</v>
      </c>
      <c r="L45" s="463" t="s">
        <v>870</v>
      </c>
      <c r="M45" s="464">
        <v>335948.28</v>
      </c>
      <c r="N45" s="464">
        <v>0</v>
      </c>
      <c r="O45" s="464">
        <v>53751.72</v>
      </c>
      <c r="P45" s="465">
        <v>389700</v>
      </c>
      <c r="Q45" s="392"/>
      <c r="R45" s="466">
        <v>306185.34999999998</v>
      </c>
      <c r="S45" s="394">
        <f t="shared" si="0"/>
        <v>83514.650000000023</v>
      </c>
      <c r="T45" s="113" t="s">
        <v>131</v>
      </c>
      <c r="U45" s="267" t="str">
        <f t="shared" si="5"/>
        <v>AA10197</v>
      </c>
      <c r="V45" s="423" t="str">
        <f t="shared" si="6"/>
        <v>1300-TCN16</v>
      </c>
      <c r="W45" s="362">
        <f t="shared" si="7"/>
        <v>521101</v>
      </c>
      <c r="X45" s="362" t="str">
        <f t="shared" si="8"/>
        <v>PRIUS</v>
      </c>
      <c r="Y45" s="93">
        <f t="shared" si="9"/>
        <v>2017</v>
      </c>
      <c r="Z45" s="260">
        <f t="shared" si="10"/>
        <v>335948.28</v>
      </c>
      <c r="AA45" s="424"/>
      <c r="AB45" s="424"/>
      <c r="AC45" s="424">
        <f t="shared" si="30"/>
        <v>295708.34000000003</v>
      </c>
      <c r="AD45" s="425">
        <f t="shared" si="31"/>
        <v>0.1</v>
      </c>
      <c r="AE45" s="424">
        <f t="shared" si="32"/>
        <v>7392.74</v>
      </c>
      <c r="AF45" s="424">
        <v>0</v>
      </c>
      <c r="AG45" s="396">
        <f t="shared" si="15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3">
        <f t="shared" si="16"/>
        <v>41</v>
      </c>
      <c r="B46" s="456" t="s">
        <v>453</v>
      </c>
      <c r="C46" s="457">
        <v>521101</v>
      </c>
      <c r="D46" s="458">
        <v>1253</v>
      </c>
      <c r="E46" s="454" t="s">
        <v>30</v>
      </c>
      <c r="F46" s="391">
        <v>2017</v>
      </c>
      <c r="G46" s="455">
        <v>42737</v>
      </c>
      <c r="H46" s="459" t="s">
        <v>739</v>
      </c>
      <c r="I46" s="460" t="s">
        <v>854</v>
      </c>
      <c r="J46" s="461" t="s">
        <v>729</v>
      </c>
      <c r="K46" s="462" t="s">
        <v>830</v>
      </c>
      <c r="L46" s="463" t="s">
        <v>855</v>
      </c>
      <c r="M46" s="464">
        <v>356724.14</v>
      </c>
      <c r="N46" s="464">
        <v>0</v>
      </c>
      <c r="O46" s="464">
        <v>57075.86</v>
      </c>
      <c r="P46" s="465">
        <v>413800</v>
      </c>
      <c r="Q46" s="392"/>
      <c r="R46" s="466">
        <v>316613.65999999997</v>
      </c>
      <c r="S46" s="394">
        <f t="shared" si="0"/>
        <v>97186.340000000026</v>
      </c>
      <c r="T46" s="444" t="s">
        <v>131</v>
      </c>
      <c r="U46" s="267" t="str">
        <f t="shared" si="5"/>
        <v>AA10158</v>
      </c>
      <c r="V46" s="423" t="str">
        <f t="shared" si="6"/>
        <v>0354-TCN17</v>
      </c>
      <c r="W46" s="362">
        <f t="shared" si="7"/>
        <v>521101</v>
      </c>
      <c r="X46" s="362" t="str">
        <f t="shared" si="8"/>
        <v>PRIUS</v>
      </c>
      <c r="Y46" s="93">
        <f t="shared" si="9"/>
        <v>2017</v>
      </c>
      <c r="Z46" s="260">
        <f t="shared" si="10"/>
        <v>356724.14</v>
      </c>
      <c r="AA46" s="424"/>
      <c r="AB46" s="424"/>
      <c r="AC46" s="424">
        <f t="shared" si="30"/>
        <v>344993.21</v>
      </c>
      <c r="AD46" s="425">
        <f t="shared" si="31"/>
        <v>0.15</v>
      </c>
      <c r="AE46" s="424">
        <f t="shared" si="32"/>
        <v>12321.2</v>
      </c>
      <c r="AF46" s="424">
        <v>0</v>
      </c>
      <c r="AG46" s="396">
        <f t="shared" si="15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3">
        <f t="shared" si="16"/>
        <v>42</v>
      </c>
      <c r="B47" s="456" t="s">
        <v>456</v>
      </c>
      <c r="C47" s="457">
        <v>521101</v>
      </c>
      <c r="D47" s="458">
        <v>1251</v>
      </c>
      <c r="E47" s="454" t="s">
        <v>700</v>
      </c>
      <c r="F47" s="391">
        <v>2017</v>
      </c>
      <c r="G47" s="455">
        <v>42752</v>
      </c>
      <c r="H47" s="459" t="s">
        <v>788</v>
      </c>
      <c r="I47" s="460" t="s">
        <v>862</v>
      </c>
      <c r="J47" s="461" t="s">
        <v>724</v>
      </c>
      <c r="K47" s="462" t="s">
        <v>863</v>
      </c>
      <c r="L47" s="463" t="s">
        <v>864</v>
      </c>
      <c r="M47" s="464">
        <v>303189.65999999997</v>
      </c>
      <c r="N47" s="464">
        <v>0</v>
      </c>
      <c r="O47" s="464">
        <v>48510.34</v>
      </c>
      <c r="P47" s="465">
        <v>351700</v>
      </c>
      <c r="Q47" s="392"/>
      <c r="R47" s="466">
        <v>275753.03999999998</v>
      </c>
      <c r="S47" s="394">
        <f t="shared" si="0"/>
        <v>75946.960000000021</v>
      </c>
      <c r="T47" s="267" t="s">
        <v>131</v>
      </c>
      <c r="U47" s="267" t="str">
        <f t="shared" si="5"/>
        <v>AA10265</v>
      </c>
      <c r="V47" s="423" t="str">
        <f t="shared" si="6"/>
        <v>0673-TCN17</v>
      </c>
      <c r="W47" s="362">
        <f t="shared" si="7"/>
        <v>521101</v>
      </c>
      <c r="X47" s="362" t="str">
        <f t="shared" si="8"/>
        <v>PRIUS HYBRID BASE</v>
      </c>
      <c r="Y47" s="93">
        <f t="shared" si="9"/>
        <v>2017</v>
      </c>
      <c r="Z47" s="260">
        <f t="shared" si="10"/>
        <v>303189.65999999997</v>
      </c>
      <c r="AA47" s="424"/>
      <c r="AB47" s="424"/>
      <c r="AC47" s="424">
        <f t="shared" si="30"/>
        <v>295708.34000000003</v>
      </c>
      <c r="AD47" s="425">
        <f t="shared" si="31"/>
        <v>0.1</v>
      </c>
      <c r="AE47" s="424">
        <f t="shared" si="32"/>
        <v>7392.74</v>
      </c>
      <c r="AF47" s="424">
        <v>0</v>
      </c>
      <c r="AG47" s="396">
        <f t="shared" si="15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3">
        <f t="shared" si="16"/>
        <v>43</v>
      </c>
      <c r="B48" s="456" t="s">
        <v>455</v>
      </c>
      <c r="C48" s="457">
        <v>521101</v>
      </c>
      <c r="D48" s="458">
        <v>1253</v>
      </c>
      <c r="E48" s="454" t="s">
        <v>30</v>
      </c>
      <c r="F48" s="391">
        <v>2017</v>
      </c>
      <c r="G48" s="455">
        <v>42752</v>
      </c>
      <c r="H48" s="459" t="s">
        <v>847</v>
      </c>
      <c r="I48" s="460" t="s">
        <v>859</v>
      </c>
      <c r="J48" s="461" t="s">
        <v>724</v>
      </c>
      <c r="K48" s="462" t="s">
        <v>860</v>
      </c>
      <c r="L48" s="463" t="s">
        <v>861</v>
      </c>
      <c r="M48" s="464">
        <v>367413.79</v>
      </c>
      <c r="N48" s="464">
        <v>0</v>
      </c>
      <c r="O48" s="464">
        <v>58786.21</v>
      </c>
      <c r="P48" s="465">
        <v>426200</v>
      </c>
      <c r="Q48" s="392"/>
      <c r="R48" s="466">
        <v>325830.90000000002</v>
      </c>
      <c r="S48" s="394">
        <f t="shared" si="0"/>
        <v>100369.09999999998</v>
      </c>
      <c r="T48" s="113" t="s">
        <v>131</v>
      </c>
      <c r="U48" s="267" t="str">
        <f t="shared" si="5"/>
        <v>AA10266</v>
      </c>
      <c r="V48" s="423" t="str">
        <f t="shared" si="6"/>
        <v>0657-TCN17</v>
      </c>
      <c r="W48" s="362">
        <f t="shared" si="7"/>
        <v>521101</v>
      </c>
      <c r="X48" s="362" t="str">
        <f t="shared" si="8"/>
        <v>PRIUS</v>
      </c>
      <c r="Y48" s="93">
        <f t="shared" si="9"/>
        <v>2017</v>
      </c>
      <c r="Z48" s="260">
        <f t="shared" si="10"/>
        <v>367413.79</v>
      </c>
      <c r="AA48" s="424"/>
      <c r="AB48" s="424"/>
      <c r="AC48" s="424">
        <f t="shared" si="30"/>
        <v>344993.21</v>
      </c>
      <c r="AD48" s="425">
        <f t="shared" si="31"/>
        <v>0.15</v>
      </c>
      <c r="AE48" s="424">
        <f t="shared" si="32"/>
        <v>12321.2</v>
      </c>
      <c r="AF48" s="424">
        <v>0</v>
      </c>
      <c r="AG48" s="396">
        <f t="shared" si="15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3">
        <f t="shared" si="16"/>
        <v>44</v>
      </c>
      <c r="B49" s="456" t="s">
        <v>457</v>
      </c>
      <c r="C49" s="457">
        <v>521101</v>
      </c>
      <c r="D49" s="458">
        <v>1253</v>
      </c>
      <c r="E49" s="454" t="s">
        <v>30</v>
      </c>
      <c r="F49" s="391">
        <v>2017</v>
      </c>
      <c r="G49" s="455">
        <v>42759</v>
      </c>
      <c r="H49" s="459" t="s">
        <v>747</v>
      </c>
      <c r="I49" s="460" t="s">
        <v>865</v>
      </c>
      <c r="J49" s="461" t="s">
        <v>729</v>
      </c>
      <c r="K49" s="462" t="s">
        <v>866</v>
      </c>
      <c r="L49" s="463" t="s">
        <v>867</v>
      </c>
      <c r="M49" s="464">
        <v>367413.79</v>
      </c>
      <c r="N49" s="464">
        <v>0</v>
      </c>
      <c r="O49" s="464">
        <v>58786.21</v>
      </c>
      <c r="P49" s="465">
        <v>426200</v>
      </c>
      <c r="Q49" s="392"/>
      <c r="R49" s="466">
        <v>325476.40999999997</v>
      </c>
      <c r="S49" s="394">
        <f t="shared" si="0"/>
        <v>100723.59000000003</v>
      </c>
      <c r="T49" s="267" t="s">
        <v>131</v>
      </c>
      <c r="U49" s="267" t="str">
        <f t="shared" si="5"/>
        <v>AA10309</v>
      </c>
      <c r="V49" s="423" t="str">
        <f t="shared" si="6"/>
        <v>0712-TCN17</v>
      </c>
      <c r="W49" s="362">
        <f t="shared" si="7"/>
        <v>521101</v>
      </c>
      <c r="X49" s="362" t="str">
        <f t="shared" si="8"/>
        <v>PRIUS</v>
      </c>
      <c r="Y49" s="93">
        <f t="shared" si="9"/>
        <v>2017</v>
      </c>
      <c r="Z49" s="260">
        <f t="shared" si="10"/>
        <v>367413.79</v>
      </c>
      <c r="AA49" s="424"/>
      <c r="AB49" s="424"/>
      <c r="AC49" s="424">
        <f t="shared" si="30"/>
        <v>344993.21</v>
      </c>
      <c r="AD49" s="425">
        <f t="shared" si="31"/>
        <v>0.15</v>
      </c>
      <c r="AE49" s="424">
        <f t="shared" si="32"/>
        <v>12321.2</v>
      </c>
      <c r="AF49" s="424">
        <v>0</v>
      </c>
      <c r="AG49" s="396">
        <f t="shared" si="15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3">
        <f t="shared" si="16"/>
        <v>45</v>
      </c>
      <c r="B50" s="456" t="s">
        <v>454</v>
      </c>
      <c r="C50" s="457">
        <v>521101</v>
      </c>
      <c r="D50" s="458">
        <v>1253</v>
      </c>
      <c r="E50" s="454" t="s">
        <v>30</v>
      </c>
      <c r="F50" s="391">
        <v>2017</v>
      </c>
      <c r="G50" s="455">
        <v>42738</v>
      </c>
      <c r="H50" s="459" t="s">
        <v>751</v>
      </c>
      <c r="I50" s="460" t="s">
        <v>856</v>
      </c>
      <c r="J50" s="461" t="s">
        <v>729</v>
      </c>
      <c r="K50" s="462" t="s">
        <v>857</v>
      </c>
      <c r="L50" s="463" t="s">
        <v>858</v>
      </c>
      <c r="M50" s="464">
        <v>326724.14</v>
      </c>
      <c r="N50" s="464">
        <v>0</v>
      </c>
      <c r="O50" s="464">
        <v>52275.86</v>
      </c>
      <c r="P50" s="465">
        <v>379000</v>
      </c>
      <c r="Q50" s="392"/>
      <c r="R50" s="466">
        <v>316613.65999999997</v>
      </c>
      <c r="S50" s="394">
        <f t="shared" si="0"/>
        <v>62386.340000000026</v>
      </c>
      <c r="T50" s="267" t="s">
        <v>131</v>
      </c>
      <c r="U50" s="267" t="str">
        <f t="shared" si="5"/>
        <v>AA10185</v>
      </c>
      <c r="V50" s="423" t="str">
        <f t="shared" si="6"/>
        <v>0604-TCN17</v>
      </c>
      <c r="W50" s="362">
        <f t="shared" si="7"/>
        <v>521101</v>
      </c>
      <c r="X50" s="362" t="str">
        <f t="shared" si="8"/>
        <v>PRIUS</v>
      </c>
      <c r="Y50" s="93">
        <f t="shared" si="9"/>
        <v>2017</v>
      </c>
      <c r="Z50" s="260">
        <f t="shared" si="10"/>
        <v>326724.14</v>
      </c>
      <c r="AA50" s="424"/>
      <c r="AB50" s="424"/>
      <c r="AC50" s="424">
        <f t="shared" si="30"/>
        <v>295708.34000000003</v>
      </c>
      <c r="AD50" s="425">
        <f t="shared" si="31"/>
        <v>0.1</v>
      </c>
      <c r="AE50" s="424">
        <f t="shared" si="32"/>
        <v>7392.74</v>
      </c>
      <c r="AF50" s="424">
        <v>0</v>
      </c>
      <c r="AG50" s="396">
        <f t="shared" si="15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3">
        <f t="shared" si="16"/>
        <v>46</v>
      </c>
      <c r="B51" s="456" t="s">
        <v>459</v>
      </c>
      <c r="C51" s="457">
        <v>521101</v>
      </c>
      <c r="D51" s="458">
        <v>1251</v>
      </c>
      <c r="E51" s="454" t="s">
        <v>700</v>
      </c>
      <c r="F51" s="391">
        <v>2017</v>
      </c>
      <c r="G51" s="455">
        <v>42752</v>
      </c>
      <c r="H51" s="459" t="s">
        <v>788</v>
      </c>
      <c r="I51" s="460" t="s">
        <v>871</v>
      </c>
      <c r="J51" s="461" t="s">
        <v>724</v>
      </c>
      <c r="K51" s="462" t="s">
        <v>863</v>
      </c>
      <c r="L51" s="463" t="s">
        <v>872</v>
      </c>
      <c r="M51" s="464">
        <v>-303189.65999999997</v>
      </c>
      <c r="N51" s="464">
        <v>0</v>
      </c>
      <c r="O51" s="464">
        <v>-48510.34</v>
      </c>
      <c r="P51" s="465">
        <v>-351700</v>
      </c>
      <c r="Q51" s="392"/>
      <c r="R51" s="466">
        <v>-275753.03999999998</v>
      </c>
      <c r="S51" s="394">
        <f t="shared" si="0"/>
        <v>-75946.960000000021</v>
      </c>
      <c r="T51" s="113" t="s">
        <v>1266</v>
      </c>
      <c r="U51" s="267" t="str">
        <f t="shared" si="5"/>
        <v>ZA03849</v>
      </c>
      <c r="V51" s="423" t="str">
        <f t="shared" si="6"/>
        <v>0470-TCN17</v>
      </c>
      <c r="W51" s="362">
        <f t="shared" si="7"/>
        <v>521101</v>
      </c>
      <c r="X51" s="362" t="str">
        <f t="shared" si="8"/>
        <v>PRIUS HYBRID BASE</v>
      </c>
      <c r="Y51" s="93">
        <f t="shared" si="9"/>
        <v>2017</v>
      </c>
      <c r="Z51" s="260">
        <f t="shared" si="10"/>
        <v>-303189.65999999997</v>
      </c>
      <c r="AA51" s="467">
        <f>SUM(Z45:Z51)</f>
        <v>1754224.1400000004</v>
      </c>
      <c r="AB51" s="486">
        <v>5</v>
      </c>
      <c r="AC51" s="424"/>
      <c r="AD51" s="425"/>
      <c r="AE51" s="424"/>
      <c r="AF51" s="424">
        <v>0</v>
      </c>
      <c r="AG51" s="396">
        <f t="shared" si="15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3">
        <f t="shared" si="16"/>
        <v>47</v>
      </c>
      <c r="B52" s="456" t="s">
        <v>464</v>
      </c>
      <c r="C52" s="457">
        <v>521502</v>
      </c>
      <c r="D52" s="458">
        <v>5611</v>
      </c>
      <c r="E52" s="454" t="s">
        <v>225</v>
      </c>
      <c r="F52" s="391">
        <v>2017</v>
      </c>
      <c r="G52" s="455">
        <v>42766</v>
      </c>
      <c r="H52" s="459" t="s">
        <v>819</v>
      </c>
      <c r="I52" s="460" t="s">
        <v>884</v>
      </c>
      <c r="J52" s="461" t="s">
        <v>729</v>
      </c>
      <c r="K52" s="462" t="s">
        <v>885</v>
      </c>
      <c r="L52" s="463" t="s">
        <v>886</v>
      </c>
      <c r="M52" s="464">
        <v>379112.61</v>
      </c>
      <c r="N52" s="464">
        <v>17439.11</v>
      </c>
      <c r="O52" s="464">
        <v>63448.28</v>
      </c>
      <c r="P52" s="465">
        <v>460000</v>
      </c>
      <c r="Q52" s="392"/>
      <c r="R52" s="466">
        <v>335683.58</v>
      </c>
      <c r="S52" s="394">
        <f t="shared" si="0"/>
        <v>124316.41999999998</v>
      </c>
      <c r="T52" s="113" t="s">
        <v>131</v>
      </c>
      <c r="U52" s="267" t="str">
        <f t="shared" si="5"/>
        <v>AA10366</v>
      </c>
      <c r="V52" s="423" t="str">
        <f t="shared" si="6"/>
        <v>0736-TCN17</v>
      </c>
      <c r="W52" s="362">
        <f t="shared" si="7"/>
        <v>521502</v>
      </c>
      <c r="X52" s="362" t="str">
        <f t="shared" si="8"/>
        <v>HIACE PANEL 15 PASAJ AC</v>
      </c>
      <c r="Y52" s="93">
        <f t="shared" si="9"/>
        <v>2017</v>
      </c>
      <c r="Z52" s="260">
        <f t="shared" si="10"/>
        <v>379112.61</v>
      </c>
      <c r="AA52" s="424"/>
      <c r="AB52" s="424"/>
      <c r="AC52" s="424">
        <f t="shared" si="30"/>
        <v>344993.21</v>
      </c>
      <c r="AD52" s="425">
        <f t="shared" si="31"/>
        <v>0.15</v>
      </c>
      <c r="AE52" s="424">
        <f t="shared" si="32"/>
        <v>12321.2</v>
      </c>
      <c r="AF52" s="424">
        <f t="shared" si="33"/>
        <v>17439.109999999993</v>
      </c>
      <c r="AG52" s="448">
        <f t="shared" si="15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3">
        <f t="shared" si="16"/>
        <v>48</v>
      </c>
      <c r="B53" s="456" t="s">
        <v>463</v>
      </c>
      <c r="C53" s="457">
        <v>521502</v>
      </c>
      <c r="D53" s="458">
        <v>5611</v>
      </c>
      <c r="E53" s="454" t="s">
        <v>225</v>
      </c>
      <c r="F53" s="391">
        <v>2017</v>
      </c>
      <c r="G53" s="455">
        <v>42741</v>
      </c>
      <c r="H53" s="459" t="s">
        <v>819</v>
      </c>
      <c r="I53" s="460" t="s">
        <v>881</v>
      </c>
      <c r="J53" s="461" t="s">
        <v>729</v>
      </c>
      <c r="K53" s="462" t="s">
        <v>882</v>
      </c>
      <c r="L53" s="463" t="s">
        <v>883</v>
      </c>
      <c r="M53" s="464">
        <v>371691.32</v>
      </c>
      <c r="N53" s="464">
        <v>16325.92</v>
      </c>
      <c r="O53" s="464">
        <v>62082.76</v>
      </c>
      <c r="P53" s="465">
        <v>450100</v>
      </c>
      <c r="Q53" s="392"/>
      <c r="R53" s="466">
        <v>335736.34</v>
      </c>
      <c r="S53" s="394">
        <f t="shared" si="0"/>
        <v>114363.65999999997</v>
      </c>
      <c r="T53" s="113" t="s">
        <v>131</v>
      </c>
      <c r="U53" s="267" t="str">
        <f t="shared" si="5"/>
        <v>AA10208</v>
      </c>
      <c r="V53" s="423" t="str">
        <f t="shared" si="6"/>
        <v>0621-TCN17</v>
      </c>
      <c r="W53" s="362">
        <f t="shared" si="7"/>
        <v>521502</v>
      </c>
      <c r="X53" s="362" t="str">
        <f t="shared" si="8"/>
        <v>HIACE PANEL 15 PASAJ AC</v>
      </c>
      <c r="Y53" s="93">
        <f t="shared" si="9"/>
        <v>2017</v>
      </c>
      <c r="Z53" s="260">
        <f t="shared" si="10"/>
        <v>371691.32</v>
      </c>
      <c r="AA53" s="424"/>
      <c r="AB53" s="424"/>
      <c r="AC53" s="424">
        <f t="shared" si="30"/>
        <v>344993.21</v>
      </c>
      <c r="AD53" s="425">
        <f t="shared" si="31"/>
        <v>0.15</v>
      </c>
      <c r="AE53" s="424">
        <f t="shared" si="32"/>
        <v>12321.2</v>
      </c>
      <c r="AF53" s="424">
        <f t="shared" si="33"/>
        <v>16325.916499999999</v>
      </c>
      <c r="AG53" s="448">
        <f t="shared" si="15"/>
        <v>3.5000000007130438E-3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3">
        <f t="shared" si="16"/>
        <v>49</v>
      </c>
      <c r="B54" s="456" t="s">
        <v>460</v>
      </c>
      <c r="C54" s="457">
        <v>521502</v>
      </c>
      <c r="D54" s="458">
        <v>5611</v>
      </c>
      <c r="E54" s="454" t="s">
        <v>225</v>
      </c>
      <c r="F54" s="391">
        <v>2017</v>
      </c>
      <c r="G54" s="455">
        <v>42737</v>
      </c>
      <c r="H54" s="459" t="s">
        <v>788</v>
      </c>
      <c r="I54" s="460" t="s">
        <v>873</v>
      </c>
      <c r="J54" s="461" t="s">
        <v>729</v>
      </c>
      <c r="K54" s="462" t="s">
        <v>874</v>
      </c>
      <c r="L54" s="463" t="s">
        <v>875</v>
      </c>
      <c r="M54" s="464">
        <v>371691.32</v>
      </c>
      <c r="N54" s="464">
        <v>16325.92</v>
      </c>
      <c r="O54" s="464">
        <v>62082.76</v>
      </c>
      <c r="P54" s="465">
        <v>450100</v>
      </c>
      <c r="Q54" s="392"/>
      <c r="R54" s="466">
        <v>328388.96000000002</v>
      </c>
      <c r="S54" s="394">
        <f t="shared" si="0"/>
        <v>121711.03999999998</v>
      </c>
      <c r="T54" s="113" t="s">
        <v>131</v>
      </c>
      <c r="U54" s="267" t="str">
        <f t="shared" si="5"/>
        <v>AA10154</v>
      </c>
      <c r="V54" s="423" t="str">
        <f t="shared" si="6"/>
        <v>0583-TCN17</v>
      </c>
      <c r="W54" s="362">
        <f t="shared" si="7"/>
        <v>521502</v>
      </c>
      <c r="X54" s="362" t="str">
        <f t="shared" si="8"/>
        <v>HIACE PANEL 15 PASAJ AC</v>
      </c>
      <c r="Y54" s="93">
        <f t="shared" si="9"/>
        <v>2017</v>
      </c>
      <c r="Z54" s="260">
        <f t="shared" si="10"/>
        <v>371691.32</v>
      </c>
      <c r="AA54" s="424"/>
      <c r="AB54" s="424"/>
      <c r="AC54" s="424">
        <f t="shared" si="30"/>
        <v>344993.21</v>
      </c>
      <c r="AD54" s="425">
        <f t="shared" si="31"/>
        <v>0.15</v>
      </c>
      <c r="AE54" s="424">
        <f t="shared" si="32"/>
        <v>12321.2</v>
      </c>
      <c r="AF54" s="424">
        <f t="shared" si="33"/>
        <v>16325.916499999999</v>
      </c>
      <c r="AG54" s="448">
        <f t="shared" si="15"/>
        <v>3.5000000007130438E-3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3">
        <f t="shared" si="16"/>
        <v>50</v>
      </c>
      <c r="B55" s="456" t="s">
        <v>462</v>
      </c>
      <c r="C55" s="457">
        <v>521502</v>
      </c>
      <c r="D55" s="458">
        <v>5611</v>
      </c>
      <c r="E55" s="454" t="s">
        <v>225</v>
      </c>
      <c r="F55" s="391">
        <v>2017</v>
      </c>
      <c r="G55" s="455">
        <v>42737</v>
      </c>
      <c r="H55" s="459" t="s">
        <v>788</v>
      </c>
      <c r="I55" s="460" t="s">
        <v>878</v>
      </c>
      <c r="J55" s="461" t="s">
        <v>724</v>
      </c>
      <c r="K55" s="462" t="s">
        <v>879</v>
      </c>
      <c r="L55" s="463" t="s">
        <v>880</v>
      </c>
      <c r="M55" s="464">
        <v>371691.32</v>
      </c>
      <c r="N55" s="464">
        <v>16325.92</v>
      </c>
      <c r="O55" s="464">
        <v>62082.76</v>
      </c>
      <c r="P55" s="465">
        <v>450100</v>
      </c>
      <c r="Q55" s="392"/>
      <c r="R55" s="466">
        <v>328699.3</v>
      </c>
      <c r="S55" s="394">
        <f t="shared" si="0"/>
        <v>121400.70000000001</v>
      </c>
      <c r="T55" s="267" t="s">
        <v>131</v>
      </c>
      <c r="U55" s="267" t="str">
        <f t="shared" si="5"/>
        <v>AA10157</v>
      </c>
      <c r="V55" s="423" t="str">
        <f t="shared" si="6"/>
        <v>0594-TCN17</v>
      </c>
      <c r="W55" s="362">
        <f t="shared" si="7"/>
        <v>521502</v>
      </c>
      <c r="X55" s="362" t="str">
        <f t="shared" si="8"/>
        <v>HIACE PANEL 15 PASAJ AC</v>
      </c>
      <c r="Y55" s="93">
        <f t="shared" si="9"/>
        <v>2017</v>
      </c>
      <c r="Z55" s="260">
        <f t="shared" si="10"/>
        <v>371691.32</v>
      </c>
      <c r="AA55" s="424"/>
      <c r="AB55" s="424"/>
      <c r="AC55" s="424">
        <f t="shared" si="30"/>
        <v>344993.21</v>
      </c>
      <c r="AD55" s="425">
        <f t="shared" si="31"/>
        <v>0.15</v>
      </c>
      <c r="AE55" s="424">
        <f t="shared" si="32"/>
        <v>12321.2</v>
      </c>
      <c r="AF55" s="424">
        <f t="shared" si="33"/>
        <v>16325.916499999999</v>
      </c>
      <c r="AG55" s="396">
        <f t="shared" si="15"/>
        <v>3.5000000007130438E-3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3">
        <f t="shared" si="16"/>
        <v>51</v>
      </c>
      <c r="B56" s="456" t="s">
        <v>461</v>
      </c>
      <c r="C56" s="457">
        <v>521502</v>
      </c>
      <c r="D56" s="458">
        <v>5611</v>
      </c>
      <c r="E56" s="454" t="s">
        <v>225</v>
      </c>
      <c r="F56" s="391">
        <v>2017</v>
      </c>
      <c r="G56" s="455">
        <v>42737</v>
      </c>
      <c r="H56" s="459" t="s">
        <v>788</v>
      </c>
      <c r="I56" s="460" t="s">
        <v>876</v>
      </c>
      <c r="J56" s="461" t="s">
        <v>729</v>
      </c>
      <c r="K56" s="462" t="s">
        <v>874</v>
      </c>
      <c r="L56" s="463" t="s">
        <v>877</v>
      </c>
      <c r="M56" s="464">
        <v>371691.32</v>
      </c>
      <c r="N56" s="464">
        <v>16325.92</v>
      </c>
      <c r="O56" s="464">
        <v>62082.76</v>
      </c>
      <c r="P56" s="465">
        <v>450100</v>
      </c>
      <c r="Q56" s="392"/>
      <c r="R56" s="466">
        <v>328388.96000000002</v>
      </c>
      <c r="S56" s="394">
        <f t="shared" si="0"/>
        <v>121711.03999999998</v>
      </c>
      <c r="T56" s="113" t="s">
        <v>131</v>
      </c>
      <c r="U56" s="267" t="str">
        <f t="shared" si="5"/>
        <v>AA10153</v>
      </c>
      <c r="V56" s="423" t="str">
        <f t="shared" si="6"/>
        <v>0584-TCN17</v>
      </c>
      <c r="W56" s="362">
        <f t="shared" si="7"/>
        <v>521502</v>
      </c>
      <c r="X56" s="362" t="str">
        <f t="shared" si="8"/>
        <v>HIACE PANEL 15 PASAJ AC</v>
      </c>
      <c r="Y56" s="93">
        <f t="shared" si="9"/>
        <v>2017</v>
      </c>
      <c r="Z56" s="260">
        <f t="shared" si="10"/>
        <v>371691.32</v>
      </c>
      <c r="AA56" s="424">
        <f>+SUM(Z52:Z56)</f>
        <v>1865877.8900000001</v>
      </c>
      <c r="AB56" s="424">
        <v>5</v>
      </c>
      <c r="AC56" s="424">
        <f t="shared" si="30"/>
        <v>344993.21</v>
      </c>
      <c r="AD56" s="425">
        <f t="shared" si="31"/>
        <v>0.15</v>
      </c>
      <c r="AE56" s="424">
        <f t="shared" si="32"/>
        <v>12321.2</v>
      </c>
      <c r="AF56" s="424">
        <f t="shared" si="33"/>
        <v>16325.916499999999</v>
      </c>
      <c r="AG56" s="396">
        <f t="shared" si="15"/>
        <v>3.5000000007130438E-3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3">
        <f t="shared" si="16"/>
        <v>52</v>
      </c>
      <c r="B57" s="456" t="s">
        <v>468</v>
      </c>
      <c r="C57" s="457">
        <v>521702</v>
      </c>
      <c r="D57" s="458">
        <v>2005</v>
      </c>
      <c r="E57" s="454" t="s">
        <v>701</v>
      </c>
      <c r="F57" s="391">
        <v>2017</v>
      </c>
      <c r="G57" s="455">
        <v>42756</v>
      </c>
      <c r="H57" s="459" t="s">
        <v>727</v>
      </c>
      <c r="I57" s="460" t="s">
        <v>896</v>
      </c>
      <c r="J57" s="461" t="s">
        <v>729</v>
      </c>
      <c r="K57" s="462" t="s">
        <v>897</v>
      </c>
      <c r="L57" s="463" t="s">
        <v>898</v>
      </c>
      <c r="M57" s="464">
        <v>177413.79</v>
      </c>
      <c r="N57" s="464">
        <v>0</v>
      </c>
      <c r="O57" s="464">
        <v>28386.21</v>
      </c>
      <c r="P57" s="465">
        <v>205800</v>
      </c>
      <c r="Q57" s="392"/>
      <c r="R57" s="466">
        <v>160871.48000000001</v>
      </c>
      <c r="S57" s="394">
        <f t="shared" si="0"/>
        <v>44928.51999999999</v>
      </c>
      <c r="T57" s="267" t="s">
        <v>131</v>
      </c>
      <c r="U57" s="267" t="str">
        <f t="shared" si="5"/>
        <v>AA10281</v>
      </c>
      <c r="V57" s="423" t="str">
        <f t="shared" si="6"/>
        <v>0698-TCN17</v>
      </c>
      <c r="W57" s="362">
        <f t="shared" si="7"/>
        <v>521702</v>
      </c>
      <c r="X57" s="362" t="str">
        <f t="shared" si="8"/>
        <v>YARIS CORE MT, SEDAN</v>
      </c>
      <c r="Y57" s="93">
        <f t="shared" si="9"/>
        <v>2017</v>
      </c>
      <c r="Z57" s="260">
        <f t="shared" si="10"/>
        <v>177413.79</v>
      </c>
      <c r="AA57" s="424"/>
      <c r="AB57" s="424"/>
      <c r="AC57" s="424">
        <f t="shared" si="30"/>
        <v>0.01</v>
      </c>
      <c r="AD57" s="425">
        <f t="shared" si="31"/>
        <v>0.02</v>
      </c>
      <c r="AE57" s="424">
        <v>0</v>
      </c>
      <c r="AF57" s="424">
        <v>0</v>
      </c>
      <c r="AG57" s="396">
        <f t="shared" si="15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ht="12.75" customHeight="1" x14ac:dyDescent="0.2">
      <c r="A58" s="423">
        <f t="shared" si="16"/>
        <v>53</v>
      </c>
      <c r="B58" s="456" t="s">
        <v>465</v>
      </c>
      <c r="C58" s="457">
        <v>521702</v>
      </c>
      <c r="D58" s="458">
        <v>2005</v>
      </c>
      <c r="E58" s="454" t="s">
        <v>701</v>
      </c>
      <c r="F58" s="391">
        <v>2017</v>
      </c>
      <c r="G58" s="455">
        <v>42737</v>
      </c>
      <c r="H58" s="459" t="s">
        <v>819</v>
      </c>
      <c r="I58" s="460" t="s">
        <v>887</v>
      </c>
      <c r="J58" s="461" t="s">
        <v>729</v>
      </c>
      <c r="K58" s="462" t="s">
        <v>888</v>
      </c>
      <c r="L58" s="463" t="s">
        <v>889</v>
      </c>
      <c r="M58" s="464">
        <v>172500</v>
      </c>
      <c r="N58" s="464">
        <v>0</v>
      </c>
      <c r="O58" s="464">
        <v>27600</v>
      </c>
      <c r="P58" s="465">
        <v>200100</v>
      </c>
      <c r="Q58" s="392"/>
      <c r="R58" s="466">
        <v>156488.29</v>
      </c>
      <c r="S58" s="394">
        <f t="shared" si="0"/>
        <v>43611.709999999992</v>
      </c>
      <c r="T58" s="445" t="s">
        <v>131</v>
      </c>
      <c r="U58" s="267" t="str">
        <f t="shared" si="5"/>
        <v>AA10165</v>
      </c>
      <c r="V58" s="423" t="str">
        <f t="shared" si="6"/>
        <v>0598-TCN17</v>
      </c>
      <c r="W58" s="362">
        <f t="shared" si="7"/>
        <v>521702</v>
      </c>
      <c r="X58" s="362" t="str">
        <f t="shared" si="8"/>
        <v>YARIS CORE MT, SEDAN</v>
      </c>
      <c r="Y58" s="93">
        <f t="shared" si="9"/>
        <v>2017</v>
      </c>
      <c r="Z58" s="260">
        <f t="shared" si="10"/>
        <v>172500</v>
      </c>
      <c r="AA58" s="424"/>
      <c r="AB58" s="424"/>
      <c r="AC58" s="424">
        <f t="shared" si="30"/>
        <v>0.01</v>
      </c>
      <c r="AD58" s="425">
        <f t="shared" si="31"/>
        <v>0.02</v>
      </c>
      <c r="AE58" s="424">
        <f t="shared" si="32"/>
        <v>0</v>
      </c>
      <c r="AF58" s="424">
        <v>0</v>
      </c>
      <c r="AG58" s="396">
        <f t="shared" si="15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ht="12.75" customHeight="1" x14ac:dyDescent="0.2">
      <c r="A59" s="423">
        <f t="shared" si="16"/>
        <v>54</v>
      </c>
      <c r="B59" s="456" t="s">
        <v>470</v>
      </c>
      <c r="C59" s="457">
        <v>521702</v>
      </c>
      <c r="D59" s="458">
        <v>2005</v>
      </c>
      <c r="E59" s="454" t="s">
        <v>701</v>
      </c>
      <c r="F59" s="391">
        <v>2017</v>
      </c>
      <c r="G59" s="455">
        <v>42759</v>
      </c>
      <c r="H59" s="459" t="s">
        <v>743</v>
      </c>
      <c r="I59" s="460" t="s">
        <v>902</v>
      </c>
      <c r="J59" s="461" t="s">
        <v>729</v>
      </c>
      <c r="K59" s="462" t="s">
        <v>903</v>
      </c>
      <c r="L59" s="463" t="s">
        <v>904</v>
      </c>
      <c r="M59" s="464">
        <v>177413.79</v>
      </c>
      <c r="N59" s="464">
        <v>0</v>
      </c>
      <c r="O59" s="464">
        <v>28386.21</v>
      </c>
      <c r="P59" s="465">
        <v>205800</v>
      </c>
      <c r="Q59" s="392"/>
      <c r="R59" s="466">
        <v>160871.48000000001</v>
      </c>
      <c r="S59" s="394">
        <f t="shared" si="0"/>
        <v>44928.51999999999</v>
      </c>
      <c r="T59" s="113" t="s">
        <v>131</v>
      </c>
      <c r="U59" s="267" t="str">
        <f t="shared" si="5"/>
        <v>AA10307</v>
      </c>
      <c r="V59" s="423" t="str">
        <f t="shared" si="6"/>
        <v>0706-TCN17</v>
      </c>
      <c r="W59" s="362">
        <f t="shared" si="7"/>
        <v>521702</v>
      </c>
      <c r="X59" s="362" t="str">
        <f t="shared" si="8"/>
        <v>YARIS CORE MT, SEDAN</v>
      </c>
      <c r="Y59" s="93">
        <f t="shared" si="9"/>
        <v>2017</v>
      </c>
      <c r="Z59" s="260">
        <f t="shared" si="10"/>
        <v>177413.79</v>
      </c>
      <c r="AA59" s="424"/>
      <c r="AB59" s="424"/>
      <c r="AC59" s="424">
        <f t="shared" si="30"/>
        <v>0.01</v>
      </c>
      <c r="AD59" s="425">
        <f t="shared" si="31"/>
        <v>0.02</v>
      </c>
      <c r="AE59" s="424">
        <f t="shared" si="32"/>
        <v>0</v>
      </c>
      <c r="AF59" s="424">
        <v>0</v>
      </c>
      <c r="AG59" s="396">
        <f t="shared" si="15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ht="12.75" customHeight="1" x14ac:dyDescent="0.2">
      <c r="A60" s="423">
        <f t="shared" si="16"/>
        <v>55</v>
      </c>
      <c r="B60" s="456" t="s">
        <v>469</v>
      </c>
      <c r="C60" s="457">
        <v>521702</v>
      </c>
      <c r="D60" s="458">
        <v>2005</v>
      </c>
      <c r="E60" s="454" t="s">
        <v>701</v>
      </c>
      <c r="F60" s="391">
        <v>2017</v>
      </c>
      <c r="G60" s="455">
        <v>42758</v>
      </c>
      <c r="H60" s="459" t="s">
        <v>760</v>
      </c>
      <c r="I60" s="460" t="s">
        <v>899</v>
      </c>
      <c r="J60" s="461" t="s">
        <v>729</v>
      </c>
      <c r="K60" s="462" t="s">
        <v>900</v>
      </c>
      <c r="L60" s="463" t="s">
        <v>901</v>
      </c>
      <c r="M60" s="464">
        <v>177413.79</v>
      </c>
      <c r="N60" s="464">
        <v>0</v>
      </c>
      <c r="O60" s="464">
        <v>28386.21</v>
      </c>
      <c r="P60" s="465">
        <v>205800</v>
      </c>
      <c r="Q60" s="392"/>
      <c r="R60" s="466">
        <v>160871.48000000001</v>
      </c>
      <c r="S60" s="394">
        <f t="shared" si="0"/>
        <v>44928.51999999999</v>
      </c>
      <c r="T60" s="113" t="s">
        <v>131</v>
      </c>
      <c r="U60" s="267" t="str">
        <f t="shared" si="5"/>
        <v>AA10298</v>
      </c>
      <c r="V60" s="423" t="str">
        <f t="shared" si="6"/>
        <v>0705-TCN17</v>
      </c>
      <c r="W60" s="362">
        <f t="shared" si="7"/>
        <v>521702</v>
      </c>
      <c r="X60" s="362" t="str">
        <f t="shared" si="8"/>
        <v>YARIS CORE MT, SEDAN</v>
      </c>
      <c r="Y60" s="93">
        <f t="shared" si="9"/>
        <v>2017</v>
      </c>
      <c r="Z60" s="260">
        <f t="shared" si="10"/>
        <v>177413.79</v>
      </c>
      <c r="AA60" s="424"/>
      <c r="AB60" s="424"/>
      <c r="AC60" s="424">
        <f t="shared" si="30"/>
        <v>0.01</v>
      </c>
      <c r="AD60" s="425">
        <f t="shared" si="31"/>
        <v>0.02</v>
      </c>
      <c r="AE60" s="424">
        <f t="shared" si="32"/>
        <v>0</v>
      </c>
      <c r="AF60" s="424">
        <v>0</v>
      </c>
      <c r="AG60" s="396">
        <f t="shared" si="15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ht="12.75" customHeight="1" x14ac:dyDescent="0.2">
      <c r="A61" s="423">
        <f t="shared" si="16"/>
        <v>56</v>
      </c>
      <c r="B61" s="456" t="s">
        <v>471</v>
      </c>
      <c r="C61" s="457">
        <v>521702</v>
      </c>
      <c r="D61" s="458">
        <v>2005</v>
      </c>
      <c r="E61" s="454" t="s">
        <v>701</v>
      </c>
      <c r="F61" s="391">
        <v>2017</v>
      </c>
      <c r="G61" s="455">
        <v>42761</v>
      </c>
      <c r="H61" s="459" t="s">
        <v>760</v>
      </c>
      <c r="I61" s="460" t="s">
        <v>905</v>
      </c>
      <c r="J61" s="461" t="s">
        <v>724</v>
      </c>
      <c r="K61" s="462" t="s">
        <v>906</v>
      </c>
      <c r="L61" s="463" t="s">
        <v>907</v>
      </c>
      <c r="M61" s="464">
        <v>177413.79</v>
      </c>
      <c r="N61" s="464">
        <v>0</v>
      </c>
      <c r="O61" s="464">
        <v>28386.21</v>
      </c>
      <c r="P61" s="465">
        <v>205800</v>
      </c>
      <c r="Q61" s="392"/>
      <c r="R61" s="466">
        <v>161225.97</v>
      </c>
      <c r="S61" s="394">
        <f t="shared" si="0"/>
        <v>44574.03</v>
      </c>
      <c r="T61" s="113" t="s">
        <v>131</v>
      </c>
      <c r="U61" s="267" t="str">
        <f t="shared" si="5"/>
        <v>AA10322</v>
      </c>
      <c r="V61" s="423" t="str">
        <f t="shared" si="6"/>
        <v>0710-TCN17</v>
      </c>
      <c r="W61" s="362">
        <f t="shared" si="7"/>
        <v>521702</v>
      </c>
      <c r="X61" s="362" t="str">
        <f t="shared" si="8"/>
        <v>YARIS CORE MT, SEDAN</v>
      </c>
      <c r="Y61" s="93">
        <f t="shared" si="9"/>
        <v>2017</v>
      </c>
      <c r="Z61" s="260">
        <f t="shared" si="10"/>
        <v>177413.79</v>
      </c>
      <c r="AA61" s="424"/>
      <c r="AB61" s="424"/>
      <c r="AC61" s="424">
        <f t="shared" si="30"/>
        <v>0.01</v>
      </c>
      <c r="AD61" s="425">
        <f t="shared" si="31"/>
        <v>0.02</v>
      </c>
      <c r="AE61" s="424">
        <f t="shared" si="32"/>
        <v>0</v>
      </c>
      <c r="AF61" s="424">
        <v>0</v>
      </c>
      <c r="AG61" s="396">
        <f t="shared" si="15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ht="12.75" customHeight="1" x14ac:dyDescent="0.2">
      <c r="A62" s="423">
        <f t="shared" si="16"/>
        <v>57</v>
      </c>
      <c r="B62" s="456" t="s">
        <v>466</v>
      </c>
      <c r="C62" s="457">
        <v>521702</v>
      </c>
      <c r="D62" s="458">
        <v>2005</v>
      </c>
      <c r="E62" s="454" t="s">
        <v>701</v>
      </c>
      <c r="F62" s="391">
        <v>2017</v>
      </c>
      <c r="G62" s="455">
        <v>42738</v>
      </c>
      <c r="H62" s="459" t="s">
        <v>722</v>
      </c>
      <c r="I62" s="460" t="s">
        <v>890</v>
      </c>
      <c r="J62" s="461" t="s">
        <v>729</v>
      </c>
      <c r="K62" s="462" t="s">
        <v>891</v>
      </c>
      <c r="L62" s="463" t="s">
        <v>892</v>
      </c>
      <c r="M62" s="464">
        <v>172500</v>
      </c>
      <c r="N62" s="464">
        <v>0</v>
      </c>
      <c r="O62" s="464">
        <v>27600</v>
      </c>
      <c r="P62" s="465">
        <v>200100</v>
      </c>
      <c r="Q62" s="392"/>
      <c r="R62" s="466">
        <v>156488.29</v>
      </c>
      <c r="S62" s="394">
        <f t="shared" si="0"/>
        <v>43611.709999999992</v>
      </c>
      <c r="T62" s="267" t="s">
        <v>131</v>
      </c>
      <c r="U62" s="267" t="str">
        <f t="shared" si="5"/>
        <v>AA10182</v>
      </c>
      <c r="V62" s="423" t="str">
        <f t="shared" si="6"/>
        <v>0605-TCN17</v>
      </c>
      <c r="W62" s="362">
        <f t="shared" si="7"/>
        <v>521702</v>
      </c>
      <c r="X62" s="362" t="str">
        <f t="shared" si="8"/>
        <v>YARIS CORE MT, SEDAN</v>
      </c>
      <c r="Y62" s="93">
        <f t="shared" si="9"/>
        <v>2017</v>
      </c>
      <c r="Z62" s="260">
        <f t="shared" si="10"/>
        <v>172500</v>
      </c>
      <c r="AA62" s="424"/>
      <c r="AB62" s="424"/>
      <c r="AC62" s="424">
        <f t="shared" si="30"/>
        <v>0.01</v>
      </c>
      <c r="AD62" s="425">
        <f t="shared" si="31"/>
        <v>0.02</v>
      </c>
      <c r="AE62" s="424">
        <f t="shared" si="32"/>
        <v>0</v>
      </c>
      <c r="AF62" s="424">
        <v>0</v>
      </c>
      <c r="AG62" s="396">
        <f t="shared" si="15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ht="12.75" customHeight="1" x14ac:dyDescent="0.2">
      <c r="A63" s="423">
        <f t="shared" si="16"/>
        <v>58</v>
      </c>
      <c r="B63" s="456" t="s">
        <v>467</v>
      </c>
      <c r="C63" s="457">
        <v>521702</v>
      </c>
      <c r="D63" s="458">
        <v>2005</v>
      </c>
      <c r="E63" s="454" t="s">
        <v>701</v>
      </c>
      <c r="F63" s="391">
        <v>2017</v>
      </c>
      <c r="G63" s="455">
        <v>42746</v>
      </c>
      <c r="H63" s="459" t="s">
        <v>727</v>
      </c>
      <c r="I63" s="460" t="s">
        <v>893</v>
      </c>
      <c r="J63" s="461" t="s">
        <v>729</v>
      </c>
      <c r="K63" s="462" t="s">
        <v>894</v>
      </c>
      <c r="L63" s="463" t="s">
        <v>895</v>
      </c>
      <c r="M63" s="464">
        <v>172500</v>
      </c>
      <c r="N63" s="464">
        <v>0</v>
      </c>
      <c r="O63" s="464">
        <v>27600</v>
      </c>
      <c r="P63" s="465">
        <v>200100</v>
      </c>
      <c r="Q63" s="392"/>
      <c r="R63" s="466">
        <v>160915.62</v>
      </c>
      <c r="S63" s="394">
        <f t="shared" si="0"/>
        <v>39184.380000000005</v>
      </c>
      <c r="T63" s="267" t="s">
        <v>131</v>
      </c>
      <c r="U63" s="267" t="str">
        <f t="shared" si="5"/>
        <v>AA10224</v>
      </c>
      <c r="V63" s="423" t="str">
        <f t="shared" si="6"/>
        <v>0654-TCN17</v>
      </c>
      <c r="W63" s="362">
        <f t="shared" si="7"/>
        <v>521702</v>
      </c>
      <c r="X63" s="362" t="str">
        <f t="shared" si="8"/>
        <v>YARIS CORE MT, SEDAN</v>
      </c>
      <c r="Y63" s="93">
        <f t="shared" si="9"/>
        <v>2017</v>
      </c>
      <c r="Z63" s="260">
        <f t="shared" si="10"/>
        <v>172500</v>
      </c>
      <c r="AA63" s="424"/>
      <c r="AB63" s="424"/>
      <c r="AC63" s="424">
        <f t="shared" si="30"/>
        <v>0.01</v>
      </c>
      <c r="AD63" s="425">
        <f t="shared" si="31"/>
        <v>0.02</v>
      </c>
      <c r="AE63" s="424">
        <f t="shared" si="32"/>
        <v>0</v>
      </c>
      <c r="AF63" s="424">
        <v>0</v>
      </c>
      <c r="AG63" s="396">
        <f t="shared" si="15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3">
        <f t="shared" si="16"/>
        <v>59</v>
      </c>
      <c r="B64" s="456" t="s">
        <v>472</v>
      </c>
      <c r="C64" s="457">
        <v>521702</v>
      </c>
      <c r="D64" s="458">
        <v>2005</v>
      </c>
      <c r="E64" s="454" t="s">
        <v>701</v>
      </c>
      <c r="F64" s="391">
        <v>2017</v>
      </c>
      <c r="G64" s="455">
        <v>42761</v>
      </c>
      <c r="H64" s="459" t="s">
        <v>908</v>
      </c>
      <c r="I64" s="460" t="s">
        <v>909</v>
      </c>
      <c r="J64" s="461" t="s">
        <v>724</v>
      </c>
      <c r="K64" s="462" t="s">
        <v>910</v>
      </c>
      <c r="L64" s="463" t="s">
        <v>911</v>
      </c>
      <c r="M64" s="464">
        <v>177413.79</v>
      </c>
      <c r="N64" s="464">
        <v>0</v>
      </c>
      <c r="O64" s="464">
        <v>28386.21</v>
      </c>
      <c r="P64" s="465">
        <v>205800</v>
      </c>
      <c r="Q64" s="392"/>
      <c r="R64" s="466">
        <v>161225.97</v>
      </c>
      <c r="S64" s="394">
        <f t="shared" si="0"/>
        <v>44574.03</v>
      </c>
      <c r="T64" s="444" t="s">
        <v>131</v>
      </c>
      <c r="U64" s="267" t="str">
        <f t="shared" si="5"/>
        <v>AA10319</v>
      </c>
      <c r="V64" s="423" t="str">
        <f t="shared" si="6"/>
        <v>0715-TCN17</v>
      </c>
      <c r="W64" s="362">
        <f t="shared" si="7"/>
        <v>521702</v>
      </c>
      <c r="X64" s="362" t="str">
        <f t="shared" si="8"/>
        <v>YARIS CORE MT, SEDAN</v>
      </c>
      <c r="Y64" s="93">
        <f t="shared" si="9"/>
        <v>2017</v>
      </c>
      <c r="Z64" s="260">
        <f t="shared" si="10"/>
        <v>177413.79</v>
      </c>
      <c r="AA64" s="467">
        <f>+SUM(Z57:Z64)</f>
        <v>1404568.9500000002</v>
      </c>
      <c r="AB64" s="485">
        <v>8</v>
      </c>
      <c r="AC64" s="424">
        <f t="shared" si="30"/>
        <v>0.01</v>
      </c>
      <c r="AD64" s="425">
        <f t="shared" si="31"/>
        <v>0.02</v>
      </c>
      <c r="AE64" s="424">
        <f t="shared" si="32"/>
        <v>0</v>
      </c>
      <c r="AF64" s="424">
        <v>0</v>
      </c>
      <c r="AG64" s="396">
        <f t="shared" si="15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3">
        <f t="shared" si="16"/>
        <v>60</v>
      </c>
      <c r="B65" s="456" t="s">
        <v>474</v>
      </c>
      <c r="C65" s="457">
        <v>521707</v>
      </c>
      <c r="D65" s="458">
        <v>2006</v>
      </c>
      <c r="E65" s="454" t="s">
        <v>702</v>
      </c>
      <c r="F65" s="391">
        <v>2017</v>
      </c>
      <c r="G65" s="455">
        <v>42738</v>
      </c>
      <c r="H65" s="459" t="s">
        <v>817</v>
      </c>
      <c r="I65" s="460" t="s">
        <v>916</v>
      </c>
      <c r="J65" s="461" t="s">
        <v>724</v>
      </c>
      <c r="K65" s="462" t="s">
        <v>917</v>
      </c>
      <c r="L65" s="463" t="s">
        <v>918</v>
      </c>
      <c r="M65" s="464">
        <v>189741.38</v>
      </c>
      <c r="N65" s="464">
        <v>0</v>
      </c>
      <c r="O65" s="464">
        <v>30358.62</v>
      </c>
      <c r="P65" s="465">
        <v>220100</v>
      </c>
      <c r="Q65" s="392"/>
      <c r="R65" s="466">
        <v>172333.12</v>
      </c>
      <c r="S65" s="394">
        <f t="shared" si="0"/>
        <v>47766.880000000005</v>
      </c>
      <c r="T65" s="113" t="s">
        <v>131</v>
      </c>
      <c r="U65" s="267" t="str">
        <f t="shared" si="5"/>
        <v>AA10190</v>
      </c>
      <c r="V65" s="423" t="str">
        <f t="shared" si="6"/>
        <v>0516-TCN17</v>
      </c>
      <c r="W65" s="362">
        <f t="shared" si="7"/>
        <v>521707</v>
      </c>
      <c r="X65" s="362" t="str">
        <f t="shared" si="8"/>
        <v>YARIS CORE,SEDAN CVT.</v>
      </c>
      <c r="Y65" s="93">
        <f t="shared" si="9"/>
        <v>2017</v>
      </c>
      <c r="Z65" s="260">
        <f t="shared" si="10"/>
        <v>189741.38</v>
      </c>
      <c r="AA65" s="424"/>
      <c r="AB65" s="424"/>
      <c r="AC65" s="424">
        <f t="shared" si="30"/>
        <v>0.01</v>
      </c>
      <c r="AD65" s="425">
        <f t="shared" si="31"/>
        <v>0.02</v>
      </c>
      <c r="AE65" s="424">
        <f t="shared" si="32"/>
        <v>0</v>
      </c>
      <c r="AF65" s="424">
        <v>0</v>
      </c>
      <c r="AG65" s="396">
        <f t="shared" si="15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3">
        <f>+A159+1</f>
        <v>63</v>
      </c>
      <c r="B66" s="456" t="s">
        <v>480</v>
      </c>
      <c r="C66" s="457">
        <v>521707</v>
      </c>
      <c r="D66" s="458">
        <v>2006</v>
      </c>
      <c r="E66" s="454" t="s">
        <v>702</v>
      </c>
      <c r="F66" s="391">
        <v>2017</v>
      </c>
      <c r="G66" s="455">
        <v>42762</v>
      </c>
      <c r="H66" s="459" t="s">
        <v>819</v>
      </c>
      <c r="I66" s="460" t="s">
        <v>932</v>
      </c>
      <c r="J66" s="461" t="s">
        <v>729</v>
      </c>
      <c r="K66" s="462" t="s">
        <v>830</v>
      </c>
      <c r="L66" s="463" t="s">
        <v>933</v>
      </c>
      <c r="M66" s="464">
        <v>195172.41</v>
      </c>
      <c r="N66" s="464">
        <v>0</v>
      </c>
      <c r="O66" s="464">
        <v>31227.59</v>
      </c>
      <c r="P66" s="465">
        <v>226400</v>
      </c>
      <c r="Q66" s="392"/>
      <c r="R66" s="466">
        <v>176872</v>
      </c>
      <c r="S66" s="394">
        <f t="shared" si="0"/>
        <v>49528</v>
      </c>
      <c r="T66" s="113" t="s">
        <v>131</v>
      </c>
      <c r="U66" s="267" t="str">
        <f t="shared" si="5"/>
        <v>AA10336</v>
      </c>
      <c r="V66" s="423" t="str">
        <f t="shared" si="6"/>
        <v>0720-TCN17</v>
      </c>
      <c r="W66" s="362">
        <f t="shared" si="7"/>
        <v>521707</v>
      </c>
      <c r="X66" s="362" t="str">
        <f t="shared" si="8"/>
        <v>YARIS CORE,SEDAN CVT.</v>
      </c>
      <c r="Y66" s="93">
        <f t="shared" si="9"/>
        <v>2017</v>
      </c>
      <c r="Z66" s="260">
        <f t="shared" si="10"/>
        <v>195172.41</v>
      </c>
      <c r="AA66" s="424"/>
      <c r="AB66" s="424"/>
      <c r="AC66" s="424">
        <f t="shared" si="30"/>
        <v>0.01</v>
      </c>
      <c r="AD66" s="425">
        <f t="shared" si="31"/>
        <v>0.02</v>
      </c>
      <c r="AE66" s="424">
        <f t="shared" si="32"/>
        <v>0</v>
      </c>
      <c r="AF66" s="424">
        <v>0</v>
      </c>
      <c r="AG66" s="396">
        <f t="shared" si="15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ht="12.75" customHeight="1" x14ac:dyDescent="0.2">
      <c r="A67" s="423">
        <f t="shared" si="16"/>
        <v>64</v>
      </c>
      <c r="B67" s="456" t="s">
        <v>476</v>
      </c>
      <c r="C67" s="457">
        <v>521707</v>
      </c>
      <c r="D67" s="458">
        <v>2006</v>
      </c>
      <c r="E67" s="454" t="s">
        <v>702</v>
      </c>
      <c r="F67" s="391">
        <v>2017</v>
      </c>
      <c r="G67" s="455">
        <v>42756</v>
      </c>
      <c r="H67" s="459" t="s">
        <v>788</v>
      </c>
      <c r="I67" s="460" t="s">
        <v>922</v>
      </c>
      <c r="J67" s="461" t="s">
        <v>729</v>
      </c>
      <c r="K67" s="462" t="s">
        <v>923</v>
      </c>
      <c r="L67" s="463" t="s">
        <v>924</v>
      </c>
      <c r="M67" s="464">
        <v>195172.41</v>
      </c>
      <c r="N67" s="464">
        <v>0</v>
      </c>
      <c r="O67" s="464">
        <v>31227.59</v>
      </c>
      <c r="P67" s="465">
        <v>226400</v>
      </c>
      <c r="Q67" s="392"/>
      <c r="R67" s="466">
        <v>176872</v>
      </c>
      <c r="S67" s="394">
        <f t="shared" si="0"/>
        <v>49528</v>
      </c>
      <c r="T67" s="113" t="s">
        <v>131</v>
      </c>
      <c r="U67" s="267" t="str">
        <f t="shared" si="5"/>
        <v>AA10284</v>
      </c>
      <c r="V67" s="423" t="str">
        <f t="shared" si="6"/>
        <v>0694-TCN17</v>
      </c>
      <c r="W67" s="362">
        <f t="shared" si="7"/>
        <v>521707</v>
      </c>
      <c r="X67" s="362" t="str">
        <f t="shared" si="8"/>
        <v>YARIS CORE,SEDAN CVT.</v>
      </c>
      <c r="Y67" s="93">
        <f t="shared" si="9"/>
        <v>2017</v>
      </c>
      <c r="Z67" s="260">
        <f t="shared" si="10"/>
        <v>195172.41</v>
      </c>
      <c r="AA67" s="424"/>
      <c r="AB67" s="424"/>
      <c r="AC67" s="424">
        <f t="shared" si="30"/>
        <v>0.01</v>
      </c>
      <c r="AD67" s="425">
        <f t="shared" si="31"/>
        <v>0.02</v>
      </c>
      <c r="AE67" s="424">
        <f t="shared" si="32"/>
        <v>0</v>
      </c>
      <c r="AF67" s="424">
        <v>0</v>
      </c>
      <c r="AG67" s="396">
        <f t="shared" si="15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ht="13.5" customHeight="1" x14ac:dyDescent="0.2">
      <c r="A68" s="423">
        <f t="shared" si="16"/>
        <v>65</v>
      </c>
      <c r="B68" s="456" t="s">
        <v>477</v>
      </c>
      <c r="C68" s="457">
        <v>521707</v>
      </c>
      <c r="D68" s="458">
        <v>2006</v>
      </c>
      <c r="E68" s="454" t="s">
        <v>702</v>
      </c>
      <c r="F68" s="391">
        <v>2017</v>
      </c>
      <c r="G68" s="455">
        <v>42756</v>
      </c>
      <c r="H68" s="459" t="s">
        <v>788</v>
      </c>
      <c r="I68" s="460" t="s">
        <v>925</v>
      </c>
      <c r="J68" s="461" t="s">
        <v>729</v>
      </c>
      <c r="K68" s="462" t="s">
        <v>923</v>
      </c>
      <c r="L68" s="463" t="s">
        <v>926</v>
      </c>
      <c r="M68" s="464">
        <v>195172.41</v>
      </c>
      <c r="N68" s="464">
        <v>0</v>
      </c>
      <c r="O68" s="464">
        <v>31227.59</v>
      </c>
      <c r="P68" s="465">
        <v>226400</v>
      </c>
      <c r="Q68" s="392"/>
      <c r="R68" s="466">
        <v>176872</v>
      </c>
      <c r="S68" s="394">
        <f t="shared" si="0"/>
        <v>49528</v>
      </c>
      <c r="T68" s="113" t="s">
        <v>131</v>
      </c>
      <c r="U68" s="267" t="str">
        <f t="shared" si="5"/>
        <v>AA10283</v>
      </c>
      <c r="V68" s="423" t="str">
        <f t="shared" si="6"/>
        <v>0695-TCN17</v>
      </c>
      <c r="W68" s="362">
        <f t="shared" si="7"/>
        <v>521707</v>
      </c>
      <c r="X68" s="362" t="str">
        <f t="shared" si="8"/>
        <v>YARIS CORE,SEDAN CVT.</v>
      </c>
      <c r="Y68" s="93">
        <f t="shared" si="9"/>
        <v>2017</v>
      </c>
      <c r="Z68" s="260">
        <f t="shared" si="10"/>
        <v>195172.41</v>
      </c>
      <c r="AA68" s="424"/>
      <c r="AB68" s="424"/>
      <c r="AC68" s="424">
        <f t="shared" si="30"/>
        <v>0.01</v>
      </c>
      <c r="AD68" s="425">
        <f t="shared" si="31"/>
        <v>0.02</v>
      </c>
      <c r="AE68" s="424">
        <f t="shared" si="32"/>
        <v>0</v>
      </c>
      <c r="AF68" s="424">
        <v>0</v>
      </c>
      <c r="AG68" s="396">
        <f t="shared" si="15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ht="12.75" customHeight="1" x14ac:dyDescent="0.2">
      <c r="A69" s="423">
        <f t="shared" si="16"/>
        <v>66</v>
      </c>
      <c r="B69" s="456" t="s">
        <v>479</v>
      </c>
      <c r="C69" s="457">
        <v>521707</v>
      </c>
      <c r="D69" s="458">
        <v>2006</v>
      </c>
      <c r="E69" s="454" t="s">
        <v>702</v>
      </c>
      <c r="F69" s="391">
        <v>2017</v>
      </c>
      <c r="G69" s="455">
        <v>42762</v>
      </c>
      <c r="H69" s="459" t="s">
        <v>819</v>
      </c>
      <c r="I69" s="460" t="s">
        <v>930</v>
      </c>
      <c r="J69" s="461" t="s">
        <v>729</v>
      </c>
      <c r="K69" s="462" t="s">
        <v>830</v>
      </c>
      <c r="L69" s="463" t="s">
        <v>931</v>
      </c>
      <c r="M69" s="464">
        <v>195172.41</v>
      </c>
      <c r="N69" s="464">
        <v>0</v>
      </c>
      <c r="O69" s="464">
        <v>31227.59</v>
      </c>
      <c r="P69" s="465">
        <v>226400</v>
      </c>
      <c r="Q69" s="392"/>
      <c r="R69" s="466">
        <v>176872</v>
      </c>
      <c r="S69" s="394">
        <f t="shared" si="0"/>
        <v>49528</v>
      </c>
      <c r="T69" s="267" t="s">
        <v>131</v>
      </c>
      <c r="U69" s="267" t="str">
        <f t="shared" si="5"/>
        <v>AA10335</v>
      </c>
      <c r="V69" s="423" t="str">
        <f t="shared" si="6"/>
        <v>0719-TCN17</v>
      </c>
      <c r="W69" s="362">
        <f t="shared" si="7"/>
        <v>521707</v>
      </c>
      <c r="X69" s="362" t="str">
        <f t="shared" si="8"/>
        <v>YARIS CORE,SEDAN CVT.</v>
      </c>
      <c r="Y69" s="93">
        <f t="shared" si="9"/>
        <v>2017</v>
      </c>
      <c r="Z69" s="260">
        <f t="shared" si="10"/>
        <v>195172.41</v>
      </c>
      <c r="AA69" s="424"/>
      <c r="AB69" s="424"/>
      <c r="AC69" s="424">
        <f t="shared" si="30"/>
        <v>0.01</v>
      </c>
      <c r="AD69" s="425">
        <f t="shared" si="31"/>
        <v>0.02</v>
      </c>
      <c r="AE69" s="424">
        <f t="shared" si="32"/>
        <v>0</v>
      </c>
      <c r="AF69" s="424">
        <v>0</v>
      </c>
      <c r="AG69" s="396">
        <f t="shared" si="15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ht="13.5" customHeight="1" x14ac:dyDescent="0.2">
      <c r="A70" s="423">
        <f t="shared" ref="A70:A131" si="34">+A69+1</f>
        <v>67</v>
      </c>
      <c r="B70" s="456" t="s">
        <v>478</v>
      </c>
      <c r="C70" s="457">
        <v>521707</v>
      </c>
      <c r="D70" s="458">
        <v>2006</v>
      </c>
      <c r="E70" s="454" t="s">
        <v>702</v>
      </c>
      <c r="F70" s="391">
        <v>2017</v>
      </c>
      <c r="G70" s="455">
        <v>42760</v>
      </c>
      <c r="H70" s="459" t="s">
        <v>764</v>
      </c>
      <c r="I70" s="460" t="s">
        <v>927</v>
      </c>
      <c r="J70" s="461" t="s">
        <v>724</v>
      </c>
      <c r="K70" s="462" t="s">
        <v>928</v>
      </c>
      <c r="L70" s="463" t="s">
        <v>929</v>
      </c>
      <c r="M70" s="464">
        <v>195172.41</v>
      </c>
      <c r="N70" s="464">
        <v>0</v>
      </c>
      <c r="O70" s="464">
        <v>31227.59</v>
      </c>
      <c r="P70" s="465">
        <v>226400</v>
      </c>
      <c r="Q70" s="392"/>
      <c r="R70" s="466">
        <v>177226.48</v>
      </c>
      <c r="S70" s="394">
        <f t="shared" ref="S70:S133" si="35">+P70-R70</f>
        <v>49173.51999999999</v>
      </c>
      <c r="T70" s="113" t="s">
        <v>131</v>
      </c>
      <c r="U70" s="267" t="str">
        <f t="shared" si="5"/>
        <v>AA10315</v>
      </c>
      <c r="V70" s="423" t="str">
        <f t="shared" si="6"/>
        <v>0711-TCN17</v>
      </c>
      <c r="W70" s="362">
        <f t="shared" si="7"/>
        <v>521707</v>
      </c>
      <c r="X70" s="362" t="str">
        <f t="shared" si="8"/>
        <v>YARIS CORE,SEDAN CVT.</v>
      </c>
      <c r="Y70" s="93">
        <f t="shared" si="9"/>
        <v>2017</v>
      </c>
      <c r="Z70" s="260">
        <f t="shared" si="10"/>
        <v>195172.41</v>
      </c>
      <c r="AA70" s="424"/>
      <c r="AB70" s="424"/>
      <c r="AC70" s="424">
        <f t="shared" si="30"/>
        <v>0.01</v>
      </c>
      <c r="AD70" s="425">
        <f t="shared" si="31"/>
        <v>0.02</v>
      </c>
      <c r="AE70" s="424">
        <f t="shared" si="32"/>
        <v>0</v>
      </c>
      <c r="AF70" s="424">
        <v>0</v>
      </c>
      <c r="AG70" s="396">
        <f t="shared" si="15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ht="13.5" customHeight="1" x14ac:dyDescent="0.2">
      <c r="A71" s="423">
        <f t="shared" si="34"/>
        <v>68</v>
      </c>
      <c r="B71" s="456" t="s">
        <v>545</v>
      </c>
      <c r="C71" s="457">
        <v>521707</v>
      </c>
      <c r="D71" s="458" t="s">
        <v>686</v>
      </c>
      <c r="E71" s="454" t="s">
        <v>695</v>
      </c>
      <c r="F71" s="391">
        <v>2017</v>
      </c>
      <c r="G71" s="455">
        <v>42737</v>
      </c>
      <c r="H71" s="459" t="s">
        <v>912</v>
      </c>
      <c r="I71" s="460" t="s">
        <v>913</v>
      </c>
      <c r="J71" s="461" t="s">
        <v>729</v>
      </c>
      <c r="K71" s="462" t="s">
        <v>1119</v>
      </c>
      <c r="L71" s="463" t="s">
        <v>915</v>
      </c>
      <c r="M71" s="464">
        <v>185431.03</v>
      </c>
      <c r="N71" s="464">
        <v>0</v>
      </c>
      <c r="O71" s="464">
        <v>29668.97</v>
      </c>
      <c r="P71" s="465">
        <v>215100</v>
      </c>
      <c r="Q71" s="392"/>
      <c r="R71" s="466">
        <v>171831.88</v>
      </c>
      <c r="S71" s="394">
        <f t="shared" si="35"/>
        <v>43268.119999999995</v>
      </c>
      <c r="T71" s="267" t="s">
        <v>131</v>
      </c>
      <c r="U71" s="267" t="str">
        <f t="shared" ref="U71:U134" si="36">+B71</f>
        <v>AA10161</v>
      </c>
      <c r="V71" s="423" t="str">
        <f t="shared" ref="V71:V134" si="37">+I71</f>
        <v>0003-TCN17</v>
      </c>
      <c r="W71" s="362">
        <f t="shared" ref="W71:W134" si="38">+C71</f>
        <v>521707</v>
      </c>
      <c r="X71" s="362" t="str">
        <f t="shared" ref="X71:X134" si="39">+E71</f>
        <v>RAV4 L4 AWD LIMITED</v>
      </c>
      <c r="Y71" s="93">
        <f t="shared" ref="Y71:Y134" si="40">+F71</f>
        <v>2017</v>
      </c>
      <c r="Z71" s="260">
        <f t="shared" ref="Z71:Z134" si="41">+M71</f>
        <v>185431.03</v>
      </c>
      <c r="AA71" s="424"/>
      <c r="AB71" s="424"/>
      <c r="AC71" s="424">
        <f t="shared" si="30"/>
        <v>0.01</v>
      </c>
      <c r="AD71" s="425">
        <f t="shared" si="31"/>
        <v>0.02</v>
      </c>
      <c r="AE71" s="424">
        <f t="shared" si="32"/>
        <v>0</v>
      </c>
      <c r="AF71" s="424">
        <v>0</v>
      </c>
      <c r="AG71" s="396">
        <f t="shared" ref="AG71:AG90" si="42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ht="12.75" customHeight="1" x14ac:dyDescent="0.2">
      <c r="A72" s="423">
        <f t="shared" si="34"/>
        <v>69</v>
      </c>
      <c r="B72" s="456" t="s">
        <v>475</v>
      </c>
      <c r="C72" s="457">
        <v>521707</v>
      </c>
      <c r="D72" s="458">
        <v>2006</v>
      </c>
      <c r="E72" s="454" t="s">
        <v>702</v>
      </c>
      <c r="F72" s="391">
        <v>2017</v>
      </c>
      <c r="G72" s="455">
        <v>42741</v>
      </c>
      <c r="H72" s="459" t="s">
        <v>778</v>
      </c>
      <c r="I72" s="460" t="s">
        <v>919</v>
      </c>
      <c r="J72" s="461" t="s">
        <v>729</v>
      </c>
      <c r="K72" s="462" t="s">
        <v>920</v>
      </c>
      <c r="L72" s="463" t="s">
        <v>921</v>
      </c>
      <c r="M72" s="464">
        <v>189741.38</v>
      </c>
      <c r="N72" s="464">
        <v>0</v>
      </c>
      <c r="O72" s="464">
        <v>30358.62</v>
      </c>
      <c r="P72" s="465">
        <v>220100</v>
      </c>
      <c r="Q72" s="392"/>
      <c r="R72" s="466">
        <v>176916.14</v>
      </c>
      <c r="S72" s="394">
        <f t="shared" si="35"/>
        <v>43183.859999999986</v>
      </c>
      <c r="T72" s="113" t="s">
        <v>131</v>
      </c>
      <c r="U72" s="267" t="str">
        <f t="shared" si="36"/>
        <v>AA10206</v>
      </c>
      <c r="V72" s="423" t="str">
        <f t="shared" si="37"/>
        <v>0619-TCN17</v>
      </c>
      <c r="W72" s="362">
        <f t="shared" si="38"/>
        <v>521707</v>
      </c>
      <c r="X72" s="362" t="str">
        <f t="shared" si="39"/>
        <v>YARIS CORE,SEDAN CVT.</v>
      </c>
      <c r="Y72" s="93">
        <f t="shared" si="40"/>
        <v>2017</v>
      </c>
      <c r="Z72" s="260">
        <f t="shared" si="41"/>
        <v>189741.38</v>
      </c>
      <c r="AA72" s="424"/>
      <c r="AB72" s="424"/>
      <c r="AC72" s="424">
        <f t="shared" si="30"/>
        <v>0.01</v>
      </c>
      <c r="AD72" s="425">
        <f t="shared" si="31"/>
        <v>0.02</v>
      </c>
      <c r="AE72" s="424">
        <f t="shared" si="32"/>
        <v>0</v>
      </c>
      <c r="AF72" s="424">
        <v>0</v>
      </c>
      <c r="AG72" s="396">
        <f t="shared" si="42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ht="12.75" customHeight="1" x14ac:dyDescent="0.2">
      <c r="A73" s="423">
        <f t="shared" si="34"/>
        <v>70</v>
      </c>
      <c r="B73" s="456" t="s">
        <v>473</v>
      </c>
      <c r="C73" s="457">
        <v>521707</v>
      </c>
      <c r="D73" s="458" t="s">
        <v>686</v>
      </c>
      <c r="E73" s="454" t="s">
        <v>695</v>
      </c>
      <c r="F73" s="391">
        <v>2017</v>
      </c>
      <c r="G73" s="455">
        <v>42766</v>
      </c>
      <c r="H73" s="459" t="s">
        <v>912</v>
      </c>
      <c r="I73" s="460" t="s">
        <v>913</v>
      </c>
      <c r="J73" s="461" t="s">
        <v>729</v>
      </c>
      <c r="K73" s="462" t="s">
        <v>914</v>
      </c>
      <c r="L73" s="463" t="s">
        <v>915</v>
      </c>
      <c r="M73" s="464">
        <v>184482.76</v>
      </c>
      <c r="N73" s="464">
        <v>0</v>
      </c>
      <c r="O73" s="464">
        <v>29517.24</v>
      </c>
      <c r="P73" s="465">
        <v>214000</v>
      </c>
      <c r="Q73" s="392"/>
      <c r="R73" s="466">
        <v>171831.88</v>
      </c>
      <c r="S73" s="394">
        <f t="shared" si="35"/>
        <v>42168.119999999995</v>
      </c>
      <c r="T73" s="113" t="s">
        <v>131</v>
      </c>
      <c r="U73" s="267" t="str">
        <f t="shared" si="36"/>
        <v>AA10360</v>
      </c>
      <c r="V73" s="423" t="str">
        <f t="shared" si="37"/>
        <v>0003-TCN17</v>
      </c>
      <c r="W73" s="362">
        <f t="shared" si="38"/>
        <v>521707</v>
      </c>
      <c r="X73" s="362" t="str">
        <f t="shared" si="39"/>
        <v>RAV4 L4 AWD LIMITED</v>
      </c>
      <c r="Y73" s="93">
        <f t="shared" si="40"/>
        <v>2017</v>
      </c>
      <c r="Z73" s="260">
        <f t="shared" si="41"/>
        <v>184482.76</v>
      </c>
      <c r="AA73" s="424"/>
      <c r="AB73" s="424"/>
      <c r="AC73" s="424"/>
      <c r="AD73" s="425"/>
      <c r="AE73" s="424"/>
      <c r="AF73" s="424">
        <f>+N73</f>
        <v>0</v>
      </c>
      <c r="AG73" s="396">
        <f t="shared" si="42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ht="12.75" customHeight="1" x14ac:dyDescent="0.2">
      <c r="A74" s="423">
        <f t="shared" si="34"/>
        <v>71</v>
      </c>
      <c r="B74" s="456" t="s">
        <v>481</v>
      </c>
      <c r="C74" s="457">
        <v>521707</v>
      </c>
      <c r="D74" s="458">
        <v>2005</v>
      </c>
      <c r="E74" s="454" t="s">
        <v>701</v>
      </c>
      <c r="F74" s="391">
        <v>2017</v>
      </c>
      <c r="G74" s="455">
        <v>42755</v>
      </c>
      <c r="H74" s="459" t="s">
        <v>819</v>
      </c>
      <c r="I74" s="460" t="s">
        <v>934</v>
      </c>
      <c r="J74" s="461" t="s">
        <v>724</v>
      </c>
      <c r="K74" s="462" t="s">
        <v>888</v>
      </c>
      <c r="L74" s="463" t="s">
        <v>935</v>
      </c>
      <c r="M74" s="464">
        <v>-172500</v>
      </c>
      <c r="N74" s="464">
        <v>0</v>
      </c>
      <c r="O74" s="464">
        <v>-27600</v>
      </c>
      <c r="P74" s="465">
        <v>-200100</v>
      </c>
      <c r="Q74" s="392"/>
      <c r="R74" s="466">
        <v>-156798.64000000001</v>
      </c>
      <c r="S74" s="394">
        <f t="shared" si="35"/>
        <v>-43301.359999999986</v>
      </c>
      <c r="T74" s="445" t="s">
        <v>1266</v>
      </c>
      <c r="U74" s="267" t="str">
        <f t="shared" si="36"/>
        <v>ZA03856</v>
      </c>
      <c r="V74" s="423" t="str">
        <f t="shared" si="37"/>
        <v>0561-TCN17</v>
      </c>
      <c r="W74" s="362">
        <f t="shared" si="38"/>
        <v>521707</v>
      </c>
      <c r="X74" s="362" t="str">
        <f t="shared" si="39"/>
        <v>YARIS CORE MT, SEDAN</v>
      </c>
      <c r="Y74" s="93">
        <f t="shared" si="40"/>
        <v>2017</v>
      </c>
      <c r="Z74" s="260">
        <f t="shared" si="41"/>
        <v>-172500</v>
      </c>
      <c r="AA74" s="424"/>
      <c r="AB74" s="424"/>
      <c r="AC74" s="424"/>
      <c r="AD74" s="425"/>
      <c r="AE74" s="424"/>
      <c r="AF74" s="424">
        <v>0</v>
      </c>
      <c r="AG74" s="396">
        <f t="shared" si="42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ht="12.75" customHeight="1" x14ac:dyDescent="0.2">
      <c r="A75" s="423">
        <f t="shared" si="34"/>
        <v>72</v>
      </c>
      <c r="B75" s="456" t="s">
        <v>546</v>
      </c>
      <c r="C75" s="457">
        <v>521707</v>
      </c>
      <c r="D75" s="458" t="s">
        <v>686</v>
      </c>
      <c r="E75" s="454" t="s">
        <v>695</v>
      </c>
      <c r="F75" s="391">
        <v>2017</v>
      </c>
      <c r="G75" s="455">
        <v>42744</v>
      </c>
      <c r="H75" s="459" t="s">
        <v>912</v>
      </c>
      <c r="I75" s="460" t="s">
        <v>913</v>
      </c>
      <c r="J75" s="461" t="s">
        <v>729</v>
      </c>
      <c r="K75" s="462" t="s">
        <v>1119</v>
      </c>
      <c r="L75" s="463" t="s">
        <v>915</v>
      </c>
      <c r="M75" s="464">
        <v>-185431.03</v>
      </c>
      <c r="N75" s="464">
        <v>0</v>
      </c>
      <c r="O75" s="464">
        <v>-29668.97</v>
      </c>
      <c r="P75" s="465">
        <v>-215100</v>
      </c>
      <c r="Q75" s="392"/>
      <c r="R75" s="466">
        <v>-171831.88</v>
      </c>
      <c r="S75" s="394">
        <f t="shared" si="35"/>
        <v>-43268.119999999995</v>
      </c>
      <c r="T75" s="113" t="s">
        <v>1266</v>
      </c>
      <c r="U75" s="267" t="str">
        <f t="shared" si="36"/>
        <v>ZA03834</v>
      </c>
      <c r="V75" s="423" t="str">
        <f t="shared" si="37"/>
        <v>0003-TCN17</v>
      </c>
      <c r="W75" s="362">
        <f t="shared" si="38"/>
        <v>521707</v>
      </c>
      <c r="X75" s="362" t="str">
        <f t="shared" si="39"/>
        <v>RAV4 L4 AWD LIMITED</v>
      </c>
      <c r="Y75" s="93">
        <f t="shared" si="40"/>
        <v>2017</v>
      </c>
      <c r="Z75" s="260">
        <f t="shared" si="41"/>
        <v>-185431.03</v>
      </c>
      <c r="AA75" s="467">
        <f>+SUM(Z65:Z75)</f>
        <v>1367327.5700000003</v>
      </c>
      <c r="AB75" s="485">
        <v>7</v>
      </c>
      <c r="AC75" s="424"/>
      <c r="AD75" s="425"/>
      <c r="AE75" s="424"/>
      <c r="AF75" s="424">
        <v>0</v>
      </c>
      <c r="AG75" s="396">
        <f t="shared" si="42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ht="12.75" customHeight="1" x14ac:dyDescent="0.2">
      <c r="A76" s="423">
        <f t="shared" si="34"/>
        <v>73</v>
      </c>
      <c r="B76" s="456" t="s">
        <v>483</v>
      </c>
      <c r="C76" s="457">
        <v>521801</v>
      </c>
      <c r="D76" s="458">
        <v>2201</v>
      </c>
      <c r="E76" s="454" t="s">
        <v>704</v>
      </c>
      <c r="F76" s="391">
        <v>2017</v>
      </c>
      <c r="G76" s="455">
        <v>42748</v>
      </c>
      <c r="H76" s="459" t="s">
        <v>847</v>
      </c>
      <c r="I76" s="460" t="s">
        <v>939</v>
      </c>
      <c r="J76" s="461" t="s">
        <v>724</v>
      </c>
      <c r="K76" s="462" t="s">
        <v>940</v>
      </c>
      <c r="L76" s="463" t="s">
        <v>941</v>
      </c>
      <c r="M76" s="464">
        <v>197586.21</v>
      </c>
      <c r="N76" s="464">
        <v>0</v>
      </c>
      <c r="O76" s="464">
        <v>31613.79</v>
      </c>
      <c r="P76" s="465">
        <v>229200</v>
      </c>
      <c r="Q76" s="392"/>
      <c r="R76" s="466">
        <v>179209.94</v>
      </c>
      <c r="S76" s="394">
        <f t="shared" si="35"/>
        <v>49990.06</v>
      </c>
      <c r="T76" s="267" t="s">
        <v>131</v>
      </c>
      <c r="U76" s="267" t="str">
        <f t="shared" si="36"/>
        <v>AA10240</v>
      </c>
      <c r="V76" s="423" t="str">
        <f t="shared" si="37"/>
        <v>0658-TCN17</v>
      </c>
      <c r="W76" s="362">
        <f t="shared" si="38"/>
        <v>521801</v>
      </c>
      <c r="X76" s="362" t="str">
        <f t="shared" si="39"/>
        <v>AVANZA HI 5MT</v>
      </c>
      <c r="Y76" s="93">
        <f t="shared" si="40"/>
        <v>2017</v>
      </c>
      <c r="Z76" s="260">
        <f t="shared" si="41"/>
        <v>197586.21</v>
      </c>
      <c r="AA76" s="424"/>
      <c r="AB76" s="424"/>
      <c r="AC76" s="424">
        <f t="shared" si="30"/>
        <v>0.01</v>
      </c>
      <c r="AD76" s="425">
        <f t="shared" si="31"/>
        <v>0.02</v>
      </c>
      <c r="AE76" s="424">
        <f t="shared" si="32"/>
        <v>0</v>
      </c>
      <c r="AF76" s="424">
        <v>0</v>
      </c>
      <c r="AG76" s="396">
        <f t="shared" si="42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ht="12.75" customHeight="1" x14ac:dyDescent="0.2">
      <c r="A77" s="423">
        <f t="shared" si="34"/>
        <v>74</v>
      </c>
      <c r="B77" s="456" t="s">
        <v>482</v>
      </c>
      <c r="C77" s="457">
        <v>521801</v>
      </c>
      <c r="D77" s="458">
        <v>2202</v>
      </c>
      <c r="E77" s="454" t="s">
        <v>703</v>
      </c>
      <c r="F77" s="391">
        <v>2017</v>
      </c>
      <c r="G77" s="455">
        <v>42752</v>
      </c>
      <c r="H77" s="459" t="s">
        <v>764</v>
      </c>
      <c r="I77" s="460" t="s">
        <v>936</v>
      </c>
      <c r="J77" s="461" t="s">
        <v>729</v>
      </c>
      <c r="K77" s="462" t="s">
        <v>937</v>
      </c>
      <c r="L77" s="463" t="s">
        <v>938</v>
      </c>
      <c r="M77" s="464">
        <v>201982.76</v>
      </c>
      <c r="N77" s="464">
        <v>0</v>
      </c>
      <c r="O77" s="464">
        <v>32317.24</v>
      </c>
      <c r="P77" s="465">
        <v>234300</v>
      </c>
      <c r="Q77" s="392"/>
      <c r="R77" s="466">
        <v>182900.64</v>
      </c>
      <c r="S77" s="394">
        <f t="shared" si="35"/>
        <v>51399.359999999986</v>
      </c>
      <c r="T77" s="267" t="s">
        <v>131</v>
      </c>
      <c r="U77" s="267" t="str">
        <f t="shared" si="36"/>
        <v>AA10270</v>
      </c>
      <c r="V77" s="423" t="str">
        <f t="shared" si="37"/>
        <v>0636-TCN17</v>
      </c>
      <c r="W77" s="362">
        <f t="shared" si="38"/>
        <v>521801</v>
      </c>
      <c r="X77" s="362" t="str">
        <f t="shared" si="39"/>
        <v>AVANZA HI 4AT</v>
      </c>
      <c r="Y77" s="93">
        <f t="shared" si="40"/>
        <v>2017</v>
      </c>
      <c r="Z77" s="260">
        <f t="shared" si="41"/>
        <v>201982.76</v>
      </c>
      <c r="AA77" s="467">
        <f>SUM(Z76:Z77)</f>
        <v>399568.97</v>
      </c>
      <c r="AB77" s="485">
        <v>2</v>
      </c>
      <c r="AC77" s="424">
        <f t="shared" si="30"/>
        <v>0.01</v>
      </c>
      <c r="AD77" s="425">
        <f t="shared" si="31"/>
        <v>0.02</v>
      </c>
      <c r="AE77" s="424">
        <f t="shared" si="32"/>
        <v>0</v>
      </c>
      <c r="AF77" s="424">
        <v>0</v>
      </c>
      <c r="AG77" s="396">
        <f t="shared" si="42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ht="12.75" customHeight="1" x14ac:dyDescent="0.2">
      <c r="A78" s="423">
        <f t="shared" si="34"/>
        <v>75</v>
      </c>
      <c r="B78" s="456" t="s">
        <v>486</v>
      </c>
      <c r="C78" s="457">
        <v>521802</v>
      </c>
      <c r="D78" s="458">
        <v>2202</v>
      </c>
      <c r="E78" s="454" t="s">
        <v>703</v>
      </c>
      <c r="F78" s="391">
        <v>2017</v>
      </c>
      <c r="G78" s="455">
        <v>42754</v>
      </c>
      <c r="H78" s="459" t="s">
        <v>788</v>
      </c>
      <c r="I78" s="460" t="s">
        <v>948</v>
      </c>
      <c r="J78" s="461" t="s">
        <v>729</v>
      </c>
      <c r="K78" s="462" t="s">
        <v>949</v>
      </c>
      <c r="L78" s="463" t="s">
        <v>950</v>
      </c>
      <c r="M78" s="464">
        <v>201982.76</v>
      </c>
      <c r="N78" s="464">
        <v>0</v>
      </c>
      <c r="O78" s="464">
        <v>32317.24</v>
      </c>
      <c r="P78" s="465">
        <v>234300</v>
      </c>
      <c r="Q78" s="392"/>
      <c r="R78" s="466">
        <v>182900.64</v>
      </c>
      <c r="S78" s="394">
        <f t="shared" si="35"/>
        <v>51399.359999999986</v>
      </c>
      <c r="T78" s="113" t="s">
        <v>131</v>
      </c>
      <c r="U78" s="267" t="str">
        <f t="shared" si="36"/>
        <v>AA10278</v>
      </c>
      <c r="V78" s="423" t="str">
        <f t="shared" si="37"/>
        <v>0622-TCN17</v>
      </c>
      <c r="W78" s="362">
        <f t="shared" si="38"/>
        <v>521802</v>
      </c>
      <c r="X78" s="362" t="str">
        <f t="shared" si="39"/>
        <v>AVANZA HI 4AT</v>
      </c>
      <c r="Y78" s="93">
        <f t="shared" si="40"/>
        <v>2017</v>
      </c>
      <c r="Z78" s="260">
        <f t="shared" si="41"/>
        <v>201982.76</v>
      </c>
      <c r="AA78" s="424"/>
      <c r="AB78" s="424"/>
      <c r="AC78" s="424">
        <f t="shared" si="30"/>
        <v>0.01</v>
      </c>
      <c r="AD78" s="425">
        <f t="shared" si="31"/>
        <v>0.02</v>
      </c>
      <c r="AE78" s="424">
        <f t="shared" si="32"/>
        <v>0</v>
      </c>
      <c r="AF78" s="424">
        <v>0</v>
      </c>
      <c r="AG78" s="396">
        <f t="shared" si="42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ht="12.75" customHeight="1" x14ac:dyDescent="0.2">
      <c r="A79" s="423">
        <f t="shared" si="34"/>
        <v>76</v>
      </c>
      <c r="B79" s="456" t="s">
        <v>484</v>
      </c>
      <c r="C79" s="457">
        <v>521802</v>
      </c>
      <c r="D79" s="458" t="s">
        <v>686</v>
      </c>
      <c r="E79" s="454" t="s">
        <v>695</v>
      </c>
      <c r="F79" s="391">
        <v>2017</v>
      </c>
      <c r="G79" s="455">
        <v>42756</v>
      </c>
      <c r="H79" s="459" t="s">
        <v>735</v>
      </c>
      <c r="I79" s="460" t="s">
        <v>942</v>
      </c>
      <c r="J79" s="461" t="s">
        <v>729</v>
      </c>
      <c r="K79" s="462" t="s">
        <v>943</v>
      </c>
      <c r="L79" s="463" t="s">
        <v>944</v>
      </c>
      <c r="M79" s="464">
        <v>193879.31</v>
      </c>
      <c r="N79" s="464">
        <v>0</v>
      </c>
      <c r="O79" s="464">
        <v>31020.69</v>
      </c>
      <c r="P79" s="465">
        <v>224900</v>
      </c>
      <c r="Q79" s="392"/>
      <c r="R79" s="466">
        <v>179442.7</v>
      </c>
      <c r="S79" s="394">
        <f t="shared" si="35"/>
        <v>45457.299999999988</v>
      </c>
      <c r="T79" s="113" t="s">
        <v>131</v>
      </c>
      <c r="U79" s="267" t="str">
        <f t="shared" si="36"/>
        <v>AA10293</v>
      </c>
      <c r="V79" s="423" t="str">
        <f t="shared" si="37"/>
        <v>0320-TCN17</v>
      </c>
      <c r="W79" s="362">
        <f t="shared" si="38"/>
        <v>521802</v>
      </c>
      <c r="X79" s="362" t="str">
        <f t="shared" si="39"/>
        <v>RAV4 L4 AWD LIMITED</v>
      </c>
      <c r="Y79" s="93">
        <f t="shared" si="40"/>
        <v>2017</v>
      </c>
      <c r="Z79" s="260">
        <f t="shared" si="41"/>
        <v>193879.31</v>
      </c>
      <c r="AA79" s="424"/>
      <c r="AB79" s="424"/>
      <c r="AC79" s="424">
        <f t="shared" si="30"/>
        <v>0.01</v>
      </c>
      <c r="AD79" s="425">
        <f t="shared" si="31"/>
        <v>0.02</v>
      </c>
      <c r="AE79" s="424">
        <f t="shared" si="32"/>
        <v>0</v>
      </c>
      <c r="AF79" s="424">
        <v>0</v>
      </c>
      <c r="AG79" s="396">
        <f t="shared" si="42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ht="12.75" customHeight="1" x14ac:dyDescent="0.2">
      <c r="A80" s="423">
        <f t="shared" si="34"/>
        <v>77</v>
      </c>
      <c r="B80" s="456" t="s">
        <v>490</v>
      </c>
      <c r="C80" s="457">
        <v>521802</v>
      </c>
      <c r="D80" s="458">
        <v>2202</v>
      </c>
      <c r="E80" s="454" t="s">
        <v>703</v>
      </c>
      <c r="F80" s="391">
        <v>2017</v>
      </c>
      <c r="G80" s="455">
        <v>42765</v>
      </c>
      <c r="H80" s="459" t="s">
        <v>810</v>
      </c>
      <c r="I80" s="460" t="s">
        <v>960</v>
      </c>
      <c r="J80" s="461" t="s">
        <v>729</v>
      </c>
      <c r="K80" s="462" t="s">
        <v>961</v>
      </c>
      <c r="L80" s="463" t="s">
        <v>962</v>
      </c>
      <c r="M80" s="464">
        <v>201982.76</v>
      </c>
      <c r="N80" s="464">
        <v>0</v>
      </c>
      <c r="O80" s="464">
        <v>32317.24</v>
      </c>
      <c r="P80" s="465">
        <v>234300</v>
      </c>
      <c r="Q80" s="392"/>
      <c r="R80" s="466">
        <v>182856.5</v>
      </c>
      <c r="S80" s="394">
        <f t="shared" si="35"/>
        <v>51443.5</v>
      </c>
      <c r="T80" s="444" t="s">
        <v>131</v>
      </c>
      <c r="U80" s="267" t="str">
        <f t="shared" si="36"/>
        <v>AA10347</v>
      </c>
      <c r="V80" s="423" t="str">
        <f t="shared" si="37"/>
        <v>0723-TCN17</v>
      </c>
      <c r="W80" s="362">
        <f t="shared" si="38"/>
        <v>521802</v>
      </c>
      <c r="X80" s="362" t="str">
        <f t="shared" si="39"/>
        <v>AVANZA HI 4AT</v>
      </c>
      <c r="Y80" s="93">
        <f t="shared" si="40"/>
        <v>2017</v>
      </c>
      <c r="Z80" s="260">
        <f t="shared" si="41"/>
        <v>201982.76</v>
      </c>
      <c r="AA80" s="424"/>
      <c r="AB80" s="424"/>
      <c r="AC80" s="424">
        <f t="shared" si="30"/>
        <v>0.01</v>
      </c>
      <c r="AD80" s="425">
        <f t="shared" si="31"/>
        <v>0.02</v>
      </c>
      <c r="AE80" s="424">
        <f t="shared" si="32"/>
        <v>0</v>
      </c>
      <c r="AF80" s="424">
        <v>0</v>
      </c>
      <c r="AG80" s="396">
        <f t="shared" si="42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ht="12.75" customHeight="1" x14ac:dyDescent="0.2">
      <c r="A81" s="423">
        <f t="shared" si="34"/>
        <v>78</v>
      </c>
      <c r="B81" s="456" t="s">
        <v>491</v>
      </c>
      <c r="C81" s="457">
        <v>521802</v>
      </c>
      <c r="D81" s="458">
        <v>2202</v>
      </c>
      <c r="E81" s="454" t="s">
        <v>703</v>
      </c>
      <c r="F81" s="391">
        <v>2017</v>
      </c>
      <c r="G81" s="455">
        <v>42766</v>
      </c>
      <c r="H81" s="459" t="s">
        <v>722</v>
      </c>
      <c r="I81" s="460" t="s">
        <v>963</v>
      </c>
      <c r="J81" s="461" t="s">
        <v>729</v>
      </c>
      <c r="K81" s="462" t="s">
        <v>964</v>
      </c>
      <c r="L81" s="463" t="s">
        <v>965</v>
      </c>
      <c r="M81" s="464">
        <v>201982.76</v>
      </c>
      <c r="N81" s="464">
        <v>0</v>
      </c>
      <c r="O81" s="464">
        <v>32317.24</v>
      </c>
      <c r="P81" s="465">
        <v>234300</v>
      </c>
      <c r="Q81" s="392"/>
      <c r="R81" s="466">
        <v>182856.5</v>
      </c>
      <c r="S81" s="394">
        <f t="shared" si="35"/>
        <v>51443.5</v>
      </c>
      <c r="T81" s="267" t="s">
        <v>131</v>
      </c>
      <c r="U81" s="267" t="str">
        <f t="shared" si="36"/>
        <v>AA10369</v>
      </c>
      <c r="V81" s="423" t="str">
        <f t="shared" si="37"/>
        <v>0739-TCN17</v>
      </c>
      <c r="W81" s="362">
        <f t="shared" si="38"/>
        <v>521802</v>
      </c>
      <c r="X81" s="362" t="str">
        <f t="shared" si="39"/>
        <v>AVANZA HI 4AT</v>
      </c>
      <c r="Y81" s="93">
        <f t="shared" si="40"/>
        <v>2017</v>
      </c>
      <c r="Z81" s="260">
        <f t="shared" si="41"/>
        <v>201982.76</v>
      </c>
      <c r="AA81" s="424"/>
      <c r="AB81" s="424"/>
      <c r="AC81" s="424">
        <f t="shared" si="30"/>
        <v>0.01</v>
      </c>
      <c r="AD81" s="425">
        <f t="shared" si="31"/>
        <v>0.02</v>
      </c>
      <c r="AE81" s="424">
        <f t="shared" si="32"/>
        <v>0</v>
      </c>
      <c r="AF81" s="424">
        <v>0</v>
      </c>
      <c r="AG81" s="396">
        <f t="shared" si="42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ht="12.75" customHeight="1" x14ac:dyDescent="0.2">
      <c r="A82" s="423">
        <f t="shared" si="34"/>
        <v>79</v>
      </c>
      <c r="B82" s="456" t="s">
        <v>487</v>
      </c>
      <c r="C82" s="457">
        <v>521802</v>
      </c>
      <c r="D82" s="458">
        <v>2204</v>
      </c>
      <c r="E82" s="454" t="s">
        <v>705</v>
      </c>
      <c r="F82" s="391">
        <v>2017</v>
      </c>
      <c r="G82" s="455">
        <v>42751</v>
      </c>
      <c r="H82" s="459" t="s">
        <v>743</v>
      </c>
      <c r="I82" s="460" t="s">
        <v>951</v>
      </c>
      <c r="J82" s="461" t="s">
        <v>724</v>
      </c>
      <c r="K82" s="462" t="s">
        <v>952</v>
      </c>
      <c r="L82" s="463" t="s">
        <v>953</v>
      </c>
      <c r="M82" s="464">
        <v>221982.76</v>
      </c>
      <c r="N82" s="464">
        <v>0</v>
      </c>
      <c r="O82" s="464">
        <v>35517.24</v>
      </c>
      <c r="P82" s="465">
        <v>257500</v>
      </c>
      <c r="Q82" s="392"/>
      <c r="R82" s="466">
        <v>204968.56</v>
      </c>
      <c r="S82" s="394">
        <f t="shared" si="35"/>
        <v>52531.44</v>
      </c>
      <c r="T82" s="113" t="s">
        <v>131</v>
      </c>
      <c r="U82" s="267" t="str">
        <f t="shared" si="36"/>
        <v>AA10255</v>
      </c>
      <c r="V82" s="423" t="str">
        <f t="shared" si="37"/>
        <v>0665-TCN17</v>
      </c>
      <c r="W82" s="362">
        <f t="shared" si="38"/>
        <v>521802</v>
      </c>
      <c r="X82" s="362" t="str">
        <f t="shared" si="39"/>
        <v>AVANZA LIMITED</v>
      </c>
      <c r="Y82" s="93">
        <f t="shared" si="40"/>
        <v>2017</v>
      </c>
      <c r="Z82" s="260">
        <f t="shared" si="41"/>
        <v>221982.76</v>
      </c>
      <c r="AA82" s="424"/>
      <c r="AB82" s="424"/>
      <c r="AC82" s="424">
        <f t="shared" si="30"/>
        <v>0.01</v>
      </c>
      <c r="AD82" s="425">
        <f t="shared" si="31"/>
        <v>0.02</v>
      </c>
      <c r="AE82" s="424">
        <f t="shared" si="32"/>
        <v>0</v>
      </c>
      <c r="AF82" s="424">
        <v>0</v>
      </c>
      <c r="AG82" s="396">
        <f t="shared" si="42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3">
        <f t="shared" si="34"/>
        <v>80</v>
      </c>
      <c r="B83" s="456" t="s">
        <v>485</v>
      </c>
      <c r="C83" s="457">
        <v>521802</v>
      </c>
      <c r="D83" s="458">
        <v>2202</v>
      </c>
      <c r="E83" s="454" t="s">
        <v>703</v>
      </c>
      <c r="F83" s="391">
        <v>2017</v>
      </c>
      <c r="G83" s="455">
        <v>42751</v>
      </c>
      <c r="H83" s="459" t="s">
        <v>847</v>
      </c>
      <c r="I83" s="460" t="s">
        <v>945</v>
      </c>
      <c r="J83" s="461" t="s">
        <v>729</v>
      </c>
      <c r="K83" s="462" t="s">
        <v>946</v>
      </c>
      <c r="L83" s="463" t="s">
        <v>947</v>
      </c>
      <c r="M83" s="464">
        <v>201982.76</v>
      </c>
      <c r="N83" s="464">
        <v>0</v>
      </c>
      <c r="O83" s="464">
        <v>32317.24</v>
      </c>
      <c r="P83" s="465">
        <v>234300</v>
      </c>
      <c r="Q83" s="392"/>
      <c r="R83" s="466">
        <v>179442.7</v>
      </c>
      <c r="S83" s="394">
        <f t="shared" si="35"/>
        <v>54857.299999999988</v>
      </c>
      <c r="T83" s="113" t="s">
        <v>131</v>
      </c>
      <c r="U83" s="267" t="str">
        <f t="shared" si="36"/>
        <v>AA10259</v>
      </c>
      <c r="V83" s="423" t="str">
        <f t="shared" si="37"/>
        <v>0443-TCN17</v>
      </c>
      <c r="W83" s="362">
        <f t="shared" si="38"/>
        <v>521802</v>
      </c>
      <c r="X83" s="362" t="str">
        <f t="shared" si="39"/>
        <v>AVANZA HI 4AT</v>
      </c>
      <c r="Y83" s="93">
        <f t="shared" si="40"/>
        <v>2017</v>
      </c>
      <c r="Z83" s="260">
        <f t="shared" si="41"/>
        <v>201982.76</v>
      </c>
      <c r="AA83" s="424"/>
      <c r="AB83" s="424"/>
      <c r="AC83" s="424">
        <f t="shared" si="30"/>
        <v>0.01</v>
      </c>
      <c r="AD83" s="425">
        <f t="shared" si="31"/>
        <v>0.02</v>
      </c>
      <c r="AE83" s="424">
        <f t="shared" si="32"/>
        <v>0</v>
      </c>
      <c r="AF83" s="424">
        <v>0</v>
      </c>
      <c r="AG83" s="396">
        <f t="shared" si="42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ht="12.75" customHeight="1" x14ac:dyDescent="0.2">
      <c r="A84" s="423">
        <f t="shared" si="34"/>
        <v>81</v>
      </c>
      <c r="B84" s="456" t="s">
        <v>489</v>
      </c>
      <c r="C84" s="457">
        <v>521802</v>
      </c>
      <c r="D84" s="458">
        <v>2204</v>
      </c>
      <c r="E84" s="454" t="s">
        <v>705</v>
      </c>
      <c r="F84" s="391">
        <v>2017</v>
      </c>
      <c r="G84" s="455">
        <v>42756</v>
      </c>
      <c r="H84" s="459" t="s">
        <v>727</v>
      </c>
      <c r="I84" s="460" t="s">
        <v>957</v>
      </c>
      <c r="J84" s="461" t="s">
        <v>729</v>
      </c>
      <c r="K84" s="462" t="s">
        <v>958</v>
      </c>
      <c r="L84" s="463" t="s">
        <v>959</v>
      </c>
      <c r="M84" s="464">
        <v>226206.9</v>
      </c>
      <c r="N84" s="464">
        <v>0</v>
      </c>
      <c r="O84" s="464">
        <v>36193.1</v>
      </c>
      <c r="P84" s="465">
        <v>262400</v>
      </c>
      <c r="Q84" s="392"/>
      <c r="R84" s="466">
        <v>204614.08</v>
      </c>
      <c r="S84" s="394">
        <f t="shared" si="35"/>
        <v>57785.920000000013</v>
      </c>
      <c r="T84" s="113" t="s">
        <v>131</v>
      </c>
      <c r="U84" s="267" t="str">
        <f t="shared" si="36"/>
        <v>AA10287</v>
      </c>
      <c r="V84" s="423" t="str">
        <f t="shared" si="37"/>
        <v>0702-TCN17</v>
      </c>
      <c r="W84" s="362">
        <f t="shared" si="38"/>
        <v>521802</v>
      </c>
      <c r="X84" s="362" t="str">
        <f t="shared" si="39"/>
        <v>AVANZA LIMITED</v>
      </c>
      <c r="Y84" s="93">
        <f t="shared" si="40"/>
        <v>2017</v>
      </c>
      <c r="Z84" s="260">
        <f t="shared" si="41"/>
        <v>226206.9</v>
      </c>
      <c r="AA84" s="424"/>
      <c r="AB84" s="424"/>
      <c r="AC84" s="424">
        <f t="shared" si="30"/>
        <v>0.01</v>
      </c>
      <c r="AD84" s="425">
        <f t="shared" si="31"/>
        <v>0.02</v>
      </c>
      <c r="AE84" s="424">
        <f t="shared" si="32"/>
        <v>0</v>
      </c>
      <c r="AF84" s="424">
        <v>0</v>
      </c>
      <c r="AG84" s="448">
        <f t="shared" si="42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ht="12.75" customHeight="1" x14ac:dyDescent="0.2">
      <c r="A85" s="423">
        <f t="shared" si="34"/>
        <v>82</v>
      </c>
      <c r="B85" s="456" t="s">
        <v>488</v>
      </c>
      <c r="C85" s="457">
        <v>521802</v>
      </c>
      <c r="D85" s="458">
        <v>2204</v>
      </c>
      <c r="E85" s="454" t="s">
        <v>705</v>
      </c>
      <c r="F85" s="391">
        <v>2017</v>
      </c>
      <c r="G85" s="455">
        <v>42756</v>
      </c>
      <c r="H85" s="459" t="s">
        <v>847</v>
      </c>
      <c r="I85" s="460" t="s">
        <v>954</v>
      </c>
      <c r="J85" s="461" t="s">
        <v>729</v>
      </c>
      <c r="K85" s="462" t="s">
        <v>955</v>
      </c>
      <c r="L85" s="463" t="s">
        <v>956</v>
      </c>
      <c r="M85" s="464">
        <v>226206.9</v>
      </c>
      <c r="N85" s="464">
        <v>0</v>
      </c>
      <c r="O85" s="464">
        <v>36193.1</v>
      </c>
      <c r="P85" s="465">
        <v>262400</v>
      </c>
      <c r="Q85" s="392"/>
      <c r="R85" s="466">
        <v>204614.08</v>
      </c>
      <c r="S85" s="394">
        <f t="shared" si="35"/>
        <v>57785.920000000013</v>
      </c>
      <c r="T85" s="113" t="s">
        <v>131</v>
      </c>
      <c r="U85" s="267" t="str">
        <f t="shared" si="36"/>
        <v>AA10289</v>
      </c>
      <c r="V85" s="423" t="str">
        <f t="shared" si="37"/>
        <v>0696-TCN17</v>
      </c>
      <c r="W85" s="362">
        <f t="shared" si="38"/>
        <v>521802</v>
      </c>
      <c r="X85" s="362" t="str">
        <f t="shared" si="39"/>
        <v>AVANZA LIMITED</v>
      </c>
      <c r="Y85" s="93">
        <f t="shared" si="40"/>
        <v>2017</v>
      </c>
      <c r="Z85" s="260">
        <f t="shared" si="41"/>
        <v>226206.9</v>
      </c>
      <c r="AA85" s="467">
        <f>SUM(Z78:Z85)</f>
        <v>1676206.91</v>
      </c>
      <c r="AB85" s="485">
        <v>8</v>
      </c>
      <c r="AC85" s="424">
        <f t="shared" si="30"/>
        <v>0.01</v>
      </c>
      <c r="AD85" s="425">
        <f t="shared" si="31"/>
        <v>0.02</v>
      </c>
      <c r="AE85" s="424">
        <f t="shared" si="32"/>
        <v>0</v>
      </c>
      <c r="AF85" s="424">
        <v>0</v>
      </c>
      <c r="AG85" s="396">
        <f t="shared" si="42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ht="12.75" customHeight="1" x14ac:dyDescent="0.2">
      <c r="A86" s="423">
        <f t="shared" si="34"/>
        <v>83</v>
      </c>
      <c r="B86" s="456" t="s">
        <v>492</v>
      </c>
      <c r="C86" s="457">
        <v>521908</v>
      </c>
      <c r="D86" s="458">
        <v>6980</v>
      </c>
      <c r="E86" s="454" t="s">
        <v>706</v>
      </c>
      <c r="F86" s="391">
        <v>2017</v>
      </c>
      <c r="G86" s="455">
        <v>42738</v>
      </c>
      <c r="H86" s="459" t="s">
        <v>788</v>
      </c>
      <c r="I86" s="460" t="s">
        <v>966</v>
      </c>
      <c r="J86" s="461" t="s">
        <v>724</v>
      </c>
      <c r="K86" s="462" t="s">
        <v>967</v>
      </c>
      <c r="L86" s="463" t="s">
        <v>968</v>
      </c>
      <c r="M86" s="464">
        <v>496630.49</v>
      </c>
      <c r="N86" s="464">
        <v>36128.129999999997</v>
      </c>
      <c r="O86" s="464">
        <v>85241.38</v>
      </c>
      <c r="P86" s="465">
        <v>618000</v>
      </c>
      <c r="Q86" s="392"/>
      <c r="R86" s="466">
        <v>438779.47</v>
      </c>
      <c r="S86" s="394">
        <f t="shared" si="35"/>
        <v>179220.53000000003</v>
      </c>
      <c r="T86" s="113" t="s">
        <v>131</v>
      </c>
      <c r="U86" s="267" t="str">
        <f t="shared" si="36"/>
        <v>AA10195</v>
      </c>
      <c r="V86" s="423" t="str">
        <f t="shared" si="37"/>
        <v>0610-TCN17</v>
      </c>
      <c r="W86" s="362">
        <f t="shared" si="38"/>
        <v>521908</v>
      </c>
      <c r="X86" s="362" t="str">
        <f t="shared" si="39"/>
        <v>HIGHLANDER  XLE</v>
      </c>
      <c r="Y86" s="93">
        <f t="shared" si="40"/>
        <v>2017</v>
      </c>
      <c r="Z86" s="260">
        <f t="shared" si="41"/>
        <v>496630.49</v>
      </c>
      <c r="AA86" s="468">
        <f>+Z86</f>
        <v>496630.49</v>
      </c>
      <c r="AB86" s="468">
        <v>1</v>
      </c>
      <c r="AC86" s="424">
        <f t="shared" si="30"/>
        <v>443562.4</v>
      </c>
      <c r="AD86" s="425">
        <f t="shared" si="31"/>
        <v>0.17</v>
      </c>
      <c r="AE86" s="424">
        <f t="shared" si="32"/>
        <v>27106.55</v>
      </c>
      <c r="AF86" s="424">
        <f t="shared" si="33"/>
        <v>36128.125299999992</v>
      </c>
      <c r="AG86" s="396">
        <f t="shared" si="42"/>
        <v>4.7000000049592927E-3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ht="12.75" customHeight="1" x14ac:dyDescent="0.2">
      <c r="A87" s="423">
        <f t="shared" si="34"/>
        <v>84</v>
      </c>
      <c r="B87" s="456" t="s">
        <v>494</v>
      </c>
      <c r="C87" s="457">
        <v>521909</v>
      </c>
      <c r="D87" s="458">
        <v>6987</v>
      </c>
      <c r="E87" s="454" t="s">
        <v>708</v>
      </c>
      <c r="F87" s="391">
        <v>2017</v>
      </c>
      <c r="G87" s="455">
        <v>42766</v>
      </c>
      <c r="H87" s="459" t="s">
        <v>847</v>
      </c>
      <c r="I87" s="460" t="s">
        <v>972</v>
      </c>
      <c r="J87" s="461" t="s">
        <v>729</v>
      </c>
      <c r="K87" s="462" t="s">
        <v>973</v>
      </c>
      <c r="L87" s="463" t="s">
        <v>974</v>
      </c>
      <c r="M87" s="464">
        <v>540618.12</v>
      </c>
      <c r="N87" s="464">
        <v>43606.02</v>
      </c>
      <c r="O87" s="464">
        <v>93475.86</v>
      </c>
      <c r="P87" s="465">
        <v>677700</v>
      </c>
      <c r="Q87" s="392"/>
      <c r="R87" s="466">
        <v>478151.13</v>
      </c>
      <c r="S87" s="394">
        <f t="shared" si="35"/>
        <v>199548.87</v>
      </c>
      <c r="T87" s="113" t="s">
        <v>131</v>
      </c>
      <c r="U87" s="267" t="str">
        <f t="shared" si="36"/>
        <v>AA10362</v>
      </c>
      <c r="V87" s="423" t="str">
        <f t="shared" si="37"/>
        <v>0693-TCN17</v>
      </c>
      <c r="W87" s="362">
        <f t="shared" si="38"/>
        <v>521909</v>
      </c>
      <c r="X87" s="362" t="str">
        <f t="shared" si="39"/>
        <v>HIGHLANDER LIMITED PANORAMIC ROOF</v>
      </c>
      <c r="Y87" s="93">
        <f t="shared" si="40"/>
        <v>2017</v>
      </c>
      <c r="Z87" s="260">
        <f t="shared" si="41"/>
        <v>540618.12</v>
      </c>
      <c r="AA87" s="424"/>
      <c r="AB87" s="424"/>
      <c r="AC87" s="424">
        <f t="shared" si="30"/>
        <v>443562.4</v>
      </c>
      <c r="AD87" s="425">
        <f t="shared" si="31"/>
        <v>0.17</v>
      </c>
      <c r="AE87" s="424">
        <f t="shared" si="32"/>
        <v>27106.55</v>
      </c>
      <c r="AF87" s="424">
        <f>+N87</f>
        <v>43606.02</v>
      </c>
      <c r="AG87" s="396">
        <f t="shared" si="42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ht="12.75" customHeight="1" x14ac:dyDescent="0.2">
      <c r="A88" s="423">
        <f t="shared" si="34"/>
        <v>85</v>
      </c>
      <c r="B88" s="456" t="s">
        <v>493</v>
      </c>
      <c r="C88" s="457">
        <v>521909</v>
      </c>
      <c r="D88" s="458">
        <v>6986</v>
      </c>
      <c r="E88" s="454" t="s">
        <v>707</v>
      </c>
      <c r="F88" s="391">
        <v>2017</v>
      </c>
      <c r="G88" s="455">
        <v>42766</v>
      </c>
      <c r="H88" s="459" t="s">
        <v>743</v>
      </c>
      <c r="I88" s="460" t="s">
        <v>969</v>
      </c>
      <c r="J88" s="461" t="s">
        <v>729</v>
      </c>
      <c r="K88" s="462" t="s">
        <v>970</v>
      </c>
      <c r="L88" s="463" t="s">
        <v>971</v>
      </c>
      <c r="M88" s="464">
        <v>556975.31999999995</v>
      </c>
      <c r="N88" s="464">
        <v>46386.75</v>
      </c>
      <c r="O88" s="464">
        <v>96537.93</v>
      </c>
      <c r="P88" s="465">
        <v>699900</v>
      </c>
      <c r="Q88" s="392"/>
      <c r="R88" s="466">
        <v>492545.47</v>
      </c>
      <c r="S88" s="394">
        <f t="shared" si="35"/>
        <v>207354.53000000003</v>
      </c>
      <c r="T88" s="113" t="s">
        <v>131</v>
      </c>
      <c r="U88" s="267" t="str">
        <f t="shared" si="36"/>
        <v>AA10368</v>
      </c>
      <c r="V88" s="423" t="str">
        <f t="shared" si="37"/>
        <v>0692-TCN17</v>
      </c>
      <c r="W88" s="362">
        <f t="shared" si="38"/>
        <v>521909</v>
      </c>
      <c r="X88" s="362" t="str">
        <f t="shared" si="39"/>
        <v>HIGHLANDER LIMITED BLUE- RAY</v>
      </c>
      <c r="Y88" s="93">
        <f t="shared" si="40"/>
        <v>2017</v>
      </c>
      <c r="Z88" s="260">
        <f t="shared" si="41"/>
        <v>556975.31999999995</v>
      </c>
      <c r="AA88" s="467">
        <f>SUM(Z87:Z88)</f>
        <v>1097593.44</v>
      </c>
      <c r="AB88" s="467">
        <v>2</v>
      </c>
      <c r="AC88" s="424">
        <f t="shared" si="30"/>
        <v>443562.4</v>
      </c>
      <c r="AD88" s="425">
        <f t="shared" si="31"/>
        <v>0.17</v>
      </c>
      <c r="AE88" s="424">
        <f t="shared" si="32"/>
        <v>27106.55</v>
      </c>
      <c r="AF88" s="424">
        <f>+N88</f>
        <v>46386.75</v>
      </c>
      <c r="AG88" s="396">
        <f t="shared" si="42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ht="12.75" customHeight="1" x14ac:dyDescent="0.2">
      <c r="A89" s="423">
        <f t="shared" si="34"/>
        <v>86</v>
      </c>
      <c r="B89" s="456" t="s">
        <v>495</v>
      </c>
      <c r="C89" s="457">
        <v>522401</v>
      </c>
      <c r="D89" s="458">
        <v>1062</v>
      </c>
      <c r="E89" s="454" t="s">
        <v>709</v>
      </c>
      <c r="F89" s="391">
        <v>2017</v>
      </c>
      <c r="G89" s="455">
        <v>42747</v>
      </c>
      <c r="H89" s="459" t="s">
        <v>819</v>
      </c>
      <c r="I89" s="460" t="s">
        <v>975</v>
      </c>
      <c r="J89" s="461" t="s">
        <v>729</v>
      </c>
      <c r="K89" s="462" t="s">
        <v>976</v>
      </c>
      <c r="L89" s="463" t="s">
        <v>977</v>
      </c>
      <c r="M89" s="464">
        <v>224137.93</v>
      </c>
      <c r="N89" s="464">
        <v>0</v>
      </c>
      <c r="O89" s="464">
        <v>35862.07</v>
      </c>
      <c r="P89" s="465">
        <v>260000</v>
      </c>
      <c r="Q89" s="392"/>
      <c r="R89" s="466">
        <v>198701.54</v>
      </c>
      <c r="S89" s="394">
        <f t="shared" si="35"/>
        <v>61298.459999999992</v>
      </c>
      <c r="T89" s="267" t="s">
        <v>131</v>
      </c>
      <c r="U89" s="267" t="str">
        <f t="shared" si="36"/>
        <v>AA10237</v>
      </c>
      <c r="V89" s="423" t="str">
        <f t="shared" si="37"/>
        <v>0577-TCN17</v>
      </c>
      <c r="W89" s="362">
        <f t="shared" si="38"/>
        <v>522401</v>
      </c>
      <c r="X89" s="362" t="str">
        <f t="shared" si="39"/>
        <v>YARIS XLE R AT</v>
      </c>
      <c r="Y89" s="93">
        <f t="shared" si="40"/>
        <v>2017</v>
      </c>
      <c r="Z89" s="260">
        <f t="shared" si="41"/>
        <v>224137.93</v>
      </c>
      <c r="AA89" s="424"/>
      <c r="AB89" s="424"/>
      <c r="AC89" s="424">
        <f t="shared" si="30"/>
        <v>0.01</v>
      </c>
      <c r="AD89" s="425">
        <f t="shared" si="31"/>
        <v>0.02</v>
      </c>
      <c r="AE89" s="424">
        <f t="shared" si="32"/>
        <v>0</v>
      </c>
      <c r="AF89" s="424">
        <v>0</v>
      </c>
      <c r="AG89" s="396">
        <f t="shared" si="42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ht="12.75" customHeight="1" x14ac:dyDescent="0.2">
      <c r="A90" s="423">
        <f t="shared" si="34"/>
        <v>87</v>
      </c>
      <c r="B90" s="456" t="s">
        <v>497</v>
      </c>
      <c r="C90" s="457">
        <v>522401</v>
      </c>
      <c r="D90" s="458">
        <v>1062</v>
      </c>
      <c r="E90" s="454" t="s">
        <v>709</v>
      </c>
      <c r="F90" s="391">
        <v>2017</v>
      </c>
      <c r="G90" s="455">
        <v>42753</v>
      </c>
      <c r="H90" s="459" t="s">
        <v>743</v>
      </c>
      <c r="I90" s="460" t="s">
        <v>981</v>
      </c>
      <c r="J90" s="461" t="s">
        <v>729</v>
      </c>
      <c r="K90" s="462" t="s">
        <v>982</v>
      </c>
      <c r="L90" s="463" t="s">
        <v>983</v>
      </c>
      <c r="M90" s="464">
        <v>224137.93</v>
      </c>
      <c r="N90" s="464">
        <v>0</v>
      </c>
      <c r="O90" s="464">
        <v>35862.07</v>
      </c>
      <c r="P90" s="465">
        <v>260000</v>
      </c>
      <c r="Q90" s="392"/>
      <c r="R90" s="466">
        <v>202702.57</v>
      </c>
      <c r="S90" s="394">
        <f t="shared" si="35"/>
        <v>57297.429999999993</v>
      </c>
      <c r="T90" s="445" t="s">
        <v>131</v>
      </c>
      <c r="U90" s="267" t="str">
        <f t="shared" si="36"/>
        <v>AA10274</v>
      </c>
      <c r="V90" s="423" t="str">
        <f t="shared" si="37"/>
        <v>0682-TCN17</v>
      </c>
      <c r="W90" s="362">
        <f t="shared" si="38"/>
        <v>522401</v>
      </c>
      <c r="X90" s="362" t="str">
        <f t="shared" si="39"/>
        <v>YARIS XLE R AT</v>
      </c>
      <c r="Y90" s="93">
        <f t="shared" si="40"/>
        <v>2017</v>
      </c>
      <c r="Z90" s="260">
        <f t="shared" si="41"/>
        <v>224137.93</v>
      </c>
      <c r="AA90" s="424"/>
      <c r="AB90" s="424"/>
      <c r="AC90" s="424">
        <f t="shared" si="30"/>
        <v>0.01</v>
      </c>
      <c r="AD90" s="425">
        <f t="shared" si="31"/>
        <v>0.02</v>
      </c>
      <c r="AE90" s="424">
        <f t="shared" si="32"/>
        <v>0</v>
      </c>
      <c r="AF90" s="424">
        <v>0</v>
      </c>
      <c r="AG90" s="396">
        <f t="shared" si="42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3">
        <f t="shared" si="34"/>
        <v>88</v>
      </c>
      <c r="B91" s="456" t="s">
        <v>496</v>
      </c>
      <c r="C91" s="457">
        <v>522401</v>
      </c>
      <c r="D91" s="458">
        <v>1062</v>
      </c>
      <c r="E91" s="454" t="s">
        <v>709</v>
      </c>
      <c r="F91" s="391">
        <v>2017</v>
      </c>
      <c r="G91" s="455">
        <v>42737</v>
      </c>
      <c r="H91" s="459" t="s">
        <v>817</v>
      </c>
      <c r="I91" s="460" t="s">
        <v>978</v>
      </c>
      <c r="J91" s="461" t="s">
        <v>729</v>
      </c>
      <c r="K91" s="462" t="s">
        <v>979</v>
      </c>
      <c r="L91" s="463" t="s">
        <v>980</v>
      </c>
      <c r="M91" s="464">
        <v>219741.38</v>
      </c>
      <c r="N91" s="464">
        <v>0</v>
      </c>
      <c r="O91" s="464">
        <v>35158.620000000003</v>
      </c>
      <c r="P91" s="465">
        <v>254900</v>
      </c>
      <c r="Q91" s="392"/>
      <c r="R91" s="466">
        <v>198701.54</v>
      </c>
      <c r="S91" s="394">
        <f t="shared" si="35"/>
        <v>56198.459999999992</v>
      </c>
      <c r="T91" s="267" t="s">
        <v>131</v>
      </c>
      <c r="U91" s="267" t="str">
        <f t="shared" si="36"/>
        <v>AA10166</v>
      </c>
      <c r="V91" s="423" t="str">
        <f t="shared" si="37"/>
        <v>0592-TCN17</v>
      </c>
      <c r="W91" s="362">
        <f t="shared" si="38"/>
        <v>522401</v>
      </c>
      <c r="X91" s="362" t="str">
        <f t="shared" si="39"/>
        <v>YARIS XLE R AT</v>
      </c>
      <c r="Y91" s="93">
        <f t="shared" si="40"/>
        <v>2017</v>
      </c>
      <c r="Z91" s="260">
        <f t="shared" si="41"/>
        <v>219741.38</v>
      </c>
      <c r="AA91" s="467">
        <f>SUM(Z89:Z91)</f>
        <v>668017.24</v>
      </c>
      <c r="AB91" s="485">
        <v>3</v>
      </c>
      <c r="AC91" s="424">
        <f t="shared" ref="AC91:AC92" si="43">VLOOKUP(Z91,TARIFA,1)</f>
        <v>0.01</v>
      </c>
      <c r="AD91" s="425">
        <f t="shared" ref="AD91:AD92" si="44">VLOOKUP(Z91,TARIFA,4)</f>
        <v>0.02</v>
      </c>
      <c r="AE91" s="424">
        <f t="shared" ref="AE91:AE92" si="45">VLOOKUP(Z91,TARIFA,3)</f>
        <v>0</v>
      </c>
      <c r="AF91" s="424">
        <v>0</v>
      </c>
      <c r="AG91" s="396">
        <f t="shared" ref="AG91:AG92" si="46">+N91-AF91</f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351" customFormat="1" ht="12.75" customHeight="1" x14ac:dyDescent="0.2">
      <c r="A92" s="423">
        <f t="shared" si="34"/>
        <v>89</v>
      </c>
      <c r="B92" s="456" t="s">
        <v>498</v>
      </c>
      <c r="C92" s="457">
        <v>522403</v>
      </c>
      <c r="D92" s="458">
        <v>1060</v>
      </c>
      <c r="E92" s="454" t="s">
        <v>710</v>
      </c>
      <c r="F92" s="391">
        <v>2017</v>
      </c>
      <c r="G92" s="455">
        <v>42749</v>
      </c>
      <c r="H92" s="459" t="s">
        <v>743</v>
      </c>
      <c r="I92" s="460" t="s">
        <v>984</v>
      </c>
      <c r="J92" s="461" t="s">
        <v>729</v>
      </c>
      <c r="K92" s="462" t="s">
        <v>985</v>
      </c>
      <c r="L92" s="463" t="s">
        <v>986</v>
      </c>
      <c r="M92" s="464">
        <v>196293.1</v>
      </c>
      <c r="N92" s="464">
        <v>0</v>
      </c>
      <c r="O92" s="464">
        <v>31406.9</v>
      </c>
      <c r="P92" s="465">
        <v>227700</v>
      </c>
      <c r="Q92" s="392"/>
      <c r="R92" s="466">
        <v>181477.4</v>
      </c>
      <c r="S92" s="394">
        <f t="shared" si="35"/>
        <v>46222.600000000006</v>
      </c>
      <c r="T92" s="444" t="s">
        <v>131</v>
      </c>
      <c r="U92" s="267" t="str">
        <f t="shared" si="36"/>
        <v>AA10252</v>
      </c>
      <c r="V92" s="423" t="str">
        <f t="shared" si="37"/>
        <v>0321-TCN17</v>
      </c>
      <c r="W92" s="362">
        <f t="shared" si="38"/>
        <v>522403</v>
      </c>
      <c r="X92" s="362" t="str">
        <f t="shared" si="39"/>
        <v>YARIS R LE  MT</v>
      </c>
      <c r="Y92" s="93">
        <f t="shared" si="40"/>
        <v>2017</v>
      </c>
      <c r="Z92" s="260">
        <f t="shared" si="41"/>
        <v>196293.1</v>
      </c>
      <c r="AA92" s="468">
        <f>+Z92</f>
        <v>196293.1</v>
      </c>
      <c r="AB92" s="484">
        <v>1</v>
      </c>
      <c r="AC92" s="424">
        <f t="shared" si="43"/>
        <v>0.01</v>
      </c>
      <c r="AD92" s="425">
        <f t="shared" si="44"/>
        <v>0.02</v>
      </c>
      <c r="AE92" s="424">
        <f t="shared" si="45"/>
        <v>0</v>
      </c>
      <c r="AF92" s="424">
        <v>0</v>
      </c>
      <c r="AG92" s="396">
        <f t="shared" si="46"/>
        <v>0</v>
      </c>
      <c r="AH92" s="361"/>
      <c r="AI92" s="313"/>
      <c r="AJ92" s="374"/>
      <c r="AK92" s="331"/>
      <c r="AL92" s="331"/>
      <c r="AM92" s="331"/>
      <c r="AN92" s="352"/>
      <c r="AO92" s="352"/>
      <c r="AP92" s="352"/>
      <c r="AQ92" s="352"/>
      <c r="AR92" s="352"/>
      <c r="AS92" s="352"/>
      <c r="AT92" s="352"/>
      <c r="AU92" s="352"/>
    </row>
    <row r="93" spans="1:47" s="351" customFormat="1" ht="12.75" customHeight="1" x14ac:dyDescent="0.2">
      <c r="A93" s="423">
        <f t="shared" si="34"/>
        <v>90</v>
      </c>
      <c r="B93" s="456" t="s">
        <v>504</v>
      </c>
      <c r="C93" s="457">
        <v>1520104</v>
      </c>
      <c r="D93" s="458">
        <v>7493</v>
      </c>
      <c r="E93" s="454" t="s">
        <v>711</v>
      </c>
      <c r="F93" s="391">
        <v>2017</v>
      </c>
      <c r="G93" s="455">
        <v>42756</v>
      </c>
      <c r="H93" s="459" t="s">
        <v>747</v>
      </c>
      <c r="I93" s="460" t="s">
        <v>1002</v>
      </c>
      <c r="J93" s="461" t="s">
        <v>729</v>
      </c>
      <c r="K93" s="462" t="s">
        <v>1003</v>
      </c>
      <c r="L93" s="463" t="s">
        <v>1004</v>
      </c>
      <c r="M93" s="464">
        <v>238095.24</v>
      </c>
      <c r="N93" s="464">
        <v>11904.76</v>
      </c>
      <c r="O93" s="464">
        <v>40000</v>
      </c>
      <c r="P93" s="465">
        <v>290000</v>
      </c>
      <c r="Q93" s="392"/>
      <c r="R93" s="466">
        <v>219163.25</v>
      </c>
      <c r="S93" s="394">
        <f t="shared" si="35"/>
        <v>70836.75</v>
      </c>
      <c r="T93" s="267" t="s">
        <v>131</v>
      </c>
      <c r="U93" s="267" t="str">
        <f t="shared" si="36"/>
        <v>AA10282</v>
      </c>
      <c r="V93" s="423" t="str">
        <f t="shared" si="37"/>
        <v>0700-TCN17</v>
      </c>
      <c r="W93" s="362">
        <f t="shared" si="38"/>
        <v>1520104</v>
      </c>
      <c r="X93" s="362" t="str">
        <f t="shared" si="39"/>
        <v>HILUX PICK UP BASIC CAB L4 16V AC</v>
      </c>
      <c r="Y93" s="93">
        <f t="shared" si="40"/>
        <v>2017</v>
      </c>
      <c r="Z93" s="260">
        <f t="shared" si="41"/>
        <v>238095.24</v>
      </c>
      <c r="AA93" s="424"/>
      <c r="AB93" s="424"/>
      <c r="AC93" s="424">
        <f t="shared" ref="AC93:AC136" si="47">VLOOKUP(Z93,TARIFA,1)</f>
        <v>0.01</v>
      </c>
      <c r="AD93" s="425">
        <v>0.05</v>
      </c>
      <c r="AE93" s="424">
        <f t="shared" ref="AE93:AE136" si="48">VLOOKUP(Z93,TARIFA,3)</f>
        <v>0</v>
      </c>
      <c r="AF93" s="424">
        <f>+N93</f>
        <v>11904.76</v>
      </c>
      <c r="AG93" s="396">
        <f t="shared" ref="AG93:AG136" si="49">+N93-AF93</f>
        <v>0</v>
      </c>
      <c r="AH93" s="361"/>
      <c r="AI93" s="313"/>
      <c r="AJ93" s="374"/>
      <c r="AK93" s="331"/>
      <c r="AL93" s="331"/>
      <c r="AM93" s="331"/>
      <c r="AN93" s="352"/>
      <c r="AO93" s="352"/>
      <c r="AP93" s="352"/>
      <c r="AQ93" s="352"/>
      <c r="AR93" s="352"/>
      <c r="AS93" s="352"/>
      <c r="AT93" s="352"/>
      <c r="AU93" s="352"/>
    </row>
    <row r="94" spans="1:47" s="291" customFormat="1" ht="12.75" customHeight="1" x14ac:dyDescent="0.2">
      <c r="A94" s="423">
        <f t="shared" si="34"/>
        <v>91</v>
      </c>
      <c r="B94" s="456" t="s">
        <v>499</v>
      </c>
      <c r="C94" s="457">
        <v>1520104</v>
      </c>
      <c r="D94" s="458">
        <v>7493</v>
      </c>
      <c r="E94" s="454" t="s">
        <v>711</v>
      </c>
      <c r="F94" s="391">
        <v>2017</v>
      </c>
      <c r="G94" s="455">
        <v>42744</v>
      </c>
      <c r="H94" s="459" t="s">
        <v>774</v>
      </c>
      <c r="I94" s="460" t="s">
        <v>987</v>
      </c>
      <c r="J94" s="461" t="s">
        <v>729</v>
      </c>
      <c r="K94" s="462" t="s">
        <v>988</v>
      </c>
      <c r="L94" s="463" t="s">
        <v>989</v>
      </c>
      <c r="M94" s="464">
        <v>232758.62</v>
      </c>
      <c r="N94" s="464">
        <v>11637.93</v>
      </c>
      <c r="O94" s="464">
        <v>39103.449999999997</v>
      </c>
      <c r="P94" s="465">
        <v>283500</v>
      </c>
      <c r="Q94" s="392"/>
      <c r="R94" s="466">
        <v>214342.21</v>
      </c>
      <c r="S94" s="394">
        <f t="shared" si="35"/>
        <v>69157.790000000008</v>
      </c>
      <c r="T94" s="113" t="s">
        <v>131</v>
      </c>
      <c r="U94" s="267" t="str">
        <f t="shared" si="36"/>
        <v>AA10215</v>
      </c>
      <c r="V94" s="423" t="str">
        <f t="shared" si="37"/>
        <v>0347-TCN17</v>
      </c>
      <c r="W94" s="362">
        <f t="shared" si="38"/>
        <v>1520104</v>
      </c>
      <c r="X94" s="362" t="str">
        <f t="shared" si="39"/>
        <v>HILUX PICK UP BASIC CAB L4 16V AC</v>
      </c>
      <c r="Y94" s="93">
        <f t="shared" si="40"/>
        <v>2017</v>
      </c>
      <c r="Z94" s="260">
        <f t="shared" si="41"/>
        <v>232758.62</v>
      </c>
      <c r="AA94" s="424"/>
      <c r="AB94" s="424"/>
      <c r="AC94" s="424">
        <f t="shared" si="47"/>
        <v>0.01</v>
      </c>
      <c r="AD94" s="425">
        <v>0.05</v>
      </c>
      <c r="AE94" s="424">
        <f t="shared" si="48"/>
        <v>0</v>
      </c>
      <c r="AF94" s="424">
        <f t="shared" ref="AF94:AF99" si="50">+N94</f>
        <v>11637.93</v>
      </c>
      <c r="AG94" s="396">
        <f t="shared" si="49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351" customFormat="1" ht="12.75" customHeight="1" x14ac:dyDescent="0.2">
      <c r="A95" s="423">
        <f t="shared" si="34"/>
        <v>92</v>
      </c>
      <c r="B95" s="456" t="s">
        <v>503</v>
      </c>
      <c r="C95" s="457">
        <v>1520104</v>
      </c>
      <c r="D95" s="458">
        <v>7493</v>
      </c>
      <c r="E95" s="454" t="s">
        <v>711</v>
      </c>
      <c r="F95" s="391">
        <v>2017</v>
      </c>
      <c r="G95" s="455">
        <v>42753</v>
      </c>
      <c r="H95" s="459" t="s">
        <v>817</v>
      </c>
      <c r="I95" s="460" t="s">
        <v>999</v>
      </c>
      <c r="J95" s="461" t="s">
        <v>729</v>
      </c>
      <c r="K95" s="462" t="s">
        <v>1000</v>
      </c>
      <c r="L95" s="463" t="s">
        <v>1001</v>
      </c>
      <c r="M95" s="464">
        <v>238095.24</v>
      </c>
      <c r="N95" s="464">
        <v>11904.76</v>
      </c>
      <c r="O95" s="464">
        <v>40000</v>
      </c>
      <c r="P95" s="465">
        <v>290000</v>
      </c>
      <c r="Q95" s="392"/>
      <c r="R95" s="466">
        <v>219207.39</v>
      </c>
      <c r="S95" s="394">
        <f t="shared" si="35"/>
        <v>70792.609999999986</v>
      </c>
      <c r="T95" s="444" t="s">
        <v>131</v>
      </c>
      <c r="U95" s="267" t="str">
        <f t="shared" si="36"/>
        <v>AA10277</v>
      </c>
      <c r="V95" s="423" t="str">
        <f t="shared" si="37"/>
        <v>0669-TCN17</v>
      </c>
      <c r="W95" s="362">
        <f t="shared" si="38"/>
        <v>1520104</v>
      </c>
      <c r="X95" s="362" t="str">
        <f t="shared" si="39"/>
        <v>HILUX PICK UP BASIC CAB L4 16V AC</v>
      </c>
      <c r="Y95" s="93">
        <f t="shared" si="40"/>
        <v>2017</v>
      </c>
      <c r="Z95" s="260">
        <f t="shared" si="41"/>
        <v>238095.24</v>
      </c>
      <c r="AA95" s="424"/>
      <c r="AB95" s="424"/>
      <c r="AC95" s="424">
        <f t="shared" si="47"/>
        <v>0.01</v>
      </c>
      <c r="AD95" s="425">
        <v>0.05</v>
      </c>
      <c r="AE95" s="424">
        <f t="shared" si="48"/>
        <v>0</v>
      </c>
      <c r="AF95" s="424">
        <f t="shared" si="50"/>
        <v>11904.76</v>
      </c>
      <c r="AG95" s="396">
        <f t="shared" si="49"/>
        <v>0</v>
      </c>
      <c r="AH95" s="361"/>
      <c r="AI95" s="313"/>
      <c r="AJ95" s="374"/>
      <c r="AK95" s="331"/>
      <c r="AL95" s="331"/>
      <c r="AM95" s="331"/>
      <c r="AN95" s="352"/>
      <c r="AO95" s="352"/>
      <c r="AP95" s="352"/>
      <c r="AQ95" s="352"/>
      <c r="AR95" s="352"/>
      <c r="AS95" s="352"/>
      <c r="AT95" s="352"/>
      <c r="AU95" s="352"/>
    </row>
    <row r="96" spans="1:47" s="291" customFormat="1" ht="12.75" customHeight="1" x14ac:dyDescent="0.2">
      <c r="A96" s="423">
        <f>+A143+1</f>
        <v>94</v>
      </c>
      <c r="B96" s="456" t="s">
        <v>505</v>
      </c>
      <c r="C96" s="457">
        <v>1520104</v>
      </c>
      <c r="D96" s="458">
        <v>7493</v>
      </c>
      <c r="E96" s="454" t="s">
        <v>711</v>
      </c>
      <c r="F96" s="391">
        <v>2017</v>
      </c>
      <c r="G96" s="455">
        <v>42761</v>
      </c>
      <c r="H96" s="459" t="s">
        <v>722</v>
      </c>
      <c r="I96" s="460" t="s">
        <v>1005</v>
      </c>
      <c r="J96" s="461" t="s">
        <v>729</v>
      </c>
      <c r="K96" s="462" t="s">
        <v>1006</v>
      </c>
      <c r="L96" s="463" t="s">
        <v>1007</v>
      </c>
      <c r="M96" s="464">
        <v>238095.24</v>
      </c>
      <c r="N96" s="464">
        <v>11904.76</v>
      </c>
      <c r="O96" s="464">
        <v>40000</v>
      </c>
      <c r="P96" s="465">
        <v>290000</v>
      </c>
      <c r="Q96" s="392"/>
      <c r="R96" s="466">
        <v>219162.82</v>
      </c>
      <c r="S96" s="394">
        <f t="shared" si="35"/>
        <v>70837.179999999993</v>
      </c>
      <c r="T96" s="267" t="s">
        <v>131</v>
      </c>
      <c r="U96" s="267" t="str">
        <f t="shared" si="36"/>
        <v>AA10320</v>
      </c>
      <c r="V96" s="423" t="str">
        <f t="shared" si="37"/>
        <v>0716-TCN17</v>
      </c>
      <c r="W96" s="362">
        <f t="shared" si="38"/>
        <v>1520104</v>
      </c>
      <c r="X96" s="362" t="str">
        <f t="shared" si="39"/>
        <v>HILUX PICK UP BASIC CAB L4 16V AC</v>
      </c>
      <c r="Y96" s="93">
        <f t="shared" si="40"/>
        <v>2017</v>
      </c>
      <c r="Z96" s="260">
        <f t="shared" si="41"/>
        <v>238095.24</v>
      </c>
      <c r="AA96" s="424"/>
      <c r="AB96" s="424"/>
      <c r="AC96" s="424">
        <f t="shared" si="47"/>
        <v>0.01</v>
      </c>
      <c r="AD96" s="425">
        <v>0.05</v>
      </c>
      <c r="AE96" s="424">
        <f t="shared" si="48"/>
        <v>0</v>
      </c>
      <c r="AF96" s="424">
        <f t="shared" si="50"/>
        <v>11904.76</v>
      </c>
      <c r="AG96" s="396">
        <f t="shared" si="49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3">
        <f t="shared" si="34"/>
        <v>95</v>
      </c>
      <c r="B97" s="456" t="s">
        <v>502</v>
      </c>
      <c r="C97" s="457">
        <v>1520104</v>
      </c>
      <c r="D97" s="458">
        <v>7493</v>
      </c>
      <c r="E97" s="454" t="s">
        <v>711</v>
      </c>
      <c r="F97" s="391">
        <v>2017</v>
      </c>
      <c r="G97" s="455">
        <v>42746</v>
      </c>
      <c r="H97" s="459" t="s">
        <v>727</v>
      </c>
      <c r="I97" s="460" t="s">
        <v>996</v>
      </c>
      <c r="J97" s="461" t="s">
        <v>729</v>
      </c>
      <c r="K97" s="462" t="s">
        <v>997</v>
      </c>
      <c r="L97" s="463" t="s">
        <v>998</v>
      </c>
      <c r="M97" s="464">
        <v>238095.24</v>
      </c>
      <c r="N97" s="464">
        <v>11904.76</v>
      </c>
      <c r="O97" s="464">
        <v>40000</v>
      </c>
      <c r="P97" s="465">
        <v>290000</v>
      </c>
      <c r="Q97" s="392"/>
      <c r="R97" s="466">
        <v>214341.95</v>
      </c>
      <c r="S97" s="394">
        <f t="shared" si="35"/>
        <v>75658.049999999988</v>
      </c>
      <c r="T97" s="444" t="s">
        <v>131</v>
      </c>
      <c r="U97" s="267" t="str">
        <f t="shared" si="36"/>
        <v>AA10230</v>
      </c>
      <c r="V97" s="423" t="str">
        <f t="shared" si="37"/>
        <v>0420-TCN17</v>
      </c>
      <c r="W97" s="362">
        <f t="shared" si="38"/>
        <v>1520104</v>
      </c>
      <c r="X97" s="362" t="str">
        <f t="shared" si="39"/>
        <v>HILUX PICK UP BASIC CAB L4 16V AC</v>
      </c>
      <c r="Y97" s="93">
        <f t="shared" si="40"/>
        <v>2017</v>
      </c>
      <c r="Z97" s="260">
        <f t="shared" si="41"/>
        <v>238095.24</v>
      </c>
      <c r="AA97" s="424"/>
      <c r="AB97" s="424"/>
      <c r="AC97" s="424">
        <f t="shared" si="47"/>
        <v>0.01</v>
      </c>
      <c r="AD97" s="425">
        <v>0.05</v>
      </c>
      <c r="AE97" s="424">
        <f t="shared" si="48"/>
        <v>0</v>
      </c>
      <c r="AF97" s="424">
        <f t="shared" si="50"/>
        <v>11904.76</v>
      </c>
      <c r="AG97" s="396">
        <f t="shared" si="49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351" customFormat="1" ht="12.75" customHeight="1" x14ac:dyDescent="0.2">
      <c r="A98" s="423">
        <f t="shared" si="34"/>
        <v>96</v>
      </c>
      <c r="B98" s="456" t="s">
        <v>500</v>
      </c>
      <c r="C98" s="457">
        <v>1520104</v>
      </c>
      <c r="D98" s="458">
        <v>7493</v>
      </c>
      <c r="E98" s="454" t="s">
        <v>711</v>
      </c>
      <c r="F98" s="391">
        <v>2017</v>
      </c>
      <c r="G98" s="455">
        <v>42751</v>
      </c>
      <c r="H98" s="459" t="s">
        <v>747</v>
      </c>
      <c r="I98" s="460" t="s">
        <v>990</v>
      </c>
      <c r="J98" s="461" t="s">
        <v>729</v>
      </c>
      <c r="K98" s="462" t="s">
        <v>991</v>
      </c>
      <c r="L98" s="463" t="s">
        <v>992</v>
      </c>
      <c r="M98" s="464">
        <v>238095.24</v>
      </c>
      <c r="N98" s="464">
        <v>11904.76</v>
      </c>
      <c r="O98" s="464">
        <v>40000</v>
      </c>
      <c r="P98" s="465">
        <v>290000</v>
      </c>
      <c r="Q98" s="392"/>
      <c r="R98" s="466">
        <v>214341.95</v>
      </c>
      <c r="S98" s="394">
        <f t="shared" si="35"/>
        <v>75658.049999999988</v>
      </c>
      <c r="T98" s="267" t="s">
        <v>131</v>
      </c>
      <c r="U98" s="267" t="str">
        <f t="shared" si="36"/>
        <v>AA10258</v>
      </c>
      <c r="V98" s="423" t="str">
        <f t="shared" si="37"/>
        <v>0358-TCN17</v>
      </c>
      <c r="W98" s="362">
        <f t="shared" si="38"/>
        <v>1520104</v>
      </c>
      <c r="X98" s="362" t="str">
        <f t="shared" si="39"/>
        <v>HILUX PICK UP BASIC CAB L4 16V AC</v>
      </c>
      <c r="Y98" s="93">
        <f t="shared" si="40"/>
        <v>2017</v>
      </c>
      <c r="Z98" s="260">
        <f t="shared" si="41"/>
        <v>238095.24</v>
      </c>
      <c r="AA98" s="424"/>
      <c r="AB98" s="424"/>
      <c r="AC98" s="424">
        <f t="shared" ref="AC98:AC105" si="51">VLOOKUP(Z98,TARIFA,1)</f>
        <v>0.01</v>
      </c>
      <c r="AD98" s="425">
        <v>0.05</v>
      </c>
      <c r="AE98" s="424">
        <f t="shared" ref="AE98:AE105" si="52">VLOOKUP(Z98,TARIFA,3)</f>
        <v>0</v>
      </c>
      <c r="AF98" s="424">
        <f t="shared" si="50"/>
        <v>11904.76</v>
      </c>
      <c r="AG98" s="396">
        <f t="shared" ref="AG98:AG120" si="53">+N98-AF98</f>
        <v>0</v>
      </c>
      <c r="AH98" s="361"/>
      <c r="AI98" s="313"/>
      <c r="AJ98" s="374"/>
      <c r="AK98" s="331"/>
      <c r="AL98" s="331"/>
      <c r="AM98" s="331"/>
      <c r="AN98" s="352"/>
      <c r="AO98" s="352"/>
      <c r="AP98" s="352"/>
      <c r="AQ98" s="352"/>
      <c r="AR98" s="352"/>
      <c r="AS98" s="352"/>
      <c r="AT98" s="352"/>
      <c r="AU98" s="352"/>
    </row>
    <row r="99" spans="1:47" s="291" customFormat="1" ht="12.75" customHeight="1" x14ac:dyDescent="0.2">
      <c r="A99" s="423">
        <f>+A144+1</f>
        <v>98</v>
      </c>
      <c r="B99" s="456" t="s">
        <v>501</v>
      </c>
      <c r="C99" s="457">
        <v>1520104</v>
      </c>
      <c r="D99" s="458">
        <v>7493</v>
      </c>
      <c r="E99" s="454" t="s">
        <v>711</v>
      </c>
      <c r="F99" s="391">
        <v>2017</v>
      </c>
      <c r="G99" s="455">
        <v>42766</v>
      </c>
      <c r="H99" s="459" t="s">
        <v>778</v>
      </c>
      <c r="I99" s="460" t="s">
        <v>993</v>
      </c>
      <c r="J99" s="461" t="s">
        <v>729</v>
      </c>
      <c r="K99" s="462" t="s">
        <v>994</v>
      </c>
      <c r="L99" s="463" t="s">
        <v>995</v>
      </c>
      <c r="M99" s="464">
        <v>238095.24</v>
      </c>
      <c r="N99" s="464">
        <v>11904.76</v>
      </c>
      <c r="O99" s="464">
        <v>40000</v>
      </c>
      <c r="P99" s="465">
        <v>290000</v>
      </c>
      <c r="Q99" s="392"/>
      <c r="R99" s="466">
        <v>214341.95</v>
      </c>
      <c r="S99" s="394">
        <f t="shared" si="35"/>
        <v>75658.049999999988</v>
      </c>
      <c r="T99" s="267" t="s">
        <v>131</v>
      </c>
      <c r="U99" s="267" t="str">
        <f t="shared" si="36"/>
        <v>AA10355</v>
      </c>
      <c r="V99" s="423" t="str">
        <f t="shared" si="37"/>
        <v>0409-TCN17</v>
      </c>
      <c r="W99" s="362">
        <f t="shared" si="38"/>
        <v>1520104</v>
      </c>
      <c r="X99" s="362" t="str">
        <f t="shared" si="39"/>
        <v>HILUX PICK UP BASIC CAB L4 16V AC</v>
      </c>
      <c r="Y99" s="93">
        <f t="shared" si="40"/>
        <v>2017</v>
      </c>
      <c r="Z99" s="260">
        <f t="shared" si="41"/>
        <v>238095.24</v>
      </c>
      <c r="AA99" s="424"/>
      <c r="AB99" s="424"/>
      <c r="AC99" s="424">
        <f t="shared" si="51"/>
        <v>0.01</v>
      </c>
      <c r="AD99" s="425">
        <v>0.05</v>
      </c>
      <c r="AE99" s="424">
        <f t="shared" si="52"/>
        <v>0</v>
      </c>
      <c r="AF99" s="424">
        <f t="shared" si="50"/>
        <v>11904.76</v>
      </c>
      <c r="AG99" s="396">
        <f t="shared" si="53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351" customFormat="1" ht="12.75" customHeight="1" x14ac:dyDescent="0.2">
      <c r="A100" s="423">
        <f t="shared" si="34"/>
        <v>99</v>
      </c>
      <c r="B100" s="456" t="s">
        <v>506</v>
      </c>
      <c r="C100" s="457">
        <v>1520104</v>
      </c>
      <c r="D100" s="458">
        <v>7493</v>
      </c>
      <c r="E100" s="454" t="s">
        <v>711</v>
      </c>
      <c r="F100" s="391">
        <v>2017</v>
      </c>
      <c r="G100" s="455">
        <v>42737</v>
      </c>
      <c r="H100" s="459" t="s">
        <v>819</v>
      </c>
      <c r="I100" s="460" t="s">
        <v>990</v>
      </c>
      <c r="J100" s="461" t="s">
        <v>729</v>
      </c>
      <c r="K100" s="462" t="s">
        <v>1008</v>
      </c>
      <c r="L100" s="463" t="s">
        <v>992</v>
      </c>
      <c r="M100" s="464">
        <v>-232758.62</v>
      </c>
      <c r="N100" s="464">
        <v>-11637.93</v>
      </c>
      <c r="O100" s="464">
        <v>-39103.449999999997</v>
      </c>
      <c r="P100" s="465">
        <v>-283500</v>
      </c>
      <c r="Q100" s="392"/>
      <c r="R100" s="466">
        <v>-214341.95</v>
      </c>
      <c r="S100" s="394">
        <f t="shared" si="35"/>
        <v>-69158.049999999988</v>
      </c>
      <c r="T100" s="267" t="s">
        <v>1266</v>
      </c>
      <c r="U100" s="267" t="str">
        <f t="shared" si="36"/>
        <v>ZA03822</v>
      </c>
      <c r="V100" s="423" t="str">
        <f t="shared" si="37"/>
        <v>0358-TCN17</v>
      </c>
      <c r="W100" s="362">
        <f t="shared" si="38"/>
        <v>1520104</v>
      </c>
      <c r="X100" s="362" t="str">
        <f t="shared" si="39"/>
        <v>HILUX PICK UP BASIC CAB L4 16V AC</v>
      </c>
      <c r="Y100" s="93">
        <f t="shared" si="40"/>
        <v>2017</v>
      </c>
      <c r="Z100" s="260">
        <f t="shared" si="41"/>
        <v>-232758.62</v>
      </c>
      <c r="AA100" s="467">
        <f>SUM(Z93:Z100)</f>
        <v>1428571.44</v>
      </c>
      <c r="AB100" s="482">
        <v>6</v>
      </c>
      <c r="AC100" s="424"/>
      <c r="AD100" s="425">
        <v>0.05</v>
      </c>
      <c r="AE100" s="424"/>
      <c r="AF100" s="424">
        <f>+N100</f>
        <v>-11637.93</v>
      </c>
      <c r="AG100" s="396">
        <f t="shared" si="53"/>
        <v>0</v>
      </c>
      <c r="AH100" s="361"/>
      <c r="AI100" s="313"/>
      <c r="AJ100" s="374"/>
      <c r="AK100" s="331"/>
      <c r="AL100" s="331"/>
      <c r="AM100" s="331"/>
      <c r="AN100" s="352"/>
      <c r="AO100" s="352"/>
      <c r="AP100" s="352"/>
      <c r="AQ100" s="352"/>
      <c r="AR100" s="352"/>
      <c r="AS100" s="352"/>
      <c r="AT100" s="352"/>
      <c r="AU100" s="352"/>
    </row>
    <row r="101" spans="1:47" s="352" customFormat="1" ht="12.75" customHeight="1" x14ac:dyDescent="0.2">
      <c r="A101" s="423">
        <f t="shared" si="34"/>
        <v>100</v>
      </c>
      <c r="B101" s="456" t="s">
        <v>507</v>
      </c>
      <c r="C101" s="457">
        <v>1520105</v>
      </c>
      <c r="D101" s="458">
        <v>7494</v>
      </c>
      <c r="E101" s="454" t="s">
        <v>712</v>
      </c>
      <c r="F101" s="391">
        <v>2017</v>
      </c>
      <c r="G101" s="455">
        <v>42738</v>
      </c>
      <c r="H101" s="459" t="s">
        <v>908</v>
      </c>
      <c r="I101" s="460" t="s">
        <v>1009</v>
      </c>
      <c r="J101" s="461" t="s">
        <v>729</v>
      </c>
      <c r="K101" s="462" t="s">
        <v>1010</v>
      </c>
      <c r="L101" s="463" t="s">
        <v>1011</v>
      </c>
      <c r="M101" s="464">
        <v>216995.08</v>
      </c>
      <c r="N101" s="464">
        <v>10849.75</v>
      </c>
      <c r="O101" s="464">
        <v>36455.17</v>
      </c>
      <c r="P101" s="465">
        <v>264300</v>
      </c>
      <c r="Q101" s="392"/>
      <c r="R101" s="466">
        <v>199970.21</v>
      </c>
      <c r="S101" s="394">
        <f t="shared" si="35"/>
        <v>64329.790000000008</v>
      </c>
      <c r="T101" s="113" t="s">
        <v>131</v>
      </c>
      <c r="U101" s="267" t="str">
        <f t="shared" si="36"/>
        <v>AA10170</v>
      </c>
      <c r="V101" s="423" t="str">
        <f t="shared" si="37"/>
        <v>0601-TCN17</v>
      </c>
      <c r="W101" s="362">
        <f t="shared" si="38"/>
        <v>1520105</v>
      </c>
      <c r="X101" s="362" t="str">
        <f t="shared" si="39"/>
        <v>HILUX PICK UP CHASSIS CAB</v>
      </c>
      <c r="Y101" s="93">
        <f t="shared" si="40"/>
        <v>2017</v>
      </c>
      <c r="Z101" s="260">
        <f t="shared" si="41"/>
        <v>216995.08</v>
      </c>
      <c r="AA101" s="424"/>
      <c r="AB101" s="424"/>
      <c r="AC101" s="424">
        <f t="shared" si="51"/>
        <v>0.01</v>
      </c>
      <c r="AD101" s="425">
        <v>0.05</v>
      </c>
      <c r="AE101" s="424">
        <f t="shared" si="52"/>
        <v>0</v>
      </c>
      <c r="AF101" s="424">
        <f t="shared" ref="AF101:AF137" si="54">+N101</f>
        <v>10849.75</v>
      </c>
      <c r="AG101" s="396">
        <f t="shared" si="53"/>
        <v>0</v>
      </c>
      <c r="AH101" s="361"/>
      <c r="AI101" s="313"/>
      <c r="AJ101" s="374"/>
      <c r="AK101" s="331"/>
      <c r="AL101" s="331"/>
      <c r="AM101" s="331"/>
    </row>
    <row r="102" spans="1:47" s="412" customFormat="1" ht="12.75" customHeight="1" x14ac:dyDescent="0.2">
      <c r="A102" s="423">
        <f t="shared" si="34"/>
        <v>101</v>
      </c>
      <c r="B102" s="456" t="s">
        <v>510</v>
      </c>
      <c r="C102" s="457">
        <v>1520105</v>
      </c>
      <c r="D102" s="458">
        <v>7494</v>
      </c>
      <c r="E102" s="454" t="s">
        <v>712</v>
      </c>
      <c r="F102" s="391">
        <v>2017</v>
      </c>
      <c r="G102" s="455">
        <v>42738</v>
      </c>
      <c r="H102" s="459" t="s">
        <v>819</v>
      </c>
      <c r="I102" s="460" t="s">
        <v>1018</v>
      </c>
      <c r="J102" s="461" t="s">
        <v>729</v>
      </c>
      <c r="K102" s="462" t="s">
        <v>1019</v>
      </c>
      <c r="L102" s="463" t="s">
        <v>1020</v>
      </c>
      <c r="M102" s="464">
        <v>216995.08</v>
      </c>
      <c r="N102" s="464">
        <v>10849.75</v>
      </c>
      <c r="O102" s="464">
        <v>36455.17</v>
      </c>
      <c r="P102" s="465">
        <v>264300</v>
      </c>
      <c r="Q102" s="392"/>
      <c r="R102" s="466">
        <v>199970.21</v>
      </c>
      <c r="S102" s="394">
        <f t="shared" si="35"/>
        <v>64329.790000000008</v>
      </c>
      <c r="T102" s="267" t="s">
        <v>131</v>
      </c>
      <c r="U102" s="267" t="str">
        <f t="shared" si="36"/>
        <v>AA10192</v>
      </c>
      <c r="V102" s="423" t="str">
        <f t="shared" si="37"/>
        <v>0608-TCN17</v>
      </c>
      <c r="W102" s="362">
        <f t="shared" si="38"/>
        <v>1520105</v>
      </c>
      <c r="X102" s="362" t="str">
        <f t="shared" si="39"/>
        <v>HILUX PICK UP CHASSIS CAB</v>
      </c>
      <c r="Y102" s="93">
        <f t="shared" si="40"/>
        <v>2017</v>
      </c>
      <c r="Z102" s="260">
        <f t="shared" si="41"/>
        <v>216995.08</v>
      </c>
      <c r="AA102" s="424"/>
      <c r="AB102" s="424"/>
      <c r="AC102" s="424">
        <f t="shared" si="51"/>
        <v>0.01</v>
      </c>
      <c r="AD102" s="425">
        <v>0.05</v>
      </c>
      <c r="AE102" s="424">
        <f t="shared" si="52"/>
        <v>0</v>
      </c>
      <c r="AF102" s="424">
        <f t="shared" si="54"/>
        <v>10849.75</v>
      </c>
      <c r="AG102" s="396">
        <f t="shared" si="53"/>
        <v>0</v>
      </c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351" customFormat="1" ht="12.75" customHeight="1" x14ac:dyDescent="0.2">
      <c r="A103" s="423">
        <f t="shared" si="34"/>
        <v>102</v>
      </c>
      <c r="B103" s="456" t="s">
        <v>511</v>
      </c>
      <c r="C103" s="457">
        <v>1520105</v>
      </c>
      <c r="D103" s="458">
        <v>7494</v>
      </c>
      <c r="E103" s="454" t="s">
        <v>712</v>
      </c>
      <c r="F103" s="391">
        <v>2017</v>
      </c>
      <c r="G103" s="455">
        <v>42766</v>
      </c>
      <c r="H103" s="459" t="s">
        <v>788</v>
      </c>
      <c r="I103" s="460" t="s">
        <v>1021</v>
      </c>
      <c r="J103" s="461" t="s">
        <v>729</v>
      </c>
      <c r="K103" s="462" t="s">
        <v>1022</v>
      </c>
      <c r="L103" s="463" t="s">
        <v>1023</v>
      </c>
      <c r="M103" s="464">
        <v>223809.52</v>
      </c>
      <c r="N103" s="464">
        <v>11190.48</v>
      </c>
      <c r="O103" s="464">
        <v>37600</v>
      </c>
      <c r="P103" s="465">
        <v>272600</v>
      </c>
      <c r="Q103" s="392"/>
      <c r="R103" s="466">
        <v>205183</v>
      </c>
      <c r="S103" s="394">
        <f t="shared" si="35"/>
        <v>67417</v>
      </c>
      <c r="T103" s="113" t="s">
        <v>131</v>
      </c>
      <c r="U103" s="267" t="str">
        <f t="shared" si="36"/>
        <v>AA10367</v>
      </c>
      <c r="V103" s="423" t="str">
        <f t="shared" si="37"/>
        <v>0738-TCN17</v>
      </c>
      <c r="W103" s="362">
        <f t="shared" si="38"/>
        <v>1520105</v>
      </c>
      <c r="X103" s="362" t="str">
        <f t="shared" si="39"/>
        <v>HILUX PICK UP CHASSIS CAB</v>
      </c>
      <c r="Y103" s="93">
        <f t="shared" si="40"/>
        <v>2017</v>
      </c>
      <c r="Z103" s="260">
        <f t="shared" si="41"/>
        <v>223809.52</v>
      </c>
      <c r="AA103" s="424"/>
      <c r="AB103" s="424"/>
      <c r="AC103" s="424">
        <f t="shared" si="51"/>
        <v>0.01</v>
      </c>
      <c r="AD103" s="425">
        <v>0.05</v>
      </c>
      <c r="AE103" s="424">
        <f t="shared" si="52"/>
        <v>0</v>
      </c>
      <c r="AF103" s="424">
        <f t="shared" si="54"/>
        <v>11190.48</v>
      </c>
      <c r="AG103" s="396">
        <f t="shared" si="53"/>
        <v>0</v>
      </c>
      <c r="AH103" s="361"/>
      <c r="AI103" s="313"/>
      <c r="AJ103" s="374"/>
      <c r="AK103" s="331"/>
      <c r="AL103" s="331"/>
      <c r="AM103" s="331"/>
      <c r="AN103" s="352"/>
      <c r="AO103" s="352"/>
      <c r="AP103" s="352"/>
      <c r="AQ103" s="352"/>
      <c r="AR103" s="352"/>
      <c r="AS103" s="352"/>
      <c r="AT103" s="352"/>
      <c r="AU103" s="352"/>
    </row>
    <row r="104" spans="1:47" s="351" customFormat="1" ht="12.75" customHeight="1" x14ac:dyDescent="0.2">
      <c r="A104" s="423">
        <f t="shared" si="34"/>
        <v>103</v>
      </c>
      <c r="B104" s="456" t="s">
        <v>509</v>
      </c>
      <c r="C104" s="457">
        <v>1520105</v>
      </c>
      <c r="D104" s="458">
        <v>7494</v>
      </c>
      <c r="E104" s="454" t="s">
        <v>712</v>
      </c>
      <c r="F104" s="391">
        <v>2017</v>
      </c>
      <c r="G104" s="455">
        <v>42738</v>
      </c>
      <c r="H104" s="459" t="s">
        <v>764</v>
      </c>
      <c r="I104" s="460" t="s">
        <v>1015</v>
      </c>
      <c r="J104" s="461" t="s">
        <v>724</v>
      </c>
      <c r="K104" s="462" t="s">
        <v>1016</v>
      </c>
      <c r="L104" s="463" t="s">
        <v>1017</v>
      </c>
      <c r="M104" s="464">
        <v>216995.08</v>
      </c>
      <c r="N104" s="464">
        <v>10849.75</v>
      </c>
      <c r="O104" s="464">
        <v>36455.17</v>
      </c>
      <c r="P104" s="465">
        <v>264300</v>
      </c>
      <c r="Q104" s="392"/>
      <c r="R104" s="466">
        <v>200280.55</v>
      </c>
      <c r="S104" s="394">
        <f t="shared" si="35"/>
        <v>64019.450000000012</v>
      </c>
      <c r="T104" s="267" t="s">
        <v>131</v>
      </c>
      <c r="U104" s="267" t="str">
        <f t="shared" si="36"/>
        <v>AA10181</v>
      </c>
      <c r="V104" s="423" t="str">
        <f t="shared" si="37"/>
        <v>0607-TCN17</v>
      </c>
      <c r="W104" s="362">
        <f t="shared" si="38"/>
        <v>1520105</v>
      </c>
      <c r="X104" s="362" t="str">
        <f t="shared" si="39"/>
        <v>HILUX PICK UP CHASSIS CAB</v>
      </c>
      <c r="Y104" s="93">
        <f t="shared" si="40"/>
        <v>2017</v>
      </c>
      <c r="Z104" s="260">
        <f t="shared" si="41"/>
        <v>216995.08</v>
      </c>
      <c r="AA104" s="424"/>
      <c r="AB104" s="424"/>
      <c r="AC104" s="424">
        <f t="shared" si="51"/>
        <v>0.01</v>
      </c>
      <c r="AD104" s="425">
        <v>0.05</v>
      </c>
      <c r="AE104" s="424">
        <f t="shared" si="52"/>
        <v>0</v>
      </c>
      <c r="AF104" s="424">
        <f t="shared" si="54"/>
        <v>10849.75</v>
      </c>
      <c r="AG104" s="396">
        <f t="shared" si="53"/>
        <v>0</v>
      </c>
      <c r="AH104" s="361"/>
      <c r="AI104" s="313"/>
      <c r="AJ104" s="374"/>
      <c r="AK104" s="331"/>
      <c r="AL104" s="331"/>
      <c r="AM104" s="331"/>
      <c r="AN104" s="352"/>
      <c r="AO104" s="352"/>
      <c r="AP104" s="352"/>
      <c r="AQ104" s="352"/>
      <c r="AR104" s="352"/>
      <c r="AS104" s="352"/>
      <c r="AT104" s="352"/>
      <c r="AU104" s="352"/>
    </row>
    <row r="105" spans="1:47" s="291" customFormat="1" ht="12.75" customHeight="1" x14ac:dyDescent="0.2">
      <c r="A105" s="423">
        <f t="shared" si="34"/>
        <v>104</v>
      </c>
      <c r="B105" s="456" t="s">
        <v>508</v>
      </c>
      <c r="C105" s="457">
        <v>1520105</v>
      </c>
      <c r="D105" s="458">
        <v>7494</v>
      </c>
      <c r="E105" s="454" t="s">
        <v>712</v>
      </c>
      <c r="F105" s="391">
        <v>2017</v>
      </c>
      <c r="G105" s="455">
        <v>42738</v>
      </c>
      <c r="H105" s="459" t="s">
        <v>908</v>
      </c>
      <c r="I105" s="460" t="s">
        <v>1012</v>
      </c>
      <c r="J105" s="461" t="s">
        <v>729</v>
      </c>
      <c r="K105" s="462" t="s">
        <v>1013</v>
      </c>
      <c r="L105" s="463" t="s">
        <v>1014</v>
      </c>
      <c r="M105" s="464">
        <v>216995.08</v>
      </c>
      <c r="N105" s="464">
        <v>10849.75</v>
      </c>
      <c r="O105" s="464">
        <v>36455.17</v>
      </c>
      <c r="P105" s="465">
        <v>264300</v>
      </c>
      <c r="Q105" s="392"/>
      <c r="R105" s="466">
        <v>199970.21</v>
      </c>
      <c r="S105" s="394">
        <f t="shared" si="35"/>
        <v>64329.790000000008</v>
      </c>
      <c r="T105" s="444" t="s">
        <v>131</v>
      </c>
      <c r="U105" s="267" t="str">
        <f t="shared" si="36"/>
        <v>AA10175</v>
      </c>
      <c r="V105" s="423" t="str">
        <f t="shared" si="37"/>
        <v>0602-TCN17</v>
      </c>
      <c r="W105" s="362">
        <f t="shared" si="38"/>
        <v>1520105</v>
      </c>
      <c r="X105" s="362" t="str">
        <f t="shared" si="39"/>
        <v>HILUX PICK UP CHASSIS CAB</v>
      </c>
      <c r="Y105" s="93">
        <f t="shared" si="40"/>
        <v>2017</v>
      </c>
      <c r="Z105" s="260">
        <f t="shared" si="41"/>
        <v>216995.08</v>
      </c>
      <c r="AA105" s="467">
        <f>SUM(Z101:Z105)</f>
        <v>1091789.8399999999</v>
      </c>
      <c r="AB105" s="482">
        <v>5</v>
      </c>
      <c r="AC105" s="424">
        <f t="shared" si="51"/>
        <v>0.01</v>
      </c>
      <c r="AD105" s="425">
        <v>0.05</v>
      </c>
      <c r="AE105" s="424">
        <f t="shared" si="52"/>
        <v>0</v>
      </c>
      <c r="AF105" s="424">
        <f t="shared" si="54"/>
        <v>10849.75</v>
      </c>
      <c r="AG105" s="396">
        <f t="shared" si="53"/>
        <v>0</v>
      </c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3">
        <f t="shared" si="34"/>
        <v>105</v>
      </c>
      <c r="B106" s="456" t="s">
        <v>512</v>
      </c>
      <c r="C106" s="457">
        <v>1520204</v>
      </c>
      <c r="D106" s="458">
        <v>5603</v>
      </c>
      <c r="E106" s="454" t="s">
        <v>713</v>
      </c>
      <c r="F106" s="391">
        <v>2017</v>
      </c>
      <c r="G106" s="455">
        <v>42737</v>
      </c>
      <c r="H106" s="459" t="s">
        <v>727</v>
      </c>
      <c r="I106" s="460" t="s">
        <v>1024</v>
      </c>
      <c r="J106" s="461" t="s">
        <v>729</v>
      </c>
      <c r="K106" s="462" t="s">
        <v>1025</v>
      </c>
      <c r="L106" s="463" t="s">
        <v>1026</v>
      </c>
      <c r="M106" s="464">
        <v>305829.23</v>
      </c>
      <c r="N106" s="464">
        <v>15291.46</v>
      </c>
      <c r="O106" s="464">
        <v>51379.31</v>
      </c>
      <c r="P106" s="465">
        <v>372500</v>
      </c>
      <c r="Q106" s="392"/>
      <c r="R106" s="466">
        <v>271326.14</v>
      </c>
      <c r="S106" s="394">
        <f t="shared" si="35"/>
        <v>101173.85999999999</v>
      </c>
      <c r="T106" s="113" t="s">
        <v>131</v>
      </c>
      <c r="U106" s="267" t="str">
        <f t="shared" si="36"/>
        <v>AA10159</v>
      </c>
      <c r="V106" s="423" t="str">
        <f t="shared" si="37"/>
        <v>0557-TCN17</v>
      </c>
      <c r="W106" s="362">
        <f t="shared" si="38"/>
        <v>1520204</v>
      </c>
      <c r="X106" s="362" t="str">
        <f t="shared" si="39"/>
        <v>HIACE PANEL SUP LARGA C/VENT</v>
      </c>
      <c r="Y106" s="93">
        <f t="shared" si="40"/>
        <v>2017</v>
      </c>
      <c r="Z106" s="260">
        <f t="shared" si="41"/>
        <v>305829.23</v>
      </c>
      <c r="AA106" s="424"/>
      <c r="AB106" s="424"/>
      <c r="AC106" s="424"/>
      <c r="AD106" s="425">
        <v>0.05</v>
      </c>
      <c r="AE106" s="424"/>
      <c r="AF106" s="424">
        <f t="shared" si="54"/>
        <v>15291.46</v>
      </c>
      <c r="AG106" s="396">
        <f t="shared" si="53"/>
        <v>0</v>
      </c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351" customFormat="1" ht="12.75" customHeight="1" x14ac:dyDescent="0.2">
      <c r="A107" s="423">
        <f t="shared" si="34"/>
        <v>106</v>
      </c>
      <c r="B107" s="456" t="s">
        <v>513</v>
      </c>
      <c r="C107" s="457">
        <v>1520204</v>
      </c>
      <c r="D107" s="458">
        <v>5603</v>
      </c>
      <c r="E107" s="454" t="s">
        <v>713</v>
      </c>
      <c r="F107" s="391">
        <v>2017</v>
      </c>
      <c r="G107" s="455">
        <v>42738</v>
      </c>
      <c r="H107" s="459" t="s">
        <v>727</v>
      </c>
      <c r="I107" s="460" t="s">
        <v>1027</v>
      </c>
      <c r="J107" s="461" t="s">
        <v>729</v>
      </c>
      <c r="K107" s="462" t="s">
        <v>1028</v>
      </c>
      <c r="L107" s="463" t="s">
        <v>1029</v>
      </c>
      <c r="M107" s="464">
        <v>305829.23</v>
      </c>
      <c r="N107" s="464">
        <v>15291.46</v>
      </c>
      <c r="O107" s="464">
        <v>51379.31</v>
      </c>
      <c r="P107" s="465">
        <v>372500</v>
      </c>
      <c r="Q107" s="392"/>
      <c r="R107" s="466">
        <v>271326.14</v>
      </c>
      <c r="S107" s="394">
        <f t="shared" si="35"/>
        <v>101173.85999999999</v>
      </c>
      <c r="T107" s="113" t="s">
        <v>131</v>
      </c>
      <c r="U107" s="267" t="str">
        <f t="shared" si="36"/>
        <v>AA10184</v>
      </c>
      <c r="V107" s="423" t="str">
        <f t="shared" si="37"/>
        <v>0599-TCN17</v>
      </c>
      <c r="W107" s="362">
        <f t="shared" si="38"/>
        <v>1520204</v>
      </c>
      <c r="X107" s="362" t="str">
        <f t="shared" si="39"/>
        <v>HIACE PANEL SUP LARGA C/VENT</v>
      </c>
      <c r="Y107" s="93">
        <f t="shared" si="40"/>
        <v>2017</v>
      </c>
      <c r="Z107" s="260">
        <f t="shared" si="41"/>
        <v>305829.23</v>
      </c>
      <c r="AA107" s="424"/>
      <c r="AB107" s="424"/>
      <c r="AC107" s="424"/>
      <c r="AD107" s="425">
        <v>0.05</v>
      </c>
      <c r="AE107" s="424"/>
      <c r="AF107" s="424">
        <f t="shared" si="54"/>
        <v>15291.46</v>
      </c>
      <c r="AG107" s="396">
        <f t="shared" si="53"/>
        <v>0</v>
      </c>
      <c r="AH107" s="361"/>
      <c r="AI107" s="313"/>
      <c r="AJ107" s="374"/>
      <c r="AK107" s="331"/>
      <c r="AL107" s="331"/>
      <c r="AM107" s="331"/>
      <c r="AN107" s="352"/>
      <c r="AO107" s="352"/>
      <c r="AP107" s="352"/>
      <c r="AQ107" s="352"/>
      <c r="AR107" s="352"/>
      <c r="AS107" s="352"/>
      <c r="AT107" s="352"/>
      <c r="AU107" s="352"/>
    </row>
    <row r="108" spans="1:47" s="351" customFormat="1" ht="12.75" customHeight="1" x14ac:dyDescent="0.2">
      <c r="A108" s="423">
        <f t="shared" si="34"/>
        <v>107</v>
      </c>
      <c r="B108" s="456" t="s">
        <v>514</v>
      </c>
      <c r="C108" s="457">
        <v>1520204</v>
      </c>
      <c r="D108" s="458">
        <v>5603</v>
      </c>
      <c r="E108" s="454" t="s">
        <v>713</v>
      </c>
      <c r="F108" s="391">
        <v>2017</v>
      </c>
      <c r="G108" s="455">
        <v>42741</v>
      </c>
      <c r="H108" s="459" t="s">
        <v>722</v>
      </c>
      <c r="I108" s="460" t="s">
        <v>1030</v>
      </c>
      <c r="J108" s="461" t="s">
        <v>729</v>
      </c>
      <c r="K108" s="462" t="s">
        <v>1031</v>
      </c>
      <c r="L108" s="463" t="s">
        <v>1032</v>
      </c>
      <c r="M108" s="464">
        <v>312561.58</v>
      </c>
      <c r="N108" s="464">
        <v>15628.08</v>
      </c>
      <c r="O108" s="464">
        <v>52510.34</v>
      </c>
      <c r="P108" s="465">
        <v>380700</v>
      </c>
      <c r="Q108" s="392"/>
      <c r="R108" s="466">
        <v>271326.14</v>
      </c>
      <c r="S108" s="394">
        <f t="shared" si="35"/>
        <v>109373.85999999999</v>
      </c>
      <c r="T108" s="267" t="s">
        <v>131</v>
      </c>
      <c r="U108" s="267" t="str">
        <f t="shared" si="36"/>
        <v>AA10205</v>
      </c>
      <c r="V108" s="423" t="str">
        <f t="shared" si="37"/>
        <v>0614-TCN17</v>
      </c>
      <c r="W108" s="362">
        <f t="shared" si="38"/>
        <v>1520204</v>
      </c>
      <c r="X108" s="362" t="str">
        <f t="shared" si="39"/>
        <v>HIACE PANEL SUP LARGA C/VENT</v>
      </c>
      <c r="Y108" s="93">
        <f t="shared" si="40"/>
        <v>2017</v>
      </c>
      <c r="Z108" s="260">
        <f t="shared" si="41"/>
        <v>312561.58</v>
      </c>
      <c r="AA108" s="424">
        <f>+SUM(Z106:Z108)</f>
        <v>924220.04</v>
      </c>
      <c r="AB108" s="483">
        <v>3</v>
      </c>
      <c r="AC108" s="424"/>
      <c r="AD108" s="425">
        <v>0.05</v>
      </c>
      <c r="AE108" s="424"/>
      <c r="AF108" s="424">
        <f t="shared" si="54"/>
        <v>15628.08</v>
      </c>
      <c r="AG108" s="396">
        <f t="shared" si="53"/>
        <v>0</v>
      </c>
      <c r="AH108" s="361"/>
      <c r="AI108" s="313"/>
      <c r="AJ108" s="374"/>
      <c r="AK108" s="331"/>
      <c r="AL108" s="331"/>
      <c r="AM108" s="331"/>
      <c r="AN108" s="352"/>
      <c r="AO108" s="352"/>
      <c r="AP108" s="352"/>
      <c r="AQ108" s="352"/>
      <c r="AR108" s="352"/>
      <c r="AS108" s="352"/>
      <c r="AT108" s="352"/>
      <c r="AU108" s="352"/>
    </row>
    <row r="109" spans="1:47" s="291" customFormat="1" ht="12.75" customHeight="1" x14ac:dyDescent="0.2">
      <c r="A109" s="423">
        <f t="shared" si="34"/>
        <v>108</v>
      </c>
      <c r="B109" s="456" t="s">
        <v>515</v>
      </c>
      <c r="C109" s="457">
        <v>1520302</v>
      </c>
      <c r="D109" s="458">
        <v>7401</v>
      </c>
      <c r="E109" s="454" t="s">
        <v>714</v>
      </c>
      <c r="F109" s="391">
        <v>2017</v>
      </c>
      <c r="G109" s="455">
        <v>42745</v>
      </c>
      <c r="H109" s="459" t="s">
        <v>819</v>
      </c>
      <c r="I109" s="460" t="s">
        <v>1033</v>
      </c>
      <c r="J109" s="461" t="s">
        <v>729</v>
      </c>
      <c r="K109" s="462" t="s">
        <v>830</v>
      </c>
      <c r="L109" s="463" t="s">
        <v>1034</v>
      </c>
      <c r="M109" s="464">
        <v>441379.31</v>
      </c>
      <c r="N109" s="464">
        <v>22068.97</v>
      </c>
      <c r="O109" s="464">
        <v>74151.72</v>
      </c>
      <c r="P109" s="465">
        <v>537600</v>
      </c>
      <c r="Q109" s="392"/>
      <c r="R109" s="466">
        <v>390926.69</v>
      </c>
      <c r="S109" s="394">
        <f t="shared" si="35"/>
        <v>146673.31</v>
      </c>
      <c r="T109" s="267" t="s">
        <v>131</v>
      </c>
      <c r="U109" s="267" t="str">
        <f t="shared" si="36"/>
        <v>AA10222</v>
      </c>
      <c r="V109" s="423" t="str">
        <f t="shared" si="37"/>
        <v>0620-TCN17</v>
      </c>
      <c r="W109" s="362">
        <f t="shared" si="38"/>
        <v>1520302</v>
      </c>
      <c r="X109" s="362" t="str">
        <f t="shared" si="39"/>
        <v>TACOMA DOB CAB TRD SPORT</v>
      </c>
      <c r="Y109" s="93">
        <f t="shared" si="40"/>
        <v>2017</v>
      </c>
      <c r="Z109" s="260">
        <f t="shared" si="41"/>
        <v>441379.31</v>
      </c>
      <c r="AA109" s="424"/>
      <c r="AB109" s="424"/>
      <c r="AC109" s="424"/>
      <c r="AD109" s="425">
        <v>0.05</v>
      </c>
      <c r="AE109" s="424"/>
      <c r="AF109" s="424">
        <f t="shared" si="54"/>
        <v>22068.97</v>
      </c>
      <c r="AG109" s="396">
        <f t="shared" si="53"/>
        <v>0</v>
      </c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351" customFormat="1" ht="12.75" customHeight="1" x14ac:dyDescent="0.2">
      <c r="A110" s="423">
        <f t="shared" si="34"/>
        <v>109</v>
      </c>
      <c r="B110" s="456" t="s">
        <v>516</v>
      </c>
      <c r="C110" s="457">
        <v>1520302</v>
      </c>
      <c r="D110" s="458">
        <v>7441</v>
      </c>
      <c r="E110" s="454" t="s">
        <v>715</v>
      </c>
      <c r="F110" s="391">
        <v>2017</v>
      </c>
      <c r="G110" s="455">
        <v>42751</v>
      </c>
      <c r="H110" s="459" t="s">
        <v>778</v>
      </c>
      <c r="I110" s="460" t="s">
        <v>1035</v>
      </c>
      <c r="J110" s="461" t="s">
        <v>729</v>
      </c>
      <c r="K110" s="462" t="s">
        <v>1036</v>
      </c>
      <c r="L110" s="463" t="s">
        <v>1037</v>
      </c>
      <c r="M110" s="464">
        <v>479885.06</v>
      </c>
      <c r="N110" s="464">
        <v>23994.25</v>
      </c>
      <c r="O110" s="464">
        <v>80620.69</v>
      </c>
      <c r="P110" s="465">
        <v>584500</v>
      </c>
      <c r="Q110" s="392"/>
      <c r="R110" s="466">
        <v>424855.59</v>
      </c>
      <c r="S110" s="394">
        <f t="shared" si="35"/>
        <v>159644.40999999997</v>
      </c>
      <c r="T110" s="267" t="s">
        <v>131</v>
      </c>
      <c r="U110" s="267" t="str">
        <f t="shared" si="36"/>
        <v>AA10262</v>
      </c>
      <c r="V110" s="423" t="str">
        <f t="shared" si="37"/>
        <v>0664-TCN17</v>
      </c>
      <c r="W110" s="362">
        <f t="shared" si="38"/>
        <v>1520302</v>
      </c>
      <c r="X110" s="362" t="str">
        <f t="shared" si="39"/>
        <v>TACOMA 4X4</v>
      </c>
      <c r="Y110" s="93">
        <f t="shared" si="40"/>
        <v>2017</v>
      </c>
      <c r="Z110" s="260">
        <f t="shared" si="41"/>
        <v>479885.06</v>
      </c>
      <c r="AA110" s="467">
        <f>+Z109+Z110</f>
        <v>921264.37</v>
      </c>
      <c r="AB110" s="482">
        <v>2</v>
      </c>
      <c r="AC110" s="424"/>
      <c r="AD110" s="425">
        <v>0.05</v>
      </c>
      <c r="AE110" s="424"/>
      <c r="AF110" s="424">
        <f t="shared" si="54"/>
        <v>23994.25</v>
      </c>
      <c r="AG110" s="396">
        <f t="shared" si="53"/>
        <v>0</v>
      </c>
      <c r="AH110" s="361"/>
      <c r="AI110" s="313"/>
      <c r="AJ110" s="374"/>
      <c r="AK110" s="331"/>
      <c r="AL110" s="331"/>
      <c r="AM110" s="331"/>
      <c r="AN110" s="352"/>
      <c r="AO110" s="352"/>
      <c r="AP110" s="352"/>
      <c r="AQ110" s="352"/>
      <c r="AR110" s="352"/>
      <c r="AS110" s="352"/>
      <c r="AT110" s="352"/>
      <c r="AU110" s="352"/>
    </row>
    <row r="111" spans="1:47" s="291" customFormat="1" ht="12.75" customHeight="1" x14ac:dyDescent="0.2">
      <c r="A111" s="423">
        <f t="shared" si="34"/>
        <v>110</v>
      </c>
      <c r="B111" s="456" t="s">
        <v>517</v>
      </c>
      <c r="C111" s="457">
        <v>1520504</v>
      </c>
      <c r="D111" s="458">
        <v>8127</v>
      </c>
      <c r="E111" s="454" t="s">
        <v>716</v>
      </c>
      <c r="F111" s="391">
        <v>2017</v>
      </c>
      <c r="G111" s="455">
        <v>42766</v>
      </c>
      <c r="H111" s="459" t="s">
        <v>1038</v>
      </c>
      <c r="I111" s="460" t="s">
        <v>1039</v>
      </c>
      <c r="J111" s="461" t="s">
        <v>729</v>
      </c>
      <c r="K111" s="462" t="s">
        <v>1040</v>
      </c>
      <c r="L111" s="463" t="s">
        <v>1041</v>
      </c>
      <c r="M111" s="464">
        <v>641954.02</v>
      </c>
      <c r="N111" s="464">
        <v>32097.7</v>
      </c>
      <c r="O111" s="464">
        <v>107848.28</v>
      </c>
      <c r="P111" s="465">
        <v>781900</v>
      </c>
      <c r="Q111" s="392"/>
      <c r="R111" s="466">
        <v>567388.30000000005</v>
      </c>
      <c r="S111" s="394">
        <f t="shared" si="35"/>
        <v>214511.69999999995</v>
      </c>
      <c r="T111" s="113" t="s">
        <v>131</v>
      </c>
      <c r="U111" s="267" t="str">
        <f t="shared" si="36"/>
        <v>AA10359</v>
      </c>
      <c r="V111" s="423" t="str">
        <f t="shared" si="37"/>
        <v>0735-TCN17</v>
      </c>
      <c r="W111" s="362">
        <f t="shared" si="38"/>
        <v>1520504</v>
      </c>
      <c r="X111" s="362" t="str">
        <f t="shared" si="39"/>
        <v>TUNDRA 4X4 DOBLE CABINA EQUIPADA</v>
      </c>
      <c r="Y111" s="93">
        <f t="shared" si="40"/>
        <v>2017</v>
      </c>
      <c r="Z111" s="260">
        <f t="shared" si="41"/>
        <v>641954.02</v>
      </c>
      <c r="AA111" s="468">
        <f>+Z111</f>
        <v>641954.02</v>
      </c>
      <c r="AB111" s="481">
        <v>1</v>
      </c>
      <c r="AC111" s="424"/>
      <c r="AD111" s="425">
        <v>0.05</v>
      </c>
      <c r="AE111" s="424"/>
      <c r="AF111" s="424">
        <f t="shared" si="54"/>
        <v>32097.7</v>
      </c>
      <c r="AG111" s="396">
        <f t="shared" si="53"/>
        <v>0</v>
      </c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351" customFormat="1" ht="12.75" customHeight="1" x14ac:dyDescent="0.2">
      <c r="A112" s="423">
        <f t="shared" si="34"/>
        <v>111</v>
      </c>
      <c r="B112" s="456" t="s">
        <v>519</v>
      </c>
      <c r="C112" s="457">
        <v>1520603</v>
      </c>
      <c r="D112" s="458">
        <v>7497</v>
      </c>
      <c r="E112" s="454" t="s">
        <v>717</v>
      </c>
      <c r="F112" s="391">
        <v>2017</v>
      </c>
      <c r="G112" s="455">
        <v>42747</v>
      </c>
      <c r="H112" s="459" t="s">
        <v>727</v>
      </c>
      <c r="I112" s="460" t="s">
        <v>1045</v>
      </c>
      <c r="J112" s="461" t="s">
        <v>729</v>
      </c>
      <c r="K112" s="462" t="s">
        <v>1046</v>
      </c>
      <c r="L112" s="463" t="s">
        <v>1047</v>
      </c>
      <c r="M112" s="464">
        <v>272988.5</v>
      </c>
      <c r="N112" s="464">
        <v>13649.43</v>
      </c>
      <c r="O112" s="464">
        <v>45862.07</v>
      </c>
      <c r="P112" s="465">
        <v>332500</v>
      </c>
      <c r="Q112" s="392"/>
      <c r="R112" s="466">
        <v>247329.71</v>
      </c>
      <c r="S112" s="394">
        <f t="shared" si="35"/>
        <v>85170.290000000008</v>
      </c>
      <c r="T112" s="113" t="s">
        <v>131</v>
      </c>
      <c r="U112" s="267" t="str">
        <f t="shared" si="36"/>
        <v>AA10236</v>
      </c>
      <c r="V112" s="423" t="str">
        <f t="shared" si="37"/>
        <v>0650-TCN17</v>
      </c>
      <c r="W112" s="362">
        <f t="shared" si="38"/>
        <v>1520603</v>
      </c>
      <c r="X112" s="362" t="str">
        <f t="shared" si="39"/>
        <v>HILUX BASE CON VIDRIOS ELECTRICOS</v>
      </c>
      <c r="Y112" s="93">
        <f t="shared" si="40"/>
        <v>2017</v>
      </c>
      <c r="Z112" s="260">
        <f t="shared" si="41"/>
        <v>272988.5</v>
      </c>
      <c r="AA112" s="424"/>
      <c r="AB112" s="424"/>
      <c r="AC112" s="424"/>
      <c r="AD112" s="425">
        <v>0.05</v>
      </c>
      <c r="AE112" s="424"/>
      <c r="AF112" s="424">
        <f t="shared" si="54"/>
        <v>13649.43</v>
      </c>
      <c r="AG112" s="396">
        <f t="shared" si="53"/>
        <v>0</v>
      </c>
      <c r="AH112" s="361"/>
      <c r="AI112" s="313"/>
      <c r="AJ112" s="374"/>
      <c r="AK112" s="331"/>
      <c r="AL112" s="331"/>
      <c r="AM112" s="331"/>
      <c r="AN112" s="352"/>
      <c r="AO112" s="352"/>
      <c r="AP112" s="352"/>
      <c r="AQ112" s="352"/>
      <c r="AR112" s="352"/>
      <c r="AS112" s="352"/>
      <c r="AT112" s="352"/>
      <c r="AU112" s="352"/>
    </row>
    <row r="113" spans="1:47" s="291" customFormat="1" ht="12.75" customHeight="1" x14ac:dyDescent="0.2">
      <c r="A113" s="423">
        <f t="shared" si="34"/>
        <v>112</v>
      </c>
      <c r="B113" s="456" t="s">
        <v>518</v>
      </c>
      <c r="C113" s="457">
        <v>1520603</v>
      </c>
      <c r="D113" s="458">
        <v>7497</v>
      </c>
      <c r="E113" s="454" t="s">
        <v>717</v>
      </c>
      <c r="F113" s="391">
        <v>2017</v>
      </c>
      <c r="G113" s="455">
        <v>42737</v>
      </c>
      <c r="H113" s="459" t="s">
        <v>792</v>
      </c>
      <c r="I113" s="460" t="s">
        <v>1042</v>
      </c>
      <c r="J113" s="461" t="s">
        <v>729</v>
      </c>
      <c r="K113" s="462" t="s">
        <v>1043</v>
      </c>
      <c r="L113" s="463" t="s">
        <v>1044</v>
      </c>
      <c r="M113" s="464">
        <v>265681.45</v>
      </c>
      <c r="N113" s="464">
        <v>13284.07</v>
      </c>
      <c r="O113" s="464">
        <v>44634.48</v>
      </c>
      <c r="P113" s="465">
        <v>323600</v>
      </c>
      <c r="Q113" s="392"/>
      <c r="R113" s="466">
        <v>241699.82</v>
      </c>
      <c r="S113" s="394">
        <f t="shared" si="35"/>
        <v>81900.179999999993</v>
      </c>
      <c r="T113" s="267" t="s">
        <v>131</v>
      </c>
      <c r="U113" s="267" t="str">
        <f t="shared" si="36"/>
        <v>AA10163</v>
      </c>
      <c r="V113" s="423" t="str">
        <f t="shared" si="37"/>
        <v>0168-TCN17</v>
      </c>
      <c r="W113" s="362">
        <f t="shared" si="38"/>
        <v>1520603</v>
      </c>
      <c r="X113" s="362" t="str">
        <f t="shared" si="39"/>
        <v>HILUX BASE CON VIDRIOS ELECTRICOS</v>
      </c>
      <c r="Y113" s="93">
        <f t="shared" si="40"/>
        <v>2017</v>
      </c>
      <c r="Z113" s="260">
        <f t="shared" si="41"/>
        <v>265681.45</v>
      </c>
      <c r="AA113" s="424"/>
      <c r="AB113" s="424"/>
      <c r="AC113" s="424"/>
      <c r="AD113" s="425">
        <v>0.05</v>
      </c>
      <c r="AE113" s="424"/>
      <c r="AF113" s="424">
        <f t="shared" si="54"/>
        <v>13284.07</v>
      </c>
      <c r="AG113" s="396">
        <f t="shared" si="53"/>
        <v>0</v>
      </c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x14ac:dyDescent="0.2">
      <c r="A114" s="423">
        <f t="shared" si="34"/>
        <v>113</v>
      </c>
      <c r="B114" s="456" t="s">
        <v>520</v>
      </c>
      <c r="C114" s="457">
        <v>1520603</v>
      </c>
      <c r="D114" s="458">
        <v>7497</v>
      </c>
      <c r="E114" s="454" t="s">
        <v>717</v>
      </c>
      <c r="F114" s="391">
        <v>2017</v>
      </c>
      <c r="G114" s="455">
        <v>42766</v>
      </c>
      <c r="H114" s="459" t="s">
        <v>847</v>
      </c>
      <c r="I114" s="460" t="s">
        <v>1048</v>
      </c>
      <c r="J114" s="461" t="s">
        <v>729</v>
      </c>
      <c r="K114" s="462" t="s">
        <v>1049</v>
      </c>
      <c r="L114" s="463" t="s">
        <v>1050</v>
      </c>
      <c r="M114" s="464">
        <v>272988.5</v>
      </c>
      <c r="N114" s="464">
        <v>13649.43</v>
      </c>
      <c r="O114" s="464">
        <v>45862.07</v>
      </c>
      <c r="P114" s="465">
        <v>332500</v>
      </c>
      <c r="Q114" s="392"/>
      <c r="R114" s="466">
        <v>247285.57</v>
      </c>
      <c r="S114" s="394">
        <f t="shared" si="35"/>
        <v>85214.43</v>
      </c>
      <c r="T114" s="267" t="s">
        <v>131</v>
      </c>
      <c r="U114" s="267" t="str">
        <f t="shared" si="36"/>
        <v>AA10361</v>
      </c>
      <c r="V114" s="423" t="str">
        <f t="shared" si="37"/>
        <v>0680-TCN17</v>
      </c>
      <c r="W114" s="362">
        <f t="shared" si="38"/>
        <v>1520603</v>
      </c>
      <c r="X114" s="362" t="str">
        <f t="shared" si="39"/>
        <v>HILUX BASE CON VIDRIOS ELECTRICOS</v>
      </c>
      <c r="Y114" s="93">
        <f t="shared" si="40"/>
        <v>2017</v>
      </c>
      <c r="Z114" s="260">
        <f t="shared" si="41"/>
        <v>272988.5</v>
      </c>
      <c r="AA114" s="467">
        <f>SUM(Z112:Z114)</f>
        <v>811658.45</v>
      </c>
      <c r="AB114" s="482">
        <v>3</v>
      </c>
      <c r="AC114" s="424"/>
      <c r="AD114" s="425">
        <v>0.05</v>
      </c>
      <c r="AE114" s="424"/>
      <c r="AF114" s="424">
        <f t="shared" si="54"/>
        <v>13649.43</v>
      </c>
      <c r="AG114" s="396">
        <f t="shared" si="53"/>
        <v>0</v>
      </c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351" customFormat="1" ht="12.75" customHeight="1" x14ac:dyDescent="0.2">
      <c r="A115" s="423">
        <f t="shared" si="34"/>
        <v>114</v>
      </c>
      <c r="B115" s="456" t="s">
        <v>533</v>
      </c>
      <c r="C115" s="457">
        <v>1520604</v>
      </c>
      <c r="D115" s="458">
        <v>7495</v>
      </c>
      <c r="E115" s="454" t="s">
        <v>718</v>
      </c>
      <c r="F115" s="391">
        <v>2017</v>
      </c>
      <c r="G115" s="455">
        <v>42759</v>
      </c>
      <c r="H115" s="459" t="s">
        <v>788</v>
      </c>
      <c r="I115" s="460" t="s">
        <v>1086</v>
      </c>
      <c r="J115" s="461" t="s">
        <v>729</v>
      </c>
      <c r="K115" s="462" t="s">
        <v>1087</v>
      </c>
      <c r="L115" s="463" t="s">
        <v>1088</v>
      </c>
      <c r="M115" s="464">
        <v>282019.7</v>
      </c>
      <c r="N115" s="464">
        <v>14100.99</v>
      </c>
      <c r="O115" s="464">
        <v>47379.31</v>
      </c>
      <c r="P115" s="465">
        <v>343500</v>
      </c>
      <c r="Q115" s="392"/>
      <c r="R115" s="466">
        <v>255426.86</v>
      </c>
      <c r="S115" s="394">
        <f t="shared" si="35"/>
        <v>88073.140000000014</v>
      </c>
      <c r="T115" s="113" t="s">
        <v>131</v>
      </c>
      <c r="U115" s="267" t="str">
        <f t="shared" si="36"/>
        <v>AA10306</v>
      </c>
      <c r="V115" s="423" t="str">
        <f t="shared" si="37"/>
        <v>0638-TCN17</v>
      </c>
      <c r="W115" s="362">
        <f t="shared" si="38"/>
        <v>1520604</v>
      </c>
      <c r="X115" s="362" t="str">
        <f t="shared" si="39"/>
        <v>HILUX PICK UP D CAB SR A/C</v>
      </c>
      <c r="Y115" s="93">
        <f t="shared" si="40"/>
        <v>2017</v>
      </c>
      <c r="Z115" s="260">
        <f t="shared" si="41"/>
        <v>282019.7</v>
      </c>
      <c r="AA115" s="424"/>
      <c r="AB115" s="424"/>
      <c r="AC115" s="424"/>
      <c r="AD115" s="425">
        <v>0.05</v>
      </c>
      <c r="AE115" s="424"/>
      <c r="AF115" s="424">
        <f t="shared" si="54"/>
        <v>14100.99</v>
      </c>
      <c r="AG115" s="396">
        <f t="shared" si="53"/>
        <v>0</v>
      </c>
      <c r="AH115" s="361"/>
      <c r="AI115" s="313"/>
      <c r="AJ115" s="374"/>
      <c r="AK115" s="331"/>
      <c r="AL115" s="331"/>
      <c r="AM115" s="331"/>
      <c r="AN115" s="352"/>
      <c r="AO115" s="352"/>
      <c r="AP115" s="352"/>
      <c r="AQ115" s="352"/>
      <c r="AR115" s="352"/>
      <c r="AS115" s="352"/>
      <c r="AT115" s="352"/>
      <c r="AU115" s="352"/>
    </row>
    <row r="116" spans="1:47" s="351" customFormat="1" ht="12.75" customHeight="1" x14ac:dyDescent="0.2">
      <c r="A116" s="423">
        <f t="shared" si="34"/>
        <v>115</v>
      </c>
      <c r="B116" s="456" t="s">
        <v>534</v>
      </c>
      <c r="C116" s="457">
        <v>1520604</v>
      </c>
      <c r="D116" s="458">
        <v>7495</v>
      </c>
      <c r="E116" s="454" t="s">
        <v>718</v>
      </c>
      <c r="F116" s="391">
        <v>2017</v>
      </c>
      <c r="G116" s="455">
        <v>42752</v>
      </c>
      <c r="H116" s="459" t="s">
        <v>760</v>
      </c>
      <c r="I116" s="460" t="s">
        <v>1089</v>
      </c>
      <c r="J116" s="461" t="s">
        <v>729</v>
      </c>
      <c r="K116" s="462" t="s">
        <v>1090</v>
      </c>
      <c r="L116" s="463" t="s">
        <v>1091</v>
      </c>
      <c r="M116" s="464">
        <v>282019.7</v>
      </c>
      <c r="N116" s="464">
        <v>14100.99</v>
      </c>
      <c r="O116" s="464">
        <v>47379.31</v>
      </c>
      <c r="P116" s="465">
        <v>343500</v>
      </c>
      <c r="Q116" s="392"/>
      <c r="R116" s="466">
        <v>255471</v>
      </c>
      <c r="S116" s="394">
        <f t="shared" si="35"/>
        <v>88029</v>
      </c>
      <c r="T116" s="113" t="s">
        <v>131</v>
      </c>
      <c r="U116" s="267" t="str">
        <f t="shared" si="36"/>
        <v>AA10268</v>
      </c>
      <c r="V116" s="423" t="str">
        <f t="shared" si="37"/>
        <v>0640-TCN17</v>
      </c>
      <c r="W116" s="362">
        <f t="shared" si="38"/>
        <v>1520604</v>
      </c>
      <c r="X116" s="362" t="str">
        <f t="shared" si="39"/>
        <v>HILUX PICK UP D CAB SR A/C</v>
      </c>
      <c r="Y116" s="93">
        <f t="shared" si="40"/>
        <v>2017</v>
      </c>
      <c r="Z116" s="260">
        <f t="shared" si="41"/>
        <v>282019.7</v>
      </c>
      <c r="AA116" s="424"/>
      <c r="AB116" s="424"/>
      <c r="AC116" s="424"/>
      <c r="AD116" s="425">
        <v>0.05</v>
      </c>
      <c r="AE116" s="424"/>
      <c r="AF116" s="424">
        <f t="shared" si="54"/>
        <v>14100.99</v>
      </c>
      <c r="AG116" s="396">
        <f t="shared" si="53"/>
        <v>0</v>
      </c>
      <c r="AH116" s="361"/>
      <c r="AI116" s="313"/>
      <c r="AJ116" s="374"/>
      <c r="AK116" s="331"/>
      <c r="AL116" s="331"/>
      <c r="AM116" s="331"/>
      <c r="AN116" s="352"/>
      <c r="AO116" s="352"/>
      <c r="AP116" s="352"/>
      <c r="AQ116" s="352"/>
      <c r="AR116" s="352"/>
      <c r="AS116" s="352"/>
      <c r="AT116" s="352"/>
      <c r="AU116" s="352"/>
    </row>
    <row r="117" spans="1:47" s="291" customFormat="1" ht="12.75" customHeight="1" x14ac:dyDescent="0.2">
      <c r="A117" s="423">
        <f t="shared" si="34"/>
        <v>116</v>
      </c>
      <c r="B117" s="456" t="s">
        <v>530</v>
      </c>
      <c r="C117" s="457">
        <v>1520604</v>
      </c>
      <c r="D117" s="458">
        <v>7495</v>
      </c>
      <c r="E117" s="454" t="s">
        <v>718</v>
      </c>
      <c r="F117" s="391">
        <v>2017</v>
      </c>
      <c r="G117" s="455">
        <v>42759</v>
      </c>
      <c r="H117" s="459" t="s">
        <v>792</v>
      </c>
      <c r="I117" s="460" t="s">
        <v>1077</v>
      </c>
      <c r="J117" s="461" t="s">
        <v>729</v>
      </c>
      <c r="K117" s="462" t="s">
        <v>1078</v>
      </c>
      <c r="L117" s="463" t="s">
        <v>1079</v>
      </c>
      <c r="M117" s="464">
        <v>282019.7</v>
      </c>
      <c r="N117" s="464">
        <v>14100.99</v>
      </c>
      <c r="O117" s="464">
        <v>47379.31</v>
      </c>
      <c r="P117" s="465">
        <v>343500</v>
      </c>
      <c r="Q117" s="392"/>
      <c r="R117" s="466">
        <v>255426.86</v>
      </c>
      <c r="S117" s="394">
        <f t="shared" si="35"/>
        <v>88073.140000000014</v>
      </c>
      <c r="T117" s="113" t="s">
        <v>131</v>
      </c>
      <c r="U117" s="267" t="str">
        <f t="shared" si="36"/>
        <v>AA10304</v>
      </c>
      <c r="V117" s="423" t="str">
        <f t="shared" si="37"/>
        <v>0630-TCN17</v>
      </c>
      <c r="W117" s="362">
        <f t="shared" si="38"/>
        <v>1520604</v>
      </c>
      <c r="X117" s="362" t="str">
        <f t="shared" si="39"/>
        <v>HILUX PICK UP D CAB SR A/C</v>
      </c>
      <c r="Y117" s="93">
        <f t="shared" si="40"/>
        <v>2017</v>
      </c>
      <c r="Z117" s="260">
        <f t="shared" si="41"/>
        <v>282019.7</v>
      </c>
      <c r="AA117" s="424"/>
      <c r="AB117" s="424"/>
      <c r="AC117" s="424"/>
      <c r="AD117" s="425">
        <v>0.05</v>
      </c>
      <c r="AE117" s="424"/>
      <c r="AF117" s="424">
        <f t="shared" si="54"/>
        <v>14100.99</v>
      </c>
      <c r="AG117" s="396">
        <f t="shared" si="53"/>
        <v>0</v>
      </c>
      <c r="AH117" s="361"/>
      <c r="AI117" s="313"/>
      <c r="AJ117" s="330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351" customFormat="1" ht="12.75" customHeight="1" x14ac:dyDescent="0.2">
      <c r="A118" s="423">
        <f t="shared" si="34"/>
        <v>117</v>
      </c>
      <c r="B118" s="456" t="s">
        <v>532</v>
      </c>
      <c r="C118" s="457">
        <v>1520604</v>
      </c>
      <c r="D118" s="458">
        <v>7495</v>
      </c>
      <c r="E118" s="454" t="s">
        <v>718</v>
      </c>
      <c r="F118" s="391">
        <v>2017</v>
      </c>
      <c r="G118" s="455">
        <v>42744</v>
      </c>
      <c r="H118" s="459" t="s">
        <v>778</v>
      </c>
      <c r="I118" s="460" t="s">
        <v>1083</v>
      </c>
      <c r="J118" s="461" t="s">
        <v>729</v>
      </c>
      <c r="K118" s="462" t="s">
        <v>1084</v>
      </c>
      <c r="L118" s="463" t="s">
        <v>1085</v>
      </c>
      <c r="M118" s="464">
        <v>282019.7</v>
      </c>
      <c r="N118" s="464">
        <v>14100.99</v>
      </c>
      <c r="O118" s="464">
        <v>47379.31</v>
      </c>
      <c r="P118" s="465">
        <v>343500</v>
      </c>
      <c r="Q118" s="392"/>
      <c r="R118" s="466">
        <v>255471</v>
      </c>
      <c r="S118" s="394">
        <f t="shared" si="35"/>
        <v>88029</v>
      </c>
      <c r="T118" s="113" t="s">
        <v>131</v>
      </c>
      <c r="U118" s="267" t="str">
        <f t="shared" si="36"/>
        <v>AA10214</v>
      </c>
      <c r="V118" s="423" t="str">
        <f t="shared" si="37"/>
        <v>0632-TCN17</v>
      </c>
      <c r="W118" s="362">
        <f t="shared" si="38"/>
        <v>1520604</v>
      </c>
      <c r="X118" s="362" t="str">
        <f t="shared" si="39"/>
        <v>HILUX PICK UP D CAB SR A/C</v>
      </c>
      <c r="Y118" s="93">
        <f t="shared" si="40"/>
        <v>2017</v>
      </c>
      <c r="Z118" s="260">
        <f t="shared" si="41"/>
        <v>282019.7</v>
      </c>
      <c r="AA118" s="424"/>
      <c r="AB118" s="424"/>
      <c r="AC118" s="424"/>
      <c r="AD118" s="425">
        <v>0.05</v>
      </c>
      <c r="AE118" s="424"/>
      <c r="AF118" s="424">
        <f t="shared" si="54"/>
        <v>14100.99</v>
      </c>
      <c r="AG118" s="396">
        <f t="shared" si="53"/>
        <v>0</v>
      </c>
      <c r="AH118" s="361"/>
      <c r="AI118" s="313"/>
      <c r="AJ118" s="331"/>
      <c r="AK118" s="331"/>
      <c r="AL118" s="331"/>
      <c r="AM118" s="331"/>
      <c r="AN118" s="352"/>
      <c r="AO118" s="352"/>
      <c r="AP118" s="352"/>
      <c r="AQ118" s="352"/>
      <c r="AR118" s="352"/>
      <c r="AS118" s="352"/>
      <c r="AT118" s="352"/>
      <c r="AU118" s="352"/>
    </row>
    <row r="119" spans="1:47" s="348" customFormat="1" ht="12.75" customHeight="1" x14ac:dyDescent="0.2">
      <c r="A119" s="423">
        <f t="shared" si="34"/>
        <v>118</v>
      </c>
      <c r="B119" s="456" t="s">
        <v>542</v>
      </c>
      <c r="C119" s="457">
        <v>1520604</v>
      </c>
      <c r="D119" s="458">
        <v>7495</v>
      </c>
      <c r="E119" s="454" t="s">
        <v>718</v>
      </c>
      <c r="F119" s="391">
        <v>2017</v>
      </c>
      <c r="G119" s="455">
        <v>42760</v>
      </c>
      <c r="H119" s="459" t="s">
        <v>792</v>
      </c>
      <c r="I119" s="460" t="s">
        <v>1111</v>
      </c>
      <c r="J119" s="461" t="s">
        <v>729</v>
      </c>
      <c r="K119" s="462" t="s">
        <v>1112</v>
      </c>
      <c r="L119" s="463" t="s">
        <v>1113</v>
      </c>
      <c r="M119" s="464">
        <v>282019.7</v>
      </c>
      <c r="N119" s="464">
        <v>14100.99</v>
      </c>
      <c r="O119" s="464">
        <v>47379.31</v>
      </c>
      <c r="P119" s="465">
        <v>343500</v>
      </c>
      <c r="Q119" s="392"/>
      <c r="R119" s="466">
        <v>255426.86</v>
      </c>
      <c r="S119" s="394">
        <f t="shared" si="35"/>
        <v>88073.140000000014</v>
      </c>
      <c r="T119" s="113" t="s">
        <v>131</v>
      </c>
      <c r="U119" s="267" t="str">
        <f t="shared" si="36"/>
        <v>AA10314</v>
      </c>
      <c r="V119" s="423" t="str">
        <f t="shared" si="37"/>
        <v>0714-TCN17</v>
      </c>
      <c r="W119" s="362">
        <f t="shared" si="38"/>
        <v>1520604</v>
      </c>
      <c r="X119" s="362" t="str">
        <f t="shared" si="39"/>
        <v>HILUX PICK UP D CAB SR A/C</v>
      </c>
      <c r="Y119" s="93">
        <f t="shared" si="40"/>
        <v>2017</v>
      </c>
      <c r="Z119" s="260">
        <f t="shared" si="41"/>
        <v>282019.7</v>
      </c>
      <c r="AA119" s="424"/>
      <c r="AB119" s="424"/>
      <c r="AC119" s="424"/>
      <c r="AD119" s="425">
        <v>0.05</v>
      </c>
      <c r="AE119" s="424"/>
      <c r="AF119" s="424">
        <f t="shared" si="54"/>
        <v>14100.99</v>
      </c>
      <c r="AG119" s="396">
        <f t="shared" si="53"/>
        <v>0</v>
      </c>
      <c r="AH119" s="361"/>
      <c r="AI119" s="313"/>
      <c r="AJ119" s="330"/>
      <c r="AK119" s="330"/>
      <c r="AL119" s="330"/>
      <c r="AM119" s="330"/>
      <c r="AN119" s="353"/>
      <c r="AO119" s="353"/>
      <c r="AP119" s="353"/>
      <c r="AQ119" s="353"/>
      <c r="AR119" s="353"/>
      <c r="AS119" s="353"/>
      <c r="AT119" s="353"/>
      <c r="AU119" s="353"/>
    </row>
    <row r="120" spans="1:47" s="351" customFormat="1" ht="12.75" customHeight="1" x14ac:dyDescent="0.2">
      <c r="A120" s="423">
        <f t="shared" si="34"/>
        <v>119</v>
      </c>
      <c r="B120" s="456" t="s">
        <v>541</v>
      </c>
      <c r="C120" s="457">
        <v>1520604</v>
      </c>
      <c r="D120" s="458">
        <v>7495</v>
      </c>
      <c r="E120" s="454" t="s">
        <v>718</v>
      </c>
      <c r="F120" s="391">
        <v>2017</v>
      </c>
      <c r="G120" s="455">
        <v>42763</v>
      </c>
      <c r="H120" s="459" t="s">
        <v>778</v>
      </c>
      <c r="I120" s="460" t="s">
        <v>1108</v>
      </c>
      <c r="J120" s="461" t="s">
        <v>729</v>
      </c>
      <c r="K120" s="462" t="s">
        <v>1109</v>
      </c>
      <c r="L120" s="463" t="s">
        <v>1110</v>
      </c>
      <c r="M120" s="464">
        <v>282019.7</v>
      </c>
      <c r="N120" s="464">
        <v>14100.99</v>
      </c>
      <c r="O120" s="464">
        <v>47379.31</v>
      </c>
      <c r="P120" s="465">
        <v>343500</v>
      </c>
      <c r="Q120" s="392"/>
      <c r="R120" s="466">
        <v>255426.86</v>
      </c>
      <c r="S120" s="394">
        <f t="shared" si="35"/>
        <v>88073.140000000014</v>
      </c>
      <c r="T120" s="113" t="s">
        <v>131</v>
      </c>
      <c r="U120" s="267" t="str">
        <f t="shared" si="36"/>
        <v>AA10342</v>
      </c>
      <c r="V120" s="423" t="str">
        <f t="shared" si="37"/>
        <v>0699-TCN17</v>
      </c>
      <c r="W120" s="362">
        <f t="shared" si="38"/>
        <v>1520604</v>
      </c>
      <c r="X120" s="362" t="str">
        <f t="shared" si="39"/>
        <v>HILUX PICK UP D CAB SR A/C</v>
      </c>
      <c r="Y120" s="93">
        <f t="shared" si="40"/>
        <v>2017</v>
      </c>
      <c r="Z120" s="260">
        <f t="shared" si="41"/>
        <v>282019.7</v>
      </c>
      <c r="AA120" s="424"/>
      <c r="AB120" s="424"/>
      <c r="AC120" s="424"/>
      <c r="AD120" s="425">
        <v>0.05</v>
      </c>
      <c r="AE120" s="424"/>
      <c r="AF120" s="424">
        <f t="shared" si="54"/>
        <v>14100.99</v>
      </c>
      <c r="AG120" s="396">
        <f t="shared" si="53"/>
        <v>0</v>
      </c>
      <c r="AH120" s="361"/>
      <c r="AI120" s="313"/>
      <c r="AJ120" s="374"/>
      <c r="AK120" s="331"/>
      <c r="AL120" s="331"/>
      <c r="AM120" s="331"/>
      <c r="AN120" s="352"/>
      <c r="AO120" s="352"/>
      <c r="AP120" s="352"/>
      <c r="AQ120" s="352"/>
      <c r="AR120" s="352"/>
      <c r="AS120" s="352"/>
      <c r="AT120" s="352"/>
      <c r="AU120" s="352"/>
    </row>
    <row r="121" spans="1:47" s="348" customFormat="1" ht="12.75" customHeight="1" x14ac:dyDescent="0.2">
      <c r="A121" s="423">
        <f t="shared" si="34"/>
        <v>120</v>
      </c>
      <c r="B121" s="456" t="s">
        <v>526</v>
      </c>
      <c r="C121" s="457">
        <v>1520604</v>
      </c>
      <c r="D121" s="458">
        <v>7495</v>
      </c>
      <c r="E121" s="454" t="s">
        <v>718</v>
      </c>
      <c r="F121" s="391">
        <v>2017</v>
      </c>
      <c r="G121" s="455">
        <v>42753</v>
      </c>
      <c r="H121" s="459" t="s">
        <v>774</v>
      </c>
      <c r="I121" s="460" t="s">
        <v>1066</v>
      </c>
      <c r="J121" s="461" t="s">
        <v>729</v>
      </c>
      <c r="K121" s="462" t="s">
        <v>1067</v>
      </c>
      <c r="L121" s="463" t="s">
        <v>1068</v>
      </c>
      <c r="M121" s="464">
        <v>282019.7</v>
      </c>
      <c r="N121" s="464">
        <v>14100.99</v>
      </c>
      <c r="O121" s="464">
        <v>47379.31</v>
      </c>
      <c r="P121" s="465">
        <v>343500</v>
      </c>
      <c r="Q121" s="392"/>
      <c r="R121" s="466">
        <v>255471</v>
      </c>
      <c r="S121" s="394">
        <f t="shared" si="35"/>
        <v>88029</v>
      </c>
      <c r="T121" s="113" t="s">
        <v>131</v>
      </c>
      <c r="U121" s="267" t="str">
        <f t="shared" si="36"/>
        <v>AA10275</v>
      </c>
      <c r="V121" s="423" t="str">
        <f t="shared" si="37"/>
        <v>0625-TCN17</v>
      </c>
      <c r="W121" s="362">
        <f t="shared" si="38"/>
        <v>1520604</v>
      </c>
      <c r="X121" s="362" t="str">
        <f t="shared" si="39"/>
        <v>HILUX PICK UP D CAB SR A/C</v>
      </c>
      <c r="Y121" s="93">
        <f t="shared" si="40"/>
        <v>2017</v>
      </c>
      <c r="Z121" s="260">
        <f t="shared" si="41"/>
        <v>282019.7</v>
      </c>
      <c r="AA121" s="424"/>
      <c r="AB121" s="424"/>
      <c r="AC121" s="424"/>
      <c r="AD121" s="425">
        <f t="shared" ref="AD121:AD136" si="55">VLOOKUP(Z121,TARIFA,4)</f>
        <v>0.05</v>
      </c>
      <c r="AE121" s="424"/>
      <c r="AF121" s="424">
        <f t="shared" si="54"/>
        <v>14100.99</v>
      </c>
      <c r="AG121" s="396">
        <f t="shared" si="49"/>
        <v>0</v>
      </c>
      <c r="AH121" s="361"/>
      <c r="AI121" s="313"/>
      <c r="AJ121" s="374"/>
      <c r="AK121" s="330"/>
      <c r="AL121" s="330"/>
      <c r="AM121" s="330"/>
      <c r="AN121" s="353"/>
      <c r="AO121" s="353"/>
      <c r="AP121" s="353"/>
      <c r="AQ121" s="353"/>
      <c r="AR121" s="353"/>
      <c r="AS121" s="353"/>
      <c r="AT121" s="353"/>
      <c r="AU121" s="353"/>
    </row>
    <row r="122" spans="1:47" s="291" customFormat="1" ht="12.75" customHeight="1" x14ac:dyDescent="0.2">
      <c r="A122" s="423">
        <f t="shared" si="34"/>
        <v>121</v>
      </c>
      <c r="B122" s="456" t="s">
        <v>531</v>
      </c>
      <c r="C122" s="457">
        <v>1520604</v>
      </c>
      <c r="D122" s="458">
        <v>7495</v>
      </c>
      <c r="E122" s="454" t="s">
        <v>718</v>
      </c>
      <c r="F122" s="391">
        <v>2017</v>
      </c>
      <c r="G122" s="455">
        <v>42748</v>
      </c>
      <c r="H122" s="459" t="s">
        <v>817</v>
      </c>
      <c r="I122" s="460" t="s">
        <v>1080</v>
      </c>
      <c r="J122" s="461" t="s">
        <v>729</v>
      </c>
      <c r="K122" s="462" t="s">
        <v>1081</v>
      </c>
      <c r="L122" s="463" t="s">
        <v>1082</v>
      </c>
      <c r="M122" s="464">
        <v>282019.7</v>
      </c>
      <c r="N122" s="464">
        <v>14100.99</v>
      </c>
      <c r="O122" s="464">
        <v>47379.31</v>
      </c>
      <c r="P122" s="465">
        <v>343500</v>
      </c>
      <c r="Q122" s="392"/>
      <c r="R122" s="466">
        <v>255471</v>
      </c>
      <c r="S122" s="394">
        <f t="shared" si="35"/>
        <v>88029</v>
      </c>
      <c r="T122" s="267" t="s">
        <v>131</v>
      </c>
      <c r="U122" s="267" t="str">
        <f t="shared" si="36"/>
        <v>AA10247</v>
      </c>
      <c r="V122" s="423" t="str">
        <f t="shared" si="37"/>
        <v>0631-TCN17</v>
      </c>
      <c r="W122" s="362">
        <f t="shared" si="38"/>
        <v>1520604</v>
      </c>
      <c r="X122" s="362" t="str">
        <f t="shared" si="39"/>
        <v>HILUX PICK UP D CAB SR A/C</v>
      </c>
      <c r="Y122" s="93">
        <f t="shared" si="40"/>
        <v>2017</v>
      </c>
      <c r="Z122" s="260">
        <f t="shared" si="41"/>
        <v>282019.7</v>
      </c>
      <c r="AA122" s="424"/>
      <c r="AB122" s="424"/>
      <c r="AC122" s="424"/>
      <c r="AD122" s="425">
        <f t="shared" si="55"/>
        <v>0.05</v>
      </c>
      <c r="AE122" s="424"/>
      <c r="AF122" s="424">
        <f t="shared" si="54"/>
        <v>14100.99</v>
      </c>
      <c r="AG122" s="396">
        <f t="shared" si="49"/>
        <v>0</v>
      </c>
      <c r="AH122" s="361"/>
      <c r="AI122" s="313"/>
      <c r="AJ122" s="331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351" customFormat="1" ht="12.75" customHeight="1" x14ac:dyDescent="0.2">
      <c r="A123" s="423">
        <f t="shared" si="34"/>
        <v>122</v>
      </c>
      <c r="B123" s="456" t="s">
        <v>543</v>
      </c>
      <c r="C123" s="457">
        <v>1520604</v>
      </c>
      <c r="D123" s="458">
        <v>7495</v>
      </c>
      <c r="E123" s="454" t="s">
        <v>718</v>
      </c>
      <c r="F123" s="391">
        <v>2017</v>
      </c>
      <c r="G123" s="455">
        <v>42762</v>
      </c>
      <c r="H123" s="459" t="s">
        <v>810</v>
      </c>
      <c r="I123" s="460" t="s">
        <v>1114</v>
      </c>
      <c r="J123" s="461" t="s">
        <v>729</v>
      </c>
      <c r="K123" s="462" t="s">
        <v>1115</v>
      </c>
      <c r="L123" s="463" t="s">
        <v>1116</v>
      </c>
      <c r="M123" s="464">
        <v>282019.7</v>
      </c>
      <c r="N123" s="464">
        <v>14100.99</v>
      </c>
      <c r="O123" s="464">
        <v>47379.31</v>
      </c>
      <c r="P123" s="465">
        <v>343500</v>
      </c>
      <c r="Q123" s="392"/>
      <c r="R123" s="466">
        <v>255426.86</v>
      </c>
      <c r="S123" s="394">
        <f t="shared" si="35"/>
        <v>88073.140000000014</v>
      </c>
      <c r="T123" s="267" t="s">
        <v>131</v>
      </c>
      <c r="U123" s="267" t="str">
        <f t="shared" si="36"/>
        <v>AA10339</v>
      </c>
      <c r="V123" s="423" t="str">
        <f t="shared" si="37"/>
        <v>0721-TCN17</v>
      </c>
      <c r="W123" s="362">
        <f t="shared" si="38"/>
        <v>1520604</v>
      </c>
      <c r="X123" s="362" t="str">
        <f t="shared" si="39"/>
        <v>HILUX PICK UP D CAB SR A/C</v>
      </c>
      <c r="Y123" s="93">
        <f t="shared" si="40"/>
        <v>2017</v>
      </c>
      <c r="Z123" s="260">
        <f t="shared" si="41"/>
        <v>282019.7</v>
      </c>
      <c r="AA123" s="424"/>
      <c r="AB123" s="424"/>
      <c r="AC123" s="424"/>
      <c r="AD123" s="425">
        <f t="shared" si="55"/>
        <v>0.05</v>
      </c>
      <c r="AE123" s="424"/>
      <c r="AF123" s="424">
        <f t="shared" si="54"/>
        <v>14100.99</v>
      </c>
      <c r="AG123" s="396">
        <f t="shared" si="49"/>
        <v>0</v>
      </c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352"/>
      <c r="AU123" s="352"/>
    </row>
    <row r="124" spans="1:47" s="348" customFormat="1" ht="12.75" customHeight="1" x14ac:dyDescent="0.2">
      <c r="A124" s="423">
        <f t="shared" si="34"/>
        <v>123</v>
      </c>
      <c r="B124" s="456" t="s">
        <v>540</v>
      </c>
      <c r="C124" s="457">
        <v>1520604</v>
      </c>
      <c r="D124" s="458">
        <v>7495</v>
      </c>
      <c r="E124" s="454" t="s">
        <v>718</v>
      </c>
      <c r="F124" s="391">
        <v>2017</v>
      </c>
      <c r="G124" s="455">
        <v>42762</v>
      </c>
      <c r="H124" s="459" t="s">
        <v>1038</v>
      </c>
      <c r="I124" s="460" t="s">
        <v>1105</v>
      </c>
      <c r="J124" s="461" t="s">
        <v>729</v>
      </c>
      <c r="K124" s="462" t="s">
        <v>1106</v>
      </c>
      <c r="L124" s="463" t="s">
        <v>1107</v>
      </c>
      <c r="M124" s="464">
        <v>282019.7</v>
      </c>
      <c r="N124" s="464">
        <v>14100.99</v>
      </c>
      <c r="O124" s="464">
        <v>47379.31</v>
      </c>
      <c r="P124" s="465">
        <v>343500</v>
      </c>
      <c r="Q124" s="392"/>
      <c r="R124" s="466">
        <v>255426.86</v>
      </c>
      <c r="S124" s="394">
        <f t="shared" si="35"/>
        <v>88073.140000000014</v>
      </c>
      <c r="T124" s="113" t="s">
        <v>131</v>
      </c>
      <c r="U124" s="267" t="str">
        <f t="shared" si="36"/>
        <v>AA10337</v>
      </c>
      <c r="V124" s="423" t="str">
        <f t="shared" si="37"/>
        <v>0675-TCN17</v>
      </c>
      <c r="W124" s="362">
        <f t="shared" si="38"/>
        <v>1520604</v>
      </c>
      <c r="X124" s="362" t="str">
        <f t="shared" si="39"/>
        <v>HILUX PICK UP D CAB SR A/C</v>
      </c>
      <c r="Y124" s="93">
        <f t="shared" si="40"/>
        <v>2017</v>
      </c>
      <c r="Z124" s="260">
        <f t="shared" si="41"/>
        <v>282019.7</v>
      </c>
      <c r="AA124" s="424"/>
      <c r="AB124" s="424"/>
      <c r="AC124" s="424"/>
      <c r="AD124" s="425">
        <f t="shared" si="55"/>
        <v>0.05</v>
      </c>
      <c r="AE124" s="424"/>
      <c r="AF124" s="424">
        <f t="shared" si="54"/>
        <v>14100.99</v>
      </c>
      <c r="AG124" s="396">
        <f t="shared" si="49"/>
        <v>0</v>
      </c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353"/>
      <c r="AU124" s="353"/>
    </row>
    <row r="125" spans="1:47" s="351" customFormat="1" ht="12.75" customHeight="1" x14ac:dyDescent="0.2">
      <c r="A125" s="423">
        <f t="shared" si="34"/>
        <v>124</v>
      </c>
      <c r="B125" s="456" t="s">
        <v>528</v>
      </c>
      <c r="C125" s="457">
        <v>1520604</v>
      </c>
      <c r="D125" s="458">
        <v>7495</v>
      </c>
      <c r="E125" s="454" t="s">
        <v>718</v>
      </c>
      <c r="F125" s="391">
        <v>2017</v>
      </c>
      <c r="G125" s="455">
        <v>42759</v>
      </c>
      <c r="H125" s="459" t="s">
        <v>722</v>
      </c>
      <c r="I125" s="460" t="s">
        <v>1072</v>
      </c>
      <c r="J125" s="461" t="s">
        <v>729</v>
      </c>
      <c r="K125" s="462" t="s">
        <v>830</v>
      </c>
      <c r="L125" s="463" t="s">
        <v>1073</v>
      </c>
      <c r="M125" s="464">
        <v>282019.7</v>
      </c>
      <c r="N125" s="464">
        <v>14100.99</v>
      </c>
      <c r="O125" s="464">
        <v>47379.31</v>
      </c>
      <c r="P125" s="465">
        <v>343500</v>
      </c>
      <c r="Q125" s="392"/>
      <c r="R125" s="466">
        <v>255426.86</v>
      </c>
      <c r="S125" s="394">
        <f t="shared" si="35"/>
        <v>88073.140000000014</v>
      </c>
      <c r="T125" s="444" t="s">
        <v>131</v>
      </c>
      <c r="U125" s="267" t="str">
        <f t="shared" si="36"/>
        <v>AA10303</v>
      </c>
      <c r="V125" s="423" t="str">
        <f t="shared" si="37"/>
        <v>0628-TCN17</v>
      </c>
      <c r="W125" s="362">
        <f t="shared" si="38"/>
        <v>1520604</v>
      </c>
      <c r="X125" s="362" t="str">
        <f t="shared" si="39"/>
        <v>HILUX PICK UP D CAB SR A/C</v>
      </c>
      <c r="Y125" s="93">
        <f t="shared" si="40"/>
        <v>2017</v>
      </c>
      <c r="Z125" s="260">
        <f t="shared" si="41"/>
        <v>282019.7</v>
      </c>
      <c r="AA125" s="424"/>
      <c r="AB125" s="424"/>
      <c r="AC125" s="424"/>
      <c r="AD125" s="425">
        <f t="shared" si="55"/>
        <v>0.05</v>
      </c>
      <c r="AE125" s="424"/>
      <c r="AF125" s="424">
        <f t="shared" si="54"/>
        <v>14100.99</v>
      </c>
      <c r="AG125" s="396">
        <f t="shared" si="49"/>
        <v>0</v>
      </c>
      <c r="AH125" s="361"/>
      <c r="AI125" s="313"/>
      <c r="AJ125" s="331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352"/>
      <c r="AU125" s="352"/>
    </row>
    <row r="126" spans="1:47" s="351" customFormat="1" ht="12.75" customHeight="1" x14ac:dyDescent="0.2">
      <c r="A126" s="423">
        <f t="shared" si="34"/>
        <v>125</v>
      </c>
      <c r="B126" s="456" t="s">
        <v>523</v>
      </c>
      <c r="C126" s="457">
        <v>1520604</v>
      </c>
      <c r="D126" s="458">
        <v>7495</v>
      </c>
      <c r="E126" s="454" t="s">
        <v>718</v>
      </c>
      <c r="F126" s="391">
        <v>2017</v>
      </c>
      <c r="G126" s="455">
        <v>42741</v>
      </c>
      <c r="H126" s="459" t="s">
        <v>817</v>
      </c>
      <c r="I126" s="460" t="s">
        <v>1057</v>
      </c>
      <c r="J126" s="461" t="s">
        <v>729</v>
      </c>
      <c r="K126" s="462" t="s">
        <v>1058</v>
      </c>
      <c r="L126" s="463" t="s">
        <v>1059</v>
      </c>
      <c r="M126" s="464">
        <v>274466.34000000003</v>
      </c>
      <c r="N126" s="464">
        <v>13723.32</v>
      </c>
      <c r="O126" s="464">
        <v>46110.34</v>
      </c>
      <c r="P126" s="465">
        <v>334300</v>
      </c>
      <c r="Q126" s="392"/>
      <c r="R126" s="466">
        <v>256426.86</v>
      </c>
      <c r="S126" s="394">
        <f t="shared" si="35"/>
        <v>77873.140000000014</v>
      </c>
      <c r="T126" s="113" t="s">
        <v>131</v>
      </c>
      <c r="U126" s="267" t="str">
        <f t="shared" si="36"/>
        <v>AA10207</v>
      </c>
      <c r="V126" s="423" t="str">
        <f t="shared" si="37"/>
        <v>0618-TCN17</v>
      </c>
      <c r="W126" s="362">
        <f t="shared" si="38"/>
        <v>1520604</v>
      </c>
      <c r="X126" s="362" t="str">
        <f t="shared" si="39"/>
        <v>HILUX PICK UP D CAB SR A/C</v>
      </c>
      <c r="Y126" s="93">
        <f t="shared" si="40"/>
        <v>2017</v>
      </c>
      <c r="Z126" s="260">
        <f t="shared" si="41"/>
        <v>274466.34000000003</v>
      </c>
      <c r="AA126" s="424"/>
      <c r="AB126" s="424"/>
      <c r="AC126" s="424"/>
      <c r="AD126" s="425">
        <f t="shared" si="55"/>
        <v>0.05</v>
      </c>
      <c r="AE126" s="424"/>
      <c r="AF126" s="424">
        <f t="shared" si="54"/>
        <v>13723.32</v>
      </c>
      <c r="AG126" s="396">
        <f t="shared" si="49"/>
        <v>0</v>
      </c>
      <c r="AH126" s="361"/>
      <c r="AI126" s="313"/>
      <c r="AJ126" s="331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352"/>
      <c r="AU126" s="352"/>
    </row>
    <row r="127" spans="1:47" s="291" customFormat="1" ht="12.75" customHeight="1" x14ac:dyDescent="0.2">
      <c r="A127" s="423">
        <f t="shared" si="34"/>
        <v>126</v>
      </c>
      <c r="B127" s="456" t="s">
        <v>527</v>
      </c>
      <c r="C127" s="457">
        <v>1520604</v>
      </c>
      <c r="D127" s="458">
        <v>7495</v>
      </c>
      <c r="E127" s="454" t="s">
        <v>718</v>
      </c>
      <c r="F127" s="391">
        <v>2017</v>
      </c>
      <c r="G127" s="455">
        <v>42744</v>
      </c>
      <c r="H127" s="459" t="s">
        <v>747</v>
      </c>
      <c r="I127" s="460" t="s">
        <v>1069</v>
      </c>
      <c r="J127" s="461" t="s">
        <v>729</v>
      </c>
      <c r="K127" s="462" t="s">
        <v>1070</v>
      </c>
      <c r="L127" s="463" t="s">
        <v>1071</v>
      </c>
      <c r="M127" s="464">
        <v>282019.7</v>
      </c>
      <c r="N127" s="464">
        <v>14100.99</v>
      </c>
      <c r="O127" s="464">
        <v>47379.31</v>
      </c>
      <c r="P127" s="465">
        <v>343500</v>
      </c>
      <c r="Q127" s="392"/>
      <c r="R127" s="466">
        <v>255471</v>
      </c>
      <c r="S127" s="394">
        <f t="shared" si="35"/>
        <v>88029</v>
      </c>
      <c r="T127" s="267" t="s">
        <v>131</v>
      </c>
      <c r="U127" s="267" t="str">
        <f t="shared" si="36"/>
        <v>AA10218</v>
      </c>
      <c r="V127" s="423" t="str">
        <f t="shared" si="37"/>
        <v>0626-TCN17</v>
      </c>
      <c r="W127" s="362">
        <f t="shared" si="38"/>
        <v>1520604</v>
      </c>
      <c r="X127" s="362" t="str">
        <f t="shared" si="39"/>
        <v>HILUX PICK UP D CAB SR A/C</v>
      </c>
      <c r="Y127" s="93">
        <f t="shared" si="40"/>
        <v>2017</v>
      </c>
      <c r="Z127" s="260">
        <f t="shared" si="41"/>
        <v>282019.7</v>
      </c>
      <c r="AA127" s="424"/>
      <c r="AB127" s="424"/>
      <c r="AC127" s="424"/>
      <c r="AD127" s="425">
        <f t="shared" si="55"/>
        <v>0.05</v>
      </c>
      <c r="AE127" s="424"/>
      <c r="AF127" s="424">
        <f t="shared" si="54"/>
        <v>14100.99</v>
      </c>
      <c r="AG127" s="396">
        <f t="shared" si="49"/>
        <v>0</v>
      </c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351" customFormat="1" ht="12.75" customHeight="1" x14ac:dyDescent="0.2">
      <c r="A128" s="423">
        <f t="shared" si="34"/>
        <v>127</v>
      </c>
      <c r="B128" s="456" t="s">
        <v>524</v>
      </c>
      <c r="C128" s="457">
        <v>1520604</v>
      </c>
      <c r="D128" s="458">
        <v>7495</v>
      </c>
      <c r="E128" s="454" t="s">
        <v>718</v>
      </c>
      <c r="F128" s="391">
        <v>2017</v>
      </c>
      <c r="G128" s="455">
        <v>42752</v>
      </c>
      <c r="H128" s="459" t="s">
        <v>743</v>
      </c>
      <c r="I128" s="460" t="s">
        <v>1060</v>
      </c>
      <c r="J128" s="461" t="s">
        <v>729</v>
      </c>
      <c r="K128" s="462" t="s">
        <v>1061</v>
      </c>
      <c r="L128" s="463" t="s">
        <v>1062</v>
      </c>
      <c r="M128" s="464">
        <v>282019.7</v>
      </c>
      <c r="N128" s="464">
        <v>14100.99</v>
      </c>
      <c r="O128" s="464">
        <v>47379.31</v>
      </c>
      <c r="P128" s="465">
        <v>343500</v>
      </c>
      <c r="Q128" s="392"/>
      <c r="R128" s="466">
        <v>255471</v>
      </c>
      <c r="S128" s="394">
        <f t="shared" si="35"/>
        <v>88029</v>
      </c>
      <c r="T128" s="113" t="s">
        <v>131</v>
      </c>
      <c r="U128" s="267" t="str">
        <f t="shared" si="36"/>
        <v>AA10272</v>
      </c>
      <c r="V128" s="423" t="str">
        <f t="shared" si="37"/>
        <v>0623-TCN17</v>
      </c>
      <c r="W128" s="362">
        <f t="shared" si="38"/>
        <v>1520604</v>
      </c>
      <c r="X128" s="362" t="str">
        <f t="shared" si="39"/>
        <v>HILUX PICK UP D CAB SR A/C</v>
      </c>
      <c r="Y128" s="93">
        <f t="shared" si="40"/>
        <v>2017</v>
      </c>
      <c r="Z128" s="260">
        <f t="shared" si="41"/>
        <v>282019.7</v>
      </c>
      <c r="AA128" s="424"/>
      <c r="AB128" s="424"/>
      <c r="AC128" s="424"/>
      <c r="AD128" s="425">
        <f t="shared" si="55"/>
        <v>0.05</v>
      </c>
      <c r="AE128" s="424"/>
      <c r="AF128" s="424">
        <f t="shared" si="54"/>
        <v>14100.99</v>
      </c>
      <c r="AG128" s="396">
        <f t="shared" si="49"/>
        <v>0</v>
      </c>
      <c r="AH128" s="361"/>
      <c r="AI128" s="313"/>
      <c r="AJ128" s="331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352"/>
      <c r="AU128" s="352"/>
    </row>
    <row r="129" spans="1:47" s="291" customFormat="1" ht="12.75" customHeight="1" x14ac:dyDescent="0.2">
      <c r="A129" s="423">
        <f t="shared" si="34"/>
        <v>128</v>
      </c>
      <c r="B129" s="456" t="s">
        <v>525</v>
      </c>
      <c r="C129" s="457">
        <v>1520604</v>
      </c>
      <c r="D129" s="458">
        <v>7495</v>
      </c>
      <c r="E129" s="454" t="s">
        <v>718</v>
      </c>
      <c r="F129" s="391">
        <v>2017</v>
      </c>
      <c r="G129" s="455">
        <v>42761</v>
      </c>
      <c r="H129" s="459" t="s">
        <v>788</v>
      </c>
      <c r="I129" s="460" t="s">
        <v>1063</v>
      </c>
      <c r="J129" s="461" t="s">
        <v>729</v>
      </c>
      <c r="K129" s="462" t="s">
        <v>1064</v>
      </c>
      <c r="L129" s="463" t="s">
        <v>1065</v>
      </c>
      <c r="M129" s="464">
        <v>282019.7</v>
      </c>
      <c r="N129" s="464">
        <v>14100.99</v>
      </c>
      <c r="O129" s="464">
        <v>47379.31</v>
      </c>
      <c r="P129" s="465">
        <v>343500</v>
      </c>
      <c r="Q129" s="392"/>
      <c r="R129" s="466">
        <v>255426.86</v>
      </c>
      <c r="S129" s="394">
        <f t="shared" si="35"/>
        <v>88073.140000000014</v>
      </c>
      <c r="T129" s="267" t="s">
        <v>131</v>
      </c>
      <c r="U129" s="267" t="str">
        <f t="shared" si="36"/>
        <v>AA10321</v>
      </c>
      <c r="V129" s="423" t="str">
        <f t="shared" si="37"/>
        <v>0624-TCN17</v>
      </c>
      <c r="W129" s="362">
        <f t="shared" si="38"/>
        <v>1520604</v>
      </c>
      <c r="X129" s="362" t="str">
        <f t="shared" si="39"/>
        <v>HILUX PICK UP D CAB SR A/C</v>
      </c>
      <c r="Y129" s="93">
        <f t="shared" si="40"/>
        <v>2017</v>
      </c>
      <c r="Z129" s="260">
        <f t="shared" si="41"/>
        <v>282019.7</v>
      </c>
      <c r="AA129" s="424"/>
      <c r="AB129" s="424"/>
      <c r="AC129" s="424"/>
      <c r="AD129" s="425">
        <f t="shared" si="55"/>
        <v>0.05</v>
      </c>
      <c r="AE129" s="424"/>
      <c r="AF129" s="424">
        <f t="shared" si="54"/>
        <v>14100.99</v>
      </c>
      <c r="AG129" s="396">
        <f t="shared" si="49"/>
        <v>0</v>
      </c>
      <c r="AH129" s="361"/>
      <c r="AI129" s="313"/>
      <c r="AJ129" s="331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351" customFormat="1" ht="12.75" customHeight="1" x14ac:dyDescent="0.2">
      <c r="A130" s="423">
        <f t="shared" si="34"/>
        <v>129</v>
      </c>
      <c r="B130" s="456" t="s">
        <v>536</v>
      </c>
      <c r="C130" s="457">
        <v>1520604</v>
      </c>
      <c r="D130" s="458">
        <v>7495</v>
      </c>
      <c r="E130" s="454" t="s">
        <v>718</v>
      </c>
      <c r="F130" s="391">
        <v>2017</v>
      </c>
      <c r="G130" s="455">
        <v>42760</v>
      </c>
      <c r="H130" s="459" t="s">
        <v>1038</v>
      </c>
      <c r="I130" s="460" t="s">
        <v>1094</v>
      </c>
      <c r="J130" s="461" t="s">
        <v>729</v>
      </c>
      <c r="K130" s="462" t="s">
        <v>1040</v>
      </c>
      <c r="L130" s="463" t="s">
        <v>1095</v>
      </c>
      <c r="M130" s="464">
        <v>282019.7</v>
      </c>
      <c r="N130" s="464">
        <v>14100.99</v>
      </c>
      <c r="O130" s="464">
        <v>47379.31</v>
      </c>
      <c r="P130" s="465">
        <v>343500</v>
      </c>
      <c r="Q130" s="392"/>
      <c r="R130" s="466">
        <v>255426.86</v>
      </c>
      <c r="S130" s="394">
        <f t="shared" si="35"/>
        <v>88073.140000000014</v>
      </c>
      <c r="T130" s="113" t="s">
        <v>131</v>
      </c>
      <c r="U130" s="267" t="str">
        <f t="shared" si="36"/>
        <v>AA10316</v>
      </c>
      <c r="V130" s="423" t="str">
        <f t="shared" si="37"/>
        <v>0642-TCN17</v>
      </c>
      <c r="W130" s="362">
        <f t="shared" si="38"/>
        <v>1520604</v>
      </c>
      <c r="X130" s="362" t="str">
        <f t="shared" si="39"/>
        <v>HILUX PICK UP D CAB SR A/C</v>
      </c>
      <c r="Y130" s="93">
        <f t="shared" si="40"/>
        <v>2017</v>
      </c>
      <c r="Z130" s="260">
        <f t="shared" si="41"/>
        <v>282019.7</v>
      </c>
      <c r="AA130" s="424"/>
      <c r="AB130" s="424"/>
      <c r="AC130" s="424"/>
      <c r="AD130" s="425">
        <f t="shared" si="55"/>
        <v>0.05</v>
      </c>
      <c r="AE130" s="424"/>
      <c r="AF130" s="424">
        <f t="shared" si="54"/>
        <v>14100.99</v>
      </c>
      <c r="AG130" s="396">
        <f t="shared" si="49"/>
        <v>0</v>
      </c>
      <c r="AH130" s="361"/>
      <c r="AI130" s="313"/>
      <c r="AJ130" s="330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352"/>
      <c r="AU130" s="352"/>
    </row>
    <row r="131" spans="1:47" s="351" customFormat="1" ht="12.75" customHeight="1" x14ac:dyDescent="0.2">
      <c r="A131" s="423">
        <f t="shared" si="34"/>
        <v>130</v>
      </c>
      <c r="B131" s="456" t="s">
        <v>538</v>
      </c>
      <c r="C131" s="457">
        <v>1520604</v>
      </c>
      <c r="D131" s="458">
        <v>7495</v>
      </c>
      <c r="E131" s="454" t="s">
        <v>718</v>
      </c>
      <c r="F131" s="391">
        <v>2017</v>
      </c>
      <c r="G131" s="455">
        <v>42759</v>
      </c>
      <c r="H131" s="459" t="s">
        <v>774</v>
      </c>
      <c r="I131" s="460" t="s">
        <v>1099</v>
      </c>
      <c r="J131" s="461" t="s">
        <v>729</v>
      </c>
      <c r="K131" s="462" t="s">
        <v>1100</v>
      </c>
      <c r="L131" s="463" t="s">
        <v>1101</v>
      </c>
      <c r="M131" s="464">
        <v>282019.7</v>
      </c>
      <c r="N131" s="464">
        <v>14100.99</v>
      </c>
      <c r="O131" s="464">
        <v>47379.31</v>
      </c>
      <c r="P131" s="465">
        <v>343500</v>
      </c>
      <c r="Q131" s="392"/>
      <c r="R131" s="466">
        <v>255426.86</v>
      </c>
      <c r="S131" s="394">
        <f t="shared" si="35"/>
        <v>88073.140000000014</v>
      </c>
      <c r="T131" s="113" t="s">
        <v>131</v>
      </c>
      <c r="U131" s="267" t="str">
        <f t="shared" si="36"/>
        <v>AA10312</v>
      </c>
      <c r="V131" s="423" t="str">
        <f t="shared" si="37"/>
        <v>0644-TCN17</v>
      </c>
      <c r="W131" s="362">
        <f t="shared" si="38"/>
        <v>1520604</v>
      </c>
      <c r="X131" s="362" t="str">
        <f t="shared" si="39"/>
        <v>HILUX PICK UP D CAB SR A/C</v>
      </c>
      <c r="Y131" s="93">
        <f t="shared" si="40"/>
        <v>2017</v>
      </c>
      <c r="Z131" s="260">
        <f t="shared" si="41"/>
        <v>282019.7</v>
      </c>
      <c r="AA131" s="424"/>
      <c r="AB131" s="424"/>
      <c r="AC131" s="424"/>
      <c r="AD131" s="425">
        <f t="shared" si="55"/>
        <v>0.05</v>
      </c>
      <c r="AE131" s="424"/>
      <c r="AF131" s="424">
        <f t="shared" si="54"/>
        <v>14100.99</v>
      </c>
      <c r="AG131" s="396">
        <f t="shared" si="49"/>
        <v>0</v>
      </c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352"/>
      <c r="AU131" s="352"/>
    </row>
    <row r="132" spans="1:47" s="291" customFormat="1" ht="12.75" customHeight="1" x14ac:dyDescent="0.2">
      <c r="A132" s="423">
        <f t="shared" ref="A132:A199" si="56">+A131+1</f>
        <v>131</v>
      </c>
      <c r="B132" s="456" t="s">
        <v>529</v>
      </c>
      <c r="C132" s="457">
        <v>1520604</v>
      </c>
      <c r="D132" s="458">
        <v>7495</v>
      </c>
      <c r="E132" s="454" t="s">
        <v>718</v>
      </c>
      <c r="F132" s="391">
        <v>2017</v>
      </c>
      <c r="G132" s="455">
        <v>42766</v>
      </c>
      <c r="H132" s="459" t="s">
        <v>817</v>
      </c>
      <c r="I132" s="460" t="s">
        <v>1074</v>
      </c>
      <c r="J132" s="461" t="s">
        <v>729</v>
      </c>
      <c r="K132" s="462" t="s">
        <v>1075</v>
      </c>
      <c r="L132" s="463" t="s">
        <v>1076</v>
      </c>
      <c r="M132" s="464">
        <v>282019.7</v>
      </c>
      <c r="N132" s="464">
        <v>14100.99</v>
      </c>
      <c r="O132" s="464">
        <v>47379.31</v>
      </c>
      <c r="P132" s="465">
        <v>343500</v>
      </c>
      <c r="Q132" s="392"/>
      <c r="R132" s="466">
        <v>255471</v>
      </c>
      <c r="S132" s="394">
        <f t="shared" si="35"/>
        <v>88029</v>
      </c>
      <c r="T132" s="362" t="s">
        <v>131</v>
      </c>
      <c r="U132" s="267" t="str">
        <f t="shared" si="36"/>
        <v>AA10357</v>
      </c>
      <c r="V132" s="423" t="str">
        <f t="shared" si="37"/>
        <v>0629-TCN17</v>
      </c>
      <c r="W132" s="362">
        <f t="shared" si="38"/>
        <v>1520604</v>
      </c>
      <c r="X132" s="362" t="str">
        <f t="shared" si="39"/>
        <v>HILUX PICK UP D CAB SR A/C</v>
      </c>
      <c r="Y132" s="93">
        <f t="shared" si="40"/>
        <v>2017</v>
      </c>
      <c r="Z132" s="260">
        <f t="shared" si="41"/>
        <v>282019.7</v>
      </c>
      <c r="AA132" s="424"/>
      <c r="AB132" s="424"/>
      <c r="AC132" s="424"/>
      <c r="AD132" s="425">
        <f t="shared" si="55"/>
        <v>0.05</v>
      </c>
      <c r="AE132" s="424"/>
      <c r="AF132" s="424">
        <f t="shared" si="54"/>
        <v>14100.99</v>
      </c>
      <c r="AG132" s="396">
        <f t="shared" si="49"/>
        <v>0</v>
      </c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348" customFormat="1" ht="12.75" customHeight="1" x14ac:dyDescent="0.2">
      <c r="A133" s="423">
        <f t="shared" si="56"/>
        <v>132</v>
      </c>
      <c r="B133" s="456" t="s">
        <v>537</v>
      </c>
      <c r="C133" s="457">
        <v>1520604</v>
      </c>
      <c r="D133" s="458">
        <v>7495</v>
      </c>
      <c r="E133" s="454" t="s">
        <v>718</v>
      </c>
      <c r="F133" s="391">
        <v>2017</v>
      </c>
      <c r="G133" s="455">
        <v>42752</v>
      </c>
      <c r="H133" s="459" t="s">
        <v>727</v>
      </c>
      <c r="I133" s="460" t="s">
        <v>1096</v>
      </c>
      <c r="J133" s="461" t="s">
        <v>729</v>
      </c>
      <c r="K133" s="462" t="s">
        <v>1097</v>
      </c>
      <c r="L133" s="463" t="s">
        <v>1098</v>
      </c>
      <c r="M133" s="464">
        <v>282019.7</v>
      </c>
      <c r="N133" s="464">
        <v>14100.99</v>
      </c>
      <c r="O133" s="464">
        <v>47379.31</v>
      </c>
      <c r="P133" s="465">
        <v>343500</v>
      </c>
      <c r="Q133" s="392"/>
      <c r="R133" s="466">
        <v>255471</v>
      </c>
      <c r="S133" s="394">
        <f t="shared" si="35"/>
        <v>88029</v>
      </c>
      <c r="T133" s="113" t="s">
        <v>131</v>
      </c>
      <c r="U133" s="267" t="str">
        <f t="shared" si="36"/>
        <v>AA10273</v>
      </c>
      <c r="V133" s="423" t="str">
        <f t="shared" si="37"/>
        <v>0643-TCN17</v>
      </c>
      <c r="W133" s="362">
        <f t="shared" si="38"/>
        <v>1520604</v>
      </c>
      <c r="X133" s="362" t="str">
        <f t="shared" si="39"/>
        <v>HILUX PICK UP D CAB SR A/C</v>
      </c>
      <c r="Y133" s="93">
        <f t="shared" si="40"/>
        <v>2017</v>
      </c>
      <c r="Z133" s="260">
        <f t="shared" si="41"/>
        <v>282019.7</v>
      </c>
      <c r="AA133" s="424"/>
      <c r="AB133" s="424"/>
      <c r="AC133" s="424"/>
      <c r="AD133" s="425">
        <f t="shared" si="55"/>
        <v>0.05</v>
      </c>
      <c r="AE133" s="424"/>
      <c r="AF133" s="424">
        <f t="shared" si="54"/>
        <v>14100.99</v>
      </c>
      <c r="AG133" s="396">
        <f t="shared" si="49"/>
        <v>0</v>
      </c>
      <c r="AH133" s="361"/>
      <c r="AI133" s="313"/>
      <c r="AJ133" s="331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353"/>
      <c r="AU133" s="353"/>
    </row>
    <row r="134" spans="1:47" s="351" customFormat="1" ht="12.75" customHeight="1" x14ac:dyDescent="0.2">
      <c r="A134" s="423">
        <f t="shared" si="56"/>
        <v>133</v>
      </c>
      <c r="B134" s="456" t="s">
        <v>578</v>
      </c>
      <c r="C134" s="457">
        <v>1520604</v>
      </c>
      <c r="D134" s="458">
        <v>7495</v>
      </c>
      <c r="E134" s="454" t="s">
        <v>718</v>
      </c>
      <c r="F134" s="391">
        <v>2017</v>
      </c>
      <c r="G134" s="455">
        <v>42738</v>
      </c>
      <c r="H134" s="459" t="s">
        <v>743</v>
      </c>
      <c r="I134" s="460" t="s">
        <v>1051</v>
      </c>
      <c r="J134" s="461" t="s">
        <v>729</v>
      </c>
      <c r="K134" s="462" t="s">
        <v>1052</v>
      </c>
      <c r="L134" s="463" t="s">
        <v>1053</v>
      </c>
      <c r="M134" s="464">
        <v>274466.34000000003</v>
      </c>
      <c r="N134" s="464">
        <v>13723.32</v>
      </c>
      <c r="O134" s="464">
        <v>46110.34</v>
      </c>
      <c r="P134" s="465">
        <v>334300</v>
      </c>
      <c r="Q134" s="392"/>
      <c r="R134" s="466">
        <v>249617.78</v>
      </c>
      <c r="S134" s="394">
        <f t="shared" ref="S134:S197" si="57">+P134-R134</f>
        <v>84682.22</v>
      </c>
      <c r="T134" s="113" t="s">
        <v>131</v>
      </c>
      <c r="U134" s="267" t="str">
        <f t="shared" si="36"/>
        <v>AA10180</v>
      </c>
      <c r="V134" s="423" t="str">
        <f t="shared" si="37"/>
        <v>0597-TCN17</v>
      </c>
      <c r="W134" s="362">
        <f t="shared" si="38"/>
        <v>1520604</v>
      </c>
      <c r="X134" s="362" t="str">
        <f t="shared" si="39"/>
        <v>HILUX PICK UP D CAB SR A/C</v>
      </c>
      <c r="Y134" s="93">
        <f t="shared" si="40"/>
        <v>2017</v>
      </c>
      <c r="Z134" s="260">
        <f t="shared" si="41"/>
        <v>274466.34000000003</v>
      </c>
      <c r="AA134" s="424"/>
      <c r="AB134" s="424"/>
      <c r="AC134" s="424"/>
      <c r="AD134" s="425">
        <f t="shared" si="55"/>
        <v>0.05</v>
      </c>
      <c r="AE134" s="424"/>
      <c r="AF134" s="424">
        <f t="shared" si="54"/>
        <v>13723.32</v>
      </c>
      <c r="AG134" s="396">
        <f t="shared" si="49"/>
        <v>0</v>
      </c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352"/>
      <c r="AU134" s="352"/>
    </row>
    <row r="135" spans="1:47" s="348" customFormat="1" ht="12.75" customHeight="1" x14ac:dyDescent="0.2">
      <c r="A135" s="423">
        <f t="shared" si="56"/>
        <v>134</v>
      </c>
      <c r="B135" s="456" t="s">
        <v>539</v>
      </c>
      <c r="C135" s="457">
        <v>1520604</v>
      </c>
      <c r="D135" s="458">
        <v>7495</v>
      </c>
      <c r="E135" s="454" t="s">
        <v>718</v>
      </c>
      <c r="F135" s="391">
        <v>2017</v>
      </c>
      <c r="G135" s="455">
        <v>42758</v>
      </c>
      <c r="H135" s="459" t="s">
        <v>788</v>
      </c>
      <c r="I135" s="460" t="s">
        <v>1102</v>
      </c>
      <c r="J135" s="461" t="s">
        <v>729</v>
      </c>
      <c r="K135" s="462" t="s">
        <v>1103</v>
      </c>
      <c r="L135" s="463" t="s">
        <v>1104</v>
      </c>
      <c r="M135" s="464">
        <v>282019.7</v>
      </c>
      <c r="N135" s="464">
        <v>14100.99</v>
      </c>
      <c r="O135" s="464">
        <v>47379.31</v>
      </c>
      <c r="P135" s="465">
        <v>343500</v>
      </c>
      <c r="Q135" s="392"/>
      <c r="R135" s="466">
        <v>255471</v>
      </c>
      <c r="S135" s="394">
        <f t="shared" si="57"/>
        <v>88029</v>
      </c>
      <c r="T135" s="113" t="s">
        <v>131</v>
      </c>
      <c r="U135" s="267" t="str">
        <f t="shared" ref="U135:U136" si="58">+B135</f>
        <v>AA10301</v>
      </c>
      <c r="V135" s="423" t="str">
        <f t="shared" ref="V135:V136" si="59">+I135</f>
        <v>0674-TCN17</v>
      </c>
      <c r="W135" s="362">
        <f t="shared" ref="W135:W136" si="60">+C135</f>
        <v>1520604</v>
      </c>
      <c r="X135" s="362" t="str">
        <f t="shared" ref="X135:X136" si="61">+E135</f>
        <v>HILUX PICK UP D CAB SR A/C</v>
      </c>
      <c r="Y135" s="93">
        <f t="shared" ref="Y135:Y136" si="62">+F135</f>
        <v>2017</v>
      </c>
      <c r="Z135" s="260">
        <f t="shared" ref="Z135:Z136" si="63">+M135</f>
        <v>282019.7</v>
      </c>
      <c r="AA135" s="424"/>
      <c r="AB135" s="424"/>
      <c r="AC135" s="424"/>
      <c r="AD135" s="425">
        <f t="shared" si="55"/>
        <v>0.05</v>
      </c>
      <c r="AE135" s="424"/>
      <c r="AF135" s="424">
        <f t="shared" si="54"/>
        <v>14100.99</v>
      </c>
      <c r="AG135" s="396">
        <f t="shared" si="49"/>
        <v>0</v>
      </c>
      <c r="AH135" s="361"/>
      <c r="AI135" s="313"/>
      <c r="AJ135" s="330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353"/>
      <c r="AU135" s="353"/>
    </row>
    <row r="136" spans="1:47" s="348" customFormat="1" ht="12.75" customHeight="1" x14ac:dyDescent="0.2">
      <c r="A136" s="423">
        <f t="shared" si="56"/>
        <v>135</v>
      </c>
      <c r="B136" s="456" t="s">
        <v>535</v>
      </c>
      <c r="C136" s="457">
        <v>1520604</v>
      </c>
      <c r="D136" s="458">
        <v>7495</v>
      </c>
      <c r="E136" s="454" t="s">
        <v>718</v>
      </c>
      <c r="F136" s="391">
        <v>2017</v>
      </c>
      <c r="G136" s="455">
        <v>42748</v>
      </c>
      <c r="H136" s="459" t="s">
        <v>774</v>
      </c>
      <c r="I136" s="460" t="s">
        <v>1092</v>
      </c>
      <c r="J136" s="461" t="s">
        <v>729</v>
      </c>
      <c r="K136" s="462" t="s">
        <v>783</v>
      </c>
      <c r="L136" s="463" t="s">
        <v>1093</v>
      </c>
      <c r="M136" s="464">
        <v>282019.7</v>
      </c>
      <c r="N136" s="464">
        <v>14100.99</v>
      </c>
      <c r="O136" s="464">
        <v>47379.31</v>
      </c>
      <c r="P136" s="465">
        <v>343500</v>
      </c>
      <c r="Q136" s="392"/>
      <c r="R136" s="466">
        <v>255471</v>
      </c>
      <c r="S136" s="394">
        <f t="shared" si="57"/>
        <v>88029</v>
      </c>
      <c r="T136" s="267" t="s">
        <v>131</v>
      </c>
      <c r="U136" s="267" t="str">
        <f t="shared" si="58"/>
        <v>AA10246</v>
      </c>
      <c r="V136" s="423" t="str">
        <f t="shared" si="59"/>
        <v>0641-TCN17</v>
      </c>
      <c r="W136" s="362">
        <f t="shared" si="60"/>
        <v>1520604</v>
      </c>
      <c r="X136" s="362" t="str">
        <f t="shared" si="61"/>
        <v>HILUX PICK UP D CAB SR A/C</v>
      </c>
      <c r="Y136" s="93">
        <f t="shared" si="62"/>
        <v>2017</v>
      </c>
      <c r="Z136" s="260">
        <f t="shared" si="63"/>
        <v>282019.7</v>
      </c>
      <c r="AA136" s="424"/>
      <c r="AB136" s="424"/>
      <c r="AC136" s="424">
        <f t="shared" si="47"/>
        <v>246423.66</v>
      </c>
      <c r="AD136" s="425">
        <f t="shared" si="55"/>
        <v>0.05</v>
      </c>
      <c r="AE136" s="424">
        <f t="shared" si="48"/>
        <v>4928.3900000000003</v>
      </c>
      <c r="AF136" s="424">
        <f t="shared" si="54"/>
        <v>14100.99</v>
      </c>
      <c r="AG136" s="396">
        <f t="shared" si="49"/>
        <v>0</v>
      </c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353"/>
      <c r="AU136" s="353"/>
    </row>
    <row r="137" spans="1:47" s="351" customFormat="1" ht="12.75" customHeight="1" x14ac:dyDescent="0.2">
      <c r="A137" s="423">
        <f t="shared" si="56"/>
        <v>136</v>
      </c>
      <c r="B137" s="456" t="s">
        <v>522</v>
      </c>
      <c r="C137" s="457">
        <v>1520604</v>
      </c>
      <c r="D137" s="458">
        <v>7495</v>
      </c>
      <c r="E137" s="454" t="s">
        <v>718</v>
      </c>
      <c r="F137" s="391">
        <v>2017</v>
      </c>
      <c r="G137" s="455">
        <v>42738</v>
      </c>
      <c r="H137" s="459" t="s">
        <v>739</v>
      </c>
      <c r="I137" s="460" t="s">
        <v>1054</v>
      </c>
      <c r="J137" s="461" t="s">
        <v>729</v>
      </c>
      <c r="K137" s="462" t="s">
        <v>1055</v>
      </c>
      <c r="L137" s="463" t="s">
        <v>1056</v>
      </c>
      <c r="M137" s="464">
        <v>274466.34000000003</v>
      </c>
      <c r="N137" s="464">
        <v>13723.32</v>
      </c>
      <c r="O137" s="464">
        <v>46110.34</v>
      </c>
      <c r="P137" s="465">
        <v>334300</v>
      </c>
      <c r="Q137" s="392"/>
      <c r="R137" s="466">
        <v>249617.78</v>
      </c>
      <c r="S137" s="394">
        <f t="shared" si="57"/>
        <v>84682.22</v>
      </c>
      <c r="T137" s="113" t="s">
        <v>131</v>
      </c>
      <c r="U137" s="267" t="str">
        <f t="shared" ref="U137:U138" si="64">+B137</f>
        <v>AA10188</v>
      </c>
      <c r="V137" s="423" t="str">
        <f t="shared" ref="V137:V138" si="65">+I137</f>
        <v>0603-TCN17</v>
      </c>
      <c r="W137" s="362">
        <f t="shared" ref="W137:W138" si="66">+C137</f>
        <v>1520604</v>
      </c>
      <c r="X137" s="362" t="str">
        <f t="shared" ref="X137:X138" si="67">+E137</f>
        <v>HILUX PICK UP D CAB SR A/C</v>
      </c>
      <c r="Y137" s="93">
        <f t="shared" ref="Y137:Y138" si="68">+F137</f>
        <v>2017</v>
      </c>
      <c r="Z137" s="260">
        <f t="shared" ref="Z137:Z138" si="69">+M137</f>
        <v>274466.34000000003</v>
      </c>
      <c r="AA137" s="467">
        <f>+SUM(Z115:Z137)</f>
        <v>6463793.0200000014</v>
      </c>
      <c r="AB137" s="482">
        <v>23</v>
      </c>
      <c r="AC137" s="424">
        <f t="shared" ref="AC137:AC138" si="70">VLOOKUP(Z137,TARIFA,1)</f>
        <v>246423.66</v>
      </c>
      <c r="AD137" s="425">
        <f t="shared" ref="AD137:AD138" si="71">VLOOKUP(Z137,TARIFA,4)</f>
        <v>0.05</v>
      </c>
      <c r="AE137" s="424">
        <f t="shared" ref="AE137:AE138" si="72">VLOOKUP(Z137,TARIFA,3)</f>
        <v>4928.3900000000003</v>
      </c>
      <c r="AF137" s="424">
        <f t="shared" si="54"/>
        <v>13723.32</v>
      </c>
      <c r="AG137" s="396">
        <f t="shared" ref="AG137:AG138" si="73">+N137-AF137</f>
        <v>0</v>
      </c>
      <c r="AH137" s="361"/>
      <c r="AI137" s="313"/>
      <c r="AJ137" s="331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352"/>
      <c r="AU137" s="352"/>
    </row>
    <row r="138" spans="1:47" s="351" customFormat="1" ht="12.75" customHeight="1" x14ac:dyDescent="0.2">
      <c r="A138" s="423">
        <f t="shared" si="56"/>
        <v>137</v>
      </c>
      <c r="B138" s="456" t="s">
        <v>544</v>
      </c>
      <c r="C138" s="457">
        <v>1520701</v>
      </c>
      <c r="D138" s="458">
        <v>2203</v>
      </c>
      <c r="E138" s="454" t="s">
        <v>719</v>
      </c>
      <c r="F138" s="391">
        <v>2017</v>
      </c>
      <c r="G138" s="487">
        <v>42755</v>
      </c>
      <c r="H138" s="459" t="s">
        <v>764</v>
      </c>
      <c r="I138" s="460" t="s">
        <v>1117</v>
      </c>
      <c r="J138" s="461" t="s">
        <v>724</v>
      </c>
      <c r="K138" s="462" t="s">
        <v>1016</v>
      </c>
      <c r="L138" s="463" t="s">
        <v>1118</v>
      </c>
      <c r="M138" s="464">
        <v>167068.97</v>
      </c>
      <c r="N138" s="464">
        <v>0</v>
      </c>
      <c r="O138" s="464">
        <v>26731.03</v>
      </c>
      <c r="P138" s="465">
        <v>193800</v>
      </c>
      <c r="Q138" s="392"/>
      <c r="R138" s="466">
        <v>149380.93</v>
      </c>
      <c r="S138" s="394">
        <f t="shared" si="57"/>
        <v>44419.070000000007</v>
      </c>
      <c r="T138" s="267" t="s">
        <v>131</v>
      </c>
      <c r="U138" s="267" t="str">
        <f t="shared" si="64"/>
        <v>AA10280</v>
      </c>
      <c r="V138" s="423" t="str">
        <f t="shared" si="65"/>
        <v>1301-TCN16</v>
      </c>
      <c r="W138" s="362">
        <f t="shared" si="66"/>
        <v>1520701</v>
      </c>
      <c r="X138" s="362" t="str">
        <f t="shared" si="67"/>
        <v>AVANZA CARGO</v>
      </c>
      <c r="Y138" s="93">
        <f t="shared" si="68"/>
        <v>2017</v>
      </c>
      <c r="Z138" s="260">
        <f t="shared" si="69"/>
        <v>167068.97</v>
      </c>
      <c r="AA138" s="468">
        <f>+Z138</f>
        <v>167068.97</v>
      </c>
      <c r="AB138" s="481">
        <v>1</v>
      </c>
      <c r="AC138" s="424">
        <f t="shared" si="70"/>
        <v>0.01</v>
      </c>
      <c r="AD138" s="425">
        <f t="shared" si="71"/>
        <v>0.02</v>
      </c>
      <c r="AE138" s="424">
        <f t="shared" si="72"/>
        <v>0</v>
      </c>
      <c r="AF138" s="424">
        <v>0</v>
      </c>
      <c r="AG138" s="396">
        <f t="shared" si="73"/>
        <v>0</v>
      </c>
      <c r="AH138" s="361"/>
      <c r="AI138" s="313"/>
      <c r="AJ138" s="331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352"/>
      <c r="AU138" s="352"/>
    </row>
    <row r="139" spans="1:47" s="351" customFormat="1" ht="12.75" customHeight="1" x14ac:dyDescent="0.2">
      <c r="A139" s="423">
        <f t="shared" si="56"/>
        <v>138</v>
      </c>
      <c r="B139" s="456" t="s">
        <v>623</v>
      </c>
      <c r="C139" s="457">
        <v>520814</v>
      </c>
      <c r="D139" s="458">
        <v>4493</v>
      </c>
      <c r="E139" s="454" t="s">
        <v>693</v>
      </c>
      <c r="F139" s="391">
        <v>2017</v>
      </c>
      <c r="G139" s="455">
        <v>42758</v>
      </c>
      <c r="H139" s="459" t="s">
        <v>819</v>
      </c>
      <c r="I139" s="460" t="s">
        <v>820</v>
      </c>
      <c r="J139" s="461" t="s">
        <v>724</v>
      </c>
      <c r="K139" s="462" t="s">
        <v>821</v>
      </c>
      <c r="L139" s="463" t="s">
        <v>822</v>
      </c>
      <c r="M139" s="464">
        <v>306995.76</v>
      </c>
      <c r="N139" s="464">
        <v>8521.48</v>
      </c>
      <c r="O139" s="464">
        <v>50482.76</v>
      </c>
      <c r="P139" s="465">
        <v>366000</v>
      </c>
      <c r="Q139" s="392"/>
      <c r="R139" s="466">
        <v>269449.56</v>
      </c>
      <c r="S139" s="394">
        <f t="shared" si="57"/>
        <v>96550.44</v>
      </c>
      <c r="T139" s="267" t="s">
        <v>1268</v>
      </c>
      <c r="AG139" s="396"/>
      <c r="AH139" s="361"/>
      <c r="AI139" s="313"/>
      <c r="AJ139" s="331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352"/>
      <c r="AU139" s="352"/>
    </row>
    <row r="140" spans="1:47" s="291" customFormat="1" ht="12.75" customHeight="1" x14ac:dyDescent="0.2">
      <c r="A140" s="423">
        <f t="shared" si="56"/>
        <v>139</v>
      </c>
      <c r="B140" s="456" t="s">
        <v>624</v>
      </c>
      <c r="C140" s="457">
        <v>520814</v>
      </c>
      <c r="D140" s="458">
        <v>4493</v>
      </c>
      <c r="E140" s="454" t="s">
        <v>693</v>
      </c>
      <c r="F140" s="391">
        <v>2017</v>
      </c>
      <c r="G140" s="455">
        <v>42761</v>
      </c>
      <c r="H140" s="459" t="s">
        <v>819</v>
      </c>
      <c r="I140" s="460" t="s">
        <v>820</v>
      </c>
      <c r="J140" s="461" t="s">
        <v>724</v>
      </c>
      <c r="K140" s="462" t="s">
        <v>821</v>
      </c>
      <c r="L140" s="463" t="s">
        <v>822</v>
      </c>
      <c r="M140" s="464">
        <v>-306995.76</v>
      </c>
      <c r="N140" s="464">
        <v>-8521.48</v>
      </c>
      <c r="O140" s="464">
        <v>-50482.76</v>
      </c>
      <c r="P140" s="465">
        <v>-366000</v>
      </c>
      <c r="Q140" s="392"/>
      <c r="R140" s="466">
        <v>-269449.56</v>
      </c>
      <c r="S140" s="394">
        <f t="shared" si="57"/>
        <v>-96550.44</v>
      </c>
      <c r="T140" s="113" t="s">
        <v>1268</v>
      </c>
      <c r="AG140" s="395"/>
      <c r="AH140" s="361">
        <f>SUM(AH6:AH139)</f>
        <v>0</v>
      </c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thickBot="1" x14ac:dyDescent="0.25">
      <c r="A141" s="423">
        <f t="shared" si="56"/>
        <v>140</v>
      </c>
      <c r="B141" s="456" t="s">
        <v>625</v>
      </c>
      <c r="C141" s="457">
        <v>520814</v>
      </c>
      <c r="D141" s="458">
        <v>4493</v>
      </c>
      <c r="E141" s="454" t="s">
        <v>693</v>
      </c>
      <c r="F141" s="391">
        <v>2017</v>
      </c>
      <c r="G141" s="455">
        <v>42761</v>
      </c>
      <c r="H141" s="459" t="s">
        <v>778</v>
      </c>
      <c r="I141" s="460" t="s">
        <v>823</v>
      </c>
      <c r="J141" s="461" t="s">
        <v>724</v>
      </c>
      <c r="K141" s="462" t="s">
        <v>824</v>
      </c>
      <c r="L141" s="463" t="s">
        <v>825</v>
      </c>
      <c r="M141" s="464">
        <v>306995.76</v>
      </c>
      <c r="N141" s="464">
        <v>8521.48</v>
      </c>
      <c r="O141" s="464">
        <v>50482.76</v>
      </c>
      <c r="P141" s="465">
        <v>366000</v>
      </c>
      <c r="Q141" s="392"/>
      <c r="R141" s="466">
        <v>269405.40999999997</v>
      </c>
      <c r="S141" s="394">
        <f t="shared" si="57"/>
        <v>96594.590000000026</v>
      </c>
      <c r="T141" s="113" t="s">
        <v>1268</v>
      </c>
      <c r="U141" s="307"/>
      <c r="V141" s="423"/>
      <c r="W141" s="362"/>
      <c r="X141" s="362"/>
      <c r="Y141" s="432">
        <f>154-4</f>
        <v>150</v>
      </c>
      <c r="Z141" s="433">
        <f>SUM(Z6:Z138)</f>
        <v>34711442.719999976</v>
      </c>
      <c r="AA141" s="433">
        <f>+SUM(AA6:AA138)</f>
        <v>34711442.720000006</v>
      </c>
      <c r="AB141" s="433">
        <f>+SUM(AB6:AB138)</f>
        <v>122</v>
      </c>
      <c r="AC141" s="433"/>
      <c r="AD141" s="433"/>
      <c r="AE141" s="433"/>
      <c r="AF141" s="433">
        <f>SUM(AF6:AF137)</f>
        <v>1321700.1704500003</v>
      </c>
      <c r="AG141" s="379"/>
      <c r="AH141" s="272"/>
      <c r="AI141" s="313"/>
      <c r="AK141" s="296"/>
      <c r="AL141" s="374"/>
      <c r="AM141" s="374"/>
    </row>
    <row r="142" spans="1:47" s="291" customFormat="1" ht="12.75" customHeight="1" thickTop="1" x14ac:dyDescent="0.2">
      <c r="A142" s="423">
        <f t="shared" si="56"/>
        <v>141</v>
      </c>
      <c r="B142" s="456" t="s">
        <v>626</v>
      </c>
      <c r="C142" s="457">
        <v>520814</v>
      </c>
      <c r="D142" s="458">
        <v>4493</v>
      </c>
      <c r="E142" s="454" t="s">
        <v>693</v>
      </c>
      <c r="F142" s="391">
        <v>2017</v>
      </c>
      <c r="G142" s="455">
        <v>42762</v>
      </c>
      <c r="H142" s="459" t="s">
        <v>778</v>
      </c>
      <c r="I142" s="460" t="s">
        <v>823</v>
      </c>
      <c r="J142" s="461" t="s">
        <v>724</v>
      </c>
      <c r="K142" s="462" t="s">
        <v>824</v>
      </c>
      <c r="L142" s="463" t="s">
        <v>825</v>
      </c>
      <c r="M142" s="464">
        <v>-306995.76</v>
      </c>
      <c r="N142" s="464">
        <v>-8521.48</v>
      </c>
      <c r="O142" s="464">
        <v>-50482.76</v>
      </c>
      <c r="P142" s="465">
        <v>-366000</v>
      </c>
      <c r="Q142" s="392"/>
      <c r="R142" s="466">
        <v>-269405.40999999997</v>
      </c>
      <c r="S142" s="394">
        <f t="shared" si="57"/>
        <v>-96594.590000000026</v>
      </c>
      <c r="T142" s="267" t="s">
        <v>1268</v>
      </c>
      <c r="U142" s="434"/>
      <c r="V142" s="427"/>
      <c r="W142" s="428"/>
      <c r="X142" s="428"/>
      <c r="Y142" s="93"/>
      <c r="Z142" s="260"/>
      <c r="AA142" s="435"/>
      <c r="AB142" s="431"/>
      <c r="AC142" s="431"/>
      <c r="AD142" s="436"/>
      <c r="AE142" s="431"/>
      <c r="AF142" s="431">
        <f>+N282</f>
        <v>1307177.98</v>
      </c>
      <c r="AG142" s="440"/>
      <c r="AH142" s="272"/>
      <c r="AI142" s="313"/>
      <c r="AK142" s="296"/>
      <c r="AL142" s="374"/>
      <c r="AM142" s="374"/>
    </row>
    <row r="143" spans="1:47" s="291" customFormat="1" ht="12.75" customHeight="1" x14ac:dyDescent="0.2">
      <c r="A143" s="423">
        <f>+A95+1</f>
        <v>93</v>
      </c>
      <c r="B143" s="456" t="s">
        <v>571</v>
      </c>
      <c r="C143" s="457">
        <v>522401</v>
      </c>
      <c r="D143" s="458">
        <v>1062</v>
      </c>
      <c r="E143" s="454" t="s">
        <v>709</v>
      </c>
      <c r="F143" s="391">
        <v>2017</v>
      </c>
      <c r="G143" s="455">
        <v>42746</v>
      </c>
      <c r="H143" s="459" t="s">
        <v>819</v>
      </c>
      <c r="I143" s="460" t="s">
        <v>975</v>
      </c>
      <c r="J143" s="461" t="s">
        <v>729</v>
      </c>
      <c r="K143" s="462" t="s">
        <v>976</v>
      </c>
      <c r="L143" s="463" t="s">
        <v>977</v>
      </c>
      <c r="M143" s="464">
        <v>224137.93</v>
      </c>
      <c r="N143" s="464">
        <v>0</v>
      </c>
      <c r="O143" s="464">
        <v>35862.07</v>
      </c>
      <c r="P143" s="465">
        <v>260000</v>
      </c>
      <c r="Q143" s="392"/>
      <c r="R143" s="466">
        <v>198701.54</v>
      </c>
      <c r="S143" s="394">
        <f t="shared" si="57"/>
        <v>61298.459999999992</v>
      </c>
      <c r="T143" s="445" t="s">
        <v>1268</v>
      </c>
      <c r="U143" s="93"/>
      <c r="V143" s="93"/>
      <c r="W143" s="267"/>
      <c r="X143" s="271"/>
      <c r="Y143" s="469"/>
      <c r="Z143" s="470"/>
      <c r="AA143" s="431"/>
      <c r="AB143" s="431"/>
      <c r="AC143" s="396"/>
      <c r="AD143" s="425"/>
      <c r="AE143" s="395"/>
      <c r="AF143" s="379"/>
      <c r="AG143" s="395"/>
      <c r="AH143" s="272"/>
      <c r="AI143" s="313"/>
      <c r="AJ143" s="374"/>
      <c r="AK143" s="374"/>
      <c r="AL143" s="374"/>
      <c r="AM143" s="374"/>
    </row>
    <row r="144" spans="1:47" s="348" customFormat="1" ht="12.75" customHeight="1" x14ac:dyDescent="0.2">
      <c r="A144" s="423">
        <f>+A98+1</f>
        <v>97</v>
      </c>
      <c r="B144" s="456" t="s">
        <v>572</v>
      </c>
      <c r="C144" s="457">
        <v>522401</v>
      </c>
      <c r="D144" s="458">
        <v>1062</v>
      </c>
      <c r="E144" s="454" t="s">
        <v>709</v>
      </c>
      <c r="F144" s="391">
        <v>2017</v>
      </c>
      <c r="G144" s="455">
        <v>42747</v>
      </c>
      <c r="H144" s="459" t="s">
        <v>819</v>
      </c>
      <c r="I144" s="460" t="s">
        <v>975</v>
      </c>
      <c r="J144" s="461" t="s">
        <v>729</v>
      </c>
      <c r="K144" s="462" t="s">
        <v>976</v>
      </c>
      <c r="L144" s="463" t="s">
        <v>977</v>
      </c>
      <c r="M144" s="464">
        <v>-224137.93</v>
      </c>
      <c r="N144" s="464">
        <v>0</v>
      </c>
      <c r="O144" s="464">
        <v>-35862.07</v>
      </c>
      <c r="P144" s="465">
        <v>-260000</v>
      </c>
      <c r="Q144" s="392"/>
      <c r="R144" s="466">
        <v>-198701.54</v>
      </c>
      <c r="S144" s="394">
        <f t="shared" si="57"/>
        <v>-61298.459999999992</v>
      </c>
      <c r="T144" s="267" t="s">
        <v>1268</v>
      </c>
      <c r="U144" s="429"/>
      <c r="V144" s="298" t="s">
        <v>250</v>
      </c>
      <c r="W144" s="437" t="s">
        <v>461</v>
      </c>
      <c r="X144" s="382"/>
      <c r="Y144" s="441"/>
      <c r="Z144" s="438"/>
      <c r="AA144" s="439"/>
      <c r="AB144" s="439"/>
      <c r="AC144" s="396"/>
      <c r="AD144" s="425"/>
      <c r="AE144" s="440"/>
      <c r="AF144" s="439">
        <f>+AF141-AF142</f>
        <v>14522.190450000344</v>
      </c>
      <c r="AG144" s="396">
        <f>SUM(AG6:AG143)</f>
        <v>-14522.190449999947</v>
      </c>
      <c r="AH144" s="272"/>
      <c r="AI144" s="363"/>
      <c r="AJ144" s="330"/>
      <c r="AK144" s="330"/>
      <c r="AL144" s="330"/>
      <c r="AM144" s="330"/>
    </row>
    <row r="145" spans="1:45" s="351" customFormat="1" ht="12.75" customHeight="1" x14ac:dyDescent="0.2">
      <c r="A145" s="423">
        <f>+A142+1</f>
        <v>142</v>
      </c>
      <c r="B145" s="456" t="s">
        <v>557</v>
      </c>
      <c r="C145" s="457">
        <v>522403</v>
      </c>
      <c r="D145" s="458">
        <v>1060</v>
      </c>
      <c r="E145" s="454" t="s">
        <v>710</v>
      </c>
      <c r="F145" s="391">
        <v>2017</v>
      </c>
      <c r="G145" s="455">
        <v>42738</v>
      </c>
      <c r="H145" s="459" t="s">
        <v>743</v>
      </c>
      <c r="I145" s="460" t="s">
        <v>984</v>
      </c>
      <c r="J145" s="461" t="s">
        <v>729</v>
      </c>
      <c r="K145" s="462" t="s">
        <v>985</v>
      </c>
      <c r="L145" s="463" t="s">
        <v>986</v>
      </c>
      <c r="M145" s="464">
        <v>196293.1</v>
      </c>
      <c r="N145" s="464">
        <v>0</v>
      </c>
      <c r="O145" s="464">
        <v>31406.9</v>
      </c>
      <c r="P145" s="465">
        <v>227700</v>
      </c>
      <c r="Q145" s="392"/>
      <c r="R145" s="466">
        <v>181477.4</v>
      </c>
      <c r="S145" s="394">
        <f t="shared" si="57"/>
        <v>46222.600000000006</v>
      </c>
      <c r="T145" s="113" t="s">
        <v>1268</v>
      </c>
      <c r="U145" s="93"/>
      <c r="V145" s="298" t="s">
        <v>251</v>
      </c>
      <c r="W145" s="437" t="s">
        <v>491</v>
      </c>
      <c r="X145" s="271"/>
      <c r="Y145" s="441"/>
      <c r="Z145" s="471">
        <f>+AB138+AB137+AB114+AB111+AB110+AB108+AB105+AB100</f>
        <v>44</v>
      </c>
      <c r="AA145" s="472">
        <f>+AA138+AA137+AA114+AA111+AA110+AA108+AA105+AA100</f>
        <v>12450320.15</v>
      </c>
      <c r="AB145" s="473"/>
      <c r="AC145" s="474" t="s">
        <v>1269</v>
      </c>
      <c r="AD145" s="436"/>
      <c r="AE145" s="431"/>
      <c r="AF145" s="431"/>
      <c r="AG145" s="440"/>
      <c r="AH145" s="350"/>
      <c r="AI145" s="313"/>
      <c r="AJ145" s="374"/>
      <c r="AK145" s="374"/>
      <c r="AL145" s="374"/>
      <c r="AM145" s="374"/>
      <c r="AN145" s="291"/>
      <c r="AO145" s="291"/>
      <c r="AP145" s="291"/>
      <c r="AQ145" s="291"/>
      <c r="AR145" s="291"/>
      <c r="AS145" s="291"/>
    </row>
    <row r="146" spans="1:45" s="348" customFormat="1" ht="12.75" customHeight="1" x14ac:dyDescent="0.2">
      <c r="A146" s="423">
        <f t="shared" si="56"/>
        <v>143</v>
      </c>
      <c r="B146" s="456" t="s">
        <v>558</v>
      </c>
      <c r="C146" s="457">
        <v>522403</v>
      </c>
      <c r="D146" s="458">
        <v>1060</v>
      </c>
      <c r="E146" s="454" t="s">
        <v>710</v>
      </c>
      <c r="F146" s="391">
        <v>2017</v>
      </c>
      <c r="G146" s="455">
        <v>42749</v>
      </c>
      <c r="H146" s="459" t="s">
        <v>743</v>
      </c>
      <c r="I146" s="460" t="s">
        <v>984</v>
      </c>
      <c r="J146" s="461" t="s">
        <v>729</v>
      </c>
      <c r="K146" s="462" t="s">
        <v>985</v>
      </c>
      <c r="L146" s="463" t="s">
        <v>986</v>
      </c>
      <c r="M146" s="464">
        <v>-196293.1</v>
      </c>
      <c r="N146" s="464">
        <v>0</v>
      </c>
      <c r="O146" s="464">
        <v>-31406.9</v>
      </c>
      <c r="P146" s="465">
        <v>-227700</v>
      </c>
      <c r="Q146" s="392"/>
      <c r="R146" s="466">
        <v>-181477.4</v>
      </c>
      <c r="S146" s="394">
        <f t="shared" si="57"/>
        <v>-46222.600000000006</v>
      </c>
      <c r="T146" s="113" t="s">
        <v>1268</v>
      </c>
      <c r="U146" s="93"/>
      <c r="V146" s="93"/>
      <c r="W146" s="267"/>
      <c r="X146" s="271"/>
      <c r="Y146" s="94"/>
      <c r="Z146" s="475">
        <f>+AB92+AB91+AB85+AB77+AB75+AB64</f>
        <v>29</v>
      </c>
      <c r="AA146" s="472">
        <f>+AA92+AA91+AA85+AA77+AA75+AA64</f>
        <v>5711982.7400000002</v>
      </c>
      <c r="AB146" s="473"/>
      <c r="AC146" s="474" t="s">
        <v>1270</v>
      </c>
      <c r="AD146" s="425"/>
      <c r="AE146" s="424"/>
      <c r="AF146" s="424"/>
      <c r="AG146" s="346"/>
      <c r="AH146" s="313"/>
      <c r="AI146" s="313"/>
      <c r="AJ146" s="331"/>
      <c r="AK146" s="330"/>
      <c r="AL146" s="330"/>
      <c r="AM146" s="330"/>
    </row>
    <row r="147" spans="1:45" s="291" customFormat="1" ht="12.75" customHeight="1" x14ac:dyDescent="0.2">
      <c r="A147" s="423">
        <f t="shared" si="56"/>
        <v>144</v>
      </c>
      <c r="B147" s="456" t="s">
        <v>583</v>
      </c>
      <c r="C147" s="457">
        <v>1520302</v>
      </c>
      <c r="D147" s="458">
        <v>7401</v>
      </c>
      <c r="E147" s="454" t="s">
        <v>714</v>
      </c>
      <c r="F147" s="391">
        <v>2017</v>
      </c>
      <c r="G147" s="455">
        <v>42741</v>
      </c>
      <c r="H147" s="459" t="s">
        <v>727</v>
      </c>
      <c r="I147" s="460" t="s">
        <v>1033</v>
      </c>
      <c r="J147" s="461" t="s">
        <v>729</v>
      </c>
      <c r="K147" s="462" t="s">
        <v>1130</v>
      </c>
      <c r="L147" s="463" t="s">
        <v>1034</v>
      </c>
      <c r="M147" s="464">
        <v>441379.31</v>
      </c>
      <c r="N147" s="464">
        <v>22068.97</v>
      </c>
      <c r="O147" s="464">
        <v>74151.72</v>
      </c>
      <c r="P147" s="465">
        <v>537600</v>
      </c>
      <c r="Q147" s="392"/>
      <c r="R147" s="466">
        <v>390926.69</v>
      </c>
      <c r="S147" s="394">
        <f t="shared" si="57"/>
        <v>146673.31</v>
      </c>
      <c r="T147" s="267" t="s">
        <v>1268</v>
      </c>
      <c r="U147" s="429"/>
      <c r="V147" s="429"/>
      <c r="W147" s="426"/>
      <c r="X147" s="382"/>
      <c r="Y147" s="442"/>
      <c r="Z147" s="476">
        <f>+AB88+AB86+AB56+AB44+AB43+AB42+AB41+AB39+AB37+AB36+AB33+AB30+AB28+AB25+AB22+AB21+AB20+AB14+AB8+AB6</f>
        <v>44</v>
      </c>
      <c r="AA147" s="472">
        <f>+AA88+AA86+AA56+AA44+AA43+AA42+AA41+AA39+AA37+AA36+AA33+AA30+AA25+AA28+AA22+AA21+AA20+AA14+AA8+AA6</f>
        <v>14794915.690000001</v>
      </c>
      <c r="AB147" s="473"/>
      <c r="AC147" s="474" t="s">
        <v>1271</v>
      </c>
      <c r="AD147" s="443"/>
      <c r="AE147" s="439"/>
      <c r="AF147" s="439"/>
      <c r="AI147" s="313"/>
      <c r="AJ147" s="331"/>
      <c r="AK147" s="374"/>
      <c r="AL147" s="374"/>
      <c r="AM147" s="374"/>
    </row>
    <row r="148" spans="1:45" s="351" customFormat="1" ht="12.75" customHeight="1" thickBot="1" x14ac:dyDescent="0.25">
      <c r="A148" s="423">
        <f t="shared" si="56"/>
        <v>145</v>
      </c>
      <c r="B148" s="456" t="s">
        <v>584</v>
      </c>
      <c r="C148" s="457">
        <v>1520302</v>
      </c>
      <c r="D148" s="458">
        <v>7401</v>
      </c>
      <c r="E148" s="454" t="s">
        <v>714</v>
      </c>
      <c r="F148" s="391">
        <v>2017</v>
      </c>
      <c r="G148" s="455">
        <v>42745</v>
      </c>
      <c r="H148" s="459" t="s">
        <v>727</v>
      </c>
      <c r="I148" s="460" t="s">
        <v>1033</v>
      </c>
      <c r="J148" s="461" t="s">
        <v>729</v>
      </c>
      <c r="K148" s="462" t="s">
        <v>1130</v>
      </c>
      <c r="L148" s="463" t="s">
        <v>1034</v>
      </c>
      <c r="M148" s="464">
        <v>-441379.31</v>
      </c>
      <c r="N148" s="464">
        <v>-22068.97</v>
      </c>
      <c r="O148" s="464">
        <v>-74151.72</v>
      </c>
      <c r="P148" s="465">
        <v>-537600</v>
      </c>
      <c r="Q148" s="392"/>
      <c r="R148" s="466">
        <v>-390926.69</v>
      </c>
      <c r="S148" s="394">
        <f t="shared" si="57"/>
        <v>-146673.31</v>
      </c>
      <c r="T148" s="444" t="s">
        <v>1268</v>
      </c>
      <c r="Y148" s="352"/>
      <c r="Z148" s="477">
        <f>+AB51</f>
        <v>5</v>
      </c>
      <c r="AA148" s="478">
        <f>+AA51</f>
        <v>1754224.1400000004</v>
      </c>
      <c r="AB148" s="473"/>
      <c r="AC148" s="474" t="s">
        <v>1272</v>
      </c>
      <c r="AI148" s="313"/>
      <c r="AJ148" s="330"/>
      <c r="AK148" s="374"/>
      <c r="AL148" s="374"/>
      <c r="AM148" s="374"/>
      <c r="AN148" s="291"/>
      <c r="AO148" s="291"/>
      <c r="AP148" s="291"/>
      <c r="AQ148" s="291"/>
      <c r="AR148" s="291"/>
      <c r="AS148" s="291"/>
    </row>
    <row r="149" spans="1:45" s="348" customFormat="1" ht="12.75" customHeight="1" thickTop="1" x14ac:dyDescent="0.2">
      <c r="A149" s="423">
        <f t="shared" si="56"/>
        <v>146</v>
      </c>
      <c r="B149" s="456" t="s">
        <v>585</v>
      </c>
      <c r="C149" s="457">
        <v>1520302</v>
      </c>
      <c r="D149" s="458">
        <v>7401</v>
      </c>
      <c r="E149" s="454" t="s">
        <v>714</v>
      </c>
      <c r="F149" s="391">
        <v>2017</v>
      </c>
      <c r="G149" s="455">
        <v>42745</v>
      </c>
      <c r="H149" s="459" t="s">
        <v>819</v>
      </c>
      <c r="I149" s="460" t="s">
        <v>1033</v>
      </c>
      <c r="J149" s="461" t="s">
        <v>729</v>
      </c>
      <c r="K149" s="462" t="s">
        <v>1131</v>
      </c>
      <c r="L149" s="463" t="s">
        <v>1034</v>
      </c>
      <c r="M149" s="464">
        <v>-441379.31</v>
      </c>
      <c r="N149" s="464">
        <v>-22068.97</v>
      </c>
      <c r="O149" s="464">
        <v>-74151.72</v>
      </c>
      <c r="P149" s="465">
        <v>-537600</v>
      </c>
      <c r="Q149" s="392"/>
      <c r="R149" s="466">
        <v>-390926.69</v>
      </c>
      <c r="S149" s="394">
        <f t="shared" si="57"/>
        <v>-146673.31</v>
      </c>
      <c r="T149" s="113" t="s">
        <v>1268</v>
      </c>
      <c r="Z149" s="479">
        <f>+SUM(Z145:Z148)</f>
        <v>122</v>
      </c>
      <c r="AA149" s="480">
        <f>SUM(AA145:AA148)</f>
        <v>34711442.719999999</v>
      </c>
      <c r="AB149" s="473"/>
      <c r="AC149" s="472"/>
      <c r="AI149" s="313"/>
      <c r="AJ149" s="374"/>
      <c r="AK149" s="330"/>
      <c r="AL149" s="330"/>
      <c r="AM149" s="330"/>
    </row>
    <row r="150" spans="1:45" s="291" customFormat="1" ht="12.75" customHeight="1" x14ac:dyDescent="0.2">
      <c r="A150" s="423">
        <f t="shared" si="56"/>
        <v>147</v>
      </c>
      <c r="B150" s="456" t="s">
        <v>586</v>
      </c>
      <c r="C150" s="457">
        <v>1520302</v>
      </c>
      <c r="D150" s="458">
        <v>7401</v>
      </c>
      <c r="E150" s="454" t="s">
        <v>714</v>
      </c>
      <c r="F150" s="391">
        <v>2017</v>
      </c>
      <c r="G150" s="455">
        <v>42745</v>
      </c>
      <c r="H150" s="459" t="s">
        <v>819</v>
      </c>
      <c r="I150" s="460" t="s">
        <v>1033</v>
      </c>
      <c r="J150" s="461" t="s">
        <v>729</v>
      </c>
      <c r="K150" s="462" t="s">
        <v>1131</v>
      </c>
      <c r="L150" s="463" t="s">
        <v>1034</v>
      </c>
      <c r="M150" s="464">
        <v>441379.31</v>
      </c>
      <c r="N150" s="464">
        <v>22068.97</v>
      </c>
      <c r="O150" s="464">
        <v>74151.72</v>
      </c>
      <c r="P150" s="465">
        <v>537600</v>
      </c>
      <c r="Q150" s="392"/>
      <c r="R150" s="466">
        <v>390926.69</v>
      </c>
      <c r="S150" s="394">
        <f t="shared" si="57"/>
        <v>146673.31</v>
      </c>
      <c r="T150" s="113" t="s">
        <v>1268</v>
      </c>
      <c r="AI150" s="313"/>
      <c r="AJ150" s="331"/>
      <c r="AK150" s="374"/>
      <c r="AL150" s="374"/>
      <c r="AM150" s="374"/>
    </row>
    <row r="151" spans="1:45" s="291" customFormat="1" ht="12.75" customHeight="1" x14ac:dyDescent="0.2">
      <c r="A151" s="423">
        <f t="shared" si="56"/>
        <v>148</v>
      </c>
      <c r="B151" s="456" t="s">
        <v>605</v>
      </c>
      <c r="C151" s="457">
        <v>1520302</v>
      </c>
      <c r="D151" s="458">
        <v>7441</v>
      </c>
      <c r="E151" s="454" t="s">
        <v>715</v>
      </c>
      <c r="F151" s="391">
        <v>2017</v>
      </c>
      <c r="G151" s="455">
        <v>42748</v>
      </c>
      <c r="H151" s="459" t="s">
        <v>778</v>
      </c>
      <c r="I151" s="460" t="s">
        <v>1035</v>
      </c>
      <c r="J151" s="461" t="s">
        <v>729</v>
      </c>
      <c r="K151" s="462" t="s">
        <v>1036</v>
      </c>
      <c r="L151" s="463" t="s">
        <v>1037</v>
      </c>
      <c r="M151" s="464">
        <v>479885.06</v>
      </c>
      <c r="N151" s="464">
        <v>23994.25</v>
      </c>
      <c r="O151" s="464">
        <v>80620.69</v>
      </c>
      <c r="P151" s="465">
        <v>584500</v>
      </c>
      <c r="Q151" s="392"/>
      <c r="R151" s="466">
        <v>424855.59</v>
      </c>
      <c r="S151" s="394">
        <f t="shared" si="57"/>
        <v>159644.40999999997</v>
      </c>
      <c r="T151" s="267" t="s">
        <v>1268</v>
      </c>
      <c r="AI151" s="313"/>
      <c r="AJ151" s="374"/>
      <c r="AK151" s="374"/>
      <c r="AL151" s="374"/>
      <c r="AM151" s="374"/>
    </row>
    <row r="152" spans="1:45" s="348" customFormat="1" ht="12.75" customHeight="1" x14ac:dyDescent="0.2">
      <c r="A152" s="423">
        <f t="shared" si="56"/>
        <v>149</v>
      </c>
      <c r="B152" s="456" t="s">
        <v>606</v>
      </c>
      <c r="C152" s="457">
        <v>1520302</v>
      </c>
      <c r="D152" s="458">
        <v>7441</v>
      </c>
      <c r="E152" s="454" t="s">
        <v>715</v>
      </c>
      <c r="F152" s="391">
        <v>2017</v>
      </c>
      <c r="G152" s="455">
        <v>42751</v>
      </c>
      <c r="H152" s="459" t="s">
        <v>778</v>
      </c>
      <c r="I152" s="460" t="s">
        <v>1035</v>
      </c>
      <c r="J152" s="461" t="s">
        <v>729</v>
      </c>
      <c r="K152" s="462" t="s">
        <v>1036</v>
      </c>
      <c r="L152" s="463" t="s">
        <v>1037</v>
      </c>
      <c r="M152" s="464">
        <v>-479885.06</v>
      </c>
      <c r="N152" s="464">
        <v>-23994.25</v>
      </c>
      <c r="O152" s="464">
        <v>-80620.69</v>
      </c>
      <c r="P152" s="465">
        <v>-584500</v>
      </c>
      <c r="Q152" s="392"/>
      <c r="R152" s="466">
        <v>-424855.59</v>
      </c>
      <c r="S152" s="394">
        <f t="shared" si="57"/>
        <v>-159644.40999999997</v>
      </c>
      <c r="T152" s="267" t="s">
        <v>1268</v>
      </c>
      <c r="AI152" s="313"/>
      <c r="AJ152" s="331"/>
      <c r="AK152" s="374"/>
      <c r="AL152" s="374"/>
      <c r="AM152" s="374"/>
      <c r="AN152" s="291"/>
      <c r="AO152" s="291"/>
      <c r="AP152" s="291"/>
      <c r="AQ152" s="291"/>
      <c r="AR152" s="291"/>
      <c r="AS152" s="291"/>
    </row>
    <row r="153" spans="1:45" s="348" customFormat="1" ht="12.75" customHeight="1" x14ac:dyDescent="0.2">
      <c r="A153" s="423">
        <f t="shared" si="56"/>
        <v>150</v>
      </c>
      <c r="B153" s="456" t="s">
        <v>575</v>
      </c>
      <c r="C153" s="457">
        <v>521006</v>
      </c>
      <c r="D153" s="458">
        <v>7983</v>
      </c>
      <c r="E153" s="454" t="s">
        <v>699</v>
      </c>
      <c r="F153" s="391">
        <v>2017</v>
      </c>
      <c r="G153" s="455">
        <v>42759</v>
      </c>
      <c r="H153" s="459" t="s">
        <v>817</v>
      </c>
      <c r="I153" s="460" t="s">
        <v>851</v>
      </c>
      <c r="J153" s="461" t="s">
        <v>729</v>
      </c>
      <c r="K153" s="462" t="s">
        <v>852</v>
      </c>
      <c r="L153" s="463" t="s">
        <v>853</v>
      </c>
      <c r="M153" s="464">
        <v>-729603.13</v>
      </c>
      <c r="N153" s="464">
        <v>-72293.42</v>
      </c>
      <c r="O153" s="464">
        <v>-128303.45</v>
      </c>
      <c r="P153" s="465">
        <v>-930200</v>
      </c>
      <c r="Q153" s="392"/>
      <c r="R153" s="466">
        <v>-630134.02</v>
      </c>
      <c r="S153" s="394">
        <f t="shared" si="57"/>
        <v>-300065.98</v>
      </c>
      <c r="T153" s="267" t="s">
        <v>1268</v>
      </c>
      <c r="AI153" s="313"/>
      <c r="AJ153" s="374"/>
      <c r="AK153" s="330"/>
      <c r="AL153" s="330"/>
      <c r="AM153" s="330"/>
    </row>
    <row r="154" spans="1:45" s="348" customFormat="1" ht="12.75" customHeight="1" x14ac:dyDescent="0.2">
      <c r="A154" s="423">
        <f t="shared" si="56"/>
        <v>151</v>
      </c>
      <c r="B154" s="456" t="s">
        <v>576</v>
      </c>
      <c r="C154" s="457">
        <v>521006</v>
      </c>
      <c r="D154" s="458">
        <v>7983</v>
      </c>
      <c r="E154" s="454" t="s">
        <v>699</v>
      </c>
      <c r="F154" s="391">
        <v>2017</v>
      </c>
      <c r="G154" s="455">
        <v>42759</v>
      </c>
      <c r="H154" s="459" t="s">
        <v>817</v>
      </c>
      <c r="I154" s="460" t="s">
        <v>851</v>
      </c>
      <c r="J154" s="461" t="s">
        <v>729</v>
      </c>
      <c r="K154" s="462" t="s">
        <v>852</v>
      </c>
      <c r="L154" s="463" t="s">
        <v>853</v>
      </c>
      <c r="M154" s="464">
        <v>729603.13</v>
      </c>
      <c r="N154" s="464">
        <v>72293.42</v>
      </c>
      <c r="O154" s="464">
        <v>128303.45</v>
      </c>
      <c r="P154" s="465">
        <v>930200</v>
      </c>
      <c r="Q154" s="392"/>
      <c r="R154" s="466">
        <v>630134.02</v>
      </c>
      <c r="S154" s="394">
        <f t="shared" si="57"/>
        <v>300065.98</v>
      </c>
      <c r="T154" s="267" t="s">
        <v>1268</v>
      </c>
      <c r="U154" s="360"/>
      <c r="V154" s="360"/>
      <c r="W154" s="358"/>
      <c r="X154" s="331"/>
      <c r="Y154" s="360"/>
      <c r="Z154" s="334"/>
      <c r="AA154" s="334"/>
      <c r="AB154" s="334"/>
      <c r="AC154" s="349"/>
      <c r="AD154" s="335"/>
      <c r="AE154" s="349"/>
      <c r="AF154" s="349"/>
      <c r="AG154" s="349"/>
      <c r="AH154" s="313"/>
      <c r="AI154" s="313"/>
      <c r="AJ154" s="374"/>
      <c r="AK154" s="330"/>
      <c r="AL154" s="330"/>
      <c r="AM154" s="330"/>
    </row>
    <row r="155" spans="1:45" s="348" customFormat="1" ht="12.75" customHeight="1" x14ac:dyDescent="0.2">
      <c r="A155" s="423">
        <f t="shared" si="56"/>
        <v>152</v>
      </c>
      <c r="B155" s="456" t="s">
        <v>549</v>
      </c>
      <c r="C155" s="457">
        <v>520220</v>
      </c>
      <c r="D155" s="458">
        <v>1794</v>
      </c>
      <c r="E155" s="454" t="s">
        <v>687</v>
      </c>
      <c r="F155" s="391">
        <v>2017</v>
      </c>
      <c r="G155" s="455">
        <v>42737</v>
      </c>
      <c r="H155" s="459" t="s">
        <v>774</v>
      </c>
      <c r="I155" s="460" t="s">
        <v>1120</v>
      </c>
      <c r="J155" s="461" t="s">
        <v>729</v>
      </c>
      <c r="K155" s="462" t="s">
        <v>1121</v>
      </c>
      <c r="L155" s="463" t="s">
        <v>1122</v>
      </c>
      <c r="M155" s="464">
        <v>-247424.57</v>
      </c>
      <c r="N155" s="464">
        <v>-2489.2199999999998</v>
      </c>
      <c r="O155" s="464">
        <v>-39986.21</v>
      </c>
      <c r="P155" s="465">
        <v>-289900</v>
      </c>
      <c r="Q155" s="392"/>
      <c r="R155" s="466">
        <v>-224798.3</v>
      </c>
      <c r="S155" s="394">
        <f t="shared" si="57"/>
        <v>-65101.700000000012</v>
      </c>
      <c r="T155" s="113" t="s">
        <v>1268</v>
      </c>
      <c r="U155" s="370"/>
      <c r="V155" s="370"/>
      <c r="W155" s="375"/>
      <c r="X155" s="374"/>
      <c r="Y155" s="370"/>
      <c r="Z155" s="371"/>
      <c r="AA155" s="371"/>
      <c r="AB155" s="371"/>
      <c r="AC155" s="270"/>
      <c r="AD155" s="372"/>
      <c r="AE155" s="270"/>
      <c r="AF155" s="270"/>
      <c r="AG155" s="270"/>
      <c r="AH155" s="313"/>
      <c r="AI155" s="313"/>
      <c r="AJ155" s="374"/>
      <c r="AK155" s="330"/>
      <c r="AL155" s="330"/>
      <c r="AM155" s="330"/>
    </row>
    <row r="156" spans="1:45" s="353" customFormat="1" ht="12.75" customHeight="1" x14ac:dyDescent="0.2">
      <c r="A156" s="423">
        <f t="shared" si="56"/>
        <v>153</v>
      </c>
      <c r="B156" s="456" t="s">
        <v>550</v>
      </c>
      <c r="C156" s="457">
        <v>520220</v>
      </c>
      <c r="D156" s="458">
        <v>1794</v>
      </c>
      <c r="E156" s="454" t="s">
        <v>687</v>
      </c>
      <c r="F156" s="391">
        <v>2017</v>
      </c>
      <c r="G156" s="455">
        <v>42737</v>
      </c>
      <c r="H156" s="459" t="s">
        <v>774</v>
      </c>
      <c r="I156" s="460" t="s">
        <v>1120</v>
      </c>
      <c r="J156" s="461" t="s">
        <v>729</v>
      </c>
      <c r="K156" s="462" t="s">
        <v>1121</v>
      </c>
      <c r="L156" s="463" t="s">
        <v>1122</v>
      </c>
      <c r="M156" s="464">
        <v>247424.57</v>
      </c>
      <c r="N156" s="464">
        <v>2489.2199999999998</v>
      </c>
      <c r="O156" s="464">
        <v>39986.21</v>
      </c>
      <c r="P156" s="465">
        <v>289900</v>
      </c>
      <c r="Q156" s="392"/>
      <c r="R156" s="466">
        <v>224798.3</v>
      </c>
      <c r="S156" s="394">
        <f t="shared" si="57"/>
        <v>65101.700000000012</v>
      </c>
      <c r="T156" s="267" t="s">
        <v>1268</v>
      </c>
      <c r="U156" s="370"/>
      <c r="V156" s="370"/>
      <c r="W156" s="375"/>
      <c r="X156" s="374"/>
      <c r="Y156" s="370"/>
      <c r="Z156" s="371"/>
      <c r="AA156" s="371"/>
      <c r="AB156" s="371"/>
      <c r="AC156" s="270"/>
      <c r="AD156" s="372"/>
      <c r="AE156" s="270"/>
      <c r="AF156" s="270"/>
      <c r="AG156" s="270"/>
      <c r="AH156" s="313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</row>
    <row r="157" spans="1:45" s="291" customFormat="1" ht="12.75" customHeight="1" x14ac:dyDescent="0.2">
      <c r="A157" s="423">
        <f t="shared" si="56"/>
        <v>154</v>
      </c>
      <c r="B157" s="456" t="s">
        <v>553</v>
      </c>
      <c r="C157" s="457">
        <v>520225</v>
      </c>
      <c r="D157" s="458">
        <v>1782</v>
      </c>
      <c r="E157" s="454" t="s">
        <v>691</v>
      </c>
      <c r="F157" s="391">
        <v>2017</v>
      </c>
      <c r="G157" s="455">
        <v>42766</v>
      </c>
      <c r="H157" s="459" t="s">
        <v>774</v>
      </c>
      <c r="I157" s="460" t="s">
        <v>782</v>
      </c>
      <c r="J157" s="461" t="s">
        <v>729</v>
      </c>
      <c r="K157" s="462" t="s">
        <v>783</v>
      </c>
      <c r="L157" s="463" t="s">
        <v>784</v>
      </c>
      <c r="M157" s="464">
        <v>-288131.05</v>
      </c>
      <c r="N157" s="464">
        <v>-3506.88</v>
      </c>
      <c r="O157" s="464">
        <v>-46662.07</v>
      </c>
      <c r="P157" s="465">
        <v>-338300</v>
      </c>
      <c r="Q157" s="392"/>
      <c r="R157" s="466">
        <v>-246875.67</v>
      </c>
      <c r="S157" s="394">
        <f t="shared" si="57"/>
        <v>-91424.329999999987</v>
      </c>
      <c r="T157" s="113" t="s">
        <v>1268</v>
      </c>
      <c r="U157" s="354"/>
      <c r="V157" s="354"/>
      <c r="W157" s="355"/>
      <c r="X157" s="330"/>
      <c r="Y157" s="354"/>
      <c r="Z157" s="328"/>
      <c r="AA157" s="328"/>
      <c r="AB157" s="328"/>
      <c r="AC157" s="346"/>
      <c r="AD157" s="333"/>
      <c r="AE157" s="346"/>
      <c r="AF157" s="346"/>
      <c r="AG157" s="346"/>
      <c r="AH157" s="313"/>
      <c r="AI157" s="313"/>
      <c r="AJ157" s="374"/>
      <c r="AK157" s="374"/>
      <c r="AL157" s="374"/>
      <c r="AM157" s="374"/>
    </row>
    <row r="158" spans="1:45" s="291" customFormat="1" ht="12.75" customHeight="1" x14ac:dyDescent="0.2">
      <c r="A158" s="423">
        <f>+A65+1</f>
        <v>61</v>
      </c>
      <c r="B158" s="456" t="s">
        <v>554</v>
      </c>
      <c r="C158" s="457">
        <v>520225</v>
      </c>
      <c r="D158" s="458">
        <v>1782</v>
      </c>
      <c r="E158" s="454" t="s">
        <v>691</v>
      </c>
      <c r="F158" s="391">
        <v>2017</v>
      </c>
      <c r="G158" s="455">
        <v>42766</v>
      </c>
      <c r="H158" s="459" t="s">
        <v>774</v>
      </c>
      <c r="I158" s="460" t="s">
        <v>782</v>
      </c>
      <c r="J158" s="461" t="s">
        <v>729</v>
      </c>
      <c r="K158" s="462" t="s">
        <v>783</v>
      </c>
      <c r="L158" s="463" t="s">
        <v>784</v>
      </c>
      <c r="M158" s="464">
        <v>288131.05</v>
      </c>
      <c r="N158" s="464">
        <v>3506.88</v>
      </c>
      <c r="O158" s="464">
        <v>46662.07</v>
      </c>
      <c r="P158" s="465">
        <v>338300</v>
      </c>
      <c r="Q158" s="392"/>
      <c r="R158" s="466">
        <v>246875.67</v>
      </c>
      <c r="S158" s="394">
        <f t="shared" si="57"/>
        <v>91424.329999999987</v>
      </c>
      <c r="T158" s="267" t="s">
        <v>1268</v>
      </c>
      <c r="U158" s="360"/>
      <c r="V158" s="360"/>
      <c r="W158" s="358"/>
      <c r="X158" s="331"/>
      <c r="Y158" s="360"/>
      <c r="Z158" s="334"/>
      <c r="AA158" s="334"/>
      <c r="AB158" s="334"/>
      <c r="AC158" s="349"/>
      <c r="AD158" s="335"/>
      <c r="AE158" s="349"/>
      <c r="AF158" s="349"/>
      <c r="AG158" s="349"/>
      <c r="AH158" s="313"/>
      <c r="AI158" s="313"/>
      <c r="AJ158" s="374"/>
      <c r="AK158" s="374"/>
      <c r="AL158" s="374"/>
      <c r="AM158" s="374"/>
    </row>
    <row r="159" spans="1:45" s="291" customFormat="1" ht="12.75" customHeight="1" x14ac:dyDescent="0.2">
      <c r="A159" s="423">
        <f>+A158+1</f>
        <v>62</v>
      </c>
      <c r="B159" s="456" t="s">
        <v>599</v>
      </c>
      <c r="C159" s="457">
        <v>520223</v>
      </c>
      <c r="D159" s="458">
        <v>1796</v>
      </c>
      <c r="E159" s="454" t="s">
        <v>689</v>
      </c>
      <c r="F159" s="391">
        <v>2017</v>
      </c>
      <c r="G159" s="455">
        <v>42744</v>
      </c>
      <c r="H159" s="459" t="s">
        <v>727</v>
      </c>
      <c r="I159" s="460" t="s">
        <v>768</v>
      </c>
      <c r="J159" s="461" t="s">
        <v>724</v>
      </c>
      <c r="K159" s="462" t="s">
        <v>769</v>
      </c>
      <c r="L159" s="463" t="s">
        <v>770</v>
      </c>
      <c r="M159" s="464">
        <v>228362.07</v>
      </c>
      <c r="N159" s="464">
        <v>0</v>
      </c>
      <c r="O159" s="464">
        <v>36537.93</v>
      </c>
      <c r="P159" s="465">
        <v>264900</v>
      </c>
      <c r="Q159" s="392"/>
      <c r="R159" s="466">
        <v>211881.44</v>
      </c>
      <c r="S159" s="394">
        <f t="shared" si="57"/>
        <v>53018.559999999998</v>
      </c>
      <c r="T159" s="113" t="s">
        <v>1268</v>
      </c>
      <c r="U159" s="360"/>
      <c r="V159" s="360"/>
      <c r="W159" s="358"/>
      <c r="X159" s="331"/>
      <c r="Y159" s="360"/>
      <c r="Z159" s="334"/>
      <c r="AA159" s="334"/>
      <c r="AB159" s="334"/>
      <c r="AC159" s="349"/>
      <c r="AD159" s="335"/>
      <c r="AE159" s="349"/>
      <c r="AF159" s="349"/>
      <c r="AG159" s="349"/>
      <c r="AH159" s="363"/>
      <c r="AI159" s="363"/>
      <c r="AJ159" s="374"/>
      <c r="AK159" s="374"/>
      <c r="AL159" s="374"/>
      <c r="AM159" s="374"/>
    </row>
    <row r="160" spans="1:45" s="348" customFormat="1" ht="12.75" customHeight="1" x14ac:dyDescent="0.2">
      <c r="A160" s="423">
        <f>+A157+1</f>
        <v>155</v>
      </c>
      <c r="B160" s="456" t="s">
        <v>600</v>
      </c>
      <c r="C160" s="457">
        <v>520223</v>
      </c>
      <c r="D160" s="458">
        <v>1796</v>
      </c>
      <c r="E160" s="454" t="s">
        <v>689</v>
      </c>
      <c r="F160" s="391">
        <v>2017</v>
      </c>
      <c r="G160" s="455">
        <v>42746</v>
      </c>
      <c r="H160" s="459" t="s">
        <v>727</v>
      </c>
      <c r="I160" s="460" t="s">
        <v>768</v>
      </c>
      <c r="J160" s="461" t="s">
        <v>724</v>
      </c>
      <c r="K160" s="462" t="s">
        <v>769</v>
      </c>
      <c r="L160" s="463" t="s">
        <v>770</v>
      </c>
      <c r="M160" s="464">
        <v>-228362.07</v>
      </c>
      <c r="N160" s="464">
        <v>0</v>
      </c>
      <c r="O160" s="464">
        <v>-36537.93</v>
      </c>
      <c r="P160" s="465">
        <v>-264900</v>
      </c>
      <c r="Q160" s="392"/>
      <c r="R160" s="466">
        <v>-211881.44</v>
      </c>
      <c r="S160" s="394">
        <f t="shared" si="57"/>
        <v>-53018.559999999998</v>
      </c>
      <c r="T160" s="267" t="s">
        <v>1268</v>
      </c>
      <c r="U160" s="360"/>
      <c r="V160" s="360"/>
      <c r="W160" s="358"/>
      <c r="X160" s="331"/>
      <c r="Y160" s="360"/>
      <c r="Z160" s="334"/>
      <c r="AA160" s="334"/>
      <c r="AB160" s="334"/>
      <c r="AC160" s="349"/>
      <c r="AD160" s="335"/>
      <c r="AE160" s="349"/>
      <c r="AF160" s="349"/>
      <c r="AG160" s="349"/>
      <c r="AH160" s="272"/>
      <c r="AI160" s="313"/>
      <c r="AJ160" s="331"/>
      <c r="AK160" s="330"/>
      <c r="AL160" s="330"/>
      <c r="AM160" s="330"/>
    </row>
    <row r="161" spans="1:39" s="291" customFormat="1" ht="12.75" customHeight="1" x14ac:dyDescent="0.2">
      <c r="A161" s="423">
        <f t="shared" si="56"/>
        <v>156</v>
      </c>
      <c r="B161" s="456" t="s">
        <v>563</v>
      </c>
      <c r="C161" s="457">
        <v>520223</v>
      </c>
      <c r="D161" s="458">
        <v>1796</v>
      </c>
      <c r="E161" s="454" t="s">
        <v>689</v>
      </c>
      <c r="F161" s="391">
        <v>2017</v>
      </c>
      <c r="G161" s="455">
        <v>42738</v>
      </c>
      <c r="H161" s="459" t="s">
        <v>1038</v>
      </c>
      <c r="I161" s="460" t="s">
        <v>761</v>
      </c>
      <c r="J161" s="461" t="s">
        <v>724</v>
      </c>
      <c r="K161" s="462" t="s">
        <v>1124</v>
      </c>
      <c r="L161" s="463" t="s">
        <v>763</v>
      </c>
      <c r="M161" s="464">
        <v>228362.07</v>
      </c>
      <c r="N161" s="464">
        <v>0</v>
      </c>
      <c r="O161" s="464">
        <v>36537.93</v>
      </c>
      <c r="P161" s="465">
        <v>264900</v>
      </c>
      <c r="Q161" s="392"/>
      <c r="R161" s="466">
        <v>206653.54</v>
      </c>
      <c r="S161" s="394">
        <f t="shared" si="57"/>
        <v>58246.459999999992</v>
      </c>
      <c r="T161" s="267" t="s">
        <v>1268</v>
      </c>
      <c r="U161" s="370"/>
      <c r="V161" s="370"/>
      <c r="W161" s="375"/>
      <c r="X161" s="374"/>
      <c r="Y161" s="370"/>
      <c r="Z161" s="371"/>
      <c r="AA161" s="371"/>
      <c r="AB161" s="371"/>
      <c r="AC161" s="270"/>
      <c r="AD161" s="372"/>
      <c r="AE161" s="270"/>
      <c r="AF161" s="270"/>
      <c r="AG161" s="270"/>
      <c r="AH161" s="347"/>
      <c r="AI161" s="363"/>
      <c r="AJ161" s="331"/>
      <c r="AK161" s="374"/>
      <c r="AL161" s="374"/>
      <c r="AM161" s="374"/>
    </row>
    <row r="162" spans="1:39" s="291" customFormat="1" ht="12.75" customHeight="1" x14ac:dyDescent="0.2">
      <c r="A162" s="423">
        <f t="shared" si="56"/>
        <v>157</v>
      </c>
      <c r="B162" s="456" t="s">
        <v>564</v>
      </c>
      <c r="C162" s="457">
        <v>520223</v>
      </c>
      <c r="D162" s="458">
        <v>1796</v>
      </c>
      <c r="E162" s="454" t="s">
        <v>689</v>
      </c>
      <c r="F162" s="391">
        <v>2017</v>
      </c>
      <c r="G162" s="455">
        <v>42744</v>
      </c>
      <c r="H162" s="459" t="s">
        <v>1038</v>
      </c>
      <c r="I162" s="460" t="s">
        <v>761</v>
      </c>
      <c r="J162" s="461" t="s">
        <v>724</v>
      </c>
      <c r="K162" s="462" t="s">
        <v>1124</v>
      </c>
      <c r="L162" s="463" t="s">
        <v>763</v>
      </c>
      <c r="M162" s="464">
        <v>-228362.07</v>
      </c>
      <c r="N162" s="464">
        <v>0</v>
      </c>
      <c r="O162" s="464">
        <v>-36537.93</v>
      </c>
      <c r="P162" s="465">
        <v>-264900</v>
      </c>
      <c r="Q162" s="392"/>
      <c r="R162" s="466">
        <v>-206653.54</v>
      </c>
      <c r="S162" s="394">
        <f t="shared" si="57"/>
        <v>-58246.459999999992</v>
      </c>
      <c r="T162" s="267" t="s">
        <v>1268</v>
      </c>
      <c r="U162" s="360"/>
      <c r="V162" s="360"/>
      <c r="W162" s="358"/>
      <c r="X162" s="331"/>
      <c r="Y162" s="360"/>
      <c r="Z162" s="334"/>
      <c r="AA162" s="334"/>
      <c r="AB162" s="334"/>
      <c r="AC162" s="349"/>
      <c r="AD162" s="335"/>
      <c r="AE162" s="349"/>
      <c r="AF162" s="349"/>
      <c r="AG162" s="349"/>
      <c r="AH162" s="350"/>
      <c r="AI162" s="313"/>
      <c r="AJ162" s="331"/>
      <c r="AK162" s="374"/>
      <c r="AL162" s="374"/>
      <c r="AM162" s="374"/>
    </row>
    <row r="163" spans="1:39" s="291" customFormat="1" ht="12.75" customHeight="1" x14ac:dyDescent="0.2">
      <c r="A163" s="423">
        <f t="shared" si="56"/>
        <v>158</v>
      </c>
      <c r="B163" s="456" t="s">
        <v>565</v>
      </c>
      <c r="C163" s="457">
        <v>520223</v>
      </c>
      <c r="D163" s="458">
        <v>1796</v>
      </c>
      <c r="E163" s="454" t="s">
        <v>689</v>
      </c>
      <c r="F163" s="391">
        <v>2017</v>
      </c>
      <c r="G163" s="455">
        <v>42765</v>
      </c>
      <c r="H163" s="459" t="s">
        <v>760</v>
      </c>
      <c r="I163" s="460" t="s">
        <v>761</v>
      </c>
      <c r="J163" s="461" t="s">
        <v>724</v>
      </c>
      <c r="K163" s="462" t="s">
        <v>762</v>
      </c>
      <c r="L163" s="463" t="s">
        <v>763</v>
      </c>
      <c r="M163" s="464">
        <v>-240611.13</v>
      </c>
      <c r="N163" s="464">
        <v>-2406.11</v>
      </c>
      <c r="O163" s="464">
        <v>-38882.76</v>
      </c>
      <c r="P163" s="465">
        <v>-281900</v>
      </c>
      <c r="Q163" s="392"/>
      <c r="R163" s="466">
        <v>-206653.54</v>
      </c>
      <c r="S163" s="394">
        <f t="shared" si="57"/>
        <v>-75246.459999999992</v>
      </c>
      <c r="T163" s="113" t="s">
        <v>1268</v>
      </c>
      <c r="U163" s="370"/>
      <c r="V163" s="370"/>
      <c r="W163" s="375"/>
      <c r="X163" s="374"/>
      <c r="Y163" s="370"/>
      <c r="Z163" s="371"/>
      <c r="AA163" s="371"/>
      <c r="AB163" s="371"/>
      <c r="AC163" s="270"/>
      <c r="AD163" s="372"/>
      <c r="AE163" s="270"/>
      <c r="AF163" s="270"/>
      <c r="AG163" s="270"/>
      <c r="AH163" s="272"/>
      <c r="AI163" s="313"/>
      <c r="AJ163" s="331"/>
      <c r="AK163" s="374"/>
      <c r="AL163" s="374"/>
      <c r="AM163" s="374"/>
    </row>
    <row r="164" spans="1:39" s="291" customFormat="1" ht="12.75" customHeight="1" x14ac:dyDescent="0.2">
      <c r="A164" s="423">
        <f t="shared" si="56"/>
        <v>159</v>
      </c>
      <c r="B164" s="456" t="s">
        <v>566</v>
      </c>
      <c r="C164" s="457">
        <v>520223</v>
      </c>
      <c r="D164" s="458">
        <v>1796</v>
      </c>
      <c r="E164" s="454" t="s">
        <v>689</v>
      </c>
      <c r="F164" s="391">
        <v>2017</v>
      </c>
      <c r="G164" s="455">
        <v>42765</v>
      </c>
      <c r="H164" s="459" t="s">
        <v>760</v>
      </c>
      <c r="I164" s="460" t="s">
        <v>761</v>
      </c>
      <c r="J164" s="461" t="s">
        <v>724</v>
      </c>
      <c r="K164" s="462" t="s">
        <v>762</v>
      </c>
      <c r="L164" s="463" t="s">
        <v>763</v>
      </c>
      <c r="M164" s="464">
        <v>240611.13</v>
      </c>
      <c r="N164" s="464">
        <v>2406.11</v>
      </c>
      <c r="O164" s="464">
        <v>38882.76</v>
      </c>
      <c r="P164" s="465">
        <v>281900</v>
      </c>
      <c r="Q164" s="392"/>
      <c r="R164" s="466">
        <v>206653.54</v>
      </c>
      <c r="S164" s="394">
        <f t="shared" si="57"/>
        <v>75246.459999999992</v>
      </c>
      <c r="T164" s="113" t="s">
        <v>1268</v>
      </c>
      <c r="U164" s="370"/>
      <c r="V164" s="370"/>
      <c r="W164" s="375"/>
      <c r="X164" s="374"/>
      <c r="Y164" s="370"/>
      <c r="Z164" s="371"/>
      <c r="AA164" s="371"/>
      <c r="AB164" s="371"/>
      <c r="AC164" s="270"/>
      <c r="AD164" s="372"/>
      <c r="AE164" s="270"/>
      <c r="AF164" s="270"/>
      <c r="AG164" s="270"/>
      <c r="AH164" s="272"/>
      <c r="AI164" s="313"/>
      <c r="AJ164" s="331"/>
      <c r="AK164" s="374"/>
      <c r="AL164" s="374"/>
      <c r="AM164" s="374"/>
    </row>
    <row r="165" spans="1:39" s="291" customFormat="1" ht="12.75" customHeight="1" x14ac:dyDescent="0.2">
      <c r="A165" s="423">
        <f t="shared" si="56"/>
        <v>160</v>
      </c>
      <c r="B165" s="456" t="s">
        <v>551</v>
      </c>
      <c r="C165" s="457">
        <v>520220</v>
      </c>
      <c r="D165" s="458">
        <v>1794</v>
      </c>
      <c r="E165" s="454" t="s">
        <v>687</v>
      </c>
      <c r="F165" s="391">
        <v>2017</v>
      </c>
      <c r="G165" s="455">
        <v>42738</v>
      </c>
      <c r="H165" s="459" t="s">
        <v>751</v>
      </c>
      <c r="I165" s="460" t="s">
        <v>752</v>
      </c>
      <c r="J165" s="461" t="s">
        <v>729</v>
      </c>
      <c r="K165" s="462" t="s">
        <v>753</v>
      </c>
      <c r="L165" s="463" t="s">
        <v>754</v>
      </c>
      <c r="M165" s="464">
        <v>-247424.57</v>
      </c>
      <c r="N165" s="464">
        <v>-2489.2199999999998</v>
      </c>
      <c r="O165" s="464">
        <v>-39986.21</v>
      </c>
      <c r="P165" s="465">
        <v>-289900</v>
      </c>
      <c r="Q165" s="392"/>
      <c r="R165" s="466">
        <v>-224798.3</v>
      </c>
      <c r="S165" s="394">
        <f t="shared" si="57"/>
        <v>-65101.700000000012</v>
      </c>
      <c r="T165" s="113" t="s">
        <v>1268</v>
      </c>
      <c r="U165" s="360"/>
      <c r="V165" s="360"/>
      <c r="W165" s="358"/>
      <c r="X165" s="331"/>
      <c r="Y165" s="360"/>
      <c r="Z165" s="334"/>
      <c r="AA165" s="334"/>
      <c r="AB165" s="334"/>
      <c r="AC165" s="349"/>
      <c r="AD165" s="335"/>
      <c r="AE165" s="349"/>
      <c r="AF165" s="349"/>
      <c r="AG165" s="349"/>
      <c r="AH165" s="350"/>
      <c r="AI165" s="365"/>
      <c r="AJ165" s="331"/>
      <c r="AK165" s="374"/>
      <c r="AL165" s="374"/>
      <c r="AM165" s="374"/>
    </row>
    <row r="166" spans="1:39" s="291" customFormat="1" ht="12.75" customHeight="1" x14ac:dyDescent="0.2">
      <c r="A166" s="423">
        <f t="shared" si="56"/>
        <v>161</v>
      </c>
      <c r="B166" s="456" t="s">
        <v>552</v>
      </c>
      <c r="C166" s="457">
        <v>520220</v>
      </c>
      <c r="D166" s="458">
        <v>1794</v>
      </c>
      <c r="E166" s="454" t="s">
        <v>687</v>
      </c>
      <c r="F166" s="391">
        <v>2017</v>
      </c>
      <c r="G166" s="455">
        <v>42738</v>
      </c>
      <c r="H166" s="459" t="s">
        <v>751</v>
      </c>
      <c r="I166" s="460" t="s">
        <v>752</v>
      </c>
      <c r="J166" s="461" t="s">
        <v>729</v>
      </c>
      <c r="K166" s="462" t="s">
        <v>753</v>
      </c>
      <c r="L166" s="463" t="s">
        <v>754</v>
      </c>
      <c r="M166" s="464">
        <v>247424.57</v>
      </c>
      <c r="N166" s="464">
        <v>2489.2199999999998</v>
      </c>
      <c r="O166" s="464">
        <v>39986.21</v>
      </c>
      <c r="P166" s="465">
        <v>289900</v>
      </c>
      <c r="Q166" s="392"/>
      <c r="R166" s="466">
        <v>224798.3</v>
      </c>
      <c r="S166" s="394">
        <f t="shared" si="57"/>
        <v>65101.700000000012</v>
      </c>
      <c r="T166" s="267" t="s">
        <v>1268</v>
      </c>
      <c r="U166" s="360"/>
      <c r="V166" s="360"/>
      <c r="W166" s="358"/>
      <c r="X166" s="331"/>
      <c r="Y166" s="360"/>
      <c r="Z166" s="334"/>
      <c r="AA166" s="334"/>
      <c r="AB166" s="334"/>
      <c r="AC166" s="349"/>
      <c r="AD166" s="335"/>
      <c r="AE166" s="349"/>
      <c r="AF166" s="349"/>
      <c r="AG166" s="349"/>
      <c r="AH166" s="350"/>
      <c r="AI166" s="365"/>
      <c r="AJ166" s="331"/>
      <c r="AK166" s="374"/>
      <c r="AL166" s="374"/>
      <c r="AM166" s="374"/>
    </row>
    <row r="167" spans="1:39" s="291" customFormat="1" ht="12.75" customHeight="1" x14ac:dyDescent="0.2">
      <c r="A167" s="423">
        <f t="shared" si="56"/>
        <v>162</v>
      </c>
      <c r="B167" s="456" t="s">
        <v>615</v>
      </c>
      <c r="C167" s="457">
        <v>520224</v>
      </c>
      <c r="D167" s="458">
        <v>1781</v>
      </c>
      <c r="E167" s="454" t="s">
        <v>690</v>
      </c>
      <c r="F167" s="391">
        <v>2017</v>
      </c>
      <c r="G167" s="455">
        <v>42761</v>
      </c>
      <c r="H167" s="459" t="s">
        <v>778</v>
      </c>
      <c r="I167" s="460" t="s">
        <v>1141</v>
      </c>
      <c r="J167" s="461" t="s">
        <v>729</v>
      </c>
      <c r="K167" s="462" t="s">
        <v>780</v>
      </c>
      <c r="L167" s="463" t="s">
        <v>1142</v>
      </c>
      <c r="M167" s="464">
        <v>270889.67</v>
      </c>
      <c r="N167" s="464">
        <v>3075.85</v>
      </c>
      <c r="O167" s="464">
        <v>43834.48</v>
      </c>
      <c r="P167" s="465">
        <v>317800</v>
      </c>
      <c r="Q167" s="392"/>
      <c r="R167" s="466">
        <v>238099.78</v>
      </c>
      <c r="S167" s="394">
        <f t="shared" si="57"/>
        <v>79700.22</v>
      </c>
      <c r="T167" s="267" t="s">
        <v>1268</v>
      </c>
      <c r="U167" s="354"/>
      <c r="V167" s="354"/>
      <c r="W167" s="355"/>
      <c r="X167" s="330"/>
      <c r="Y167" s="354"/>
      <c r="Z167" s="328"/>
      <c r="AA167" s="328"/>
      <c r="AB167" s="328"/>
      <c r="AC167" s="346"/>
      <c r="AD167" s="333"/>
      <c r="AE167" s="346"/>
      <c r="AF167" s="346"/>
      <c r="AG167" s="346"/>
      <c r="AH167" s="272"/>
      <c r="AI167" s="313"/>
      <c r="AJ167" s="331"/>
      <c r="AK167" s="374"/>
      <c r="AL167" s="374"/>
      <c r="AM167" s="374"/>
    </row>
    <row r="168" spans="1:39" s="291" customFormat="1" ht="12.75" customHeight="1" x14ac:dyDescent="0.2">
      <c r="A168" s="423">
        <f t="shared" si="56"/>
        <v>163</v>
      </c>
      <c r="B168" s="456" t="s">
        <v>616</v>
      </c>
      <c r="C168" s="457">
        <v>520224</v>
      </c>
      <c r="D168" s="458">
        <v>1781</v>
      </c>
      <c r="E168" s="454" t="s">
        <v>690</v>
      </c>
      <c r="F168" s="391">
        <v>2017</v>
      </c>
      <c r="G168" s="455">
        <v>42762</v>
      </c>
      <c r="H168" s="459" t="s">
        <v>778</v>
      </c>
      <c r="I168" s="460" t="s">
        <v>1141</v>
      </c>
      <c r="J168" s="461" t="s">
        <v>729</v>
      </c>
      <c r="K168" s="462" t="s">
        <v>780</v>
      </c>
      <c r="L168" s="463" t="s">
        <v>1142</v>
      </c>
      <c r="M168" s="464">
        <v>-270889.67</v>
      </c>
      <c r="N168" s="464">
        <v>-3075.85</v>
      </c>
      <c r="O168" s="464">
        <v>-43834.48</v>
      </c>
      <c r="P168" s="465">
        <v>-317800</v>
      </c>
      <c r="Q168" s="392"/>
      <c r="R168" s="466">
        <v>-238099.78</v>
      </c>
      <c r="S168" s="394">
        <f t="shared" si="57"/>
        <v>-79700.22</v>
      </c>
      <c r="T168" s="113" t="s">
        <v>1268</v>
      </c>
      <c r="U168" s="370"/>
      <c r="V168" s="370"/>
      <c r="W168" s="375"/>
      <c r="X168" s="374"/>
      <c r="Y168" s="370"/>
      <c r="Z168" s="371"/>
      <c r="AA168" s="371"/>
      <c r="AB168" s="371"/>
      <c r="AC168" s="270"/>
      <c r="AD168" s="372"/>
      <c r="AE168" s="270"/>
      <c r="AF168" s="270"/>
      <c r="AG168" s="270"/>
      <c r="AH168" s="272"/>
      <c r="AI168" s="313"/>
      <c r="AJ168" s="331"/>
      <c r="AK168" s="374"/>
      <c r="AL168" s="374"/>
      <c r="AM168" s="374"/>
    </row>
    <row r="169" spans="1:39" s="291" customFormat="1" ht="12.75" customHeight="1" x14ac:dyDescent="0.2">
      <c r="A169" s="423">
        <f t="shared" si="56"/>
        <v>164</v>
      </c>
      <c r="B169" s="456" t="s">
        <v>569</v>
      </c>
      <c r="C169" s="457">
        <v>1520202</v>
      </c>
      <c r="D169" s="458">
        <v>5601</v>
      </c>
      <c r="E169" s="454" t="s">
        <v>221</v>
      </c>
      <c r="F169" s="391">
        <v>2017</v>
      </c>
      <c r="G169" s="455">
        <v>42737</v>
      </c>
      <c r="H169" s="459" t="s">
        <v>727</v>
      </c>
      <c r="I169" s="460" t="s">
        <v>1125</v>
      </c>
      <c r="J169" s="461" t="s">
        <v>729</v>
      </c>
      <c r="K169" s="462" t="s">
        <v>1025</v>
      </c>
      <c r="L169" s="463" t="s">
        <v>1126</v>
      </c>
      <c r="M169" s="464">
        <v>-308456.49</v>
      </c>
      <c r="N169" s="464">
        <v>-15422.82</v>
      </c>
      <c r="O169" s="464">
        <v>-51820.69</v>
      </c>
      <c r="P169" s="465">
        <v>-375700</v>
      </c>
      <c r="Q169" s="392"/>
      <c r="R169" s="466">
        <v>-273638.13</v>
      </c>
      <c r="S169" s="394">
        <f t="shared" si="57"/>
        <v>-102061.87</v>
      </c>
      <c r="T169" s="113" t="s">
        <v>1268</v>
      </c>
      <c r="U169" s="360"/>
      <c r="V169" s="360"/>
      <c r="W169" s="358"/>
      <c r="X169" s="331"/>
      <c r="Y169" s="360"/>
      <c r="Z169" s="334"/>
      <c r="AA169" s="334"/>
      <c r="AB169" s="334"/>
      <c r="AC169" s="349"/>
      <c r="AD169" s="335"/>
      <c r="AE169" s="349"/>
      <c r="AF169" s="349"/>
      <c r="AG169" s="349"/>
      <c r="AH169" s="350"/>
      <c r="AI169" s="365"/>
      <c r="AJ169" s="331"/>
      <c r="AK169" s="374"/>
      <c r="AL169" s="374"/>
      <c r="AM169" s="374"/>
    </row>
    <row r="170" spans="1:39" s="291" customFormat="1" ht="12.75" customHeight="1" x14ac:dyDescent="0.2">
      <c r="A170" s="423">
        <f t="shared" si="56"/>
        <v>165</v>
      </c>
      <c r="B170" s="456" t="s">
        <v>570</v>
      </c>
      <c r="C170" s="457">
        <v>1520202</v>
      </c>
      <c r="D170" s="458">
        <v>5601</v>
      </c>
      <c r="E170" s="454" t="s">
        <v>221</v>
      </c>
      <c r="F170" s="391">
        <v>2017</v>
      </c>
      <c r="G170" s="455">
        <v>42737</v>
      </c>
      <c r="H170" s="459" t="s">
        <v>727</v>
      </c>
      <c r="I170" s="460" t="s">
        <v>1125</v>
      </c>
      <c r="J170" s="461" t="s">
        <v>729</v>
      </c>
      <c r="K170" s="462" t="s">
        <v>1025</v>
      </c>
      <c r="L170" s="463" t="s">
        <v>1126</v>
      </c>
      <c r="M170" s="464">
        <v>308456.49</v>
      </c>
      <c r="N170" s="464">
        <v>15422.82</v>
      </c>
      <c r="O170" s="464">
        <v>51820.69</v>
      </c>
      <c r="P170" s="465">
        <v>375700</v>
      </c>
      <c r="Q170" s="392"/>
      <c r="R170" s="466">
        <v>273638.13</v>
      </c>
      <c r="S170" s="394">
        <f t="shared" si="57"/>
        <v>102061.87</v>
      </c>
      <c r="T170" s="113" t="s">
        <v>1268</v>
      </c>
      <c r="U170" s="370"/>
      <c r="V170" s="370"/>
      <c r="W170" s="375"/>
      <c r="X170" s="374"/>
      <c r="Y170" s="370"/>
      <c r="Z170" s="371"/>
      <c r="AA170" s="371"/>
      <c r="AB170" s="371"/>
      <c r="AC170" s="270"/>
      <c r="AD170" s="372"/>
      <c r="AE170" s="270"/>
      <c r="AF170" s="270"/>
      <c r="AG170" s="270"/>
      <c r="AH170" s="272"/>
      <c r="AI170" s="313"/>
      <c r="AJ170" s="331"/>
      <c r="AK170" s="374"/>
      <c r="AL170" s="374"/>
      <c r="AM170" s="374"/>
    </row>
    <row r="171" spans="1:39" s="291" customFormat="1" ht="12.75" customHeight="1" x14ac:dyDescent="0.2">
      <c r="A171" s="423">
        <f t="shared" si="56"/>
        <v>166</v>
      </c>
      <c r="B171" s="456" t="s">
        <v>573</v>
      </c>
      <c r="C171" s="457">
        <v>521502</v>
      </c>
      <c r="D171" s="458">
        <v>5611</v>
      </c>
      <c r="E171" s="454" t="s">
        <v>225</v>
      </c>
      <c r="F171" s="391">
        <v>2017</v>
      </c>
      <c r="G171" s="455">
        <v>42738</v>
      </c>
      <c r="H171" s="459" t="s">
        <v>760</v>
      </c>
      <c r="I171" s="460" t="s">
        <v>1127</v>
      </c>
      <c r="J171" s="461" t="s">
        <v>724</v>
      </c>
      <c r="K171" s="462" t="s">
        <v>1128</v>
      </c>
      <c r="L171" s="463" t="s">
        <v>1129</v>
      </c>
      <c r="M171" s="464">
        <v>-371691.32</v>
      </c>
      <c r="N171" s="464">
        <v>-16325.92</v>
      </c>
      <c r="O171" s="464">
        <v>-62082.76</v>
      </c>
      <c r="P171" s="465">
        <v>-450100</v>
      </c>
      <c r="Q171" s="392"/>
      <c r="R171" s="466">
        <v>-328699.3</v>
      </c>
      <c r="S171" s="394">
        <f t="shared" si="57"/>
        <v>-121400.70000000001</v>
      </c>
      <c r="T171" s="113" t="s">
        <v>1268</v>
      </c>
      <c r="U171" s="370"/>
      <c r="V171" s="370"/>
      <c r="W171" s="375"/>
      <c r="X171" s="374"/>
      <c r="Y171" s="370"/>
      <c r="Z171" s="371"/>
      <c r="AA171" s="371"/>
      <c r="AB171" s="371"/>
      <c r="AC171" s="270"/>
      <c r="AD171" s="372"/>
      <c r="AE171" s="270"/>
      <c r="AF171" s="270"/>
      <c r="AG171" s="270"/>
      <c r="AH171" s="272"/>
      <c r="AI171" s="313"/>
      <c r="AJ171" s="331"/>
      <c r="AK171" s="374"/>
      <c r="AL171" s="374"/>
      <c r="AM171" s="374"/>
    </row>
    <row r="172" spans="1:39" s="291" customFormat="1" ht="12.75" customHeight="1" x14ac:dyDescent="0.2">
      <c r="A172" s="423">
        <f t="shared" si="56"/>
        <v>167</v>
      </c>
      <c r="B172" s="456" t="s">
        <v>574</v>
      </c>
      <c r="C172" s="457">
        <v>521502</v>
      </c>
      <c r="D172" s="458">
        <v>5611</v>
      </c>
      <c r="E172" s="454" t="s">
        <v>225</v>
      </c>
      <c r="F172" s="391">
        <v>2017</v>
      </c>
      <c r="G172" s="455">
        <v>42738</v>
      </c>
      <c r="H172" s="459" t="s">
        <v>760</v>
      </c>
      <c r="I172" s="460" t="s">
        <v>1127</v>
      </c>
      <c r="J172" s="461" t="s">
        <v>724</v>
      </c>
      <c r="K172" s="462" t="s">
        <v>1128</v>
      </c>
      <c r="L172" s="463" t="s">
        <v>1129</v>
      </c>
      <c r="M172" s="464">
        <v>371691.32</v>
      </c>
      <c r="N172" s="464">
        <v>16325.92</v>
      </c>
      <c r="O172" s="464">
        <v>62082.76</v>
      </c>
      <c r="P172" s="465">
        <v>450100</v>
      </c>
      <c r="Q172" s="392"/>
      <c r="R172" s="466">
        <v>328699.3</v>
      </c>
      <c r="S172" s="394">
        <f t="shared" si="57"/>
        <v>121400.70000000001</v>
      </c>
      <c r="T172" s="113" t="s">
        <v>1268</v>
      </c>
      <c r="U172" s="370"/>
      <c r="V172" s="370"/>
      <c r="W172" s="375"/>
      <c r="X172" s="374"/>
      <c r="Y172" s="370"/>
      <c r="Z172" s="371"/>
      <c r="AA172" s="371"/>
      <c r="AB172" s="371"/>
      <c r="AC172" s="270"/>
      <c r="AD172" s="372"/>
      <c r="AE172" s="270"/>
      <c r="AF172" s="270"/>
      <c r="AG172" s="270"/>
      <c r="AH172" s="347"/>
      <c r="AI172" s="363"/>
      <c r="AJ172" s="331"/>
      <c r="AK172" s="374"/>
      <c r="AL172" s="374"/>
      <c r="AM172" s="374"/>
    </row>
    <row r="173" spans="1:39" s="291" customFormat="1" ht="12.75" customHeight="1" x14ac:dyDescent="0.2">
      <c r="A173" s="423">
        <f t="shared" si="56"/>
        <v>168</v>
      </c>
      <c r="B173" s="456" t="s">
        <v>603</v>
      </c>
      <c r="C173" s="457">
        <v>521801</v>
      </c>
      <c r="D173" s="458">
        <v>2201</v>
      </c>
      <c r="E173" s="454" t="s">
        <v>704</v>
      </c>
      <c r="F173" s="391">
        <v>2017</v>
      </c>
      <c r="G173" s="455">
        <v>42744</v>
      </c>
      <c r="H173" s="459" t="s">
        <v>847</v>
      </c>
      <c r="I173" s="460" t="s">
        <v>939</v>
      </c>
      <c r="J173" s="461" t="s">
        <v>724</v>
      </c>
      <c r="K173" s="462" t="s">
        <v>940</v>
      </c>
      <c r="L173" s="463" t="s">
        <v>941</v>
      </c>
      <c r="M173" s="464">
        <v>197586.21</v>
      </c>
      <c r="N173" s="464">
        <v>0</v>
      </c>
      <c r="O173" s="464">
        <v>31613.79</v>
      </c>
      <c r="P173" s="465">
        <v>229200</v>
      </c>
      <c r="Q173" s="392"/>
      <c r="R173" s="466">
        <v>179209.94</v>
      </c>
      <c r="S173" s="394">
        <f t="shared" si="57"/>
        <v>49990.06</v>
      </c>
      <c r="T173" s="113" t="s">
        <v>1268</v>
      </c>
      <c r="U173" s="370"/>
      <c r="V173" s="370"/>
      <c r="W173" s="375"/>
      <c r="X173" s="374"/>
      <c r="Y173" s="370"/>
      <c r="Z173" s="371"/>
      <c r="AA173" s="371"/>
      <c r="AB173" s="371"/>
      <c r="AC173" s="270"/>
      <c r="AD173" s="372"/>
      <c r="AE173" s="270"/>
      <c r="AF173" s="270"/>
      <c r="AG173" s="270"/>
      <c r="AH173" s="350"/>
      <c r="AI173" s="365"/>
      <c r="AJ173" s="331"/>
      <c r="AK173" s="374"/>
      <c r="AL173" s="374"/>
      <c r="AM173" s="374"/>
    </row>
    <row r="174" spans="1:39" s="291" customFormat="1" ht="12.75" customHeight="1" x14ac:dyDescent="0.2">
      <c r="A174" s="423">
        <f t="shared" si="56"/>
        <v>169</v>
      </c>
      <c r="B174" s="456" t="s">
        <v>604</v>
      </c>
      <c r="C174" s="457">
        <v>521801</v>
      </c>
      <c r="D174" s="458">
        <v>2201</v>
      </c>
      <c r="E174" s="454" t="s">
        <v>704</v>
      </c>
      <c r="F174" s="391">
        <v>2017</v>
      </c>
      <c r="G174" s="455">
        <v>42748</v>
      </c>
      <c r="H174" s="459" t="s">
        <v>847</v>
      </c>
      <c r="I174" s="460" t="s">
        <v>939</v>
      </c>
      <c r="J174" s="461" t="s">
        <v>724</v>
      </c>
      <c r="K174" s="462" t="s">
        <v>940</v>
      </c>
      <c r="L174" s="463" t="s">
        <v>941</v>
      </c>
      <c r="M174" s="464">
        <v>-197586.21</v>
      </c>
      <c r="N174" s="464">
        <v>0</v>
      </c>
      <c r="O174" s="464">
        <v>-31613.79</v>
      </c>
      <c r="P174" s="465">
        <v>-229200</v>
      </c>
      <c r="Q174" s="392"/>
      <c r="R174" s="466">
        <v>-179209.94</v>
      </c>
      <c r="S174" s="394">
        <f t="shared" si="57"/>
        <v>-49990.06</v>
      </c>
      <c r="T174" s="113" t="s">
        <v>1268</v>
      </c>
      <c r="U174" s="370"/>
      <c r="V174" s="370"/>
      <c r="W174" s="375"/>
      <c r="X174" s="374"/>
      <c r="Y174" s="370"/>
      <c r="Z174" s="371"/>
      <c r="AA174" s="371"/>
      <c r="AB174" s="371"/>
      <c r="AC174" s="270"/>
      <c r="AD174" s="372"/>
      <c r="AE174" s="270"/>
      <c r="AF174" s="270"/>
      <c r="AG174" s="270"/>
      <c r="AH174" s="350"/>
      <c r="AI174" s="365"/>
      <c r="AJ174" s="331"/>
      <c r="AK174" s="374"/>
      <c r="AL174" s="374"/>
      <c r="AM174" s="374"/>
    </row>
    <row r="175" spans="1:39" s="348" customFormat="1" ht="12.75" customHeight="1" x14ac:dyDescent="0.2">
      <c r="A175" s="423">
        <f t="shared" si="56"/>
        <v>170</v>
      </c>
      <c r="B175" s="456" t="s">
        <v>609</v>
      </c>
      <c r="C175" s="457">
        <v>1520701</v>
      </c>
      <c r="D175" s="458">
        <v>2203</v>
      </c>
      <c r="E175" s="454" t="s">
        <v>719</v>
      </c>
      <c r="F175" s="391">
        <v>2017</v>
      </c>
      <c r="G175" s="455">
        <v>42751</v>
      </c>
      <c r="H175" s="459" t="s">
        <v>764</v>
      </c>
      <c r="I175" s="460" t="s">
        <v>1139</v>
      </c>
      <c r="J175" s="461" t="s">
        <v>724</v>
      </c>
      <c r="K175" s="462" t="s">
        <v>1016</v>
      </c>
      <c r="L175" s="463" t="s">
        <v>1140</v>
      </c>
      <c r="M175" s="464">
        <v>175603.45</v>
      </c>
      <c r="N175" s="464">
        <v>0</v>
      </c>
      <c r="O175" s="464">
        <v>28096.55</v>
      </c>
      <c r="P175" s="465">
        <v>203700</v>
      </c>
      <c r="Q175" s="392"/>
      <c r="R175" s="466">
        <v>159425.46</v>
      </c>
      <c r="S175" s="394">
        <f t="shared" si="57"/>
        <v>44274.540000000008</v>
      </c>
      <c r="T175" s="267" t="s">
        <v>1268</v>
      </c>
      <c r="U175" s="370"/>
      <c r="V175" s="370"/>
      <c r="W175" s="375"/>
      <c r="X175" s="374"/>
      <c r="Y175" s="370"/>
      <c r="Z175" s="371"/>
      <c r="AA175" s="371"/>
      <c r="AB175" s="371"/>
      <c r="AC175" s="270"/>
      <c r="AD175" s="372"/>
      <c r="AE175" s="270"/>
      <c r="AF175" s="270"/>
      <c r="AG175" s="270"/>
      <c r="AH175" s="350"/>
      <c r="AI175" s="365"/>
      <c r="AJ175" s="330"/>
      <c r="AK175" s="330"/>
      <c r="AL175" s="330"/>
      <c r="AM175" s="330"/>
    </row>
    <row r="176" spans="1:39" s="348" customFormat="1" ht="12.75" customHeight="1" x14ac:dyDescent="0.2">
      <c r="A176" s="423">
        <f t="shared" si="56"/>
        <v>171</v>
      </c>
      <c r="B176" s="456" t="s">
        <v>610</v>
      </c>
      <c r="C176" s="457">
        <v>1520701</v>
      </c>
      <c r="D176" s="458">
        <v>2203</v>
      </c>
      <c r="E176" s="454" t="s">
        <v>719</v>
      </c>
      <c r="F176" s="391">
        <v>2017</v>
      </c>
      <c r="G176" s="455">
        <v>42752</v>
      </c>
      <c r="H176" s="459" t="s">
        <v>764</v>
      </c>
      <c r="I176" s="460" t="s">
        <v>1139</v>
      </c>
      <c r="J176" s="461" t="s">
        <v>724</v>
      </c>
      <c r="K176" s="462" t="s">
        <v>1016</v>
      </c>
      <c r="L176" s="463" t="s">
        <v>1140</v>
      </c>
      <c r="M176" s="464">
        <v>-175603.45</v>
      </c>
      <c r="N176" s="464">
        <v>0</v>
      </c>
      <c r="O176" s="464">
        <v>-28096.55</v>
      </c>
      <c r="P176" s="465">
        <v>-203700</v>
      </c>
      <c r="Q176" s="392"/>
      <c r="R176" s="466">
        <v>-159425.46</v>
      </c>
      <c r="S176" s="394">
        <f t="shared" si="57"/>
        <v>-44274.540000000008</v>
      </c>
      <c r="T176" s="267" t="s">
        <v>1268</v>
      </c>
      <c r="U176" s="370"/>
      <c r="V176" s="370"/>
      <c r="W176" s="375"/>
      <c r="X176" s="374"/>
      <c r="Y176" s="370"/>
      <c r="Z176" s="371"/>
      <c r="AA176" s="371"/>
      <c r="AB176" s="371"/>
      <c r="AC176" s="270"/>
      <c r="AD176" s="372"/>
      <c r="AE176" s="270"/>
      <c r="AF176" s="270"/>
      <c r="AG176" s="270"/>
      <c r="AH176" s="350"/>
      <c r="AI176" s="365"/>
      <c r="AJ176" s="331"/>
      <c r="AK176" s="330"/>
      <c r="AL176" s="330"/>
      <c r="AM176" s="330"/>
    </row>
    <row r="177" spans="1:39" s="348" customFormat="1" ht="12.75" customHeight="1" x14ac:dyDescent="0.2">
      <c r="A177" s="423">
        <f t="shared" si="56"/>
        <v>172</v>
      </c>
      <c r="B177" s="456" t="s">
        <v>611</v>
      </c>
      <c r="C177" s="457">
        <v>1520701</v>
      </c>
      <c r="D177" s="458">
        <v>2203</v>
      </c>
      <c r="E177" s="454" t="s">
        <v>719</v>
      </c>
      <c r="F177" s="391">
        <v>2017</v>
      </c>
      <c r="G177" s="455">
        <v>42752</v>
      </c>
      <c r="H177" s="459" t="s">
        <v>764</v>
      </c>
      <c r="I177" s="460" t="s">
        <v>1139</v>
      </c>
      <c r="J177" s="461" t="s">
        <v>724</v>
      </c>
      <c r="K177" s="462" t="s">
        <v>1016</v>
      </c>
      <c r="L177" s="463" t="s">
        <v>1140</v>
      </c>
      <c r="M177" s="464">
        <v>-175603.45</v>
      </c>
      <c r="N177" s="464">
        <v>0</v>
      </c>
      <c r="O177" s="464">
        <v>-28096.55</v>
      </c>
      <c r="P177" s="465">
        <v>-203700</v>
      </c>
      <c r="Q177" s="392"/>
      <c r="R177" s="466">
        <v>-159425.46</v>
      </c>
      <c r="S177" s="394">
        <f t="shared" si="57"/>
        <v>-44274.540000000008</v>
      </c>
      <c r="T177" s="113" t="s">
        <v>1268</v>
      </c>
      <c r="U177" s="370"/>
      <c r="V177" s="370"/>
      <c r="W177" s="375"/>
      <c r="X177" s="374"/>
      <c r="Y177" s="370"/>
      <c r="Z177" s="371"/>
      <c r="AA177" s="371"/>
      <c r="AB177" s="371"/>
      <c r="AC177" s="270"/>
      <c r="AD177" s="372"/>
      <c r="AE177" s="270"/>
      <c r="AF177" s="270"/>
      <c r="AG177" s="270"/>
      <c r="AH177" s="347"/>
      <c r="AI177" s="363"/>
      <c r="AJ177" s="330"/>
      <c r="AK177" s="330"/>
      <c r="AL177" s="330"/>
      <c r="AM177" s="330"/>
    </row>
    <row r="178" spans="1:39" s="291" customFormat="1" ht="12.75" customHeight="1" x14ac:dyDescent="0.2">
      <c r="A178" s="423">
        <f t="shared" si="56"/>
        <v>173</v>
      </c>
      <c r="B178" s="456" t="s">
        <v>612</v>
      </c>
      <c r="C178" s="457">
        <v>1520701</v>
      </c>
      <c r="D178" s="458">
        <v>2203</v>
      </c>
      <c r="E178" s="454" t="s">
        <v>719</v>
      </c>
      <c r="F178" s="391">
        <v>2017</v>
      </c>
      <c r="G178" s="455">
        <v>42752</v>
      </c>
      <c r="H178" s="459" t="s">
        <v>764</v>
      </c>
      <c r="I178" s="460" t="s">
        <v>1139</v>
      </c>
      <c r="J178" s="461" t="s">
        <v>724</v>
      </c>
      <c r="K178" s="462" t="s">
        <v>1016</v>
      </c>
      <c r="L178" s="463" t="s">
        <v>1140</v>
      </c>
      <c r="M178" s="464">
        <v>175603.45</v>
      </c>
      <c r="N178" s="464">
        <v>0</v>
      </c>
      <c r="O178" s="464">
        <v>28096.55</v>
      </c>
      <c r="P178" s="465">
        <v>203700</v>
      </c>
      <c r="Q178" s="392"/>
      <c r="R178" s="466">
        <v>159425.46</v>
      </c>
      <c r="S178" s="394">
        <f t="shared" si="57"/>
        <v>44274.540000000008</v>
      </c>
      <c r="T178" s="113" t="s">
        <v>1268</v>
      </c>
      <c r="U178" s="370"/>
      <c r="V178" s="370"/>
      <c r="W178" s="375"/>
      <c r="X178" s="374"/>
      <c r="Y178" s="370"/>
      <c r="Z178" s="371"/>
      <c r="AA178" s="371"/>
      <c r="AB178" s="371"/>
      <c r="AC178" s="270"/>
      <c r="AD178" s="372"/>
      <c r="AE178" s="270"/>
      <c r="AF178" s="270"/>
      <c r="AG178" s="270"/>
      <c r="AH178" s="272"/>
      <c r="AI178" s="313"/>
      <c r="AJ178" s="331"/>
      <c r="AK178" s="374"/>
      <c r="AL178" s="374"/>
      <c r="AM178" s="374"/>
    </row>
    <row r="179" spans="1:39" s="291" customFormat="1" ht="12.75" customHeight="1" x14ac:dyDescent="0.2">
      <c r="A179" s="423">
        <f t="shared" si="56"/>
        <v>174</v>
      </c>
      <c r="B179" s="456" t="s">
        <v>613</v>
      </c>
      <c r="C179" s="457">
        <v>1520701</v>
      </c>
      <c r="D179" s="458">
        <v>2203</v>
      </c>
      <c r="E179" s="454" t="s">
        <v>719</v>
      </c>
      <c r="F179" s="391">
        <v>2017</v>
      </c>
      <c r="G179" s="455">
        <v>42752</v>
      </c>
      <c r="H179" s="459" t="s">
        <v>764</v>
      </c>
      <c r="I179" s="460" t="s">
        <v>1139</v>
      </c>
      <c r="J179" s="461" t="s">
        <v>724</v>
      </c>
      <c r="K179" s="462" t="s">
        <v>1016</v>
      </c>
      <c r="L179" s="463" t="s">
        <v>1140</v>
      </c>
      <c r="M179" s="464">
        <v>175603.45</v>
      </c>
      <c r="N179" s="464">
        <v>0</v>
      </c>
      <c r="O179" s="464">
        <v>28096.55</v>
      </c>
      <c r="P179" s="465">
        <v>203700</v>
      </c>
      <c r="Q179" s="392"/>
      <c r="R179" s="466">
        <v>159425.46</v>
      </c>
      <c r="S179" s="394">
        <f t="shared" si="57"/>
        <v>44274.540000000008</v>
      </c>
      <c r="T179" s="113" t="s">
        <v>1268</v>
      </c>
      <c r="U179" s="370"/>
      <c r="V179" s="370"/>
      <c r="W179" s="375"/>
      <c r="X179" s="374"/>
      <c r="Y179" s="370"/>
      <c r="Z179" s="371"/>
      <c r="AA179" s="371"/>
      <c r="AB179" s="371"/>
      <c r="AC179" s="270"/>
      <c r="AD179" s="372"/>
      <c r="AE179" s="270"/>
      <c r="AF179" s="270"/>
      <c r="AG179" s="270"/>
      <c r="AH179" s="350"/>
      <c r="AI179" s="365"/>
      <c r="AJ179" s="330"/>
      <c r="AK179" s="374"/>
      <c r="AL179" s="374"/>
      <c r="AM179" s="374"/>
    </row>
    <row r="180" spans="1:39" s="291" customFormat="1" ht="12.75" customHeight="1" x14ac:dyDescent="0.2">
      <c r="A180" s="423">
        <f t="shared" si="56"/>
        <v>175</v>
      </c>
      <c r="B180" s="456" t="s">
        <v>614</v>
      </c>
      <c r="C180" s="457">
        <v>1520701</v>
      </c>
      <c r="D180" s="458">
        <v>2203</v>
      </c>
      <c r="E180" s="454" t="s">
        <v>719</v>
      </c>
      <c r="F180" s="391">
        <v>2017</v>
      </c>
      <c r="G180" s="455">
        <v>42755</v>
      </c>
      <c r="H180" s="459" t="s">
        <v>764</v>
      </c>
      <c r="I180" s="460" t="s">
        <v>1139</v>
      </c>
      <c r="J180" s="461" t="s">
        <v>724</v>
      </c>
      <c r="K180" s="462" t="s">
        <v>1016</v>
      </c>
      <c r="L180" s="463" t="s">
        <v>1140</v>
      </c>
      <c r="M180" s="464">
        <v>-175603.45</v>
      </c>
      <c r="N180" s="464">
        <v>0</v>
      </c>
      <c r="O180" s="464">
        <v>-28096.55</v>
      </c>
      <c r="P180" s="465">
        <v>-203700</v>
      </c>
      <c r="Q180" s="392"/>
      <c r="R180" s="466">
        <v>-159425.46</v>
      </c>
      <c r="S180" s="394">
        <f t="shared" si="57"/>
        <v>-44274.540000000008</v>
      </c>
      <c r="T180" s="113" t="s">
        <v>1268</v>
      </c>
      <c r="U180" s="360"/>
      <c r="V180" s="360"/>
      <c r="W180" s="358"/>
      <c r="X180" s="331"/>
      <c r="Y180" s="360"/>
      <c r="Z180" s="334"/>
      <c r="AA180" s="334"/>
      <c r="AB180" s="334"/>
      <c r="AC180" s="349"/>
      <c r="AD180" s="335"/>
      <c r="AE180" s="349"/>
      <c r="AF180" s="349"/>
      <c r="AG180" s="349"/>
      <c r="AH180" s="272"/>
      <c r="AI180" s="313"/>
      <c r="AJ180" s="331"/>
      <c r="AK180" s="374"/>
      <c r="AL180" s="374"/>
      <c r="AM180" s="374"/>
    </row>
    <row r="181" spans="1:39" s="291" customFormat="1" ht="12.75" customHeight="1" x14ac:dyDescent="0.2">
      <c r="A181" s="423">
        <f t="shared" si="56"/>
        <v>176</v>
      </c>
      <c r="B181" s="456" t="s">
        <v>601</v>
      </c>
      <c r="C181" s="457">
        <v>521801</v>
      </c>
      <c r="D181" s="458">
        <v>2201</v>
      </c>
      <c r="E181" s="454" t="s">
        <v>704</v>
      </c>
      <c r="F181" s="391">
        <v>2017</v>
      </c>
      <c r="G181" s="455">
        <v>42744</v>
      </c>
      <c r="H181" s="459" t="s">
        <v>792</v>
      </c>
      <c r="I181" s="460" t="s">
        <v>1136</v>
      </c>
      <c r="J181" s="461" t="s">
        <v>724</v>
      </c>
      <c r="K181" s="462" t="s">
        <v>1137</v>
      </c>
      <c r="L181" s="463" t="s">
        <v>1138</v>
      </c>
      <c r="M181" s="464">
        <v>197586.21</v>
      </c>
      <c r="N181" s="464">
        <v>0</v>
      </c>
      <c r="O181" s="464">
        <v>31613.79</v>
      </c>
      <c r="P181" s="465">
        <v>229200</v>
      </c>
      <c r="Q181" s="392"/>
      <c r="R181" s="466">
        <v>179209.94</v>
      </c>
      <c r="S181" s="394">
        <f t="shared" si="57"/>
        <v>49990.06</v>
      </c>
      <c r="T181" s="113" t="s">
        <v>1268</v>
      </c>
      <c r="U181" s="360"/>
      <c r="V181" s="360"/>
      <c r="W181" s="358"/>
      <c r="X181" s="331"/>
      <c r="Y181" s="360"/>
      <c r="Z181" s="334"/>
      <c r="AA181" s="334"/>
      <c r="AB181" s="334"/>
      <c r="AC181" s="349"/>
      <c r="AD181" s="335"/>
      <c r="AE181" s="349"/>
      <c r="AF181" s="349"/>
      <c r="AG181" s="349"/>
      <c r="AH181" s="350"/>
      <c r="AI181" s="365"/>
      <c r="AJ181" s="330"/>
      <c r="AK181" s="374"/>
      <c r="AL181" s="374"/>
      <c r="AM181" s="374"/>
    </row>
    <row r="182" spans="1:39" s="291" customFormat="1" ht="12.75" customHeight="1" x14ac:dyDescent="0.2">
      <c r="A182" s="423">
        <f t="shared" si="56"/>
        <v>177</v>
      </c>
      <c r="B182" s="456" t="s">
        <v>602</v>
      </c>
      <c r="C182" s="457">
        <v>521801</v>
      </c>
      <c r="D182" s="458">
        <v>2201</v>
      </c>
      <c r="E182" s="454" t="s">
        <v>704</v>
      </c>
      <c r="F182" s="391">
        <v>2017</v>
      </c>
      <c r="G182" s="455">
        <v>42752</v>
      </c>
      <c r="H182" s="459" t="s">
        <v>792</v>
      </c>
      <c r="I182" s="460" t="s">
        <v>1136</v>
      </c>
      <c r="J182" s="461" t="s">
        <v>724</v>
      </c>
      <c r="K182" s="462" t="s">
        <v>1137</v>
      </c>
      <c r="L182" s="463" t="s">
        <v>1138</v>
      </c>
      <c r="M182" s="464">
        <v>-197586.21</v>
      </c>
      <c r="N182" s="464">
        <v>0</v>
      </c>
      <c r="O182" s="464">
        <v>-31613.79</v>
      </c>
      <c r="P182" s="465">
        <v>-229200</v>
      </c>
      <c r="Q182" s="392"/>
      <c r="R182" s="466">
        <v>-179209.94</v>
      </c>
      <c r="S182" s="394">
        <f t="shared" si="57"/>
        <v>-49990.06</v>
      </c>
      <c r="T182" s="113" t="s">
        <v>1268</v>
      </c>
      <c r="U182" s="370"/>
      <c r="V182" s="370"/>
      <c r="W182" s="375"/>
      <c r="X182" s="374"/>
      <c r="Y182" s="370"/>
      <c r="Z182" s="371"/>
      <c r="AA182" s="371"/>
      <c r="AB182" s="371"/>
      <c r="AC182" s="270"/>
      <c r="AD182" s="372"/>
      <c r="AE182" s="270"/>
      <c r="AF182" s="270"/>
      <c r="AG182" s="270"/>
      <c r="AH182" s="350"/>
      <c r="AI182" s="365"/>
      <c r="AJ182" s="374"/>
      <c r="AK182" s="374"/>
      <c r="AL182" s="374"/>
      <c r="AM182" s="374"/>
    </row>
    <row r="183" spans="1:39" s="348" customFormat="1" ht="12.75" customHeight="1" x14ac:dyDescent="0.2">
      <c r="A183" s="423">
        <f t="shared" si="56"/>
        <v>178</v>
      </c>
      <c r="B183" s="456" t="s">
        <v>587</v>
      </c>
      <c r="C183" s="457">
        <v>521802</v>
      </c>
      <c r="D183" s="458">
        <v>2202</v>
      </c>
      <c r="E183" s="454" t="s">
        <v>703</v>
      </c>
      <c r="F183" s="391">
        <v>2017</v>
      </c>
      <c r="G183" s="455">
        <v>42753</v>
      </c>
      <c r="H183" s="459" t="s">
        <v>788</v>
      </c>
      <c r="I183" s="460" t="s">
        <v>948</v>
      </c>
      <c r="J183" s="461" t="s">
        <v>729</v>
      </c>
      <c r="K183" s="462" t="s">
        <v>949</v>
      </c>
      <c r="L183" s="463" t="s">
        <v>950</v>
      </c>
      <c r="M183" s="464">
        <v>201982.76</v>
      </c>
      <c r="N183" s="464">
        <v>0</v>
      </c>
      <c r="O183" s="464">
        <v>32317.24</v>
      </c>
      <c r="P183" s="465">
        <v>234300</v>
      </c>
      <c r="Q183" s="392"/>
      <c r="R183" s="466">
        <v>182900.64</v>
      </c>
      <c r="S183" s="394">
        <f t="shared" si="57"/>
        <v>51399.359999999986</v>
      </c>
      <c r="T183" s="267" t="s">
        <v>1268</v>
      </c>
      <c r="U183" s="360"/>
      <c r="V183" s="360"/>
      <c r="W183" s="358"/>
      <c r="X183" s="331"/>
      <c r="Y183" s="360"/>
      <c r="Z183" s="334"/>
      <c r="AA183" s="334"/>
      <c r="AB183" s="334"/>
      <c r="AC183" s="349"/>
      <c r="AD183" s="335"/>
      <c r="AE183" s="349"/>
      <c r="AF183" s="349"/>
      <c r="AG183" s="349"/>
      <c r="AH183" s="272"/>
      <c r="AI183" s="313"/>
      <c r="AJ183" s="374"/>
      <c r="AK183" s="330"/>
      <c r="AL183" s="330"/>
      <c r="AM183" s="330"/>
    </row>
    <row r="184" spans="1:39" s="291" customFormat="1" ht="12.75" customHeight="1" x14ac:dyDescent="0.2">
      <c r="A184" s="423">
        <f t="shared" si="56"/>
        <v>179</v>
      </c>
      <c r="B184" s="456" t="s">
        <v>588</v>
      </c>
      <c r="C184" s="457">
        <v>521802</v>
      </c>
      <c r="D184" s="458">
        <v>2202</v>
      </c>
      <c r="E184" s="454" t="s">
        <v>703</v>
      </c>
      <c r="F184" s="391">
        <v>2017</v>
      </c>
      <c r="G184" s="455">
        <v>42754</v>
      </c>
      <c r="H184" s="459" t="s">
        <v>788</v>
      </c>
      <c r="I184" s="460" t="s">
        <v>948</v>
      </c>
      <c r="J184" s="461" t="s">
        <v>729</v>
      </c>
      <c r="K184" s="462" t="s">
        <v>949</v>
      </c>
      <c r="L184" s="463" t="s">
        <v>950</v>
      </c>
      <c r="M184" s="464">
        <v>-201982.76</v>
      </c>
      <c r="N184" s="464">
        <v>0</v>
      </c>
      <c r="O184" s="464">
        <v>-32317.24</v>
      </c>
      <c r="P184" s="465">
        <v>-234300</v>
      </c>
      <c r="Q184" s="392"/>
      <c r="R184" s="466">
        <v>-182900.64</v>
      </c>
      <c r="S184" s="394">
        <f t="shared" si="57"/>
        <v>-51399.359999999986</v>
      </c>
      <c r="T184" s="113" t="s">
        <v>1268</v>
      </c>
      <c r="U184" s="360"/>
      <c r="V184" s="360"/>
      <c r="W184" s="358"/>
      <c r="X184" s="331"/>
      <c r="Y184" s="360"/>
      <c r="Z184" s="334"/>
      <c r="AA184" s="334"/>
      <c r="AB184" s="334"/>
      <c r="AC184" s="349"/>
      <c r="AD184" s="335"/>
      <c r="AE184" s="349"/>
      <c r="AF184" s="349"/>
      <c r="AG184" s="349"/>
      <c r="AH184" s="350"/>
      <c r="AI184" s="365"/>
      <c r="AJ184" s="374"/>
      <c r="AK184" s="374"/>
      <c r="AL184" s="374"/>
      <c r="AM184" s="374"/>
    </row>
    <row r="185" spans="1:39" s="291" customFormat="1" ht="12.75" customHeight="1" x14ac:dyDescent="0.2">
      <c r="A185" s="423">
        <f t="shared" si="56"/>
        <v>180</v>
      </c>
      <c r="B185" s="456" t="s">
        <v>555</v>
      </c>
      <c r="C185" s="457">
        <v>521802</v>
      </c>
      <c r="D185" s="458" t="s">
        <v>686</v>
      </c>
      <c r="E185" s="454" t="s">
        <v>695</v>
      </c>
      <c r="F185" s="391">
        <v>2017</v>
      </c>
      <c r="G185" s="455">
        <v>42756</v>
      </c>
      <c r="H185" s="459" t="s">
        <v>735</v>
      </c>
      <c r="I185" s="460" t="s">
        <v>942</v>
      </c>
      <c r="J185" s="461" t="s">
        <v>729</v>
      </c>
      <c r="K185" s="462" t="s">
        <v>943</v>
      </c>
      <c r="L185" s="463" t="s">
        <v>944</v>
      </c>
      <c r="M185" s="464">
        <v>-193879.31</v>
      </c>
      <c r="N185" s="464">
        <v>0</v>
      </c>
      <c r="O185" s="464">
        <v>-31020.69</v>
      </c>
      <c r="P185" s="465">
        <v>-224900</v>
      </c>
      <c r="Q185" s="392"/>
      <c r="R185" s="466">
        <v>-179442.7</v>
      </c>
      <c r="S185" s="394">
        <f t="shared" si="57"/>
        <v>-45457.299999999988</v>
      </c>
      <c r="T185" s="267" t="s">
        <v>1268</v>
      </c>
      <c r="U185" s="354"/>
      <c r="V185" s="354"/>
      <c r="W185" s="355"/>
      <c r="X185" s="330"/>
      <c r="Y185" s="354"/>
      <c r="Z185" s="328"/>
      <c r="AA185" s="328"/>
      <c r="AB185" s="328"/>
      <c r="AC185" s="346"/>
      <c r="AD185" s="333"/>
      <c r="AE185" s="346"/>
      <c r="AF185" s="346"/>
      <c r="AG185" s="346"/>
      <c r="AH185" s="350"/>
      <c r="AI185" s="365"/>
      <c r="AJ185" s="374"/>
      <c r="AK185" s="374"/>
      <c r="AL185" s="374"/>
      <c r="AM185" s="374"/>
    </row>
    <row r="186" spans="1:39" s="291" customFormat="1" ht="12.75" customHeight="1" x14ac:dyDescent="0.2">
      <c r="A186" s="423">
        <f t="shared" si="56"/>
        <v>181</v>
      </c>
      <c r="B186" s="456" t="s">
        <v>556</v>
      </c>
      <c r="C186" s="457">
        <v>521802</v>
      </c>
      <c r="D186" s="458" t="s">
        <v>686</v>
      </c>
      <c r="E186" s="454" t="s">
        <v>695</v>
      </c>
      <c r="F186" s="391">
        <v>2017</v>
      </c>
      <c r="G186" s="455">
        <v>42756</v>
      </c>
      <c r="H186" s="459" t="s">
        <v>735</v>
      </c>
      <c r="I186" s="460" t="s">
        <v>942</v>
      </c>
      <c r="J186" s="461" t="s">
        <v>729</v>
      </c>
      <c r="K186" s="462" t="s">
        <v>943</v>
      </c>
      <c r="L186" s="463" t="s">
        <v>944</v>
      </c>
      <c r="M186" s="464">
        <v>193879.31</v>
      </c>
      <c r="N186" s="464">
        <v>0</v>
      </c>
      <c r="O186" s="464">
        <v>31020.69</v>
      </c>
      <c r="P186" s="465">
        <v>224900</v>
      </c>
      <c r="Q186" s="392"/>
      <c r="R186" s="466">
        <v>179442.7</v>
      </c>
      <c r="S186" s="394">
        <f t="shared" si="57"/>
        <v>45457.299999999988</v>
      </c>
      <c r="T186" s="113" t="s">
        <v>1268</v>
      </c>
      <c r="U186" s="370"/>
      <c r="V186" s="370"/>
      <c r="W186" s="375"/>
      <c r="X186" s="374"/>
      <c r="Y186" s="370"/>
      <c r="Z186" s="371"/>
      <c r="AA186" s="371"/>
      <c r="AB186" s="371"/>
      <c r="AC186" s="270"/>
      <c r="AD186" s="372"/>
      <c r="AE186" s="270"/>
      <c r="AF186" s="270"/>
      <c r="AG186" s="270"/>
      <c r="AH186" s="347"/>
      <c r="AI186" s="363"/>
      <c r="AJ186" s="374"/>
      <c r="AK186" s="374"/>
      <c r="AL186" s="374"/>
      <c r="AM186" s="374"/>
    </row>
    <row r="187" spans="1:39" s="291" customFormat="1" ht="12.75" customHeight="1" x14ac:dyDescent="0.2">
      <c r="A187" s="423">
        <f t="shared" si="56"/>
        <v>182</v>
      </c>
      <c r="B187" s="456" t="s">
        <v>591</v>
      </c>
      <c r="C187" s="457">
        <v>521801</v>
      </c>
      <c r="D187" s="458">
        <v>2202</v>
      </c>
      <c r="E187" s="454" t="s">
        <v>703</v>
      </c>
      <c r="F187" s="391">
        <v>2017</v>
      </c>
      <c r="G187" s="455">
        <v>42751</v>
      </c>
      <c r="H187" s="459" t="s">
        <v>764</v>
      </c>
      <c r="I187" s="460" t="s">
        <v>936</v>
      </c>
      <c r="J187" s="461" t="s">
        <v>729</v>
      </c>
      <c r="K187" s="462" t="s">
        <v>937</v>
      </c>
      <c r="L187" s="463" t="s">
        <v>938</v>
      </c>
      <c r="M187" s="464">
        <v>284766.88</v>
      </c>
      <c r="N187" s="464">
        <v>3422.78</v>
      </c>
      <c r="O187" s="464">
        <v>46110.34</v>
      </c>
      <c r="P187" s="465">
        <v>334300</v>
      </c>
      <c r="Q187" s="392"/>
      <c r="R187" s="466">
        <v>182900.64</v>
      </c>
      <c r="S187" s="394">
        <f t="shared" si="57"/>
        <v>151399.35999999999</v>
      </c>
      <c r="T187" s="113" t="s">
        <v>1268</v>
      </c>
      <c r="U187" s="370"/>
      <c r="V187" s="370"/>
      <c r="W187" s="375"/>
      <c r="X187" s="374"/>
      <c r="Y187" s="370"/>
      <c r="Z187" s="371"/>
      <c r="AA187" s="371"/>
      <c r="AB187" s="371"/>
      <c r="AC187" s="270"/>
      <c r="AD187" s="372"/>
      <c r="AE187" s="270"/>
      <c r="AF187" s="270"/>
      <c r="AG187" s="270"/>
      <c r="AH187" s="272"/>
      <c r="AI187" s="313"/>
      <c r="AJ187" s="374"/>
      <c r="AK187" s="374"/>
      <c r="AL187" s="374"/>
      <c r="AM187" s="374"/>
    </row>
    <row r="188" spans="1:39" s="291" customFormat="1" ht="12.75" customHeight="1" x14ac:dyDescent="0.2">
      <c r="A188" s="423">
        <f t="shared" si="56"/>
        <v>183</v>
      </c>
      <c r="B188" s="456" t="s">
        <v>592</v>
      </c>
      <c r="C188" s="457">
        <v>521801</v>
      </c>
      <c r="D188" s="458">
        <v>2202</v>
      </c>
      <c r="E188" s="454" t="s">
        <v>703</v>
      </c>
      <c r="F188" s="391">
        <v>2017</v>
      </c>
      <c r="G188" s="455">
        <v>42752</v>
      </c>
      <c r="H188" s="459" t="s">
        <v>764</v>
      </c>
      <c r="I188" s="460" t="s">
        <v>936</v>
      </c>
      <c r="J188" s="461" t="s">
        <v>729</v>
      </c>
      <c r="K188" s="462" t="s">
        <v>937</v>
      </c>
      <c r="L188" s="463" t="s">
        <v>938</v>
      </c>
      <c r="M188" s="464">
        <v>-284766.88</v>
      </c>
      <c r="N188" s="464">
        <v>-3422.78</v>
      </c>
      <c r="O188" s="464">
        <v>-46110.34</v>
      </c>
      <c r="P188" s="465">
        <v>-334300</v>
      </c>
      <c r="Q188" s="392"/>
      <c r="R188" s="466">
        <v>-182900.64</v>
      </c>
      <c r="S188" s="394">
        <f t="shared" si="57"/>
        <v>-151399.35999999999</v>
      </c>
      <c r="T188" s="444" t="s">
        <v>1268</v>
      </c>
      <c r="U188" s="370"/>
      <c r="V188" s="370"/>
      <c r="W188" s="375"/>
      <c r="X188" s="374"/>
      <c r="Y188" s="370"/>
      <c r="Z188" s="371"/>
      <c r="AA188" s="371"/>
      <c r="AB188" s="371"/>
      <c r="AC188" s="270"/>
      <c r="AD188" s="372"/>
      <c r="AE188" s="270"/>
      <c r="AF188" s="270"/>
      <c r="AG188" s="270"/>
      <c r="AH188" s="350"/>
      <c r="AI188" s="365"/>
      <c r="AJ188" s="374"/>
      <c r="AK188" s="374"/>
      <c r="AL188" s="374"/>
      <c r="AM188" s="374"/>
    </row>
    <row r="189" spans="1:39" s="291" customFormat="1" ht="12.75" customHeight="1" x14ac:dyDescent="0.2">
      <c r="A189" s="423">
        <f t="shared" si="56"/>
        <v>184</v>
      </c>
      <c r="B189" s="456" t="s">
        <v>627</v>
      </c>
      <c r="C189" s="457">
        <v>521802</v>
      </c>
      <c r="D189" s="458">
        <v>2202</v>
      </c>
      <c r="E189" s="454" t="s">
        <v>703</v>
      </c>
      <c r="F189" s="391">
        <v>2017</v>
      </c>
      <c r="G189" s="455">
        <v>42765</v>
      </c>
      <c r="H189" s="459" t="s">
        <v>810</v>
      </c>
      <c r="I189" s="460" t="s">
        <v>960</v>
      </c>
      <c r="J189" s="461" t="s">
        <v>729</v>
      </c>
      <c r="K189" s="462" t="s">
        <v>961</v>
      </c>
      <c r="L189" s="463" t="s">
        <v>962</v>
      </c>
      <c r="M189" s="464">
        <v>-201982.76</v>
      </c>
      <c r="N189" s="464">
        <v>0</v>
      </c>
      <c r="O189" s="464">
        <v>-32317.24</v>
      </c>
      <c r="P189" s="465">
        <v>-234300</v>
      </c>
      <c r="Q189" s="392"/>
      <c r="R189" s="466">
        <v>-182856.5</v>
      </c>
      <c r="S189" s="394">
        <f t="shared" si="57"/>
        <v>-51443.5</v>
      </c>
      <c r="T189" s="113" t="s">
        <v>1268</v>
      </c>
      <c r="U189" s="370"/>
      <c r="V189" s="370"/>
      <c r="W189" s="375"/>
      <c r="X189" s="374"/>
      <c r="Y189" s="370"/>
      <c r="Z189" s="371"/>
      <c r="AA189" s="371"/>
      <c r="AB189" s="371"/>
      <c r="AC189" s="270"/>
      <c r="AD189" s="372"/>
      <c r="AE189" s="270"/>
      <c r="AF189" s="270"/>
      <c r="AG189" s="270"/>
      <c r="AH189" s="272"/>
      <c r="AI189" s="313"/>
      <c r="AJ189" s="374"/>
      <c r="AK189" s="374"/>
      <c r="AL189" s="374"/>
      <c r="AM189" s="374"/>
    </row>
    <row r="190" spans="1:39" s="291" customFormat="1" ht="12.75" customHeight="1" x14ac:dyDescent="0.2">
      <c r="A190" s="423">
        <f t="shared" si="56"/>
        <v>185</v>
      </c>
      <c r="B190" s="456" t="s">
        <v>628</v>
      </c>
      <c r="C190" s="457">
        <v>521802</v>
      </c>
      <c r="D190" s="458">
        <v>2202</v>
      </c>
      <c r="E190" s="454" t="s">
        <v>703</v>
      </c>
      <c r="F190" s="391">
        <v>2017</v>
      </c>
      <c r="G190" s="455">
        <v>42765</v>
      </c>
      <c r="H190" s="459" t="s">
        <v>810</v>
      </c>
      <c r="I190" s="460" t="s">
        <v>960</v>
      </c>
      <c r="J190" s="461" t="s">
        <v>729</v>
      </c>
      <c r="K190" s="462" t="s">
        <v>961</v>
      </c>
      <c r="L190" s="463" t="s">
        <v>962</v>
      </c>
      <c r="M190" s="464">
        <v>201982.76</v>
      </c>
      <c r="N190" s="464">
        <v>0</v>
      </c>
      <c r="O190" s="464">
        <v>32317.24</v>
      </c>
      <c r="P190" s="465">
        <v>234300</v>
      </c>
      <c r="Q190" s="392"/>
      <c r="R190" s="466">
        <v>182856.5</v>
      </c>
      <c r="S190" s="394">
        <f t="shared" si="57"/>
        <v>51443.5</v>
      </c>
      <c r="T190" s="113" t="s">
        <v>1268</v>
      </c>
      <c r="U190" s="360"/>
      <c r="V190" s="360"/>
      <c r="W190" s="358"/>
      <c r="X190" s="331"/>
      <c r="Y190" s="360"/>
      <c r="Z190" s="334"/>
      <c r="AA190" s="334"/>
      <c r="AB190" s="334"/>
      <c r="AC190" s="349"/>
      <c r="AD190" s="335"/>
      <c r="AE190" s="349"/>
      <c r="AF190" s="349"/>
      <c r="AG190" s="349"/>
      <c r="AH190" s="350"/>
      <c r="AI190" s="365"/>
      <c r="AJ190" s="374"/>
      <c r="AK190" s="374"/>
      <c r="AL190" s="374"/>
      <c r="AM190" s="374"/>
    </row>
    <row r="191" spans="1:39" s="291" customFormat="1" ht="12.75" customHeight="1" x14ac:dyDescent="0.2">
      <c r="A191" s="423">
        <f t="shared" si="56"/>
        <v>186</v>
      </c>
      <c r="B191" s="456" t="s">
        <v>607</v>
      </c>
      <c r="C191" s="457">
        <v>521802</v>
      </c>
      <c r="D191" s="458">
        <v>2204</v>
      </c>
      <c r="E191" s="454" t="s">
        <v>705</v>
      </c>
      <c r="F191" s="391">
        <v>2017</v>
      </c>
      <c r="G191" s="455">
        <v>42749</v>
      </c>
      <c r="H191" s="459" t="s">
        <v>743</v>
      </c>
      <c r="I191" s="460" t="s">
        <v>951</v>
      </c>
      <c r="J191" s="461" t="s">
        <v>724</v>
      </c>
      <c r="K191" s="462" t="s">
        <v>952</v>
      </c>
      <c r="L191" s="463" t="s">
        <v>953</v>
      </c>
      <c r="M191" s="464">
        <v>226206.9</v>
      </c>
      <c r="N191" s="464">
        <v>0</v>
      </c>
      <c r="O191" s="464">
        <v>36193.1</v>
      </c>
      <c r="P191" s="465">
        <v>262400</v>
      </c>
      <c r="Q191" s="392"/>
      <c r="R191" s="466">
        <v>204968.56</v>
      </c>
      <c r="S191" s="394">
        <f t="shared" si="57"/>
        <v>57431.44</v>
      </c>
      <c r="T191" s="267" t="s">
        <v>1268</v>
      </c>
      <c r="U191" s="360"/>
      <c r="V191" s="360"/>
      <c r="W191" s="358"/>
      <c r="X191" s="331"/>
      <c r="Y191" s="360"/>
      <c r="Z191" s="334"/>
      <c r="AA191" s="334"/>
      <c r="AB191" s="334"/>
      <c r="AC191" s="349"/>
      <c r="AD191" s="335"/>
      <c r="AE191" s="349"/>
      <c r="AF191" s="349"/>
      <c r="AG191" s="349"/>
      <c r="AH191" s="272"/>
      <c r="AI191" s="313"/>
      <c r="AJ191" s="374"/>
      <c r="AK191" s="374"/>
      <c r="AL191" s="374"/>
      <c r="AM191" s="374"/>
    </row>
    <row r="192" spans="1:39" s="291" customFormat="1" ht="12.75" customHeight="1" x14ac:dyDescent="0.2">
      <c r="A192" s="423">
        <f t="shared" si="56"/>
        <v>187</v>
      </c>
      <c r="B192" s="456" t="s">
        <v>608</v>
      </c>
      <c r="C192" s="457">
        <v>521802</v>
      </c>
      <c r="D192" s="458">
        <v>2204</v>
      </c>
      <c r="E192" s="454" t="s">
        <v>705</v>
      </c>
      <c r="F192" s="391">
        <v>2017</v>
      </c>
      <c r="G192" s="455">
        <v>42751</v>
      </c>
      <c r="H192" s="459" t="s">
        <v>743</v>
      </c>
      <c r="I192" s="460" t="s">
        <v>951</v>
      </c>
      <c r="J192" s="461" t="s">
        <v>724</v>
      </c>
      <c r="K192" s="462" t="s">
        <v>952</v>
      </c>
      <c r="L192" s="463" t="s">
        <v>953</v>
      </c>
      <c r="M192" s="464">
        <v>-226206.9</v>
      </c>
      <c r="N192" s="464">
        <v>0</v>
      </c>
      <c r="O192" s="464">
        <v>-36193.1</v>
      </c>
      <c r="P192" s="465">
        <v>-262400</v>
      </c>
      <c r="Q192" s="392"/>
      <c r="R192" s="466">
        <v>-204968.56</v>
      </c>
      <c r="S192" s="394">
        <f t="shared" si="57"/>
        <v>-57431.44</v>
      </c>
      <c r="T192" s="267" t="s">
        <v>1268</v>
      </c>
      <c r="U192" s="370"/>
      <c r="V192" s="370"/>
      <c r="W192" s="375"/>
      <c r="X192" s="374"/>
      <c r="Y192" s="370"/>
      <c r="Z192" s="371"/>
      <c r="AA192" s="371"/>
      <c r="AB192" s="371"/>
      <c r="AC192" s="270"/>
      <c r="AD192" s="372"/>
      <c r="AE192" s="270"/>
      <c r="AF192" s="270"/>
      <c r="AG192" s="270"/>
      <c r="AH192" s="272"/>
      <c r="AI192" s="313"/>
      <c r="AJ192" s="374"/>
      <c r="AK192" s="374"/>
      <c r="AL192" s="374"/>
      <c r="AM192" s="374"/>
    </row>
    <row r="193" spans="1:39" s="291" customFormat="1" ht="12.75" customHeight="1" x14ac:dyDescent="0.2">
      <c r="A193" s="423">
        <f t="shared" si="56"/>
        <v>188</v>
      </c>
      <c r="B193" s="456" t="s">
        <v>593</v>
      </c>
      <c r="C193" s="457">
        <v>1520105</v>
      </c>
      <c r="D193" s="458">
        <v>7494</v>
      </c>
      <c r="E193" s="454" t="s">
        <v>712</v>
      </c>
      <c r="F193" s="391">
        <v>2017</v>
      </c>
      <c r="G193" s="455">
        <v>42751</v>
      </c>
      <c r="H193" s="459" t="s">
        <v>747</v>
      </c>
      <c r="I193" s="460" t="s">
        <v>1133</v>
      </c>
      <c r="J193" s="461" t="s">
        <v>729</v>
      </c>
      <c r="K193" s="462" t="s">
        <v>1134</v>
      </c>
      <c r="L193" s="463" t="s">
        <v>1135</v>
      </c>
      <c r="M193" s="464">
        <v>223809.52</v>
      </c>
      <c r="N193" s="464">
        <v>11190.48</v>
      </c>
      <c r="O193" s="464">
        <v>37600</v>
      </c>
      <c r="P193" s="465">
        <v>272600</v>
      </c>
      <c r="Q193" s="392"/>
      <c r="R193" s="466">
        <v>205227.14</v>
      </c>
      <c r="S193" s="394">
        <f t="shared" si="57"/>
        <v>67372.859999999986</v>
      </c>
      <c r="T193" s="267" t="s">
        <v>1268</v>
      </c>
      <c r="U193" s="360"/>
      <c r="V193" s="360"/>
      <c r="W193" s="358"/>
      <c r="X193" s="331"/>
      <c r="Y193" s="360"/>
      <c r="Z193" s="334"/>
      <c r="AA193" s="334"/>
      <c r="AB193" s="334"/>
      <c r="AC193" s="349"/>
      <c r="AD193" s="335"/>
      <c r="AE193" s="349"/>
      <c r="AF193" s="349"/>
      <c r="AG193" s="349"/>
      <c r="AH193" s="272"/>
      <c r="AI193" s="313"/>
      <c r="AJ193" s="374"/>
      <c r="AK193" s="374"/>
      <c r="AL193" s="374"/>
      <c r="AM193" s="374"/>
    </row>
    <row r="194" spans="1:39" s="291" customFormat="1" ht="12.75" customHeight="1" x14ac:dyDescent="0.2">
      <c r="A194" s="423">
        <f t="shared" si="56"/>
        <v>189</v>
      </c>
      <c r="B194" s="456" t="s">
        <v>594</v>
      </c>
      <c r="C194" s="457">
        <v>1520105</v>
      </c>
      <c r="D194" s="458">
        <v>7494</v>
      </c>
      <c r="E194" s="454" t="s">
        <v>712</v>
      </c>
      <c r="F194" s="391">
        <v>2017</v>
      </c>
      <c r="G194" s="455">
        <v>42758</v>
      </c>
      <c r="H194" s="459" t="s">
        <v>747</v>
      </c>
      <c r="I194" s="460" t="s">
        <v>1133</v>
      </c>
      <c r="J194" s="461" t="s">
        <v>729</v>
      </c>
      <c r="K194" s="462" t="s">
        <v>1134</v>
      </c>
      <c r="L194" s="463" t="s">
        <v>1135</v>
      </c>
      <c r="M194" s="464">
        <v>-223809.52</v>
      </c>
      <c r="N194" s="464">
        <v>-11190.48</v>
      </c>
      <c r="O194" s="464">
        <v>-37600</v>
      </c>
      <c r="P194" s="465">
        <v>-272600</v>
      </c>
      <c r="Q194" s="392"/>
      <c r="R194" s="466">
        <v>-205227.14</v>
      </c>
      <c r="S194" s="394">
        <f t="shared" si="57"/>
        <v>-67372.859999999986</v>
      </c>
      <c r="T194" s="113" t="s">
        <v>1268</v>
      </c>
      <c r="U194" s="360"/>
      <c r="V194" s="360"/>
      <c r="W194" s="358"/>
      <c r="X194" s="331"/>
      <c r="Y194" s="360"/>
      <c r="Z194" s="334"/>
      <c r="AA194" s="334"/>
      <c r="AB194" s="334"/>
      <c r="AC194" s="349"/>
      <c r="AD194" s="335"/>
      <c r="AE194" s="349"/>
      <c r="AF194" s="349"/>
      <c r="AG194" s="349"/>
      <c r="AH194" s="272"/>
      <c r="AI194" s="313"/>
      <c r="AJ194" s="374"/>
      <c r="AK194" s="374"/>
      <c r="AL194" s="374"/>
      <c r="AM194" s="374"/>
    </row>
    <row r="195" spans="1:39" s="291" customFormat="1" ht="12.75" customHeight="1" x14ac:dyDescent="0.2">
      <c r="A195" s="423">
        <f t="shared" si="56"/>
        <v>190</v>
      </c>
      <c r="B195" s="456" t="s">
        <v>559</v>
      </c>
      <c r="C195" s="457">
        <v>1520104</v>
      </c>
      <c r="D195" s="458">
        <v>7493</v>
      </c>
      <c r="E195" s="454" t="s">
        <v>711</v>
      </c>
      <c r="F195" s="391">
        <v>2017</v>
      </c>
      <c r="G195" s="455">
        <v>42748</v>
      </c>
      <c r="H195" s="459" t="s">
        <v>747</v>
      </c>
      <c r="I195" s="460" t="s">
        <v>990</v>
      </c>
      <c r="J195" s="461" t="s">
        <v>729</v>
      </c>
      <c r="K195" s="462" t="s">
        <v>1123</v>
      </c>
      <c r="L195" s="463" t="s">
        <v>992</v>
      </c>
      <c r="M195" s="464">
        <v>238095.24</v>
      </c>
      <c r="N195" s="464">
        <v>11904.76</v>
      </c>
      <c r="O195" s="464">
        <v>40000</v>
      </c>
      <c r="P195" s="465">
        <v>290000</v>
      </c>
      <c r="Q195" s="392"/>
      <c r="R195" s="466">
        <v>214341.95</v>
      </c>
      <c r="S195" s="394">
        <f t="shared" si="57"/>
        <v>75658.049999999988</v>
      </c>
      <c r="T195" s="267" t="s">
        <v>1268</v>
      </c>
      <c r="U195" s="370"/>
      <c r="V195" s="370"/>
      <c r="W195" s="375"/>
      <c r="X195" s="374"/>
      <c r="Y195" s="370"/>
      <c r="Z195" s="371"/>
      <c r="AA195" s="371"/>
      <c r="AB195" s="371"/>
      <c r="AC195" s="270"/>
      <c r="AD195" s="372"/>
      <c r="AE195" s="270"/>
      <c r="AF195" s="270"/>
      <c r="AG195" s="270"/>
      <c r="AH195" s="272"/>
      <c r="AI195" s="313"/>
      <c r="AJ195" s="374"/>
      <c r="AK195" s="374"/>
      <c r="AL195" s="374"/>
      <c r="AM195" s="374"/>
    </row>
    <row r="196" spans="1:39" s="291" customFormat="1" ht="12.75" customHeight="1" x14ac:dyDescent="0.2">
      <c r="A196" s="423">
        <f t="shared" si="56"/>
        <v>191</v>
      </c>
      <c r="B196" s="456" t="s">
        <v>560</v>
      </c>
      <c r="C196" s="457">
        <v>1520104</v>
      </c>
      <c r="D196" s="458">
        <v>7493</v>
      </c>
      <c r="E196" s="454" t="s">
        <v>711</v>
      </c>
      <c r="F196" s="391">
        <v>2017</v>
      </c>
      <c r="G196" s="455">
        <v>42751</v>
      </c>
      <c r="H196" s="459" t="s">
        <v>747</v>
      </c>
      <c r="I196" s="460" t="s">
        <v>990</v>
      </c>
      <c r="J196" s="461" t="s">
        <v>729</v>
      </c>
      <c r="K196" s="462" t="s">
        <v>1123</v>
      </c>
      <c r="L196" s="463" t="s">
        <v>992</v>
      </c>
      <c r="M196" s="464">
        <v>-238095.24</v>
      </c>
      <c r="N196" s="464">
        <v>-11904.76</v>
      </c>
      <c r="O196" s="464">
        <v>-40000</v>
      </c>
      <c r="P196" s="465">
        <v>-290000</v>
      </c>
      <c r="Q196" s="392"/>
      <c r="R196" s="466">
        <v>-214341.95</v>
      </c>
      <c r="S196" s="394">
        <f t="shared" si="57"/>
        <v>-75658.049999999988</v>
      </c>
      <c r="T196" s="267" t="s">
        <v>1268</v>
      </c>
      <c r="U196" s="360"/>
      <c r="V196" s="360"/>
      <c r="W196" s="358"/>
      <c r="X196" s="331"/>
      <c r="Y196" s="360"/>
      <c r="Z196" s="334"/>
      <c r="AA196" s="334"/>
      <c r="AB196" s="334"/>
      <c r="AC196" s="349"/>
      <c r="AD196" s="335"/>
      <c r="AE196" s="349"/>
      <c r="AF196" s="349"/>
      <c r="AG196" s="349"/>
      <c r="AH196" s="350"/>
      <c r="AI196" s="365"/>
      <c r="AJ196" s="374"/>
      <c r="AK196" s="374"/>
      <c r="AL196" s="374"/>
      <c r="AM196" s="374"/>
    </row>
    <row r="197" spans="1:39" s="291" customFormat="1" ht="12.75" customHeight="1" x14ac:dyDescent="0.2">
      <c r="A197" s="423">
        <f t="shared" si="56"/>
        <v>192</v>
      </c>
      <c r="B197" s="456" t="s">
        <v>561</v>
      </c>
      <c r="C197" s="457">
        <v>1520104</v>
      </c>
      <c r="D197" s="458">
        <v>7493</v>
      </c>
      <c r="E197" s="454" t="s">
        <v>711</v>
      </c>
      <c r="F197" s="391">
        <v>2017</v>
      </c>
      <c r="G197" s="455">
        <v>42751</v>
      </c>
      <c r="H197" s="459" t="s">
        <v>817</v>
      </c>
      <c r="I197" s="460" t="s">
        <v>993</v>
      </c>
      <c r="J197" s="461" t="s">
        <v>729</v>
      </c>
      <c r="K197" s="462" t="s">
        <v>1000</v>
      </c>
      <c r="L197" s="463" t="s">
        <v>995</v>
      </c>
      <c r="M197" s="464">
        <v>238095.24</v>
      </c>
      <c r="N197" s="464">
        <v>11904.76</v>
      </c>
      <c r="O197" s="464">
        <v>40000</v>
      </c>
      <c r="P197" s="465">
        <v>290000</v>
      </c>
      <c r="Q197" s="392"/>
      <c r="R197" s="466">
        <v>214341.95</v>
      </c>
      <c r="S197" s="394">
        <f t="shared" si="57"/>
        <v>75658.049999999988</v>
      </c>
      <c r="T197" s="267" t="s">
        <v>1268</v>
      </c>
      <c r="U197" s="370"/>
      <c r="V197" s="370"/>
      <c r="W197" s="375"/>
      <c r="X197" s="374"/>
      <c r="Y197" s="313"/>
      <c r="Z197" s="371"/>
      <c r="AA197" s="371"/>
      <c r="AB197" s="371"/>
      <c r="AC197" s="371"/>
      <c r="AD197" s="372"/>
      <c r="AE197" s="371"/>
      <c r="AF197" s="371"/>
      <c r="AG197" s="270"/>
      <c r="AH197" s="350"/>
      <c r="AI197" s="365"/>
      <c r="AJ197" s="374"/>
      <c r="AK197" s="374"/>
      <c r="AL197" s="374"/>
      <c r="AM197" s="374"/>
    </row>
    <row r="198" spans="1:39" s="291" customFormat="1" ht="12.75" customHeight="1" x14ac:dyDescent="0.2">
      <c r="A198" s="423">
        <f t="shared" si="56"/>
        <v>193</v>
      </c>
      <c r="B198" s="456" t="s">
        <v>562</v>
      </c>
      <c r="C198" s="457">
        <v>1520104</v>
      </c>
      <c r="D198" s="458">
        <v>7493</v>
      </c>
      <c r="E198" s="454" t="s">
        <v>711</v>
      </c>
      <c r="F198" s="391">
        <v>2017</v>
      </c>
      <c r="G198" s="455">
        <v>42753</v>
      </c>
      <c r="H198" s="459" t="s">
        <v>817</v>
      </c>
      <c r="I198" s="460" t="s">
        <v>993</v>
      </c>
      <c r="J198" s="461" t="s">
        <v>729</v>
      </c>
      <c r="K198" s="462" t="s">
        <v>1000</v>
      </c>
      <c r="L198" s="463" t="s">
        <v>995</v>
      </c>
      <c r="M198" s="464">
        <v>-238095.24</v>
      </c>
      <c r="N198" s="464">
        <v>-11904.76</v>
      </c>
      <c r="O198" s="464">
        <v>-40000</v>
      </c>
      <c r="P198" s="465">
        <v>-290000</v>
      </c>
      <c r="Q198" s="392"/>
      <c r="R198" s="466">
        <v>-214341.95</v>
      </c>
      <c r="S198" s="394">
        <f t="shared" ref="S198:S261" si="74">+P198-R198</f>
        <v>-75658.049999999988</v>
      </c>
      <c r="T198" s="267" t="s">
        <v>1268</v>
      </c>
      <c r="U198" s="370"/>
      <c r="V198" s="370"/>
      <c r="W198" s="375"/>
      <c r="X198" s="374"/>
      <c r="Y198" s="313"/>
      <c r="Z198" s="371"/>
      <c r="AA198" s="371"/>
      <c r="AB198" s="371"/>
      <c r="AC198" s="371"/>
      <c r="AD198" s="372"/>
      <c r="AE198" s="371"/>
      <c r="AF198" s="371"/>
      <c r="AG198" s="270"/>
      <c r="AH198" s="350"/>
      <c r="AI198" s="365"/>
      <c r="AJ198" s="374"/>
      <c r="AK198" s="374"/>
      <c r="AL198" s="374"/>
      <c r="AM198" s="374"/>
    </row>
    <row r="199" spans="1:39" s="291" customFormat="1" ht="12.75" customHeight="1" x14ac:dyDescent="0.2">
      <c r="A199" s="423">
        <f t="shared" si="56"/>
        <v>194</v>
      </c>
      <c r="B199" s="456" t="s">
        <v>579</v>
      </c>
      <c r="C199" s="457">
        <v>1520105</v>
      </c>
      <c r="D199" s="458">
        <v>7494</v>
      </c>
      <c r="E199" s="454" t="s">
        <v>712</v>
      </c>
      <c r="F199" s="391">
        <v>2017</v>
      </c>
      <c r="G199" s="455">
        <v>42738</v>
      </c>
      <c r="H199" s="459" t="s">
        <v>908</v>
      </c>
      <c r="I199" s="460" t="s">
        <v>1012</v>
      </c>
      <c r="J199" s="461" t="s">
        <v>729</v>
      </c>
      <c r="K199" s="462" t="s">
        <v>1013</v>
      </c>
      <c r="L199" s="463" t="s">
        <v>1014</v>
      </c>
      <c r="M199" s="464">
        <v>-216995.08</v>
      </c>
      <c r="N199" s="464">
        <v>-10849.75</v>
      </c>
      <c r="O199" s="464">
        <v>-36455.17</v>
      </c>
      <c r="P199" s="465">
        <v>-264300</v>
      </c>
      <c r="Q199" s="392"/>
      <c r="R199" s="466">
        <v>-199970.21</v>
      </c>
      <c r="S199" s="394">
        <f t="shared" si="74"/>
        <v>-64329.790000000008</v>
      </c>
      <c r="T199" s="444" t="s">
        <v>1268</v>
      </c>
      <c r="U199" s="370"/>
      <c r="V199" s="370"/>
      <c r="W199" s="375"/>
      <c r="X199" s="374"/>
      <c r="Y199" s="313"/>
      <c r="Z199" s="371"/>
      <c r="AA199" s="371"/>
      <c r="AB199" s="371"/>
      <c r="AC199" s="371"/>
      <c r="AD199" s="372"/>
      <c r="AE199" s="371"/>
      <c r="AF199" s="371"/>
      <c r="AG199" s="270"/>
      <c r="AH199" s="350"/>
      <c r="AI199" s="365"/>
      <c r="AJ199" s="374"/>
      <c r="AK199" s="374"/>
      <c r="AL199" s="374"/>
      <c r="AM199" s="374"/>
    </row>
    <row r="200" spans="1:39" s="291" customFormat="1" ht="12.75" customHeight="1" x14ac:dyDescent="0.2">
      <c r="A200" s="423">
        <f t="shared" ref="A200:A263" si="75">+A199+1</f>
        <v>195</v>
      </c>
      <c r="B200" s="456" t="s">
        <v>580</v>
      </c>
      <c r="C200" s="457">
        <v>1520105</v>
      </c>
      <c r="D200" s="458">
        <v>7494</v>
      </c>
      <c r="E200" s="454" t="s">
        <v>712</v>
      </c>
      <c r="F200" s="391">
        <v>2017</v>
      </c>
      <c r="G200" s="455">
        <v>42738</v>
      </c>
      <c r="H200" s="459" t="s">
        <v>908</v>
      </c>
      <c r="I200" s="460" t="s">
        <v>1012</v>
      </c>
      <c r="J200" s="461" t="s">
        <v>729</v>
      </c>
      <c r="K200" s="462" t="s">
        <v>1013</v>
      </c>
      <c r="L200" s="463" t="s">
        <v>1014</v>
      </c>
      <c r="M200" s="464">
        <v>216995.08</v>
      </c>
      <c r="N200" s="464">
        <v>10849.75</v>
      </c>
      <c r="O200" s="464">
        <v>36455.17</v>
      </c>
      <c r="P200" s="465">
        <v>264300</v>
      </c>
      <c r="Q200" s="392"/>
      <c r="R200" s="466">
        <v>199970.21</v>
      </c>
      <c r="S200" s="394">
        <f t="shared" si="74"/>
        <v>64329.790000000008</v>
      </c>
      <c r="T200" s="445" t="s">
        <v>1268</v>
      </c>
      <c r="U200" s="370"/>
      <c r="V200" s="370"/>
      <c r="W200" s="375"/>
      <c r="X200" s="374"/>
      <c r="Y200" s="313"/>
      <c r="Z200" s="371"/>
      <c r="AA200" s="371"/>
      <c r="AB200" s="371"/>
      <c r="AC200" s="371"/>
      <c r="AD200" s="372"/>
      <c r="AE200" s="371"/>
      <c r="AF200" s="371"/>
      <c r="AG200" s="270"/>
      <c r="AH200" s="350"/>
      <c r="AI200" s="365"/>
      <c r="AJ200" s="374"/>
      <c r="AK200" s="374"/>
      <c r="AL200" s="374"/>
      <c r="AM200" s="374"/>
    </row>
    <row r="201" spans="1:39" s="291" customFormat="1" ht="12.75" customHeight="1" x14ac:dyDescent="0.2">
      <c r="A201" s="423">
        <f t="shared" si="75"/>
        <v>196</v>
      </c>
      <c r="B201" s="456" t="s">
        <v>595</v>
      </c>
      <c r="C201" s="457">
        <v>1520604</v>
      </c>
      <c r="D201" s="458">
        <v>7495</v>
      </c>
      <c r="E201" s="454" t="s">
        <v>718</v>
      </c>
      <c r="F201" s="391">
        <v>2017</v>
      </c>
      <c r="G201" s="455">
        <v>42759</v>
      </c>
      <c r="H201" s="459" t="s">
        <v>788</v>
      </c>
      <c r="I201" s="460" t="s">
        <v>1086</v>
      </c>
      <c r="J201" s="461" t="s">
        <v>729</v>
      </c>
      <c r="K201" s="462" t="s">
        <v>1087</v>
      </c>
      <c r="L201" s="463" t="s">
        <v>1088</v>
      </c>
      <c r="M201" s="464">
        <v>-282019.7</v>
      </c>
      <c r="N201" s="464">
        <v>-14100.99</v>
      </c>
      <c r="O201" s="464">
        <v>-47379.31</v>
      </c>
      <c r="P201" s="465">
        <v>-343500</v>
      </c>
      <c r="Q201" s="392"/>
      <c r="R201" s="466">
        <v>-255426.86</v>
      </c>
      <c r="S201" s="394">
        <f t="shared" si="74"/>
        <v>-88073.140000000014</v>
      </c>
      <c r="T201" s="267" t="s">
        <v>1268</v>
      </c>
      <c r="U201" s="370"/>
      <c r="V201" s="370"/>
      <c r="W201" s="375"/>
      <c r="X201" s="374"/>
      <c r="Y201" s="313"/>
      <c r="Z201" s="371"/>
      <c r="AA201" s="371"/>
      <c r="AB201" s="371"/>
      <c r="AC201" s="371"/>
      <c r="AD201" s="372"/>
      <c r="AE201" s="371"/>
      <c r="AF201" s="371"/>
      <c r="AG201" s="270"/>
      <c r="AH201" s="350"/>
      <c r="AI201" s="365"/>
      <c r="AJ201" s="374"/>
      <c r="AK201" s="374"/>
      <c r="AL201" s="374"/>
      <c r="AM201" s="374"/>
    </row>
    <row r="202" spans="1:39" s="291" customFormat="1" ht="12.75" customHeight="1" x14ac:dyDescent="0.2">
      <c r="A202" s="423">
        <f t="shared" si="75"/>
        <v>197</v>
      </c>
      <c r="B202" s="456" t="s">
        <v>596</v>
      </c>
      <c r="C202" s="457">
        <v>1520604</v>
      </c>
      <c r="D202" s="458">
        <v>7495</v>
      </c>
      <c r="E202" s="454" t="s">
        <v>718</v>
      </c>
      <c r="F202" s="391">
        <v>2017</v>
      </c>
      <c r="G202" s="455">
        <v>42759</v>
      </c>
      <c r="H202" s="459" t="s">
        <v>788</v>
      </c>
      <c r="I202" s="460" t="s">
        <v>1086</v>
      </c>
      <c r="J202" s="461" t="s">
        <v>729</v>
      </c>
      <c r="K202" s="462" t="s">
        <v>1087</v>
      </c>
      <c r="L202" s="463" t="s">
        <v>1088</v>
      </c>
      <c r="M202" s="464">
        <v>282019.7</v>
      </c>
      <c r="N202" s="464">
        <v>14100.99</v>
      </c>
      <c r="O202" s="464">
        <v>47379.31</v>
      </c>
      <c r="P202" s="465">
        <v>343500</v>
      </c>
      <c r="Q202" s="392"/>
      <c r="R202" s="466">
        <v>255426.86</v>
      </c>
      <c r="S202" s="394">
        <f t="shared" si="74"/>
        <v>88073.140000000014</v>
      </c>
      <c r="T202" s="113" t="s">
        <v>1268</v>
      </c>
      <c r="U202" s="370"/>
      <c r="V202" s="370"/>
      <c r="W202" s="375"/>
      <c r="X202" s="374"/>
      <c r="Y202" s="313"/>
      <c r="Z202" s="371"/>
      <c r="AA202" s="371"/>
      <c r="AB202" s="371"/>
      <c r="AC202" s="371"/>
      <c r="AD202" s="372"/>
      <c r="AE202" s="371"/>
      <c r="AF202" s="371"/>
      <c r="AG202" s="270"/>
      <c r="AH202" s="350"/>
      <c r="AI202" s="365"/>
      <c r="AJ202" s="374"/>
      <c r="AK202" s="374"/>
      <c r="AL202" s="374"/>
      <c r="AM202" s="374"/>
    </row>
    <row r="203" spans="1:39" s="291" customFormat="1" ht="12.75" customHeight="1" x14ac:dyDescent="0.2">
      <c r="A203" s="423">
        <f t="shared" si="75"/>
        <v>198</v>
      </c>
      <c r="B203" s="456" t="s">
        <v>617</v>
      </c>
      <c r="C203" s="457">
        <v>1520604</v>
      </c>
      <c r="D203" s="458">
        <v>7495</v>
      </c>
      <c r="E203" s="454" t="s">
        <v>718</v>
      </c>
      <c r="F203" s="391">
        <v>2017</v>
      </c>
      <c r="G203" s="455">
        <v>42756</v>
      </c>
      <c r="H203" s="459" t="s">
        <v>778</v>
      </c>
      <c r="I203" s="460" t="s">
        <v>1108</v>
      </c>
      <c r="J203" s="461" t="s">
        <v>729</v>
      </c>
      <c r="K203" s="462" t="s">
        <v>1109</v>
      </c>
      <c r="L203" s="463" t="s">
        <v>1110</v>
      </c>
      <c r="M203" s="464">
        <v>282019.7</v>
      </c>
      <c r="N203" s="464">
        <v>14100.99</v>
      </c>
      <c r="O203" s="464">
        <v>47379.31</v>
      </c>
      <c r="P203" s="465">
        <v>343500</v>
      </c>
      <c r="Q203" s="392"/>
      <c r="R203" s="466">
        <v>255426.86</v>
      </c>
      <c r="S203" s="394">
        <f t="shared" si="74"/>
        <v>88073.140000000014</v>
      </c>
      <c r="T203" s="267" t="s">
        <v>1268</v>
      </c>
      <c r="U203" s="370"/>
      <c r="V203" s="370"/>
      <c r="W203" s="375"/>
      <c r="X203" s="374"/>
      <c r="Y203" s="313"/>
      <c r="Z203" s="371"/>
      <c r="AA203" s="371"/>
      <c r="AB203" s="371"/>
      <c r="AC203" s="371"/>
      <c r="AD203" s="372"/>
      <c r="AE203" s="371"/>
      <c r="AF203" s="371"/>
      <c r="AG203" s="270"/>
      <c r="AH203" s="350"/>
      <c r="AI203" s="365"/>
      <c r="AJ203" s="374"/>
      <c r="AK203" s="374"/>
      <c r="AL203" s="374"/>
      <c r="AM203" s="374"/>
    </row>
    <row r="204" spans="1:39" s="291" customFormat="1" ht="12.75" customHeight="1" x14ac:dyDescent="0.2">
      <c r="A204" s="423">
        <f t="shared" si="75"/>
        <v>199</v>
      </c>
      <c r="B204" s="456" t="s">
        <v>618</v>
      </c>
      <c r="C204" s="457">
        <v>1520604</v>
      </c>
      <c r="D204" s="458">
        <v>7495</v>
      </c>
      <c r="E204" s="454" t="s">
        <v>718</v>
      </c>
      <c r="F204" s="391">
        <v>2017</v>
      </c>
      <c r="G204" s="455">
        <v>42758</v>
      </c>
      <c r="H204" s="459" t="s">
        <v>778</v>
      </c>
      <c r="I204" s="460" t="s">
        <v>1108</v>
      </c>
      <c r="J204" s="461" t="s">
        <v>729</v>
      </c>
      <c r="K204" s="462" t="s">
        <v>1109</v>
      </c>
      <c r="L204" s="463" t="s">
        <v>1110</v>
      </c>
      <c r="M204" s="464">
        <v>-282019.7</v>
      </c>
      <c r="N204" s="464">
        <v>-14100.99</v>
      </c>
      <c r="O204" s="464">
        <v>-47379.31</v>
      </c>
      <c r="P204" s="465">
        <v>-343500</v>
      </c>
      <c r="Q204" s="392"/>
      <c r="R204" s="466">
        <v>-255426.86</v>
      </c>
      <c r="S204" s="394">
        <f t="shared" si="74"/>
        <v>-88073.140000000014</v>
      </c>
      <c r="T204" s="267" t="s">
        <v>1268</v>
      </c>
      <c r="U204" s="370"/>
      <c r="V204" s="370"/>
      <c r="W204" s="375"/>
      <c r="X204" s="374"/>
      <c r="Y204" s="313"/>
      <c r="Z204" s="371"/>
      <c r="AA204" s="371"/>
      <c r="AB204" s="371"/>
      <c r="AC204" s="371"/>
      <c r="AD204" s="372"/>
      <c r="AE204" s="371"/>
      <c r="AF204" s="371"/>
      <c r="AG204" s="270"/>
      <c r="AH204" s="350"/>
      <c r="AI204" s="365"/>
      <c r="AJ204" s="374"/>
      <c r="AK204" s="374"/>
      <c r="AL204" s="374"/>
      <c r="AM204" s="374"/>
    </row>
    <row r="205" spans="1:39" s="291" customFormat="1" ht="12.75" customHeight="1" x14ac:dyDescent="0.2">
      <c r="A205" s="423">
        <f t="shared" si="75"/>
        <v>200</v>
      </c>
      <c r="B205" s="456" t="s">
        <v>619</v>
      </c>
      <c r="C205" s="457">
        <v>1520604</v>
      </c>
      <c r="D205" s="458">
        <v>7495</v>
      </c>
      <c r="E205" s="454" t="s">
        <v>718</v>
      </c>
      <c r="F205" s="391">
        <v>2017</v>
      </c>
      <c r="G205" s="455">
        <v>42758</v>
      </c>
      <c r="H205" s="459" t="s">
        <v>778</v>
      </c>
      <c r="I205" s="460" t="s">
        <v>1108</v>
      </c>
      <c r="J205" s="461" t="s">
        <v>729</v>
      </c>
      <c r="K205" s="462" t="s">
        <v>1109</v>
      </c>
      <c r="L205" s="463" t="s">
        <v>1110</v>
      </c>
      <c r="M205" s="464">
        <v>282019.7</v>
      </c>
      <c r="N205" s="464">
        <v>14100.99</v>
      </c>
      <c r="O205" s="464">
        <v>47379.31</v>
      </c>
      <c r="P205" s="465">
        <v>343500</v>
      </c>
      <c r="Q205" s="392"/>
      <c r="R205" s="466">
        <v>255426.86</v>
      </c>
      <c r="S205" s="394">
        <f t="shared" si="74"/>
        <v>88073.140000000014</v>
      </c>
      <c r="T205" s="267" t="s">
        <v>1268</v>
      </c>
      <c r="U205" s="370"/>
      <c r="V205" s="370"/>
      <c r="W205" s="375"/>
      <c r="X205" s="374"/>
      <c r="Y205" s="313"/>
      <c r="Z205" s="371"/>
      <c r="AA205" s="371"/>
      <c r="AB205" s="371"/>
      <c r="AC205" s="371"/>
      <c r="AD205" s="372"/>
      <c r="AE205" s="371"/>
      <c r="AF205" s="371"/>
      <c r="AG205" s="270"/>
      <c r="AH205" s="350"/>
      <c r="AI205" s="365"/>
      <c r="AJ205" s="374"/>
      <c r="AK205" s="374"/>
      <c r="AL205" s="374"/>
      <c r="AM205" s="374"/>
    </row>
    <row r="206" spans="1:39" s="291" customFormat="1" ht="12.75" customHeight="1" x14ac:dyDescent="0.2">
      <c r="A206" s="423">
        <f t="shared" si="75"/>
        <v>201</v>
      </c>
      <c r="B206" s="456" t="s">
        <v>620</v>
      </c>
      <c r="C206" s="457">
        <v>1520604</v>
      </c>
      <c r="D206" s="458">
        <v>7495</v>
      </c>
      <c r="E206" s="454" t="s">
        <v>718</v>
      </c>
      <c r="F206" s="391">
        <v>2017</v>
      </c>
      <c r="G206" s="455">
        <v>42761</v>
      </c>
      <c r="H206" s="459" t="s">
        <v>778</v>
      </c>
      <c r="I206" s="460" t="s">
        <v>1108</v>
      </c>
      <c r="J206" s="461" t="s">
        <v>729</v>
      </c>
      <c r="K206" s="462" t="s">
        <v>1109</v>
      </c>
      <c r="L206" s="463" t="s">
        <v>1110</v>
      </c>
      <c r="M206" s="464">
        <v>-282019.7</v>
      </c>
      <c r="N206" s="464">
        <v>-14100.99</v>
      </c>
      <c r="O206" s="464">
        <v>-47379.31</v>
      </c>
      <c r="P206" s="465">
        <v>-343500</v>
      </c>
      <c r="Q206" s="392"/>
      <c r="R206" s="466">
        <v>-255426.86</v>
      </c>
      <c r="S206" s="394">
        <f t="shared" si="74"/>
        <v>-88073.140000000014</v>
      </c>
      <c r="T206" s="267" t="s">
        <v>1268</v>
      </c>
      <c r="U206" s="370"/>
      <c r="V206" s="370"/>
      <c r="W206" s="375"/>
      <c r="X206" s="374"/>
      <c r="Y206" s="313"/>
      <c r="Z206" s="371"/>
      <c r="AA206" s="371"/>
      <c r="AB206" s="371"/>
      <c r="AC206" s="371"/>
      <c r="AD206" s="372"/>
      <c r="AE206" s="371"/>
      <c r="AF206" s="371"/>
      <c r="AG206" s="270"/>
      <c r="AH206" s="350"/>
      <c r="AI206" s="365"/>
      <c r="AJ206" s="374"/>
      <c r="AK206" s="374"/>
      <c r="AL206" s="374"/>
      <c r="AM206" s="374"/>
    </row>
    <row r="207" spans="1:39" s="291" customFormat="1" ht="12.75" customHeight="1" x14ac:dyDescent="0.2">
      <c r="A207" s="423">
        <f t="shared" si="75"/>
        <v>202</v>
      </c>
      <c r="B207" s="456" t="s">
        <v>621</v>
      </c>
      <c r="C207" s="457">
        <v>1520604</v>
      </c>
      <c r="D207" s="458">
        <v>7495</v>
      </c>
      <c r="E207" s="454" t="s">
        <v>718</v>
      </c>
      <c r="F207" s="391">
        <v>2017</v>
      </c>
      <c r="G207" s="455">
        <v>42761</v>
      </c>
      <c r="H207" s="459" t="s">
        <v>778</v>
      </c>
      <c r="I207" s="460" t="s">
        <v>1108</v>
      </c>
      <c r="J207" s="461" t="s">
        <v>729</v>
      </c>
      <c r="K207" s="462" t="s">
        <v>1109</v>
      </c>
      <c r="L207" s="463" t="s">
        <v>1110</v>
      </c>
      <c r="M207" s="464">
        <v>282019.7</v>
      </c>
      <c r="N207" s="464">
        <v>14100.99</v>
      </c>
      <c r="O207" s="464">
        <v>47379.31</v>
      </c>
      <c r="P207" s="465">
        <v>343500</v>
      </c>
      <c r="Q207" s="392"/>
      <c r="R207" s="466">
        <v>255426.86</v>
      </c>
      <c r="S207" s="394">
        <f t="shared" si="74"/>
        <v>88073.140000000014</v>
      </c>
      <c r="T207" s="267" t="s">
        <v>1268</v>
      </c>
      <c r="U207" s="370"/>
      <c r="V207" s="370"/>
      <c r="W207" s="375"/>
      <c r="X207" s="374"/>
      <c r="Y207" s="313"/>
      <c r="Z207" s="371"/>
      <c r="AA207" s="371"/>
      <c r="AB207" s="371"/>
      <c r="AC207" s="371"/>
      <c r="AD207" s="372"/>
      <c r="AE207" s="371"/>
      <c r="AF207" s="371"/>
      <c r="AG207" s="270"/>
      <c r="AH207" s="350"/>
      <c r="AI207" s="365"/>
      <c r="AJ207" s="374"/>
      <c r="AK207" s="374"/>
      <c r="AL207" s="374"/>
      <c r="AM207" s="374"/>
    </row>
    <row r="208" spans="1:39" s="291" customFormat="1" ht="12.75" customHeight="1" x14ac:dyDescent="0.2">
      <c r="A208" s="423">
        <f t="shared" si="75"/>
        <v>203</v>
      </c>
      <c r="B208" s="456" t="s">
        <v>622</v>
      </c>
      <c r="C208" s="457">
        <v>1520604</v>
      </c>
      <c r="D208" s="458">
        <v>7495</v>
      </c>
      <c r="E208" s="454" t="s">
        <v>718</v>
      </c>
      <c r="F208" s="391">
        <v>2017</v>
      </c>
      <c r="G208" s="455">
        <v>42763</v>
      </c>
      <c r="H208" s="459" t="s">
        <v>778</v>
      </c>
      <c r="I208" s="460" t="s">
        <v>1108</v>
      </c>
      <c r="J208" s="461" t="s">
        <v>729</v>
      </c>
      <c r="K208" s="462" t="s">
        <v>1109</v>
      </c>
      <c r="L208" s="463" t="s">
        <v>1110</v>
      </c>
      <c r="M208" s="464">
        <v>-282019.7</v>
      </c>
      <c r="N208" s="464">
        <v>-14100.99</v>
      </c>
      <c r="O208" s="464">
        <v>-47379.31</v>
      </c>
      <c r="P208" s="465">
        <v>-343500</v>
      </c>
      <c r="Q208" s="392"/>
      <c r="R208" s="466">
        <v>-255426.86</v>
      </c>
      <c r="S208" s="394">
        <f t="shared" si="74"/>
        <v>-88073.140000000014</v>
      </c>
      <c r="T208" s="113" t="s">
        <v>1268</v>
      </c>
      <c r="U208" s="370"/>
      <c r="V208" s="370"/>
      <c r="W208" s="375"/>
      <c r="X208" s="374"/>
      <c r="Y208" s="313"/>
      <c r="Z208" s="371"/>
      <c r="AA208" s="371"/>
      <c r="AB208" s="371"/>
      <c r="AC208" s="371"/>
      <c r="AD208" s="372"/>
      <c r="AE208" s="371"/>
      <c r="AF208" s="371"/>
      <c r="AG208" s="270"/>
      <c r="AH208" s="350"/>
      <c r="AI208" s="365"/>
      <c r="AJ208" s="374"/>
      <c r="AK208" s="374"/>
      <c r="AL208" s="374"/>
      <c r="AM208" s="374"/>
    </row>
    <row r="209" spans="1:39" s="291" customFormat="1" ht="12.75" customHeight="1" x14ac:dyDescent="0.2">
      <c r="A209" s="423">
        <f t="shared" si="75"/>
        <v>204</v>
      </c>
      <c r="B209" s="456" t="s">
        <v>547</v>
      </c>
      <c r="C209" s="457">
        <v>1520603</v>
      </c>
      <c r="D209" s="458">
        <v>7497</v>
      </c>
      <c r="E209" s="454" t="s">
        <v>717</v>
      </c>
      <c r="F209" s="391">
        <v>2017</v>
      </c>
      <c r="G209" s="455">
        <v>42737</v>
      </c>
      <c r="H209" s="459" t="s">
        <v>792</v>
      </c>
      <c r="I209" s="460" t="s">
        <v>1042</v>
      </c>
      <c r="J209" s="461" t="s">
        <v>729</v>
      </c>
      <c r="K209" s="462" t="s">
        <v>1043</v>
      </c>
      <c r="L209" s="463" t="s">
        <v>1044</v>
      </c>
      <c r="M209" s="464">
        <v>-265681.45</v>
      </c>
      <c r="N209" s="464">
        <v>-13284.07</v>
      </c>
      <c r="O209" s="464">
        <v>-44634.48</v>
      </c>
      <c r="P209" s="465">
        <v>-323600</v>
      </c>
      <c r="Q209" s="392"/>
      <c r="R209" s="466">
        <v>-241699.82</v>
      </c>
      <c r="S209" s="394">
        <f t="shared" si="74"/>
        <v>-81900.179999999993</v>
      </c>
      <c r="T209" s="267" t="s">
        <v>1268</v>
      </c>
      <c r="U209" s="370"/>
      <c r="V209" s="370"/>
      <c r="W209" s="375"/>
      <c r="X209" s="374"/>
      <c r="Y209" s="313"/>
      <c r="Z209" s="371"/>
      <c r="AA209" s="371"/>
      <c r="AB209" s="371"/>
      <c r="AC209" s="371"/>
      <c r="AD209" s="372"/>
      <c r="AE209" s="371"/>
      <c r="AF209" s="371"/>
      <c r="AG209" s="270"/>
      <c r="AH209" s="350"/>
      <c r="AI209" s="365"/>
      <c r="AJ209" s="374"/>
      <c r="AK209" s="374"/>
      <c r="AL209" s="374"/>
      <c r="AM209" s="374"/>
    </row>
    <row r="210" spans="1:39" s="291" customFormat="1" ht="12.75" customHeight="1" x14ac:dyDescent="0.2">
      <c r="A210" s="423">
        <f t="shared" si="75"/>
        <v>205</v>
      </c>
      <c r="B210" s="456" t="s">
        <v>548</v>
      </c>
      <c r="C210" s="457">
        <v>1520603</v>
      </c>
      <c r="D210" s="458">
        <v>7497</v>
      </c>
      <c r="E210" s="454" t="s">
        <v>717</v>
      </c>
      <c r="F210" s="391">
        <v>2017</v>
      </c>
      <c r="G210" s="455">
        <v>42737</v>
      </c>
      <c r="H210" s="459" t="s">
        <v>792</v>
      </c>
      <c r="I210" s="460" t="s">
        <v>1042</v>
      </c>
      <c r="J210" s="461" t="s">
        <v>729</v>
      </c>
      <c r="K210" s="462" t="s">
        <v>1043</v>
      </c>
      <c r="L210" s="463" t="s">
        <v>1044</v>
      </c>
      <c r="M210" s="464">
        <v>265681.45</v>
      </c>
      <c r="N210" s="464">
        <v>13284.07</v>
      </c>
      <c r="O210" s="464">
        <v>44634.48</v>
      </c>
      <c r="P210" s="465">
        <v>323600</v>
      </c>
      <c r="Q210" s="392"/>
      <c r="R210" s="466">
        <v>241699.82</v>
      </c>
      <c r="S210" s="394">
        <f t="shared" si="74"/>
        <v>81900.179999999993</v>
      </c>
      <c r="T210" s="113" t="s">
        <v>1268</v>
      </c>
      <c r="U210" s="370"/>
      <c r="V210" s="370"/>
      <c r="W210" s="375"/>
      <c r="X210" s="374"/>
      <c r="Y210" s="313"/>
      <c r="Z210" s="371"/>
      <c r="AA210" s="371"/>
      <c r="AB210" s="371"/>
      <c r="AC210" s="371"/>
      <c r="AD210" s="372"/>
      <c r="AE210" s="371"/>
      <c r="AF210" s="371"/>
      <c r="AG210" s="270"/>
      <c r="AH210" s="350"/>
      <c r="AI210" s="365"/>
      <c r="AJ210" s="374"/>
      <c r="AK210" s="374"/>
      <c r="AL210" s="374"/>
      <c r="AM210" s="374"/>
    </row>
    <row r="211" spans="1:39" s="291" customFormat="1" ht="12.75" customHeight="1" x14ac:dyDescent="0.2">
      <c r="A211" s="423">
        <f t="shared" si="75"/>
        <v>206</v>
      </c>
      <c r="B211" s="456" t="s">
        <v>589</v>
      </c>
      <c r="C211" s="457">
        <v>1520604</v>
      </c>
      <c r="D211" s="458">
        <v>7495</v>
      </c>
      <c r="E211" s="454" t="s">
        <v>718</v>
      </c>
      <c r="F211" s="391">
        <v>2017</v>
      </c>
      <c r="G211" s="455">
        <v>42742</v>
      </c>
      <c r="H211" s="459" t="s">
        <v>817</v>
      </c>
      <c r="I211" s="460" t="s">
        <v>1074</v>
      </c>
      <c r="J211" s="461" t="s">
        <v>729</v>
      </c>
      <c r="K211" s="462" t="s">
        <v>1132</v>
      </c>
      <c r="L211" s="463" t="s">
        <v>1076</v>
      </c>
      <c r="M211" s="464">
        <v>282019.7</v>
      </c>
      <c r="N211" s="464">
        <v>14100.99</v>
      </c>
      <c r="O211" s="464">
        <v>47379.31</v>
      </c>
      <c r="P211" s="465">
        <v>343500</v>
      </c>
      <c r="Q211" s="392"/>
      <c r="R211" s="466">
        <v>255471</v>
      </c>
      <c r="S211" s="394">
        <f t="shared" si="74"/>
        <v>88029</v>
      </c>
      <c r="T211" s="267" t="s">
        <v>1268</v>
      </c>
      <c r="U211" s="320"/>
      <c r="V211" s="354"/>
      <c r="W211" s="355"/>
      <c r="X211" s="355"/>
      <c r="Y211" s="355"/>
      <c r="Z211" s="328"/>
      <c r="AA211" s="328"/>
      <c r="AB211" s="328"/>
      <c r="AC211" s="328"/>
      <c r="AD211" s="333"/>
      <c r="AE211" s="328"/>
      <c r="AF211" s="328"/>
      <c r="AG211" s="346"/>
      <c r="AH211" s="347"/>
      <c r="AI211" s="363"/>
      <c r="AJ211" s="374"/>
      <c r="AK211" s="374"/>
      <c r="AL211" s="374"/>
      <c r="AM211" s="374"/>
    </row>
    <row r="212" spans="1:39" s="291" customFormat="1" ht="12.75" customHeight="1" x14ac:dyDescent="0.2">
      <c r="A212" s="423">
        <f t="shared" si="75"/>
        <v>207</v>
      </c>
      <c r="B212" s="456" t="s">
        <v>590</v>
      </c>
      <c r="C212" s="457">
        <v>1520604</v>
      </c>
      <c r="D212" s="458">
        <v>7495</v>
      </c>
      <c r="E212" s="454" t="s">
        <v>718</v>
      </c>
      <c r="F212" s="391">
        <v>2017</v>
      </c>
      <c r="G212" s="455">
        <v>42744</v>
      </c>
      <c r="H212" s="459" t="s">
        <v>817</v>
      </c>
      <c r="I212" s="460" t="s">
        <v>1074</v>
      </c>
      <c r="J212" s="461" t="s">
        <v>729</v>
      </c>
      <c r="K212" s="462" t="s">
        <v>1132</v>
      </c>
      <c r="L212" s="463" t="s">
        <v>1076</v>
      </c>
      <c r="M212" s="464">
        <v>-282019.7</v>
      </c>
      <c r="N212" s="464">
        <v>-14100.99</v>
      </c>
      <c r="O212" s="464">
        <v>-47379.31</v>
      </c>
      <c r="P212" s="465">
        <v>-343500</v>
      </c>
      <c r="Q212" s="392"/>
      <c r="R212" s="466">
        <v>-255471</v>
      </c>
      <c r="S212" s="394">
        <f t="shared" si="74"/>
        <v>-88029</v>
      </c>
      <c r="T212" s="113" t="s">
        <v>1268</v>
      </c>
      <c r="U212" s="370"/>
      <c r="V212" s="370"/>
      <c r="W212" s="375"/>
      <c r="X212" s="374"/>
      <c r="Y212" s="313"/>
      <c r="Z212" s="371"/>
      <c r="AA212" s="371"/>
      <c r="AB212" s="371"/>
      <c r="AC212" s="371"/>
      <c r="AD212" s="372"/>
      <c r="AE212" s="371"/>
      <c r="AF212" s="371"/>
      <c r="AG212" s="270"/>
      <c r="AH212" s="350"/>
      <c r="AI212" s="365"/>
      <c r="AJ212" s="374"/>
      <c r="AK212" s="374"/>
      <c r="AL212" s="374"/>
      <c r="AM212" s="374"/>
    </row>
    <row r="213" spans="1:39" s="291" customFormat="1" ht="12.75" customHeight="1" x14ac:dyDescent="0.2">
      <c r="A213" s="423">
        <f t="shared" si="75"/>
        <v>208</v>
      </c>
      <c r="B213" s="456" t="s">
        <v>521</v>
      </c>
      <c r="C213" s="457">
        <v>1520604</v>
      </c>
      <c r="D213" s="458">
        <v>7495</v>
      </c>
      <c r="E213" s="454" t="s">
        <v>718</v>
      </c>
      <c r="F213" s="391">
        <v>2017</v>
      </c>
      <c r="G213" s="455">
        <v>42737</v>
      </c>
      <c r="H213" s="459" t="s">
        <v>743</v>
      </c>
      <c r="I213" s="460" t="s">
        <v>1051</v>
      </c>
      <c r="J213" s="461" t="s">
        <v>729</v>
      </c>
      <c r="K213" s="462" t="s">
        <v>1052</v>
      </c>
      <c r="L213" s="463" t="s">
        <v>1053</v>
      </c>
      <c r="M213" s="464">
        <v>274466.34000000003</v>
      </c>
      <c r="N213" s="464">
        <v>13723.32</v>
      </c>
      <c r="O213" s="464">
        <v>46110.34</v>
      </c>
      <c r="P213" s="465">
        <v>334300</v>
      </c>
      <c r="Q213" s="392"/>
      <c r="R213" s="466">
        <v>249617.78</v>
      </c>
      <c r="S213" s="394">
        <f t="shared" si="74"/>
        <v>84682.22</v>
      </c>
      <c r="T213" s="267" t="s">
        <v>1268</v>
      </c>
      <c r="U213" s="369"/>
      <c r="V213" s="370"/>
      <c r="W213" s="375"/>
      <c r="X213" s="375"/>
      <c r="Y213" s="375"/>
      <c r="Z213" s="371"/>
      <c r="AA213" s="371"/>
      <c r="AB213" s="371"/>
      <c r="AC213" s="371"/>
      <c r="AD213" s="372"/>
      <c r="AE213" s="371"/>
      <c r="AF213" s="371"/>
      <c r="AG213" s="270"/>
      <c r="AH213" s="347"/>
      <c r="AI213" s="363"/>
      <c r="AJ213" s="374"/>
      <c r="AK213" s="374"/>
      <c r="AL213" s="374"/>
      <c r="AM213" s="374"/>
    </row>
    <row r="214" spans="1:39" s="291" customFormat="1" ht="12.75" customHeight="1" x14ac:dyDescent="0.2">
      <c r="A214" s="423">
        <f t="shared" si="75"/>
        <v>209</v>
      </c>
      <c r="B214" s="456" t="s">
        <v>577</v>
      </c>
      <c r="C214" s="457">
        <v>1520604</v>
      </c>
      <c r="D214" s="458">
        <v>7495</v>
      </c>
      <c r="E214" s="454" t="s">
        <v>718</v>
      </c>
      <c r="F214" s="391">
        <v>2017</v>
      </c>
      <c r="G214" s="455">
        <v>42738</v>
      </c>
      <c r="H214" s="459" t="s">
        <v>743</v>
      </c>
      <c r="I214" s="460" t="s">
        <v>1051</v>
      </c>
      <c r="J214" s="461" t="s">
        <v>729</v>
      </c>
      <c r="K214" s="462" t="s">
        <v>1052</v>
      </c>
      <c r="L214" s="463" t="s">
        <v>1053</v>
      </c>
      <c r="M214" s="464">
        <v>-274466.34000000003</v>
      </c>
      <c r="N214" s="464">
        <v>-13723.32</v>
      </c>
      <c r="O214" s="464">
        <v>-46110.34</v>
      </c>
      <c r="P214" s="465">
        <v>-334300</v>
      </c>
      <c r="Q214" s="392"/>
      <c r="R214" s="466">
        <v>-249617.78</v>
      </c>
      <c r="S214" s="394">
        <f t="shared" si="74"/>
        <v>-84682.22</v>
      </c>
      <c r="T214" s="267" t="s">
        <v>1268</v>
      </c>
      <c r="U214" s="370"/>
      <c r="V214" s="370"/>
      <c r="W214" s="375"/>
      <c r="X214" s="374"/>
      <c r="Y214" s="313"/>
      <c r="Z214" s="371"/>
      <c r="AA214" s="371"/>
      <c r="AB214" s="371"/>
      <c r="AC214" s="371"/>
      <c r="AD214" s="372"/>
      <c r="AE214" s="371"/>
      <c r="AF214" s="371"/>
      <c r="AG214" s="270"/>
      <c r="AH214" s="350"/>
      <c r="AI214" s="365"/>
      <c r="AJ214" s="374"/>
      <c r="AK214" s="374"/>
      <c r="AL214" s="374"/>
      <c r="AM214" s="374"/>
    </row>
    <row r="215" spans="1:39" s="291" customFormat="1" ht="12.75" customHeight="1" x14ac:dyDescent="0.2">
      <c r="A215" s="423">
        <f t="shared" si="75"/>
        <v>210</v>
      </c>
      <c r="B215" s="456" t="s">
        <v>581</v>
      </c>
      <c r="C215" s="457">
        <v>1520604</v>
      </c>
      <c r="D215" s="458">
        <v>7495</v>
      </c>
      <c r="E215" s="454" t="s">
        <v>718</v>
      </c>
      <c r="F215" s="391">
        <v>2017</v>
      </c>
      <c r="G215" s="455">
        <v>42738</v>
      </c>
      <c r="H215" s="459" t="s">
        <v>739</v>
      </c>
      <c r="I215" s="460" t="s">
        <v>1054</v>
      </c>
      <c r="J215" s="461" t="s">
        <v>729</v>
      </c>
      <c r="K215" s="462" t="s">
        <v>1055</v>
      </c>
      <c r="L215" s="463" t="s">
        <v>1056</v>
      </c>
      <c r="M215" s="464">
        <v>-274466.34000000003</v>
      </c>
      <c r="N215" s="464">
        <v>-13723.32</v>
      </c>
      <c r="O215" s="464">
        <v>-46110.34</v>
      </c>
      <c r="P215" s="465">
        <v>-334300</v>
      </c>
      <c r="Q215" s="392"/>
      <c r="R215" s="466">
        <v>-249617.78</v>
      </c>
      <c r="S215" s="394">
        <f t="shared" si="74"/>
        <v>-84682.22</v>
      </c>
      <c r="T215" s="113" t="s">
        <v>1268</v>
      </c>
      <c r="U215" s="369"/>
      <c r="V215" s="370"/>
      <c r="W215" s="375"/>
      <c r="X215" s="375"/>
      <c r="Y215" s="375"/>
      <c r="Z215" s="371"/>
      <c r="AA215" s="371"/>
      <c r="AB215" s="371"/>
      <c r="AC215" s="371"/>
      <c r="AD215" s="372"/>
      <c r="AE215" s="371"/>
      <c r="AF215" s="371"/>
      <c r="AG215" s="270"/>
      <c r="AH215" s="347"/>
      <c r="AI215" s="363"/>
      <c r="AJ215" s="374"/>
      <c r="AK215" s="374"/>
      <c r="AL215" s="374"/>
      <c r="AM215" s="374"/>
    </row>
    <row r="216" spans="1:39" s="291" customFormat="1" ht="12.75" customHeight="1" x14ac:dyDescent="0.2">
      <c r="A216" s="423">
        <f t="shared" si="75"/>
        <v>211</v>
      </c>
      <c r="B216" s="456" t="s">
        <v>582</v>
      </c>
      <c r="C216" s="457">
        <v>1520604</v>
      </c>
      <c r="D216" s="458">
        <v>7495</v>
      </c>
      <c r="E216" s="454" t="s">
        <v>718</v>
      </c>
      <c r="F216" s="391">
        <v>2017</v>
      </c>
      <c r="G216" s="455">
        <v>42738</v>
      </c>
      <c r="H216" s="459" t="s">
        <v>739</v>
      </c>
      <c r="I216" s="460" t="s">
        <v>1054</v>
      </c>
      <c r="J216" s="461" t="s">
        <v>729</v>
      </c>
      <c r="K216" s="462" t="s">
        <v>1055</v>
      </c>
      <c r="L216" s="463" t="s">
        <v>1056</v>
      </c>
      <c r="M216" s="464">
        <v>274466.34000000003</v>
      </c>
      <c r="N216" s="464">
        <v>13723.32</v>
      </c>
      <c r="O216" s="464">
        <v>46110.34</v>
      </c>
      <c r="P216" s="465">
        <v>334300</v>
      </c>
      <c r="Q216" s="392"/>
      <c r="R216" s="466">
        <v>249617.78</v>
      </c>
      <c r="S216" s="394">
        <f t="shared" si="74"/>
        <v>84682.22</v>
      </c>
      <c r="T216" s="267" t="s">
        <v>1268</v>
      </c>
      <c r="U216" s="370"/>
      <c r="V216" s="370"/>
      <c r="W216" s="375"/>
      <c r="X216" s="374"/>
      <c r="Y216" s="313"/>
      <c r="Z216" s="371"/>
      <c r="AA216" s="371"/>
      <c r="AB216" s="371"/>
      <c r="AC216" s="371"/>
      <c r="AD216" s="372"/>
      <c r="AE216" s="371"/>
      <c r="AF216" s="371"/>
      <c r="AG216" s="270"/>
      <c r="AH216" s="350"/>
      <c r="AI216" s="365"/>
      <c r="AJ216" s="374"/>
      <c r="AK216" s="374"/>
      <c r="AL216" s="374"/>
      <c r="AM216" s="374"/>
    </row>
    <row r="217" spans="1:39" s="291" customFormat="1" ht="12.75" customHeight="1" x14ac:dyDescent="0.2">
      <c r="A217" s="423">
        <f t="shared" si="75"/>
        <v>212</v>
      </c>
      <c r="B217" s="456" t="s">
        <v>567</v>
      </c>
      <c r="C217" s="457">
        <v>521707</v>
      </c>
      <c r="D217" s="458">
        <v>2006</v>
      </c>
      <c r="E217" s="454" t="s">
        <v>702</v>
      </c>
      <c r="F217" s="391">
        <v>2017</v>
      </c>
      <c r="G217" s="455">
        <v>42738</v>
      </c>
      <c r="H217" s="459" t="s">
        <v>817</v>
      </c>
      <c r="I217" s="460" t="s">
        <v>916</v>
      </c>
      <c r="J217" s="461" t="s">
        <v>724</v>
      </c>
      <c r="K217" s="462" t="s">
        <v>917</v>
      </c>
      <c r="L217" s="463" t="s">
        <v>918</v>
      </c>
      <c r="M217" s="464">
        <v>-189741.38</v>
      </c>
      <c r="N217" s="464">
        <v>0</v>
      </c>
      <c r="O217" s="464">
        <v>-30358.62</v>
      </c>
      <c r="P217" s="465">
        <v>-220100</v>
      </c>
      <c r="Q217" s="392"/>
      <c r="R217" s="466">
        <v>-172333.12</v>
      </c>
      <c r="S217" s="394">
        <f t="shared" si="74"/>
        <v>-47766.880000000005</v>
      </c>
      <c r="T217" s="113" t="s">
        <v>1268</v>
      </c>
      <c r="U217" s="369"/>
      <c r="V217" s="370"/>
      <c r="W217" s="375"/>
      <c r="X217" s="375"/>
      <c r="Y217" s="375"/>
      <c r="Z217" s="371"/>
      <c r="AA217" s="371"/>
      <c r="AB217" s="371"/>
      <c r="AC217" s="371"/>
      <c r="AD217" s="372"/>
      <c r="AE217" s="371"/>
      <c r="AF217" s="371"/>
      <c r="AG217" s="270"/>
      <c r="AH217" s="347"/>
      <c r="AI217" s="363"/>
      <c r="AJ217" s="374"/>
      <c r="AK217" s="374"/>
      <c r="AL217" s="374"/>
      <c r="AM217" s="374"/>
    </row>
    <row r="218" spans="1:39" s="296" customFormat="1" ht="12.75" customHeight="1" x14ac:dyDescent="0.2">
      <c r="A218" s="423">
        <f t="shared" si="75"/>
        <v>213</v>
      </c>
      <c r="B218" s="456" t="s">
        <v>568</v>
      </c>
      <c r="C218" s="457">
        <v>521707</v>
      </c>
      <c r="D218" s="458">
        <v>2006</v>
      </c>
      <c r="E218" s="454" t="s">
        <v>702</v>
      </c>
      <c r="F218" s="391">
        <v>2017</v>
      </c>
      <c r="G218" s="455">
        <v>42738</v>
      </c>
      <c r="H218" s="459" t="s">
        <v>817</v>
      </c>
      <c r="I218" s="460" t="s">
        <v>916</v>
      </c>
      <c r="J218" s="461" t="s">
        <v>724</v>
      </c>
      <c r="K218" s="462" t="s">
        <v>917</v>
      </c>
      <c r="L218" s="463" t="s">
        <v>918</v>
      </c>
      <c r="M218" s="464">
        <v>189741.38</v>
      </c>
      <c r="N218" s="464">
        <v>0</v>
      </c>
      <c r="O218" s="464">
        <v>30358.62</v>
      </c>
      <c r="P218" s="465">
        <v>220100</v>
      </c>
      <c r="Q218" s="392"/>
      <c r="R218" s="466">
        <v>172333.12</v>
      </c>
      <c r="S218" s="394">
        <f t="shared" si="74"/>
        <v>47766.880000000005</v>
      </c>
      <c r="T218" s="267" t="s">
        <v>1268</v>
      </c>
      <c r="U218" s="370"/>
      <c r="V218" s="370"/>
      <c r="W218" s="375"/>
      <c r="X218" s="374"/>
      <c r="Y218" s="313"/>
      <c r="Z218" s="371"/>
      <c r="AA218" s="371"/>
      <c r="AB218" s="371"/>
      <c r="AC218" s="371"/>
      <c r="AD218" s="372"/>
      <c r="AE218" s="371"/>
      <c r="AF218" s="371"/>
      <c r="AG218" s="270"/>
      <c r="AH218" s="272"/>
      <c r="AI218" s="313"/>
      <c r="AJ218" s="374"/>
      <c r="AK218" s="374"/>
      <c r="AL218" s="374"/>
      <c r="AM218" s="374"/>
    </row>
    <row r="219" spans="1:39" s="291" customFormat="1" ht="12.75" customHeight="1" x14ac:dyDescent="0.2">
      <c r="A219" s="423">
        <f t="shared" si="75"/>
        <v>214</v>
      </c>
      <c r="B219" s="456" t="s">
        <v>597</v>
      </c>
      <c r="C219" s="457">
        <v>521702</v>
      </c>
      <c r="D219" s="458">
        <v>2005</v>
      </c>
      <c r="E219" s="454" t="s">
        <v>701</v>
      </c>
      <c r="F219" s="391">
        <v>2017</v>
      </c>
      <c r="G219" s="455">
        <v>42742</v>
      </c>
      <c r="H219" s="459" t="s">
        <v>908</v>
      </c>
      <c r="I219" s="460" t="s">
        <v>893</v>
      </c>
      <c r="J219" s="461" t="s">
        <v>729</v>
      </c>
      <c r="K219" s="462" t="s">
        <v>910</v>
      </c>
      <c r="L219" s="463" t="s">
        <v>895</v>
      </c>
      <c r="M219" s="464">
        <v>177413.79</v>
      </c>
      <c r="N219" s="464">
        <v>0</v>
      </c>
      <c r="O219" s="464">
        <v>28386.21</v>
      </c>
      <c r="P219" s="465">
        <v>205800</v>
      </c>
      <c r="Q219" s="392"/>
      <c r="R219" s="466">
        <v>160915.62</v>
      </c>
      <c r="S219" s="394">
        <f t="shared" si="74"/>
        <v>44884.380000000005</v>
      </c>
      <c r="T219" s="267" t="s">
        <v>1268</v>
      </c>
      <c r="U219" s="369"/>
      <c r="V219" s="370"/>
      <c r="W219" s="375"/>
      <c r="X219" s="375"/>
      <c r="Y219" s="375"/>
      <c r="Z219" s="371"/>
      <c r="AA219" s="371"/>
      <c r="AB219" s="371"/>
      <c r="AC219" s="371"/>
      <c r="AD219" s="372"/>
      <c r="AE219" s="371"/>
      <c r="AF219" s="371"/>
      <c r="AG219" s="270"/>
      <c r="AH219" s="272"/>
      <c r="AI219" s="313"/>
      <c r="AJ219" s="374"/>
      <c r="AK219" s="374"/>
      <c r="AL219" s="374"/>
      <c r="AM219" s="374"/>
    </row>
    <row r="220" spans="1:39" s="291" customFormat="1" ht="12.75" customHeight="1" x14ac:dyDescent="0.2">
      <c r="A220" s="423">
        <f t="shared" si="75"/>
        <v>215</v>
      </c>
      <c r="B220" s="456" t="s">
        <v>598</v>
      </c>
      <c r="C220" s="457">
        <v>521702</v>
      </c>
      <c r="D220" s="458">
        <v>2005</v>
      </c>
      <c r="E220" s="454" t="s">
        <v>701</v>
      </c>
      <c r="F220" s="391">
        <v>2017</v>
      </c>
      <c r="G220" s="455">
        <v>42746</v>
      </c>
      <c r="H220" s="459" t="s">
        <v>908</v>
      </c>
      <c r="I220" s="460" t="s">
        <v>893</v>
      </c>
      <c r="J220" s="461" t="s">
        <v>729</v>
      </c>
      <c r="K220" s="462" t="s">
        <v>910</v>
      </c>
      <c r="L220" s="463" t="s">
        <v>895</v>
      </c>
      <c r="M220" s="464">
        <v>-177413.79</v>
      </c>
      <c r="N220" s="464">
        <v>0</v>
      </c>
      <c r="O220" s="464">
        <v>-28386.21</v>
      </c>
      <c r="P220" s="465">
        <v>-205800</v>
      </c>
      <c r="Q220" s="392"/>
      <c r="R220" s="466">
        <v>-160915.62</v>
      </c>
      <c r="S220" s="394">
        <f t="shared" si="74"/>
        <v>-44884.380000000005</v>
      </c>
      <c r="T220" s="113" t="s">
        <v>1268</v>
      </c>
      <c r="U220" s="370"/>
      <c r="V220" s="370"/>
      <c r="W220" s="375"/>
      <c r="X220" s="374"/>
      <c r="Y220" s="313"/>
      <c r="Z220" s="371"/>
      <c r="AA220" s="371"/>
      <c r="AB220" s="371"/>
      <c r="AC220" s="371"/>
      <c r="AD220" s="372"/>
      <c r="AE220" s="371"/>
      <c r="AF220" s="371"/>
      <c r="AG220" s="270"/>
      <c r="AH220" s="272"/>
      <c r="AI220" s="313"/>
      <c r="AJ220" s="374"/>
      <c r="AK220" s="374"/>
      <c r="AL220" s="374"/>
      <c r="AM220" s="374"/>
    </row>
    <row r="221" spans="1:39" s="291" customFormat="1" ht="12.75" customHeight="1" x14ac:dyDescent="0.2">
      <c r="A221" s="423">
        <f t="shared" si="75"/>
        <v>216</v>
      </c>
      <c r="B221" s="456" t="s">
        <v>629</v>
      </c>
      <c r="C221" s="457">
        <v>521101</v>
      </c>
      <c r="D221" s="458">
        <v>1253</v>
      </c>
      <c r="E221" s="454" t="s">
        <v>30</v>
      </c>
      <c r="F221" s="391">
        <v>2017</v>
      </c>
      <c r="G221" s="455">
        <v>42766</v>
      </c>
      <c r="H221" s="459"/>
      <c r="I221" s="460" t="s">
        <v>1143</v>
      </c>
      <c r="J221" s="461" t="s">
        <v>729</v>
      </c>
      <c r="K221" s="462" t="s">
        <v>1144</v>
      </c>
      <c r="L221" s="463" t="s">
        <v>1145</v>
      </c>
      <c r="M221" s="464">
        <v>326375.90999999997</v>
      </c>
      <c r="N221" s="464">
        <v>0</v>
      </c>
      <c r="O221" s="464">
        <v>52220.14</v>
      </c>
      <c r="P221" s="465">
        <v>378596.05</v>
      </c>
      <c r="Q221" s="392"/>
      <c r="R221" s="466">
        <v>326020.56</v>
      </c>
      <c r="S221" s="394">
        <f t="shared" si="74"/>
        <v>52575.489999999991</v>
      </c>
      <c r="T221" s="267" t="s">
        <v>283</v>
      </c>
      <c r="U221" s="369"/>
      <c r="V221" s="370"/>
      <c r="W221" s="375"/>
      <c r="X221" s="375"/>
      <c r="Y221" s="375"/>
      <c r="Z221" s="371"/>
      <c r="AA221" s="371"/>
      <c r="AB221" s="371"/>
      <c r="AC221" s="371"/>
      <c r="AD221" s="372"/>
      <c r="AE221" s="371"/>
      <c r="AF221" s="371"/>
      <c r="AG221" s="270"/>
      <c r="AH221" s="272"/>
      <c r="AI221" s="313"/>
      <c r="AJ221" s="374"/>
      <c r="AK221" s="374"/>
      <c r="AL221" s="374"/>
      <c r="AM221" s="374"/>
    </row>
    <row r="222" spans="1:39" s="291" customFormat="1" ht="12.75" customHeight="1" x14ac:dyDescent="0.2">
      <c r="A222" s="423">
        <f t="shared" si="75"/>
        <v>217</v>
      </c>
      <c r="B222" s="456" t="s">
        <v>630</v>
      </c>
      <c r="C222" s="457">
        <v>520223</v>
      </c>
      <c r="D222" s="458">
        <v>1796</v>
      </c>
      <c r="E222" s="454" t="s">
        <v>689</v>
      </c>
      <c r="F222" s="391">
        <v>2017</v>
      </c>
      <c r="G222" s="455">
        <v>42746</v>
      </c>
      <c r="H222" s="459"/>
      <c r="I222" s="460" t="s">
        <v>775</v>
      </c>
      <c r="J222" s="461" t="s">
        <v>729</v>
      </c>
      <c r="K222" s="462" t="s">
        <v>1146</v>
      </c>
      <c r="L222" s="463" t="s">
        <v>777</v>
      </c>
      <c r="M222" s="464">
        <v>206654.41</v>
      </c>
      <c r="N222" s="464">
        <v>0</v>
      </c>
      <c r="O222" s="464">
        <v>33064.699999999997</v>
      </c>
      <c r="P222" s="465">
        <v>239719.11</v>
      </c>
      <c r="Q222" s="392"/>
      <c r="R222" s="466">
        <v>206343.2</v>
      </c>
      <c r="S222" s="394">
        <f t="shared" si="74"/>
        <v>33375.909999999974</v>
      </c>
      <c r="T222" s="267" t="s">
        <v>283</v>
      </c>
      <c r="U222" s="369"/>
      <c r="V222" s="370"/>
      <c r="W222" s="375"/>
      <c r="X222" s="375"/>
      <c r="Y222" s="375"/>
      <c r="Z222" s="371"/>
      <c r="AA222" s="371"/>
      <c r="AB222" s="371"/>
      <c r="AC222" s="371"/>
      <c r="AD222" s="372"/>
      <c r="AE222" s="371"/>
      <c r="AF222" s="371"/>
      <c r="AG222" s="270"/>
      <c r="AH222" s="350"/>
      <c r="AI222" s="365"/>
      <c r="AJ222" s="374"/>
      <c r="AK222" s="374"/>
      <c r="AL222" s="374"/>
      <c r="AM222" s="374"/>
    </row>
    <row r="223" spans="1:39" s="291" customFormat="1" ht="12.75" customHeight="1" x14ac:dyDescent="0.2">
      <c r="A223" s="423">
        <f t="shared" si="75"/>
        <v>218</v>
      </c>
      <c r="B223" s="456" t="s">
        <v>631</v>
      </c>
      <c r="C223" s="457">
        <v>520222</v>
      </c>
      <c r="D223" s="458">
        <v>1797</v>
      </c>
      <c r="E223" s="454" t="s">
        <v>688</v>
      </c>
      <c r="F223" s="391">
        <v>2017</v>
      </c>
      <c r="G223" s="455">
        <v>42748</v>
      </c>
      <c r="H223" s="459"/>
      <c r="I223" s="460" t="s">
        <v>757</v>
      </c>
      <c r="J223" s="461" t="s">
        <v>729</v>
      </c>
      <c r="K223" s="462" t="s">
        <v>1147</v>
      </c>
      <c r="L223" s="463" t="s">
        <v>759</v>
      </c>
      <c r="M223" s="464">
        <v>204264.51</v>
      </c>
      <c r="N223" s="464">
        <v>0</v>
      </c>
      <c r="O223" s="464">
        <v>32682.32</v>
      </c>
      <c r="P223" s="465">
        <v>236946.83</v>
      </c>
      <c r="Q223" s="392"/>
      <c r="R223" s="466">
        <v>198874.78</v>
      </c>
      <c r="S223" s="394">
        <f t="shared" si="74"/>
        <v>38072.049999999988</v>
      </c>
      <c r="T223" s="113" t="s">
        <v>283</v>
      </c>
      <c r="U223" s="369"/>
      <c r="V223" s="370"/>
      <c r="W223" s="375"/>
      <c r="X223" s="375"/>
      <c r="Y223" s="375"/>
      <c r="Z223" s="371"/>
      <c r="AA223" s="371"/>
      <c r="AB223" s="371"/>
      <c r="AC223" s="371"/>
      <c r="AD223" s="372"/>
      <c r="AE223" s="371"/>
      <c r="AF223" s="371"/>
      <c r="AG223" s="270"/>
      <c r="AH223" s="350"/>
      <c r="AI223" s="365"/>
      <c r="AJ223" s="374"/>
      <c r="AK223" s="374"/>
      <c r="AL223" s="374"/>
      <c r="AM223" s="374"/>
    </row>
    <row r="224" spans="1:39" s="291" customFormat="1" ht="12.75" customHeight="1" x14ac:dyDescent="0.2">
      <c r="A224" s="423">
        <f t="shared" si="75"/>
        <v>219</v>
      </c>
      <c r="B224" s="456" t="s">
        <v>632</v>
      </c>
      <c r="C224" s="457">
        <v>520222</v>
      </c>
      <c r="D224" s="458">
        <v>1797</v>
      </c>
      <c r="E224" s="454" t="s">
        <v>688</v>
      </c>
      <c r="F224" s="391">
        <v>2017</v>
      </c>
      <c r="G224" s="455">
        <v>42766</v>
      </c>
      <c r="H224" s="459"/>
      <c r="I224" s="460" t="s">
        <v>1148</v>
      </c>
      <c r="J224" s="461" t="s">
        <v>729</v>
      </c>
      <c r="K224" s="462" t="s">
        <v>1149</v>
      </c>
      <c r="L224" s="463" t="s">
        <v>1150</v>
      </c>
      <c r="M224" s="464">
        <v>204308.66</v>
      </c>
      <c r="N224" s="464">
        <v>0</v>
      </c>
      <c r="O224" s="464">
        <v>32689.38</v>
      </c>
      <c r="P224" s="465">
        <v>236998.04</v>
      </c>
      <c r="Q224" s="392"/>
      <c r="R224" s="466">
        <v>203953.31</v>
      </c>
      <c r="S224" s="394">
        <f t="shared" si="74"/>
        <v>33044.73000000001</v>
      </c>
      <c r="T224" s="267" t="s">
        <v>283</v>
      </c>
      <c r="U224" s="370"/>
      <c r="V224" s="370"/>
      <c r="W224" s="375"/>
      <c r="X224" s="374"/>
      <c r="Y224" s="313"/>
      <c r="Z224" s="371"/>
      <c r="AA224" s="371"/>
      <c r="AB224" s="371"/>
      <c r="AC224" s="371"/>
      <c r="AD224" s="372"/>
      <c r="AE224" s="371"/>
      <c r="AF224" s="371"/>
      <c r="AG224" s="270"/>
      <c r="AH224" s="272"/>
      <c r="AI224" s="313"/>
      <c r="AJ224" s="374"/>
      <c r="AK224" s="374"/>
      <c r="AL224" s="374"/>
      <c r="AM224" s="374"/>
    </row>
    <row r="225" spans="1:39" s="291" customFormat="1" ht="12.75" customHeight="1" x14ac:dyDescent="0.2">
      <c r="A225" s="423">
        <f t="shared" si="75"/>
        <v>220</v>
      </c>
      <c r="B225" s="456" t="s">
        <v>633</v>
      </c>
      <c r="C225" s="457">
        <v>520908</v>
      </c>
      <c r="D225" s="458">
        <v>2008</v>
      </c>
      <c r="E225" s="454" t="s">
        <v>697</v>
      </c>
      <c r="F225" s="391">
        <v>2017</v>
      </c>
      <c r="G225" s="455">
        <v>42762</v>
      </c>
      <c r="H225" s="459"/>
      <c r="I225" s="460" t="s">
        <v>1151</v>
      </c>
      <c r="J225" s="461" t="s">
        <v>729</v>
      </c>
      <c r="K225" s="462" t="s">
        <v>1152</v>
      </c>
      <c r="L225" s="463" t="s">
        <v>1153</v>
      </c>
      <c r="M225" s="464">
        <v>181892.87</v>
      </c>
      <c r="N225" s="464">
        <v>0</v>
      </c>
      <c r="O225" s="464">
        <v>29102.86</v>
      </c>
      <c r="P225" s="465">
        <v>210995.73</v>
      </c>
      <c r="Q225" s="392"/>
      <c r="R225" s="466">
        <v>181581.66</v>
      </c>
      <c r="S225" s="394">
        <f t="shared" si="74"/>
        <v>29414.070000000007</v>
      </c>
      <c r="T225" s="267" t="s">
        <v>283</v>
      </c>
      <c r="U225" s="369"/>
      <c r="V225" s="370"/>
      <c r="W225" s="375"/>
      <c r="X225" s="375"/>
      <c r="Y225" s="375"/>
      <c r="Z225" s="371"/>
      <c r="AA225" s="371"/>
      <c r="AB225" s="371"/>
      <c r="AC225" s="371"/>
      <c r="AD225" s="372"/>
      <c r="AE225" s="371"/>
      <c r="AF225" s="371"/>
      <c r="AG225" s="270"/>
      <c r="AH225" s="350"/>
      <c r="AI225" s="365"/>
      <c r="AJ225" s="374"/>
      <c r="AK225" s="374"/>
      <c r="AL225" s="374"/>
      <c r="AM225" s="374"/>
    </row>
    <row r="226" spans="1:39" s="296" customFormat="1" ht="12.75" customHeight="1" x14ac:dyDescent="0.2">
      <c r="A226" s="423">
        <f t="shared" si="75"/>
        <v>221</v>
      </c>
      <c r="B226" s="456" t="s">
        <v>634</v>
      </c>
      <c r="C226" s="457">
        <v>520909</v>
      </c>
      <c r="D226" s="458">
        <v>2009</v>
      </c>
      <c r="E226" s="454" t="s">
        <v>698</v>
      </c>
      <c r="F226" s="391">
        <v>2017</v>
      </c>
      <c r="G226" s="455">
        <v>42762</v>
      </c>
      <c r="H226" s="459"/>
      <c r="I226" s="460" t="s">
        <v>1154</v>
      </c>
      <c r="J226" s="461" t="s">
        <v>729</v>
      </c>
      <c r="K226" s="462" t="s">
        <v>1155</v>
      </c>
      <c r="L226" s="463" t="s">
        <v>1156</v>
      </c>
      <c r="M226" s="464">
        <v>189684.95</v>
      </c>
      <c r="N226" s="464">
        <v>0</v>
      </c>
      <c r="O226" s="464">
        <v>30349.59</v>
      </c>
      <c r="P226" s="465">
        <v>220034.54</v>
      </c>
      <c r="Q226" s="392"/>
      <c r="R226" s="466">
        <v>189373.74</v>
      </c>
      <c r="S226" s="394">
        <f t="shared" si="74"/>
        <v>30660.800000000017</v>
      </c>
      <c r="T226" s="113" t="s">
        <v>283</v>
      </c>
      <c r="U226" s="369"/>
      <c r="V226" s="370"/>
      <c r="W226" s="375"/>
      <c r="X226" s="375"/>
      <c r="Y226" s="375"/>
      <c r="Z226" s="371"/>
      <c r="AA226" s="371"/>
      <c r="AB226" s="371"/>
      <c r="AC226" s="371"/>
      <c r="AD226" s="372"/>
      <c r="AE226" s="371"/>
      <c r="AF226" s="371"/>
      <c r="AG226" s="270"/>
      <c r="AH226" s="350"/>
      <c r="AI226" s="365"/>
      <c r="AJ226" s="374"/>
      <c r="AK226" s="374"/>
      <c r="AL226" s="374"/>
      <c r="AM226" s="374"/>
    </row>
    <row r="227" spans="1:39" s="291" customFormat="1" ht="12.75" customHeight="1" x14ac:dyDescent="0.2">
      <c r="A227" s="423">
        <f t="shared" si="75"/>
        <v>222</v>
      </c>
      <c r="B227" s="456" t="s">
        <v>635</v>
      </c>
      <c r="C227" s="457">
        <v>521801</v>
      </c>
      <c r="D227" s="458">
        <v>2201</v>
      </c>
      <c r="E227" s="454" t="s">
        <v>704</v>
      </c>
      <c r="F227" s="391">
        <v>2017</v>
      </c>
      <c r="G227" s="455">
        <v>42739</v>
      </c>
      <c r="H227" s="459"/>
      <c r="I227" s="460" t="s">
        <v>1157</v>
      </c>
      <c r="J227" s="461" t="s">
        <v>724</v>
      </c>
      <c r="K227" s="462" t="s">
        <v>1155</v>
      </c>
      <c r="L227" s="463" t="s">
        <v>1158</v>
      </c>
      <c r="M227" s="464">
        <v>175876.59</v>
      </c>
      <c r="N227" s="464">
        <v>0</v>
      </c>
      <c r="O227" s="464">
        <v>28140.26</v>
      </c>
      <c r="P227" s="465">
        <v>204016.85</v>
      </c>
      <c r="Q227" s="392"/>
      <c r="R227" s="466">
        <v>175875.73</v>
      </c>
      <c r="S227" s="394">
        <f t="shared" si="74"/>
        <v>28141.119999999995</v>
      </c>
      <c r="T227" s="113" t="s">
        <v>283</v>
      </c>
      <c r="U227" s="369"/>
      <c r="V227" s="370"/>
      <c r="W227" s="375"/>
      <c r="X227" s="375"/>
      <c r="Y227" s="375"/>
      <c r="Z227" s="371"/>
      <c r="AA227" s="371"/>
      <c r="AB227" s="371"/>
      <c r="AC227" s="371"/>
      <c r="AD227" s="372"/>
      <c r="AE227" s="371"/>
      <c r="AF227" s="371"/>
      <c r="AG227" s="270"/>
      <c r="AH227" s="350"/>
      <c r="AI227" s="365"/>
      <c r="AJ227" s="374"/>
      <c r="AK227" s="374"/>
      <c r="AL227" s="374"/>
      <c r="AM227" s="374"/>
    </row>
    <row r="228" spans="1:39" s="348" customFormat="1" ht="12.75" customHeight="1" x14ac:dyDescent="0.2">
      <c r="A228" s="423">
        <f t="shared" si="75"/>
        <v>223</v>
      </c>
      <c r="B228" s="456" t="s">
        <v>636</v>
      </c>
      <c r="C228" s="457">
        <v>521802</v>
      </c>
      <c r="D228" s="458">
        <v>2202</v>
      </c>
      <c r="E228" s="454" t="s">
        <v>703</v>
      </c>
      <c r="F228" s="391">
        <v>2017</v>
      </c>
      <c r="G228" s="455">
        <v>42741</v>
      </c>
      <c r="H228" s="459"/>
      <c r="I228" s="460" t="s">
        <v>1159</v>
      </c>
      <c r="J228" s="461" t="s">
        <v>729</v>
      </c>
      <c r="K228" s="462" t="s">
        <v>365</v>
      </c>
      <c r="L228" s="463" t="s">
        <v>1160</v>
      </c>
      <c r="M228" s="464">
        <v>180012.53</v>
      </c>
      <c r="N228" s="464">
        <v>0</v>
      </c>
      <c r="O228" s="464">
        <v>28802</v>
      </c>
      <c r="P228" s="465">
        <v>208814.53</v>
      </c>
      <c r="Q228" s="392"/>
      <c r="R228" s="466">
        <v>179701.32</v>
      </c>
      <c r="S228" s="394">
        <f t="shared" si="74"/>
        <v>29113.209999999992</v>
      </c>
      <c r="T228" s="267" t="s">
        <v>283</v>
      </c>
      <c r="U228" s="369"/>
      <c r="V228" s="370"/>
      <c r="W228" s="375"/>
      <c r="X228" s="375"/>
      <c r="Y228" s="375"/>
      <c r="Z228" s="371"/>
      <c r="AA228" s="371"/>
      <c r="AB228" s="371"/>
      <c r="AC228" s="371"/>
      <c r="AD228" s="372"/>
      <c r="AE228" s="371"/>
      <c r="AF228" s="371"/>
      <c r="AG228" s="270"/>
      <c r="AH228" s="350"/>
      <c r="AI228" s="365"/>
      <c r="AJ228" s="374"/>
      <c r="AK228" s="330"/>
      <c r="AL228" s="330"/>
      <c r="AM228" s="330"/>
    </row>
    <row r="229" spans="1:39" s="291" customFormat="1" ht="12.75" customHeight="1" x14ac:dyDescent="0.2">
      <c r="A229" s="423">
        <f t="shared" si="75"/>
        <v>224</v>
      </c>
      <c r="B229" s="456" t="s">
        <v>637</v>
      </c>
      <c r="C229" s="457">
        <v>521802</v>
      </c>
      <c r="D229" s="458">
        <v>2202</v>
      </c>
      <c r="E229" s="454" t="s">
        <v>703</v>
      </c>
      <c r="F229" s="391">
        <v>2017</v>
      </c>
      <c r="G229" s="455">
        <v>42762</v>
      </c>
      <c r="H229" s="459"/>
      <c r="I229" s="460" t="s">
        <v>1161</v>
      </c>
      <c r="J229" s="461" t="s">
        <v>724</v>
      </c>
      <c r="K229" s="462" t="s">
        <v>1155</v>
      </c>
      <c r="L229" s="463" t="s">
        <v>1162</v>
      </c>
      <c r="M229" s="464">
        <v>183211.84</v>
      </c>
      <c r="N229" s="464">
        <v>0</v>
      </c>
      <c r="O229" s="464">
        <v>29313.9</v>
      </c>
      <c r="P229" s="465">
        <v>212525.74</v>
      </c>
      <c r="Q229" s="392"/>
      <c r="R229" s="466">
        <v>183210.98</v>
      </c>
      <c r="S229" s="394">
        <f t="shared" si="74"/>
        <v>29314.75999999998</v>
      </c>
      <c r="T229" s="267" t="s">
        <v>283</v>
      </c>
      <c r="U229" s="369"/>
      <c r="V229" s="370"/>
      <c r="W229" s="375"/>
      <c r="X229" s="375"/>
      <c r="Y229" s="375"/>
      <c r="Z229" s="371"/>
      <c r="AA229" s="371"/>
      <c r="AB229" s="371"/>
      <c r="AC229" s="371"/>
      <c r="AD229" s="372"/>
      <c r="AE229" s="371"/>
      <c r="AF229" s="371"/>
      <c r="AG229" s="270"/>
      <c r="AH229" s="350"/>
      <c r="AI229" s="365"/>
      <c r="AJ229" s="374"/>
      <c r="AK229" s="374"/>
      <c r="AL229" s="374"/>
      <c r="AM229" s="374"/>
    </row>
    <row r="230" spans="1:39" s="348" customFormat="1" ht="12.75" customHeight="1" x14ac:dyDescent="0.2">
      <c r="A230" s="423">
        <f t="shared" si="75"/>
        <v>225</v>
      </c>
      <c r="B230" s="456" t="s">
        <v>638</v>
      </c>
      <c r="C230" s="457">
        <v>520112</v>
      </c>
      <c r="D230" s="458">
        <v>2594</v>
      </c>
      <c r="E230" s="454" t="s">
        <v>720</v>
      </c>
      <c r="F230" s="391">
        <v>2017</v>
      </c>
      <c r="G230" s="455">
        <v>42762</v>
      </c>
      <c r="H230" s="459"/>
      <c r="I230" s="460" t="s">
        <v>1163</v>
      </c>
      <c r="J230" s="461" t="s">
        <v>729</v>
      </c>
      <c r="K230" s="462" t="s">
        <v>1164</v>
      </c>
      <c r="L230" s="463" t="s">
        <v>1165</v>
      </c>
      <c r="M230" s="464">
        <v>315975.33</v>
      </c>
      <c r="N230" s="464">
        <v>0</v>
      </c>
      <c r="O230" s="464">
        <v>50556.05</v>
      </c>
      <c r="P230" s="465">
        <v>366531.38</v>
      </c>
      <c r="Q230" s="392"/>
      <c r="R230" s="466">
        <v>315619.98</v>
      </c>
      <c r="S230" s="394">
        <f t="shared" si="74"/>
        <v>50911.400000000023</v>
      </c>
      <c r="T230" s="267" t="s">
        <v>283</v>
      </c>
      <c r="U230" s="369"/>
      <c r="V230" s="370"/>
      <c r="W230" s="375"/>
      <c r="X230" s="375"/>
      <c r="Y230" s="375"/>
      <c r="Z230" s="371"/>
      <c r="AA230" s="371"/>
      <c r="AB230" s="371"/>
      <c r="AC230" s="371"/>
      <c r="AD230" s="372"/>
      <c r="AE230" s="371"/>
      <c r="AF230" s="371"/>
      <c r="AG230" s="270"/>
      <c r="AH230" s="350"/>
      <c r="AI230" s="365"/>
      <c r="AJ230" s="330"/>
      <c r="AK230" s="330"/>
      <c r="AL230" s="330"/>
      <c r="AM230" s="330"/>
    </row>
    <row r="231" spans="1:39" s="291" customFormat="1" ht="12.75" customHeight="1" x14ac:dyDescent="0.2">
      <c r="A231" s="423">
        <f t="shared" si="75"/>
        <v>226</v>
      </c>
      <c r="B231" s="456" t="s">
        <v>639</v>
      </c>
      <c r="C231" s="457">
        <v>520112</v>
      </c>
      <c r="D231" s="458">
        <v>2594</v>
      </c>
      <c r="E231" s="454" t="s">
        <v>720</v>
      </c>
      <c r="F231" s="391">
        <v>2017</v>
      </c>
      <c r="G231" s="455">
        <v>42762</v>
      </c>
      <c r="H231" s="459"/>
      <c r="I231" s="460" t="s">
        <v>1166</v>
      </c>
      <c r="J231" s="461" t="s">
        <v>729</v>
      </c>
      <c r="K231" s="462" t="s">
        <v>1164</v>
      </c>
      <c r="L231" s="463" t="s">
        <v>1167</v>
      </c>
      <c r="M231" s="464">
        <v>-315975.33</v>
      </c>
      <c r="N231" s="464">
        <v>0</v>
      </c>
      <c r="O231" s="464">
        <v>-50556.05</v>
      </c>
      <c r="P231" s="465">
        <v>-366531.38</v>
      </c>
      <c r="Q231" s="392"/>
      <c r="R231" s="466">
        <v>-315664.12</v>
      </c>
      <c r="S231" s="394">
        <f t="shared" si="74"/>
        <v>-50867.260000000009</v>
      </c>
      <c r="T231" s="267" t="s">
        <v>283</v>
      </c>
      <c r="U231" s="369"/>
      <c r="V231" s="370"/>
      <c r="W231" s="375"/>
      <c r="X231" s="375"/>
      <c r="Y231" s="375"/>
      <c r="Z231" s="371"/>
      <c r="AA231" s="371"/>
      <c r="AB231" s="371"/>
      <c r="AC231" s="371"/>
      <c r="AD231" s="372"/>
      <c r="AE231" s="371"/>
      <c r="AF231" s="371"/>
      <c r="AG231" s="270"/>
      <c r="AH231" s="350"/>
      <c r="AI231" s="365"/>
      <c r="AJ231" s="374"/>
      <c r="AK231" s="374"/>
      <c r="AL231" s="374"/>
      <c r="AM231" s="374"/>
    </row>
    <row r="232" spans="1:39" s="291" customFormat="1" ht="12.75" customHeight="1" x14ac:dyDescent="0.2">
      <c r="A232" s="423">
        <f t="shared" si="75"/>
        <v>227</v>
      </c>
      <c r="B232" s="456" t="s">
        <v>640</v>
      </c>
      <c r="C232" s="457">
        <v>520112</v>
      </c>
      <c r="D232" s="458">
        <v>2594</v>
      </c>
      <c r="E232" s="454" t="s">
        <v>720</v>
      </c>
      <c r="F232" s="391">
        <v>2017</v>
      </c>
      <c r="G232" s="455">
        <v>42762</v>
      </c>
      <c r="H232" s="459"/>
      <c r="I232" s="460" t="s">
        <v>1166</v>
      </c>
      <c r="J232" s="461" t="s">
        <v>729</v>
      </c>
      <c r="K232" s="462" t="s">
        <v>1164</v>
      </c>
      <c r="L232" s="463" t="s">
        <v>1167</v>
      </c>
      <c r="M232" s="464">
        <v>315975.33</v>
      </c>
      <c r="N232" s="464">
        <v>0</v>
      </c>
      <c r="O232" s="464">
        <v>50556.05</v>
      </c>
      <c r="P232" s="465">
        <v>366531.38</v>
      </c>
      <c r="Q232" s="392"/>
      <c r="R232" s="466">
        <v>315664.12</v>
      </c>
      <c r="S232" s="394">
        <f t="shared" si="74"/>
        <v>50867.260000000009</v>
      </c>
      <c r="T232" s="113" t="s">
        <v>283</v>
      </c>
      <c r="U232" s="369"/>
      <c r="V232" s="370"/>
      <c r="W232" s="375"/>
      <c r="X232" s="375"/>
      <c r="Y232" s="375"/>
      <c r="Z232" s="371"/>
      <c r="AA232" s="371"/>
      <c r="AB232" s="371"/>
      <c r="AC232" s="371"/>
      <c r="AD232" s="372"/>
      <c r="AE232" s="371"/>
      <c r="AF232" s="371"/>
      <c r="AG232" s="270"/>
      <c r="AH232" s="350"/>
      <c r="AI232" s="365"/>
      <c r="AJ232" s="374"/>
      <c r="AK232" s="374"/>
      <c r="AL232" s="374"/>
      <c r="AM232" s="374"/>
    </row>
    <row r="233" spans="1:39" s="291" customFormat="1" ht="12.75" customHeight="1" x14ac:dyDescent="0.2">
      <c r="A233" s="423">
        <f t="shared" si="75"/>
        <v>228</v>
      </c>
      <c r="B233" s="456" t="s">
        <v>641</v>
      </c>
      <c r="C233" s="457">
        <v>520814</v>
      </c>
      <c r="D233" s="458">
        <v>4493</v>
      </c>
      <c r="E233" s="454" t="s">
        <v>693</v>
      </c>
      <c r="F233" s="391">
        <v>2017</v>
      </c>
      <c r="G233" s="455">
        <v>42749</v>
      </c>
      <c r="H233" s="459"/>
      <c r="I233" s="460" t="s">
        <v>1168</v>
      </c>
      <c r="J233" s="461" t="s">
        <v>729</v>
      </c>
      <c r="K233" s="462" t="s">
        <v>62</v>
      </c>
      <c r="L233" s="463" t="s">
        <v>1169</v>
      </c>
      <c r="M233" s="464">
        <v>269450.42</v>
      </c>
      <c r="N233" s="464">
        <v>0</v>
      </c>
      <c r="O233" s="464">
        <v>43112.07</v>
      </c>
      <c r="P233" s="465">
        <v>312562.49</v>
      </c>
      <c r="Q233" s="392"/>
      <c r="R233" s="466">
        <v>269139.21999999997</v>
      </c>
      <c r="S233" s="394">
        <f t="shared" si="74"/>
        <v>43423.270000000019</v>
      </c>
      <c r="T233" s="267" t="s">
        <v>283</v>
      </c>
      <c r="U233" s="369"/>
      <c r="V233" s="370"/>
      <c r="W233" s="375"/>
      <c r="X233" s="375"/>
      <c r="Y233" s="375"/>
      <c r="Z233" s="371"/>
      <c r="AA233" s="371"/>
      <c r="AB233" s="371"/>
      <c r="AC233" s="371"/>
      <c r="AD233" s="372"/>
      <c r="AE233" s="371"/>
      <c r="AF233" s="371"/>
      <c r="AG233" s="270"/>
      <c r="AH233" s="350"/>
      <c r="AI233" s="365"/>
      <c r="AJ233" s="374"/>
      <c r="AK233" s="374"/>
      <c r="AL233" s="374"/>
      <c r="AM233" s="374"/>
    </row>
    <row r="234" spans="1:39" s="291" customFormat="1" ht="12.75" customHeight="1" x14ac:dyDescent="0.2">
      <c r="A234" s="423">
        <f t="shared" si="75"/>
        <v>229</v>
      </c>
      <c r="B234" s="456" t="s">
        <v>642</v>
      </c>
      <c r="C234" s="457">
        <v>520816</v>
      </c>
      <c r="D234" s="458">
        <v>4497</v>
      </c>
      <c r="E234" s="454" t="s">
        <v>695</v>
      </c>
      <c r="F234" s="391">
        <v>2017</v>
      </c>
      <c r="G234" s="455">
        <v>42758</v>
      </c>
      <c r="H234" s="459"/>
      <c r="I234" s="460" t="s">
        <v>1170</v>
      </c>
      <c r="J234" s="461" t="s">
        <v>729</v>
      </c>
      <c r="K234" s="462" t="s">
        <v>1144</v>
      </c>
      <c r="L234" s="463" t="s">
        <v>1171</v>
      </c>
      <c r="M234" s="464">
        <v>366612.19</v>
      </c>
      <c r="N234" s="464">
        <v>0</v>
      </c>
      <c r="O234" s="464">
        <v>58657.95</v>
      </c>
      <c r="P234" s="465">
        <v>425270.14</v>
      </c>
      <c r="Q234" s="392"/>
      <c r="R234" s="466">
        <v>358132.58</v>
      </c>
      <c r="S234" s="394">
        <f t="shared" si="74"/>
        <v>67137.56</v>
      </c>
      <c r="T234" s="267" t="s">
        <v>283</v>
      </c>
      <c r="U234" s="369"/>
      <c r="V234" s="370"/>
      <c r="W234" s="375"/>
      <c r="X234" s="375"/>
      <c r="Y234" s="375"/>
      <c r="Z234" s="371"/>
      <c r="AA234" s="371"/>
      <c r="AB234" s="371"/>
      <c r="AC234" s="371"/>
      <c r="AD234" s="372"/>
      <c r="AE234" s="371"/>
      <c r="AF234" s="371"/>
      <c r="AG234" s="270"/>
      <c r="AH234" s="350"/>
      <c r="AI234" s="365"/>
      <c r="AJ234" s="374"/>
      <c r="AK234" s="374"/>
      <c r="AL234" s="374"/>
      <c r="AM234" s="374"/>
    </row>
    <row r="235" spans="1:39" s="291" customFormat="1" ht="12.75" customHeight="1" x14ac:dyDescent="0.2">
      <c r="A235" s="423">
        <f t="shared" si="75"/>
        <v>230</v>
      </c>
      <c r="B235" s="456" t="s">
        <v>643</v>
      </c>
      <c r="C235" s="457">
        <v>520819</v>
      </c>
      <c r="D235" s="458">
        <v>4498</v>
      </c>
      <c r="E235" s="454" t="s">
        <v>696</v>
      </c>
      <c r="F235" s="391">
        <v>2017</v>
      </c>
      <c r="G235" s="455">
        <v>42746</v>
      </c>
      <c r="H235" s="459"/>
      <c r="I235" s="460" t="s">
        <v>1172</v>
      </c>
      <c r="J235" s="461" t="s">
        <v>729</v>
      </c>
      <c r="K235" s="462" t="s">
        <v>1173</v>
      </c>
      <c r="L235" s="463" t="s">
        <v>1174</v>
      </c>
      <c r="M235" s="464">
        <v>320160.40999999997</v>
      </c>
      <c r="N235" s="464">
        <v>0</v>
      </c>
      <c r="O235" s="464">
        <v>51225.66</v>
      </c>
      <c r="P235" s="465">
        <v>371386.07</v>
      </c>
      <c r="Q235" s="392"/>
      <c r="R235" s="466">
        <v>319849.96999999997</v>
      </c>
      <c r="S235" s="394">
        <f t="shared" si="74"/>
        <v>51536.100000000035</v>
      </c>
      <c r="T235" s="113" t="s">
        <v>283</v>
      </c>
      <c r="U235" s="369"/>
      <c r="V235" s="370"/>
      <c r="W235" s="375"/>
      <c r="X235" s="375"/>
      <c r="Y235" s="375"/>
      <c r="Z235" s="371"/>
      <c r="AA235" s="371"/>
      <c r="AB235" s="371"/>
      <c r="AC235" s="371"/>
      <c r="AD235" s="372"/>
      <c r="AE235" s="371"/>
      <c r="AF235" s="371"/>
      <c r="AG235" s="270"/>
      <c r="AH235" s="350"/>
      <c r="AI235" s="365"/>
      <c r="AJ235" s="374"/>
      <c r="AK235" s="374"/>
      <c r="AL235" s="374"/>
      <c r="AM235" s="374"/>
    </row>
    <row r="236" spans="1:39" s="291" customFormat="1" ht="12.75" customHeight="1" x14ac:dyDescent="0.2">
      <c r="A236" s="423">
        <f t="shared" si="75"/>
        <v>231</v>
      </c>
      <c r="B236" s="456" t="s">
        <v>644</v>
      </c>
      <c r="C236" s="457">
        <v>1520202</v>
      </c>
      <c r="D236" s="458">
        <v>5601</v>
      </c>
      <c r="E236" s="454" t="s">
        <v>221</v>
      </c>
      <c r="F236" s="391">
        <v>2017</v>
      </c>
      <c r="G236" s="455">
        <v>42739</v>
      </c>
      <c r="H236" s="459"/>
      <c r="I236" s="460" t="s">
        <v>1125</v>
      </c>
      <c r="J236" s="461" t="s">
        <v>729</v>
      </c>
      <c r="K236" s="462" t="s">
        <v>1175</v>
      </c>
      <c r="L236" s="463" t="s">
        <v>1126</v>
      </c>
      <c r="M236" s="464">
        <v>273949.34000000003</v>
      </c>
      <c r="N236" s="464">
        <v>0</v>
      </c>
      <c r="O236" s="464">
        <v>43831.89</v>
      </c>
      <c r="P236" s="465">
        <v>317781.23</v>
      </c>
      <c r="Q236" s="392"/>
      <c r="R236" s="466">
        <v>273638.13</v>
      </c>
      <c r="S236" s="394">
        <f t="shared" si="74"/>
        <v>44143.099999999977</v>
      </c>
      <c r="T236" s="267" t="s">
        <v>283</v>
      </c>
      <c r="U236" s="369"/>
      <c r="V236" s="370"/>
      <c r="W236" s="375"/>
      <c r="X236" s="375"/>
      <c r="Y236" s="375"/>
      <c r="Z236" s="371"/>
      <c r="AA236" s="371"/>
      <c r="AB236" s="371"/>
      <c r="AC236" s="371"/>
      <c r="AD236" s="372"/>
      <c r="AE236" s="371"/>
      <c r="AF236" s="371"/>
      <c r="AG236" s="270"/>
      <c r="AH236" s="350"/>
      <c r="AI236" s="365"/>
      <c r="AJ236" s="374"/>
      <c r="AK236" s="374"/>
      <c r="AL236" s="374"/>
      <c r="AM236" s="374"/>
    </row>
    <row r="237" spans="1:39" s="291" customFormat="1" ht="12.75" customHeight="1" x14ac:dyDescent="0.2">
      <c r="A237" s="423">
        <f t="shared" si="75"/>
        <v>232</v>
      </c>
      <c r="B237" s="456" t="s">
        <v>645</v>
      </c>
      <c r="C237" s="457">
        <v>521908</v>
      </c>
      <c r="D237" s="458">
        <v>6980</v>
      </c>
      <c r="E237" s="454" t="s">
        <v>706</v>
      </c>
      <c r="F237" s="391">
        <v>2017</v>
      </c>
      <c r="G237" s="455">
        <v>42738</v>
      </c>
      <c r="H237" s="459"/>
      <c r="I237" s="460" t="s">
        <v>1176</v>
      </c>
      <c r="J237" s="461" t="s">
        <v>729</v>
      </c>
      <c r="K237" s="462" t="s">
        <v>1147</v>
      </c>
      <c r="L237" s="463" t="s">
        <v>1177</v>
      </c>
      <c r="M237" s="464">
        <v>438779.47</v>
      </c>
      <c r="N237" s="464">
        <v>0</v>
      </c>
      <c r="O237" s="464">
        <v>70204.710000000006</v>
      </c>
      <c r="P237" s="465">
        <v>508984.18</v>
      </c>
      <c r="Q237" s="392"/>
      <c r="R237" s="466">
        <v>438469.12</v>
      </c>
      <c r="S237" s="394">
        <f t="shared" si="74"/>
        <v>70515.06</v>
      </c>
      <c r="T237" s="267" t="s">
        <v>283</v>
      </c>
      <c r="U237" s="369"/>
      <c r="V237" s="370"/>
      <c r="W237" s="375"/>
      <c r="X237" s="375"/>
      <c r="Y237" s="375"/>
      <c r="Z237" s="371"/>
      <c r="AA237" s="371"/>
      <c r="AB237" s="371"/>
      <c r="AC237" s="371"/>
      <c r="AD237" s="372"/>
      <c r="AE237" s="371"/>
      <c r="AF237" s="371"/>
      <c r="AG237" s="270"/>
      <c r="AH237" s="350"/>
      <c r="AI237" s="365"/>
      <c r="AJ237" s="374"/>
      <c r="AK237" s="374"/>
      <c r="AL237" s="374"/>
      <c r="AM237" s="374"/>
    </row>
    <row r="238" spans="1:39" s="348" customFormat="1" ht="12.75" customHeight="1" x14ac:dyDescent="0.2">
      <c r="A238" s="423">
        <f t="shared" si="75"/>
        <v>233</v>
      </c>
      <c r="B238" s="456" t="s">
        <v>646</v>
      </c>
      <c r="C238" s="457">
        <v>521909</v>
      </c>
      <c r="D238" s="458">
        <v>6986</v>
      </c>
      <c r="E238" s="454" t="s">
        <v>707</v>
      </c>
      <c r="F238" s="391">
        <v>2017</v>
      </c>
      <c r="G238" s="455">
        <v>42748</v>
      </c>
      <c r="H238" s="459"/>
      <c r="I238" s="460" t="s">
        <v>1178</v>
      </c>
      <c r="J238" s="461" t="s">
        <v>729</v>
      </c>
      <c r="K238" s="462" t="s">
        <v>1155</v>
      </c>
      <c r="L238" s="463" t="s">
        <v>1179</v>
      </c>
      <c r="M238" s="464">
        <v>-491883.78</v>
      </c>
      <c r="N238" s="464">
        <v>0</v>
      </c>
      <c r="O238" s="464">
        <v>-78701.399999999994</v>
      </c>
      <c r="P238" s="465">
        <v>-570585.18000000005</v>
      </c>
      <c r="Q238" s="392"/>
      <c r="R238" s="466">
        <v>-491572.57</v>
      </c>
      <c r="S238" s="394">
        <f t="shared" si="74"/>
        <v>-79012.610000000044</v>
      </c>
      <c r="T238" s="267" t="s">
        <v>283</v>
      </c>
      <c r="U238" s="369"/>
      <c r="V238" s="370"/>
      <c r="W238" s="375"/>
      <c r="X238" s="375"/>
      <c r="Y238" s="375"/>
      <c r="Z238" s="371"/>
      <c r="AA238" s="371"/>
      <c r="AB238" s="371"/>
      <c r="AC238" s="371"/>
      <c r="AD238" s="372"/>
      <c r="AE238" s="371"/>
      <c r="AF238" s="371"/>
      <c r="AG238" s="270"/>
      <c r="AH238" s="350"/>
      <c r="AI238" s="365"/>
      <c r="AJ238" s="374"/>
      <c r="AK238" s="330"/>
      <c r="AL238" s="330"/>
      <c r="AM238" s="330"/>
    </row>
    <row r="239" spans="1:39" s="348" customFormat="1" ht="12.75" customHeight="1" x14ac:dyDescent="0.2">
      <c r="A239" s="423">
        <f t="shared" si="75"/>
        <v>234</v>
      </c>
      <c r="B239" s="456" t="s">
        <v>647</v>
      </c>
      <c r="C239" s="457">
        <v>521909</v>
      </c>
      <c r="D239" s="458">
        <v>6986</v>
      </c>
      <c r="E239" s="454" t="s">
        <v>707</v>
      </c>
      <c r="F239" s="391">
        <v>2017</v>
      </c>
      <c r="G239" s="455">
        <v>42748</v>
      </c>
      <c r="H239" s="459"/>
      <c r="I239" s="460" t="s">
        <v>1178</v>
      </c>
      <c r="J239" s="461" t="s">
        <v>729</v>
      </c>
      <c r="K239" s="462" t="s">
        <v>1155</v>
      </c>
      <c r="L239" s="463" t="s">
        <v>1179</v>
      </c>
      <c r="M239" s="464">
        <v>491883.78</v>
      </c>
      <c r="N239" s="464">
        <v>0</v>
      </c>
      <c r="O239" s="464">
        <v>78701.399999999994</v>
      </c>
      <c r="P239" s="465">
        <v>570585.18000000005</v>
      </c>
      <c r="Q239" s="392"/>
      <c r="R239" s="466">
        <v>491572.57</v>
      </c>
      <c r="S239" s="394">
        <f t="shared" si="74"/>
        <v>79012.610000000044</v>
      </c>
      <c r="T239" s="113" t="s">
        <v>283</v>
      </c>
      <c r="U239" s="369"/>
      <c r="V239" s="370"/>
      <c r="W239" s="375"/>
      <c r="X239" s="375"/>
      <c r="Y239" s="375"/>
      <c r="Z239" s="371"/>
      <c r="AA239" s="371"/>
      <c r="AB239" s="371"/>
      <c r="AC239" s="371"/>
      <c r="AD239" s="372"/>
      <c r="AE239" s="371"/>
      <c r="AF239" s="371"/>
      <c r="AG239" s="270"/>
      <c r="AH239" s="350"/>
      <c r="AI239" s="365"/>
      <c r="AJ239" s="330"/>
      <c r="AK239" s="330"/>
      <c r="AL239" s="330"/>
      <c r="AM239" s="330"/>
    </row>
    <row r="240" spans="1:39" s="291" customFormat="1" ht="12.75" customHeight="1" x14ac:dyDescent="0.2">
      <c r="A240" s="423">
        <f t="shared" si="75"/>
        <v>235</v>
      </c>
      <c r="B240" s="456" t="s">
        <v>648</v>
      </c>
      <c r="C240" s="457">
        <v>521909</v>
      </c>
      <c r="D240" s="458">
        <v>6986</v>
      </c>
      <c r="E240" s="454" t="s">
        <v>707</v>
      </c>
      <c r="F240" s="391">
        <v>2017</v>
      </c>
      <c r="G240" s="455">
        <v>42748</v>
      </c>
      <c r="H240" s="459"/>
      <c r="I240" s="460" t="s">
        <v>1178</v>
      </c>
      <c r="J240" s="461" t="s">
        <v>729</v>
      </c>
      <c r="K240" s="462" t="s">
        <v>1146</v>
      </c>
      <c r="L240" s="463" t="s">
        <v>1179</v>
      </c>
      <c r="M240" s="464">
        <v>491883.78</v>
      </c>
      <c r="N240" s="464">
        <v>0</v>
      </c>
      <c r="O240" s="464">
        <v>78701.399999999994</v>
      </c>
      <c r="P240" s="465">
        <v>570585.18000000005</v>
      </c>
      <c r="Q240" s="392"/>
      <c r="R240" s="466">
        <v>491572.57</v>
      </c>
      <c r="S240" s="394">
        <f t="shared" si="74"/>
        <v>79012.610000000044</v>
      </c>
      <c r="T240" s="267" t="s">
        <v>283</v>
      </c>
      <c r="U240" s="369"/>
      <c r="V240" s="370"/>
      <c r="W240" s="375"/>
      <c r="X240" s="375"/>
      <c r="Y240" s="375"/>
      <c r="Z240" s="371"/>
      <c r="AA240" s="371"/>
      <c r="AB240" s="371"/>
      <c r="AC240" s="371"/>
      <c r="AD240" s="372"/>
      <c r="AE240" s="371"/>
      <c r="AF240" s="371"/>
      <c r="AG240" s="270"/>
      <c r="AH240" s="350"/>
      <c r="AI240" s="365"/>
      <c r="AJ240" s="374"/>
      <c r="AK240" s="374"/>
      <c r="AL240" s="374"/>
      <c r="AM240" s="374"/>
    </row>
    <row r="241" spans="1:45" s="291" customFormat="1" ht="12.75" customHeight="1" x14ac:dyDescent="0.2">
      <c r="A241" s="423">
        <f t="shared" si="75"/>
        <v>236</v>
      </c>
      <c r="B241" s="456" t="s">
        <v>649</v>
      </c>
      <c r="C241" s="457">
        <v>521909</v>
      </c>
      <c r="D241" s="458">
        <v>6987</v>
      </c>
      <c r="E241" s="454" t="s">
        <v>708</v>
      </c>
      <c r="F241" s="391">
        <v>2017</v>
      </c>
      <c r="G241" s="455">
        <v>42762</v>
      </c>
      <c r="H241" s="459"/>
      <c r="I241" s="460" t="s">
        <v>1180</v>
      </c>
      <c r="J241" s="461" t="s">
        <v>729</v>
      </c>
      <c r="K241" s="462" t="s">
        <v>1173</v>
      </c>
      <c r="L241" s="463" t="s">
        <v>1181</v>
      </c>
      <c r="M241" s="464">
        <v>449710.15</v>
      </c>
      <c r="N241" s="464">
        <v>0</v>
      </c>
      <c r="O241" s="464">
        <v>71953.62</v>
      </c>
      <c r="P241" s="465">
        <v>521663.77</v>
      </c>
      <c r="Q241" s="392"/>
      <c r="R241" s="466">
        <v>449398.94</v>
      </c>
      <c r="S241" s="394">
        <f t="shared" si="74"/>
        <v>72264.830000000016</v>
      </c>
      <c r="T241" s="113" t="s">
        <v>283</v>
      </c>
      <c r="U241" s="369"/>
      <c r="V241" s="370"/>
      <c r="W241" s="375"/>
      <c r="X241" s="375"/>
      <c r="Y241" s="375"/>
      <c r="Z241" s="371"/>
      <c r="AA241" s="371"/>
      <c r="AB241" s="371"/>
      <c r="AC241" s="371"/>
      <c r="AD241" s="372"/>
      <c r="AE241" s="371"/>
      <c r="AF241" s="371"/>
      <c r="AG241" s="270"/>
      <c r="AH241" s="350"/>
      <c r="AI241" s="365"/>
      <c r="AJ241" s="330"/>
      <c r="AK241" s="374"/>
      <c r="AL241" s="374"/>
      <c r="AM241" s="374"/>
    </row>
    <row r="242" spans="1:45" s="291" customFormat="1" ht="12.75" customHeight="1" x14ac:dyDescent="0.2">
      <c r="A242" s="423">
        <f t="shared" si="75"/>
        <v>237</v>
      </c>
      <c r="B242" s="456" t="s">
        <v>650</v>
      </c>
      <c r="C242" s="457">
        <v>1520104</v>
      </c>
      <c r="D242" s="458">
        <v>7493</v>
      </c>
      <c r="E242" s="454" t="s">
        <v>711</v>
      </c>
      <c r="F242" s="391">
        <v>2017</v>
      </c>
      <c r="G242" s="455">
        <v>42738</v>
      </c>
      <c r="H242" s="459"/>
      <c r="I242" s="460" t="s">
        <v>1182</v>
      </c>
      <c r="J242" s="461" t="s">
        <v>729</v>
      </c>
      <c r="K242" s="462" t="s">
        <v>1147</v>
      </c>
      <c r="L242" s="463" t="s">
        <v>1183</v>
      </c>
      <c r="M242" s="464">
        <v>214653.16</v>
      </c>
      <c r="N242" s="464">
        <v>0</v>
      </c>
      <c r="O242" s="464">
        <v>34344.5</v>
      </c>
      <c r="P242" s="465">
        <v>248997.66</v>
      </c>
      <c r="Q242" s="392"/>
      <c r="R242" s="466">
        <v>214341.95</v>
      </c>
      <c r="S242" s="394">
        <f t="shared" si="74"/>
        <v>34655.709999999992</v>
      </c>
      <c r="T242" s="113" t="s">
        <v>283</v>
      </c>
      <c r="U242" s="369"/>
      <c r="V242" s="370"/>
      <c r="W242" s="375"/>
      <c r="X242" s="375"/>
      <c r="Y242" s="375"/>
      <c r="Z242" s="371"/>
      <c r="AA242" s="371"/>
      <c r="AB242" s="371"/>
      <c r="AC242" s="371"/>
      <c r="AD242" s="372"/>
      <c r="AE242" s="371"/>
      <c r="AF242" s="371"/>
      <c r="AG242" s="270"/>
      <c r="AH242" s="350"/>
      <c r="AI242" s="365"/>
      <c r="AJ242" s="374"/>
      <c r="AK242" s="374"/>
      <c r="AL242" s="374"/>
      <c r="AM242" s="374"/>
    </row>
    <row r="243" spans="1:45" s="348" customFormat="1" ht="12.75" customHeight="1" x14ac:dyDescent="0.2">
      <c r="A243" s="423">
        <f t="shared" si="75"/>
        <v>238</v>
      </c>
      <c r="B243" s="456" t="s">
        <v>651</v>
      </c>
      <c r="C243" s="457">
        <v>1520604</v>
      </c>
      <c r="D243" s="458">
        <v>7495</v>
      </c>
      <c r="E243" s="454" t="s">
        <v>718</v>
      </c>
      <c r="F243" s="391">
        <v>2017</v>
      </c>
      <c r="G243" s="455">
        <v>42744</v>
      </c>
      <c r="H243" s="459"/>
      <c r="I243" s="460" t="s">
        <v>1184</v>
      </c>
      <c r="J243" s="461" t="s">
        <v>729</v>
      </c>
      <c r="K243" s="462" t="s">
        <v>59</v>
      </c>
      <c r="L243" s="463" t="s">
        <v>1185</v>
      </c>
      <c r="M243" s="464">
        <v>255782.21</v>
      </c>
      <c r="N243" s="464">
        <v>0</v>
      </c>
      <c r="O243" s="464">
        <v>40925.15</v>
      </c>
      <c r="P243" s="465">
        <v>296707.36</v>
      </c>
      <c r="Q243" s="392"/>
      <c r="R243" s="466">
        <v>255471</v>
      </c>
      <c r="S243" s="394">
        <f t="shared" si="74"/>
        <v>41236.359999999986</v>
      </c>
      <c r="T243" s="113" t="s">
        <v>283</v>
      </c>
      <c r="U243" s="369"/>
      <c r="V243" s="370"/>
      <c r="W243" s="375"/>
      <c r="X243" s="375"/>
      <c r="Y243" s="375"/>
      <c r="Z243" s="371"/>
      <c r="AA243" s="371"/>
      <c r="AB243" s="371"/>
      <c r="AC243" s="371"/>
      <c r="AD243" s="372"/>
      <c r="AE243" s="371"/>
      <c r="AF243" s="371"/>
      <c r="AG243" s="270"/>
      <c r="AH243" s="350"/>
      <c r="AI243" s="365"/>
      <c r="AJ243" s="330"/>
      <c r="AK243" s="330"/>
      <c r="AL243" s="330"/>
      <c r="AM243" s="330"/>
    </row>
    <row r="244" spans="1:45" s="291" customFormat="1" ht="12.75" customHeight="1" x14ac:dyDescent="0.2">
      <c r="A244" s="423">
        <f t="shared" si="75"/>
        <v>239</v>
      </c>
      <c r="B244" s="456" t="s">
        <v>652</v>
      </c>
      <c r="C244" s="457">
        <v>1520604</v>
      </c>
      <c r="D244" s="458">
        <v>7495</v>
      </c>
      <c r="E244" s="454" t="s">
        <v>718</v>
      </c>
      <c r="F244" s="391">
        <v>2017</v>
      </c>
      <c r="G244" s="455">
        <v>42746</v>
      </c>
      <c r="H244" s="459"/>
      <c r="I244" s="460" t="s">
        <v>1186</v>
      </c>
      <c r="J244" s="461" t="s">
        <v>729</v>
      </c>
      <c r="K244" s="462" t="s">
        <v>1155</v>
      </c>
      <c r="L244" s="463" t="s">
        <v>1187</v>
      </c>
      <c r="M244" s="464">
        <v>255782.21</v>
      </c>
      <c r="N244" s="464">
        <v>0</v>
      </c>
      <c r="O244" s="464">
        <v>40925.15</v>
      </c>
      <c r="P244" s="465">
        <v>296707.36</v>
      </c>
      <c r="Q244" s="392"/>
      <c r="R244" s="466">
        <v>255471</v>
      </c>
      <c r="S244" s="394">
        <f t="shared" si="74"/>
        <v>41236.359999999986</v>
      </c>
      <c r="T244" s="267" t="s">
        <v>283</v>
      </c>
      <c r="U244" s="369"/>
      <c r="V244" s="370"/>
      <c r="W244" s="375"/>
      <c r="X244" s="375"/>
      <c r="Y244" s="375"/>
      <c r="Z244" s="371"/>
      <c r="AA244" s="371"/>
      <c r="AB244" s="371"/>
      <c r="AC244" s="371"/>
      <c r="AD244" s="372"/>
      <c r="AE244" s="371"/>
      <c r="AF244" s="371"/>
      <c r="AG244" s="270"/>
      <c r="AH244" s="350"/>
      <c r="AI244" s="365"/>
      <c r="AJ244" s="374"/>
      <c r="AK244" s="374"/>
      <c r="AL244" s="374"/>
      <c r="AM244" s="374"/>
    </row>
    <row r="245" spans="1:45" s="291" customFormat="1" ht="12.75" customHeight="1" x14ac:dyDescent="0.2">
      <c r="A245" s="423">
        <f t="shared" si="75"/>
        <v>240</v>
      </c>
      <c r="B245" s="456" t="s">
        <v>653</v>
      </c>
      <c r="C245" s="457">
        <v>1520604</v>
      </c>
      <c r="D245" s="458">
        <v>7495</v>
      </c>
      <c r="E245" s="454" t="s">
        <v>718</v>
      </c>
      <c r="F245" s="391">
        <v>2017</v>
      </c>
      <c r="G245" s="455">
        <v>42746</v>
      </c>
      <c r="H245" s="459"/>
      <c r="I245" s="460" t="s">
        <v>1188</v>
      </c>
      <c r="J245" s="461" t="s">
        <v>729</v>
      </c>
      <c r="K245" s="462" t="s">
        <v>1189</v>
      </c>
      <c r="L245" s="463" t="s">
        <v>1190</v>
      </c>
      <c r="M245" s="464">
        <v>255782.21</v>
      </c>
      <c r="N245" s="464">
        <v>0</v>
      </c>
      <c r="O245" s="464">
        <v>40925.15</v>
      </c>
      <c r="P245" s="465">
        <v>296707.36</v>
      </c>
      <c r="Q245" s="392"/>
      <c r="R245" s="466">
        <v>255471</v>
      </c>
      <c r="S245" s="394">
        <f t="shared" si="74"/>
        <v>41236.359999999986</v>
      </c>
      <c r="T245" s="267" t="s">
        <v>283</v>
      </c>
      <c r="U245" s="369"/>
      <c r="V245" s="370"/>
      <c r="W245" s="375"/>
      <c r="X245" s="375"/>
      <c r="Y245" s="375"/>
      <c r="Z245" s="371"/>
      <c r="AA245" s="371"/>
      <c r="AB245" s="371"/>
      <c r="AC245" s="371"/>
      <c r="AD245" s="372"/>
      <c r="AE245" s="371"/>
      <c r="AF245" s="371"/>
      <c r="AG245" s="270"/>
      <c r="AH245" s="350"/>
      <c r="AI245" s="365"/>
      <c r="AJ245" s="374"/>
      <c r="AK245" s="374"/>
      <c r="AL245" s="374"/>
      <c r="AM245" s="374"/>
    </row>
    <row r="246" spans="1:45" s="291" customFormat="1" ht="12.75" customHeight="1" x14ac:dyDescent="0.2">
      <c r="A246" s="423">
        <f t="shared" si="75"/>
        <v>241</v>
      </c>
      <c r="B246" s="456" t="s">
        <v>654</v>
      </c>
      <c r="C246" s="457">
        <v>1490303</v>
      </c>
      <c r="D246" s="458" t="s">
        <v>721</v>
      </c>
      <c r="E246" s="454" t="s">
        <v>1267</v>
      </c>
      <c r="F246" s="391">
        <v>2017</v>
      </c>
      <c r="G246" s="455">
        <v>42737</v>
      </c>
      <c r="H246" s="459" t="s">
        <v>1191</v>
      </c>
      <c r="I246" s="460" t="s">
        <v>1192</v>
      </c>
      <c r="J246" s="461" t="s">
        <v>724</v>
      </c>
      <c r="K246" s="462" t="s">
        <v>1193</v>
      </c>
      <c r="L246" s="463" t="s">
        <v>1194</v>
      </c>
      <c r="M246" s="464">
        <v>201379.31</v>
      </c>
      <c r="N246" s="464">
        <v>0</v>
      </c>
      <c r="O246" s="464">
        <v>6620.69</v>
      </c>
      <c r="P246" s="465">
        <v>208000</v>
      </c>
      <c r="Q246" s="392"/>
      <c r="R246" s="466">
        <v>160000</v>
      </c>
      <c r="S246" s="394">
        <f t="shared" si="74"/>
        <v>48000</v>
      </c>
      <c r="T246" s="113" t="s">
        <v>263</v>
      </c>
      <c r="U246" s="369"/>
      <c r="V246" s="370"/>
      <c r="W246" s="375"/>
      <c r="X246" s="375"/>
      <c r="Y246" s="375"/>
      <c r="Z246" s="371"/>
      <c r="AA246" s="371"/>
      <c r="AB246" s="371"/>
      <c r="AC246" s="371"/>
      <c r="AD246" s="372"/>
      <c r="AE246" s="371"/>
      <c r="AF246" s="371"/>
      <c r="AG246" s="270"/>
      <c r="AH246" s="350"/>
      <c r="AI246" s="365"/>
      <c r="AJ246" s="330"/>
      <c r="AK246" s="374"/>
      <c r="AL246" s="374"/>
      <c r="AM246" s="374"/>
    </row>
    <row r="247" spans="1:45" s="348" customFormat="1" ht="12.75" customHeight="1" x14ac:dyDescent="0.2">
      <c r="A247" s="423">
        <f t="shared" si="75"/>
        <v>242</v>
      </c>
      <c r="B247" s="456" t="s">
        <v>655</v>
      </c>
      <c r="C247" s="457">
        <v>496102</v>
      </c>
      <c r="D247" s="458" t="s">
        <v>721</v>
      </c>
      <c r="E247" s="454" t="s">
        <v>1267</v>
      </c>
      <c r="F247" s="391">
        <v>2017</v>
      </c>
      <c r="G247" s="455">
        <v>42739</v>
      </c>
      <c r="H247" s="459" t="s">
        <v>751</v>
      </c>
      <c r="I247" s="460" t="s">
        <v>1195</v>
      </c>
      <c r="J247" s="461" t="s">
        <v>724</v>
      </c>
      <c r="K247" s="462" t="s">
        <v>1196</v>
      </c>
      <c r="L247" s="463" t="s">
        <v>1197</v>
      </c>
      <c r="M247" s="464">
        <v>99137.93</v>
      </c>
      <c r="N247" s="464">
        <v>0</v>
      </c>
      <c r="O247" s="464">
        <v>15862.07</v>
      </c>
      <c r="P247" s="465">
        <v>115000</v>
      </c>
      <c r="Q247" s="392"/>
      <c r="R247" s="466">
        <v>89655.17</v>
      </c>
      <c r="S247" s="394">
        <f t="shared" si="74"/>
        <v>25344.83</v>
      </c>
      <c r="T247" s="113" t="s">
        <v>263</v>
      </c>
      <c r="U247" s="369"/>
      <c r="V247" s="370"/>
      <c r="W247" s="375"/>
      <c r="X247" s="375"/>
      <c r="Y247" s="375"/>
      <c r="Z247" s="371"/>
      <c r="AA247" s="371"/>
      <c r="AB247" s="371"/>
      <c r="AC247" s="371"/>
      <c r="AD247" s="372"/>
      <c r="AE247" s="371"/>
      <c r="AF247" s="371"/>
      <c r="AG247" s="270"/>
      <c r="AH247" s="350"/>
      <c r="AI247" s="365"/>
      <c r="AJ247" s="374"/>
      <c r="AK247" s="330"/>
      <c r="AL247" s="330"/>
      <c r="AM247" s="330"/>
    </row>
    <row r="248" spans="1:45" s="291" customFormat="1" ht="12.75" customHeight="1" x14ac:dyDescent="0.2">
      <c r="A248" s="423">
        <f t="shared" si="75"/>
        <v>243</v>
      </c>
      <c r="B248" s="456" t="s">
        <v>656</v>
      </c>
      <c r="C248" s="457">
        <v>38115</v>
      </c>
      <c r="D248" s="458" t="s">
        <v>721</v>
      </c>
      <c r="E248" s="454" t="s">
        <v>1267</v>
      </c>
      <c r="F248" s="391">
        <v>2017</v>
      </c>
      <c r="G248" s="455">
        <v>42741</v>
      </c>
      <c r="H248" s="459" t="s">
        <v>1191</v>
      </c>
      <c r="I248" s="460" t="s">
        <v>1198</v>
      </c>
      <c r="J248" s="461" t="s">
        <v>724</v>
      </c>
      <c r="K248" s="462" t="s">
        <v>1199</v>
      </c>
      <c r="L248" s="463" t="s">
        <v>1200</v>
      </c>
      <c r="M248" s="464">
        <v>119551.72</v>
      </c>
      <c r="N248" s="464">
        <v>0</v>
      </c>
      <c r="O248" s="464">
        <v>3448.28</v>
      </c>
      <c r="P248" s="465">
        <v>123000</v>
      </c>
      <c r="Q248" s="392"/>
      <c r="R248" s="466">
        <v>98000</v>
      </c>
      <c r="S248" s="394">
        <f t="shared" si="74"/>
        <v>25000</v>
      </c>
      <c r="T248" s="267" t="s">
        <v>263</v>
      </c>
      <c r="U248" s="369"/>
      <c r="V248" s="370"/>
      <c r="W248" s="375"/>
      <c r="X248" s="375"/>
      <c r="Y248" s="375"/>
      <c r="Z248" s="371"/>
      <c r="AA248" s="371"/>
      <c r="AB248" s="371"/>
      <c r="AC248" s="371"/>
      <c r="AD248" s="372"/>
      <c r="AE248" s="371"/>
      <c r="AF248" s="371"/>
      <c r="AG248" s="270"/>
      <c r="AH248" s="350"/>
      <c r="AI248" s="365"/>
      <c r="AJ248" s="374"/>
      <c r="AK248" s="374"/>
      <c r="AL248" s="374"/>
      <c r="AM248" s="374"/>
    </row>
    <row r="249" spans="1:45" s="291" customFormat="1" ht="12.75" customHeight="1" x14ac:dyDescent="0.2">
      <c r="A249" s="423">
        <f t="shared" si="75"/>
        <v>244</v>
      </c>
      <c r="B249" s="456" t="s">
        <v>657</v>
      </c>
      <c r="C249" s="457">
        <v>590114</v>
      </c>
      <c r="D249" s="458" t="s">
        <v>721</v>
      </c>
      <c r="E249" s="454" t="s">
        <v>1267</v>
      </c>
      <c r="F249" s="391">
        <v>2017</v>
      </c>
      <c r="G249" s="455">
        <v>42742</v>
      </c>
      <c r="H249" s="459" t="s">
        <v>735</v>
      </c>
      <c r="I249" s="460" t="s">
        <v>1201</v>
      </c>
      <c r="J249" s="461" t="s">
        <v>724</v>
      </c>
      <c r="K249" s="462" t="s">
        <v>1202</v>
      </c>
      <c r="L249" s="463" t="s">
        <v>1203</v>
      </c>
      <c r="M249" s="464">
        <v>209827.59</v>
      </c>
      <c r="N249" s="464">
        <v>0</v>
      </c>
      <c r="O249" s="464">
        <v>5172.41</v>
      </c>
      <c r="P249" s="465">
        <v>215000</v>
      </c>
      <c r="Q249" s="392"/>
      <c r="R249" s="466">
        <v>177500</v>
      </c>
      <c r="S249" s="394">
        <f t="shared" si="74"/>
        <v>37500</v>
      </c>
      <c r="T249" s="267" t="s">
        <v>263</v>
      </c>
      <c r="U249" s="369"/>
      <c r="V249" s="370"/>
      <c r="W249" s="375"/>
      <c r="X249" s="375"/>
      <c r="Y249" s="375"/>
      <c r="Z249" s="371"/>
      <c r="AA249" s="371"/>
      <c r="AB249" s="371"/>
      <c r="AC249" s="371"/>
      <c r="AD249" s="372"/>
      <c r="AE249" s="371"/>
      <c r="AF249" s="371"/>
      <c r="AG249" s="270"/>
      <c r="AH249" s="350"/>
      <c r="AI249" s="365"/>
      <c r="AJ249" s="374"/>
      <c r="AK249" s="374"/>
      <c r="AL249" s="374"/>
      <c r="AM249" s="374"/>
    </row>
    <row r="250" spans="1:45" s="291" customFormat="1" ht="12.75" customHeight="1" x14ac:dyDescent="0.2">
      <c r="A250" s="423">
        <f t="shared" si="75"/>
        <v>245</v>
      </c>
      <c r="B250" s="456" t="s">
        <v>658</v>
      </c>
      <c r="C250" s="457">
        <v>521502</v>
      </c>
      <c r="D250" s="458" t="s">
        <v>721</v>
      </c>
      <c r="E250" s="454" t="s">
        <v>1267</v>
      </c>
      <c r="F250" s="391">
        <v>2017</v>
      </c>
      <c r="G250" s="455">
        <v>42742</v>
      </c>
      <c r="H250" s="459" t="s">
        <v>912</v>
      </c>
      <c r="I250" s="460" t="s">
        <v>1204</v>
      </c>
      <c r="J250" s="461" t="s">
        <v>724</v>
      </c>
      <c r="K250" s="462" t="s">
        <v>1205</v>
      </c>
      <c r="L250" s="463" t="s">
        <v>1206</v>
      </c>
      <c r="M250" s="464">
        <v>310344.83</v>
      </c>
      <c r="N250" s="464">
        <v>0</v>
      </c>
      <c r="O250" s="464">
        <v>49655.17</v>
      </c>
      <c r="P250" s="465">
        <v>360000</v>
      </c>
      <c r="Q250" s="392"/>
      <c r="R250" s="466">
        <v>250000</v>
      </c>
      <c r="S250" s="394">
        <f t="shared" si="74"/>
        <v>110000</v>
      </c>
      <c r="T250" s="113" t="s">
        <v>263</v>
      </c>
      <c r="U250" s="369"/>
      <c r="V250" s="370"/>
      <c r="W250" s="375"/>
      <c r="X250" s="375"/>
      <c r="Y250" s="375"/>
      <c r="Z250" s="371"/>
      <c r="AA250" s="371"/>
      <c r="AB250" s="371"/>
      <c r="AC250" s="371"/>
      <c r="AD250" s="372"/>
      <c r="AE250" s="371"/>
      <c r="AF250" s="371"/>
      <c r="AG250" s="270"/>
      <c r="AH250" s="350"/>
      <c r="AI250" s="365"/>
      <c r="AJ250" s="330"/>
      <c r="AK250" s="374"/>
      <c r="AL250" s="374"/>
      <c r="AM250" s="374"/>
    </row>
    <row r="251" spans="1:45" s="348" customFormat="1" ht="12.75" customHeight="1" x14ac:dyDescent="0.2">
      <c r="A251" s="423">
        <f t="shared" si="75"/>
        <v>246</v>
      </c>
      <c r="B251" s="456" t="s">
        <v>659</v>
      </c>
      <c r="C251" s="457">
        <v>521502</v>
      </c>
      <c r="D251" s="458" t="s">
        <v>721</v>
      </c>
      <c r="E251" s="454" t="s">
        <v>1267</v>
      </c>
      <c r="F251" s="391">
        <v>2017</v>
      </c>
      <c r="G251" s="455">
        <v>42745</v>
      </c>
      <c r="H251" s="459" t="s">
        <v>1207</v>
      </c>
      <c r="I251" s="460" t="s">
        <v>1208</v>
      </c>
      <c r="J251" s="461" t="s">
        <v>724</v>
      </c>
      <c r="K251" s="462" t="s">
        <v>1209</v>
      </c>
      <c r="L251" s="463" t="s">
        <v>1210</v>
      </c>
      <c r="M251" s="464">
        <v>284482.76</v>
      </c>
      <c r="N251" s="464">
        <v>0</v>
      </c>
      <c r="O251" s="464">
        <v>45517.24</v>
      </c>
      <c r="P251" s="465">
        <v>330000</v>
      </c>
      <c r="Q251" s="392"/>
      <c r="R251" s="466">
        <v>224137.93</v>
      </c>
      <c r="S251" s="394">
        <f t="shared" si="74"/>
        <v>105862.07</v>
      </c>
      <c r="T251" s="267" t="s">
        <v>263</v>
      </c>
      <c r="U251" s="369"/>
      <c r="V251" s="370"/>
      <c r="W251" s="375"/>
      <c r="X251" s="375"/>
      <c r="Y251" s="375"/>
      <c r="Z251" s="371"/>
      <c r="AA251" s="371"/>
      <c r="AB251" s="371"/>
      <c r="AC251" s="371"/>
      <c r="AD251" s="372"/>
      <c r="AE251" s="371"/>
      <c r="AF251" s="371"/>
      <c r="AG251" s="270"/>
      <c r="AH251" s="350"/>
      <c r="AI251" s="365"/>
      <c r="AJ251" s="330"/>
      <c r="AK251" s="374"/>
      <c r="AL251" s="374"/>
      <c r="AM251" s="374"/>
      <c r="AN251" s="291"/>
      <c r="AO251" s="291"/>
      <c r="AP251" s="291"/>
      <c r="AQ251" s="291"/>
      <c r="AR251" s="291"/>
      <c r="AS251" s="291"/>
    </row>
    <row r="252" spans="1:45" s="348" customFormat="1" ht="12.75" customHeight="1" x14ac:dyDescent="0.2">
      <c r="A252" s="423">
        <f t="shared" si="75"/>
        <v>247</v>
      </c>
      <c r="B252" s="456" t="s">
        <v>660</v>
      </c>
      <c r="C252" s="457">
        <v>40237</v>
      </c>
      <c r="D252" s="458" t="s">
        <v>721</v>
      </c>
      <c r="E252" s="454" t="s">
        <v>1267</v>
      </c>
      <c r="F252" s="391">
        <v>2017</v>
      </c>
      <c r="G252" s="455">
        <v>42746</v>
      </c>
      <c r="H252" s="459" t="s">
        <v>1211</v>
      </c>
      <c r="I252" s="460" t="s">
        <v>1212</v>
      </c>
      <c r="J252" s="461" t="s">
        <v>724</v>
      </c>
      <c r="K252" s="462" t="s">
        <v>1213</v>
      </c>
      <c r="L252" s="463" t="s">
        <v>1214</v>
      </c>
      <c r="M252" s="464">
        <v>94827.59</v>
      </c>
      <c r="N252" s="464">
        <v>0</v>
      </c>
      <c r="O252" s="464">
        <v>15172.41</v>
      </c>
      <c r="P252" s="465">
        <v>110000</v>
      </c>
      <c r="Q252" s="392"/>
      <c r="R252" s="466">
        <v>79310.34</v>
      </c>
      <c r="S252" s="394">
        <f t="shared" si="74"/>
        <v>30689.660000000003</v>
      </c>
      <c r="T252" s="267" t="s">
        <v>263</v>
      </c>
      <c r="U252" s="369"/>
      <c r="V252" s="370"/>
      <c r="W252" s="375"/>
      <c r="X252" s="375"/>
      <c r="Y252" s="375"/>
      <c r="Z252" s="371"/>
      <c r="AA252" s="371"/>
      <c r="AB252" s="371"/>
      <c r="AC252" s="371"/>
      <c r="AD252" s="372"/>
      <c r="AE252" s="371"/>
      <c r="AF252" s="371"/>
      <c r="AG252" s="270"/>
      <c r="AH252" s="350"/>
      <c r="AI252" s="365"/>
      <c r="AJ252" s="330"/>
      <c r="AK252" s="374"/>
      <c r="AL252" s="374"/>
      <c r="AM252" s="374"/>
      <c r="AN252" s="291"/>
      <c r="AO252" s="291"/>
      <c r="AP252" s="291"/>
      <c r="AQ252" s="291"/>
      <c r="AR252" s="291"/>
      <c r="AS252" s="291"/>
    </row>
    <row r="253" spans="1:45" x14ac:dyDescent="0.2">
      <c r="A253" s="423">
        <f t="shared" si="75"/>
        <v>248</v>
      </c>
      <c r="B253" s="456" t="s">
        <v>661</v>
      </c>
      <c r="C253" s="457">
        <v>521502</v>
      </c>
      <c r="D253" s="458" t="s">
        <v>721</v>
      </c>
      <c r="E253" s="454" t="s">
        <v>1267</v>
      </c>
      <c r="F253" s="391">
        <v>2017</v>
      </c>
      <c r="G253" s="455">
        <v>42746</v>
      </c>
      <c r="H253" s="459" t="s">
        <v>1207</v>
      </c>
      <c r="I253" s="460" t="s">
        <v>1208</v>
      </c>
      <c r="J253" s="461" t="s">
        <v>724</v>
      </c>
      <c r="K253" s="462" t="s">
        <v>1209</v>
      </c>
      <c r="L253" s="463" t="s">
        <v>1210</v>
      </c>
      <c r="M253" s="464">
        <v>-284482.76</v>
      </c>
      <c r="N253" s="464">
        <v>0</v>
      </c>
      <c r="O253" s="464">
        <v>-45517.24</v>
      </c>
      <c r="P253" s="465">
        <v>-330000</v>
      </c>
      <c r="Q253" s="392"/>
      <c r="R253" s="466">
        <v>-224137.93</v>
      </c>
      <c r="S253" s="394">
        <f t="shared" si="74"/>
        <v>-105862.07</v>
      </c>
      <c r="T253" s="267" t="s">
        <v>263</v>
      </c>
      <c r="U253" s="369"/>
      <c r="V253" s="370"/>
      <c r="W253" s="375"/>
      <c r="X253" s="375"/>
      <c r="Y253" s="375"/>
      <c r="Z253" s="371"/>
      <c r="AA253" s="371"/>
      <c r="AB253" s="371"/>
      <c r="AC253" s="371"/>
      <c r="AD253" s="372"/>
      <c r="AE253" s="371"/>
      <c r="AF253" s="371"/>
      <c r="AG253" s="270"/>
      <c r="AH253" s="350"/>
      <c r="AI253" s="365"/>
      <c r="AJ253" s="374"/>
    </row>
    <row r="254" spans="1:45" x14ac:dyDescent="0.2">
      <c r="A254" s="423">
        <f t="shared" si="75"/>
        <v>249</v>
      </c>
      <c r="B254" s="456" t="s">
        <v>662</v>
      </c>
      <c r="C254" s="457">
        <v>521502</v>
      </c>
      <c r="D254" s="458" t="s">
        <v>721</v>
      </c>
      <c r="E254" s="454" t="s">
        <v>1267</v>
      </c>
      <c r="F254" s="391">
        <v>2017</v>
      </c>
      <c r="G254" s="455">
        <v>42746</v>
      </c>
      <c r="H254" s="459" t="s">
        <v>1207</v>
      </c>
      <c r="I254" s="460" t="s">
        <v>1208</v>
      </c>
      <c r="J254" s="461" t="s">
        <v>724</v>
      </c>
      <c r="K254" s="462" t="s">
        <v>1209</v>
      </c>
      <c r="L254" s="463" t="s">
        <v>1210</v>
      </c>
      <c r="M254" s="464">
        <v>284482.76</v>
      </c>
      <c r="N254" s="464">
        <v>0</v>
      </c>
      <c r="O254" s="464">
        <v>45517.24</v>
      </c>
      <c r="P254" s="465">
        <v>330000</v>
      </c>
      <c r="Q254" s="392"/>
      <c r="R254" s="466">
        <v>224137.93</v>
      </c>
      <c r="S254" s="394">
        <f t="shared" si="74"/>
        <v>105862.07</v>
      </c>
      <c r="T254" s="267" t="s">
        <v>263</v>
      </c>
      <c r="U254" s="370"/>
      <c r="V254" s="370"/>
      <c r="W254" s="375"/>
      <c r="X254" s="374"/>
      <c r="Y254" s="313"/>
      <c r="Z254" s="371"/>
      <c r="AA254" s="371"/>
      <c r="AB254" s="371"/>
      <c r="AC254" s="371"/>
      <c r="AD254" s="372"/>
      <c r="AE254" s="371"/>
      <c r="AF254" s="371"/>
      <c r="AG254" s="270"/>
      <c r="AH254" s="272"/>
      <c r="AI254" s="313"/>
      <c r="AJ254" s="374"/>
      <c r="AN254" s="291"/>
    </row>
    <row r="255" spans="1:45" x14ac:dyDescent="0.2">
      <c r="A255" s="423">
        <f t="shared" si="75"/>
        <v>250</v>
      </c>
      <c r="B255" s="456" t="s">
        <v>663</v>
      </c>
      <c r="C255" s="457">
        <v>570306</v>
      </c>
      <c r="D255" s="458" t="s">
        <v>721</v>
      </c>
      <c r="E255" s="454" t="s">
        <v>1267</v>
      </c>
      <c r="F255" s="391">
        <v>2017</v>
      </c>
      <c r="G255" s="455">
        <v>42748</v>
      </c>
      <c r="H255" s="459" t="s">
        <v>1215</v>
      </c>
      <c r="I255" s="460" t="s">
        <v>1216</v>
      </c>
      <c r="J255" s="461" t="s">
        <v>724</v>
      </c>
      <c r="K255" s="462" t="s">
        <v>1217</v>
      </c>
      <c r="L255" s="463" t="s">
        <v>1218</v>
      </c>
      <c r="M255" s="464">
        <v>147310.34</v>
      </c>
      <c r="N255" s="464">
        <v>0</v>
      </c>
      <c r="O255" s="464">
        <v>4689.66</v>
      </c>
      <c r="P255" s="465">
        <v>152000</v>
      </c>
      <c r="Q255" s="392"/>
      <c r="R255" s="466">
        <v>118000</v>
      </c>
      <c r="S255" s="394">
        <f t="shared" si="74"/>
        <v>34000</v>
      </c>
      <c r="T255" s="267" t="s">
        <v>263</v>
      </c>
      <c r="U255" s="370"/>
      <c r="V255" s="370"/>
      <c r="W255" s="375"/>
      <c r="X255" s="374"/>
      <c r="Y255" s="313"/>
      <c r="Z255" s="371"/>
      <c r="AA255" s="371"/>
      <c r="AB255" s="371"/>
      <c r="AC255" s="371"/>
      <c r="AD255" s="372"/>
      <c r="AE255" s="371"/>
      <c r="AF255" s="371"/>
      <c r="AG255" s="270"/>
      <c r="AH255" s="350"/>
      <c r="AI255" s="365"/>
      <c r="AJ255" s="374"/>
      <c r="AN255" s="291"/>
      <c r="AO255" s="291"/>
      <c r="AP255" s="291"/>
    </row>
    <row r="256" spans="1:45" x14ac:dyDescent="0.2">
      <c r="A256" s="423">
        <f t="shared" si="75"/>
        <v>251</v>
      </c>
      <c r="B256" s="456" t="s">
        <v>664</v>
      </c>
      <c r="C256" s="457">
        <v>261716</v>
      </c>
      <c r="D256" s="458" t="s">
        <v>721</v>
      </c>
      <c r="E256" s="454" t="s">
        <v>1267</v>
      </c>
      <c r="F256" s="391">
        <v>2017</v>
      </c>
      <c r="G256" s="455">
        <v>42749</v>
      </c>
      <c r="H256" s="459" t="s">
        <v>912</v>
      </c>
      <c r="I256" s="460" t="s">
        <v>1219</v>
      </c>
      <c r="J256" s="461" t="s">
        <v>724</v>
      </c>
      <c r="K256" s="462" t="s">
        <v>1220</v>
      </c>
      <c r="L256" s="463" t="s">
        <v>1221</v>
      </c>
      <c r="M256" s="464">
        <v>143275.85999999999</v>
      </c>
      <c r="N256" s="464">
        <v>0</v>
      </c>
      <c r="O256" s="464">
        <v>3724.14</v>
      </c>
      <c r="P256" s="465">
        <v>147000</v>
      </c>
      <c r="Q256" s="392"/>
      <c r="R256" s="466">
        <v>120000</v>
      </c>
      <c r="S256" s="394">
        <f t="shared" si="74"/>
        <v>27000</v>
      </c>
      <c r="T256" s="113" t="s">
        <v>263</v>
      </c>
      <c r="U256" s="369"/>
      <c r="V256" s="370"/>
      <c r="W256" s="375"/>
      <c r="X256" s="375"/>
      <c r="Y256" s="375"/>
      <c r="Z256" s="371"/>
      <c r="AA256" s="371"/>
      <c r="AB256" s="371"/>
      <c r="AC256" s="371"/>
      <c r="AD256" s="372"/>
      <c r="AE256" s="371"/>
      <c r="AF256" s="371"/>
      <c r="AG256" s="270"/>
      <c r="AH256" s="350"/>
      <c r="AI256" s="365"/>
      <c r="AJ256" s="330"/>
      <c r="AN256" s="291"/>
      <c r="AO256" s="291"/>
      <c r="AP256" s="291"/>
    </row>
    <row r="257" spans="1:42" x14ac:dyDescent="0.2">
      <c r="A257" s="423">
        <f t="shared" si="75"/>
        <v>252</v>
      </c>
      <c r="B257" s="456" t="s">
        <v>665</v>
      </c>
      <c r="C257" s="457">
        <v>52062</v>
      </c>
      <c r="D257" s="458" t="s">
        <v>721</v>
      </c>
      <c r="E257" s="454" t="s">
        <v>1267</v>
      </c>
      <c r="F257" s="391">
        <v>2017</v>
      </c>
      <c r="G257" s="455">
        <v>42751</v>
      </c>
      <c r="H257" s="459" t="s">
        <v>735</v>
      </c>
      <c r="I257" s="460" t="s">
        <v>1222</v>
      </c>
      <c r="J257" s="461" t="s">
        <v>724</v>
      </c>
      <c r="K257" s="462" t="s">
        <v>1223</v>
      </c>
      <c r="L257" s="463" t="s">
        <v>1224</v>
      </c>
      <c r="M257" s="464">
        <v>126344.83</v>
      </c>
      <c r="N257" s="464">
        <v>0</v>
      </c>
      <c r="O257" s="464">
        <v>5655.17</v>
      </c>
      <c r="P257" s="465">
        <v>132000</v>
      </c>
      <c r="Q257" s="392"/>
      <c r="R257" s="466">
        <v>91000</v>
      </c>
      <c r="S257" s="394">
        <f t="shared" si="74"/>
        <v>41000</v>
      </c>
      <c r="T257" s="267" t="s">
        <v>263</v>
      </c>
      <c r="U257" s="369"/>
      <c r="V257" s="370"/>
      <c r="W257" s="375"/>
      <c r="X257" s="375"/>
      <c r="Y257" s="375"/>
      <c r="Z257" s="371"/>
      <c r="AA257" s="371"/>
      <c r="AB257" s="371"/>
      <c r="AC257" s="371"/>
      <c r="AD257" s="372"/>
      <c r="AE257" s="371"/>
      <c r="AF257" s="371"/>
      <c r="AG257" s="270"/>
      <c r="AH257" s="272"/>
      <c r="AI257" s="313"/>
      <c r="AJ257" s="374"/>
      <c r="AN257" s="291"/>
      <c r="AO257" s="291"/>
      <c r="AP257" s="291"/>
    </row>
    <row r="258" spans="1:42" x14ac:dyDescent="0.2">
      <c r="A258" s="423">
        <f t="shared" si="75"/>
        <v>253</v>
      </c>
      <c r="B258" s="456" t="s">
        <v>666</v>
      </c>
      <c r="C258" s="457">
        <v>1013102</v>
      </c>
      <c r="D258" s="458" t="s">
        <v>721</v>
      </c>
      <c r="E258" s="454" t="s">
        <v>1267</v>
      </c>
      <c r="F258" s="391">
        <v>2017</v>
      </c>
      <c r="G258" s="455">
        <v>42756</v>
      </c>
      <c r="H258" s="459" t="s">
        <v>1207</v>
      </c>
      <c r="I258" s="460" t="s">
        <v>1225</v>
      </c>
      <c r="J258" s="461" t="s">
        <v>724</v>
      </c>
      <c r="K258" s="462" t="s">
        <v>1226</v>
      </c>
      <c r="L258" s="463" t="s">
        <v>1227</v>
      </c>
      <c r="M258" s="464">
        <v>165517.24</v>
      </c>
      <c r="N258" s="464">
        <v>0</v>
      </c>
      <c r="O258" s="464">
        <v>26482.76</v>
      </c>
      <c r="P258" s="465">
        <v>192000</v>
      </c>
      <c r="Q258" s="392"/>
      <c r="R258" s="466">
        <v>146551.72</v>
      </c>
      <c r="S258" s="394">
        <f t="shared" si="74"/>
        <v>45448.28</v>
      </c>
      <c r="T258" s="267" t="s">
        <v>263</v>
      </c>
      <c r="U258" s="370"/>
      <c r="V258" s="370"/>
      <c r="W258" s="375"/>
      <c r="X258" s="374"/>
      <c r="Y258" s="313"/>
      <c r="Z258" s="371"/>
      <c r="AA258" s="371"/>
      <c r="AB258" s="371"/>
      <c r="AC258" s="371"/>
      <c r="AD258" s="372"/>
      <c r="AE258" s="371"/>
      <c r="AF258" s="371"/>
      <c r="AG258" s="270"/>
      <c r="AH258" s="350"/>
      <c r="AI258" s="365"/>
      <c r="AJ258" s="374"/>
      <c r="AO258" s="291"/>
      <c r="AP258" s="291"/>
    </row>
    <row r="259" spans="1:42" x14ac:dyDescent="0.2">
      <c r="A259" s="423">
        <f t="shared" si="75"/>
        <v>254</v>
      </c>
      <c r="B259" s="456" t="s">
        <v>667</v>
      </c>
      <c r="C259" s="457">
        <v>250121</v>
      </c>
      <c r="D259" s="458" t="s">
        <v>721</v>
      </c>
      <c r="E259" s="454" t="s">
        <v>1267</v>
      </c>
      <c r="F259" s="391">
        <v>2017</v>
      </c>
      <c r="G259" s="455">
        <v>42756</v>
      </c>
      <c r="H259" s="459" t="s">
        <v>1211</v>
      </c>
      <c r="I259" s="460" t="s">
        <v>1228</v>
      </c>
      <c r="J259" s="461" t="s">
        <v>724</v>
      </c>
      <c r="K259" s="462" t="s">
        <v>1229</v>
      </c>
      <c r="L259" s="463" t="s">
        <v>1230</v>
      </c>
      <c r="M259" s="464">
        <v>-220586.21</v>
      </c>
      <c r="N259" s="464">
        <v>0</v>
      </c>
      <c r="O259" s="464">
        <v>-4413.79</v>
      </c>
      <c r="P259" s="465">
        <v>-225000</v>
      </c>
      <c r="Q259" s="392"/>
      <c r="R259" s="466">
        <v>-193000</v>
      </c>
      <c r="S259" s="394">
        <f t="shared" si="74"/>
        <v>-32000</v>
      </c>
      <c r="T259" s="444" t="s">
        <v>263</v>
      </c>
      <c r="U259" s="369"/>
      <c r="V259" s="370"/>
      <c r="W259" s="375"/>
      <c r="X259" s="375"/>
      <c r="Y259" s="375"/>
      <c r="Z259" s="371"/>
      <c r="AA259" s="371"/>
      <c r="AB259" s="371"/>
      <c r="AC259" s="371"/>
      <c r="AD259" s="372"/>
      <c r="AE259" s="371"/>
      <c r="AF259" s="371"/>
      <c r="AG259" s="270"/>
      <c r="AH259" s="272"/>
      <c r="AI259" s="313"/>
      <c r="AJ259" s="374"/>
    </row>
    <row r="260" spans="1:42" x14ac:dyDescent="0.2">
      <c r="A260" s="423">
        <f t="shared" si="75"/>
        <v>255</v>
      </c>
      <c r="B260" s="456" t="s">
        <v>668</v>
      </c>
      <c r="C260" s="457">
        <v>250121</v>
      </c>
      <c r="D260" s="458" t="s">
        <v>721</v>
      </c>
      <c r="E260" s="454" t="s">
        <v>1267</v>
      </c>
      <c r="F260" s="391">
        <v>2017</v>
      </c>
      <c r="G260" s="455">
        <v>42756</v>
      </c>
      <c r="H260" s="459" t="s">
        <v>1211</v>
      </c>
      <c r="I260" s="460" t="s">
        <v>1228</v>
      </c>
      <c r="J260" s="461" t="s">
        <v>724</v>
      </c>
      <c r="K260" s="462" t="s">
        <v>1229</v>
      </c>
      <c r="L260" s="463" t="s">
        <v>1230</v>
      </c>
      <c r="M260" s="464">
        <v>220586.21</v>
      </c>
      <c r="N260" s="464">
        <v>0</v>
      </c>
      <c r="O260" s="464">
        <v>4413.79</v>
      </c>
      <c r="P260" s="465">
        <v>225000</v>
      </c>
      <c r="Q260" s="392"/>
      <c r="R260" s="466">
        <v>193000</v>
      </c>
      <c r="S260" s="394">
        <f t="shared" si="74"/>
        <v>32000</v>
      </c>
      <c r="T260" s="267" t="s">
        <v>263</v>
      </c>
      <c r="U260" s="369"/>
      <c r="V260" s="370"/>
      <c r="W260" s="375"/>
      <c r="X260" s="375"/>
      <c r="Y260" s="375"/>
      <c r="Z260" s="371"/>
      <c r="AA260" s="371"/>
      <c r="AB260" s="371"/>
      <c r="AC260" s="371"/>
      <c r="AD260" s="372"/>
      <c r="AE260" s="371"/>
      <c r="AF260" s="371"/>
      <c r="AG260" s="270"/>
      <c r="AH260" s="272"/>
      <c r="AI260" s="313"/>
      <c r="AJ260" s="330"/>
    </row>
    <row r="261" spans="1:42" x14ac:dyDescent="0.2">
      <c r="A261" s="423">
        <f t="shared" si="75"/>
        <v>256</v>
      </c>
      <c r="B261" s="456" t="s">
        <v>669</v>
      </c>
      <c r="C261" s="457">
        <v>250121</v>
      </c>
      <c r="D261" s="458" t="s">
        <v>721</v>
      </c>
      <c r="E261" s="454" t="s">
        <v>1267</v>
      </c>
      <c r="F261" s="391">
        <v>2017</v>
      </c>
      <c r="G261" s="455">
        <v>42756</v>
      </c>
      <c r="H261" s="459" t="s">
        <v>1211</v>
      </c>
      <c r="I261" s="460" t="s">
        <v>1228</v>
      </c>
      <c r="J261" s="461" t="s">
        <v>724</v>
      </c>
      <c r="K261" s="462" t="s">
        <v>1229</v>
      </c>
      <c r="L261" s="463" t="s">
        <v>1230</v>
      </c>
      <c r="M261" s="464">
        <v>220586.21</v>
      </c>
      <c r="N261" s="464">
        <v>0</v>
      </c>
      <c r="O261" s="464">
        <v>4413.79</v>
      </c>
      <c r="P261" s="465">
        <v>225000</v>
      </c>
      <c r="Q261" s="392"/>
      <c r="R261" s="466">
        <v>193000</v>
      </c>
      <c r="S261" s="394">
        <f t="shared" si="74"/>
        <v>32000</v>
      </c>
      <c r="T261" s="113" t="s">
        <v>263</v>
      </c>
      <c r="U261" s="370"/>
      <c r="V261" s="370"/>
      <c r="W261" s="375"/>
      <c r="X261" s="374"/>
      <c r="Y261" s="313"/>
      <c r="Z261" s="371"/>
      <c r="AA261" s="371"/>
      <c r="AB261" s="371"/>
      <c r="AC261" s="371"/>
      <c r="AD261" s="372"/>
      <c r="AE261" s="371"/>
      <c r="AF261" s="371"/>
      <c r="AG261" s="270"/>
      <c r="AH261" s="350"/>
      <c r="AI261" s="365"/>
      <c r="AJ261" s="374"/>
    </row>
    <row r="262" spans="1:42" x14ac:dyDescent="0.2">
      <c r="A262" s="423">
        <f t="shared" si="75"/>
        <v>257</v>
      </c>
      <c r="B262" s="456" t="s">
        <v>670</v>
      </c>
      <c r="C262" s="457">
        <v>39404</v>
      </c>
      <c r="D262" s="458" t="s">
        <v>721</v>
      </c>
      <c r="E262" s="454" t="s">
        <v>1267</v>
      </c>
      <c r="F262" s="391">
        <v>2017</v>
      </c>
      <c r="G262" s="455">
        <v>42762</v>
      </c>
      <c r="H262" s="459" t="s">
        <v>1215</v>
      </c>
      <c r="I262" s="460" t="s">
        <v>1231</v>
      </c>
      <c r="J262" s="461" t="s">
        <v>724</v>
      </c>
      <c r="K262" s="462" t="s">
        <v>1232</v>
      </c>
      <c r="L262" s="463" t="s">
        <v>1233</v>
      </c>
      <c r="M262" s="464">
        <v>156551.72</v>
      </c>
      <c r="N262" s="464">
        <v>0</v>
      </c>
      <c r="O262" s="464">
        <v>3448.28</v>
      </c>
      <c r="P262" s="465">
        <v>160000</v>
      </c>
      <c r="Q262" s="392"/>
      <c r="R262" s="466">
        <v>135000</v>
      </c>
      <c r="S262" s="394">
        <f t="shared" ref="S262:S275" si="76">+P262-R262</f>
        <v>25000</v>
      </c>
      <c r="T262" s="113" t="s">
        <v>263</v>
      </c>
      <c r="U262" s="370"/>
      <c r="V262" s="370"/>
      <c r="W262" s="375"/>
      <c r="X262" s="374"/>
      <c r="Y262" s="313"/>
      <c r="Z262" s="371"/>
      <c r="AA262" s="371"/>
      <c r="AB262" s="371"/>
      <c r="AC262" s="371"/>
      <c r="AD262" s="372"/>
      <c r="AE262" s="371"/>
      <c r="AF262" s="371"/>
      <c r="AG262" s="270"/>
      <c r="AH262" s="272"/>
      <c r="AI262" s="313"/>
      <c r="AJ262" s="374"/>
    </row>
    <row r="263" spans="1:42" x14ac:dyDescent="0.2">
      <c r="A263" s="423">
        <f t="shared" si="75"/>
        <v>258</v>
      </c>
      <c r="B263" s="456" t="s">
        <v>671</v>
      </c>
      <c r="C263" s="457">
        <v>72504</v>
      </c>
      <c r="D263" s="458" t="s">
        <v>721</v>
      </c>
      <c r="E263" s="454" t="s">
        <v>1267</v>
      </c>
      <c r="F263" s="391">
        <v>2017</v>
      </c>
      <c r="G263" s="455">
        <v>42763</v>
      </c>
      <c r="H263" s="459" t="s">
        <v>1191</v>
      </c>
      <c r="I263" s="460" t="s">
        <v>1234</v>
      </c>
      <c r="J263" s="461" t="s">
        <v>724</v>
      </c>
      <c r="K263" s="462" t="s">
        <v>1235</v>
      </c>
      <c r="L263" s="463" t="s">
        <v>1236</v>
      </c>
      <c r="M263" s="464">
        <v>160572.41</v>
      </c>
      <c r="N263" s="464">
        <v>0</v>
      </c>
      <c r="O263" s="464">
        <v>4427.59</v>
      </c>
      <c r="P263" s="465">
        <v>165000</v>
      </c>
      <c r="Q263" s="392"/>
      <c r="R263" s="466">
        <v>132900</v>
      </c>
      <c r="S263" s="394">
        <f t="shared" si="76"/>
        <v>32100</v>
      </c>
      <c r="T263" s="113" t="s">
        <v>263</v>
      </c>
      <c r="U263" s="320"/>
      <c r="V263" s="354"/>
      <c r="W263" s="355"/>
      <c r="X263" s="355"/>
      <c r="Y263" s="355"/>
      <c r="Z263" s="328"/>
      <c r="AA263" s="328"/>
      <c r="AB263" s="328"/>
      <c r="AC263" s="328"/>
      <c r="AD263" s="333"/>
      <c r="AE263" s="328"/>
      <c r="AF263" s="328"/>
      <c r="AG263" s="346"/>
      <c r="AH263" s="272"/>
      <c r="AI263" s="313"/>
      <c r="AJ263" s="330"/>
    </row>
    <row r="264" spans="1:42" x14ac:dyDescent="0.2">
      <c r="A264" s="423">
        <f t="shared" ref="A264:A275" si="77">+A263+1</f>
        <v>259</v>
      </c>
      <c r="B264" s="456" t="s">
        <v>672</v>
      </c>
      <c r="C264" s="457">
        <v>1032005</v>
      </c>
      <c r="D264" s="458" t="s">
        <v>721</v>
      </c>
      <c r="E264" s="454" t="s">
        <v>1267</v>
      </c>
      <c r="F264" s="391">
        <v>2017</v>
      </c>
      <c r="G264" s="455">
        <v>42765</v>
      </c>
      <c r="H264" s="459" t="s">
        <v>735</v>
      </c>
      <c r="I264" s="460" t="s">
        <v>1237</v>
      </c>
      <c r="J264" s="461" t="s">
        <v>724</v>
      </c>
      <c r="K264" s="462" t="s">
        <v>1238</v>
      </c>
      <c r="L264" s="463" t="s">
        <v>1239</v>
      </c>
      <c r="M264" s="464">
        <v>168103.45</v>
      </c>
      <c r="N264" s="464">
        <v>0</v>
      </c>
      <c r="O264" s="464">
        <v>26896.55</v>
      </c>
      <c r="P264" s="465">
        <v>195000</v>
      </c>
      <c r="Q264" s="392"/>
      <c r="R264" s="466">
        <v>126896.55</v>
      </c>
      <c r="S264" s="394">
        <f t="shared" si="76"/>
        <v>68103.45</v>
      </c>
      <c r="T264" s="267" t="s">
        <v>263</v>
      </c>
      <c r="U264" s="320"/>
      <c r="V264" s="354"/>
      <c r="W264" s="355"/>
      <c r="X264" s="355"/>
      <c r="Y264" s="355"/>
      <c r="Z264" s="328"/>
      <c r="AA264" s="328"/>
      <c r="AB264" s="328"/>
      <c r="AC264" s="328"/>
      <c r="AD264" s="333"/>
      <c r="AE264" s="328"/>
      <c r="AF264" s="328"/>
      <c r="AG264" s="346"/>
      <c r="AH264" s="272"/>
      <c r="AI264" s="313"/>
      <c r="AJ264" s="330"/>
    </row>
    <row r="265" spans="1:42" x14ac:dyDescent="0.2">
      <c r="A265" s="423">
        <f t="shared" si="77"/>
        <v>260</v>
      </c>
      <c r="B265" s="456" t="s">
        <v>673</v>
      </c>
      <c r="C265" s="457">
        <v>1032005</v>
      </c>
      <c r="D265" s="458" t="s">
        <v>721</v>
      </c>
      <c r="E265" s="454" t="s">
        <v>1267</v>
      </c>
      <c r="F265" s="391">
        <v>2017</v>
      </c>
      <c r="G265" s="455">
        <v>42765</v>
      </c>
      <c r="H265" s="459" t="s">
        <v>751</v>
      </c>
      <c r="I265" s="460" t="s">
        <v>1240</v>
      </c>
      <c r="J265" s="461" t="s">
        <v>724</v>
      </c>
      <c r="K265" s="462" t="s">
        <v>1241</v>
      </c>
      <c r="L265" s="463" t="s">
        <v>1242</v>
      </c>
      <c r="M265" s="464">
        <v>-112068.97</v>
      </c>
      <c r="N265" s="464">
        <v>0</v>
      </c>
      <c r="O265" s="464">
        <v>-1931.03</v>
      </c>
      <c r="P265" s="465">
        <v>-114000</v>
      </c>
      <c r="Q265" s="392"/>
      <c r="R265" s="466">
        <v>-100000</v>
      </c>
      <c r="S265" s="394">
        <f t="shared" si="76"/>
        <v>-14000</v>
      </c>
      <c r="T265" s="267" t="s">
        <v>263</v>
      </c>
      <c r="U265" s="369"/>
      <c r="V265" s="370"/>
      <c r="W265" s="375"/>
      <c r="X265" s="374"/>
      <c r="Y265" s="313"/>
      <c r="Z265" s="371"/>
      <c r="AA265" s="371"/>
      <c r="AB265" s="371"/>
      <c r="AC265" s="371"/>
      <c r="AD265" s="372"/>
      <c r="AE265" s="371"/>
      <c r="AF265" s="371"/>
      <c r="AG265" s="270"/>
      <c r="AH265" s="272"/>
      <c r="AI265" s="313"/>
      <c r="AJ265" s="374"/>
    </row>
    <row r="266" spans="1:42" x14ac:dyDescent="0.2">
      <c r="A266" s="423">
        <f t="shared" si="77"/>
        <v>261</v>
      </c>
      <c r="B266" s="456" t="s">
        <v>674</v>
      </c>
      <c r="C266" s="457">
        <v>1032005</v>
      </c>
      <c r="D266" s="458" t="s">
        <v>721</v>
      </c>
      <c r="E266" s="454" t="s">
        <v>1267</v>
      </c>
      <c r="F266" s="391">
        <v>2017</v>
      </c>
      <c r="G266" s="455">
        <v>42765</v>
      </c>
      <c r="H266" s="459" t="s">
        <v>751</v>
      </c>
      <c r="I266" s="460" t="s">
        <v>1240</v>
      </c>
      <c r="J266" s="461" t="s">
        <v>724</v>
      </c>
      <c r="K266" s="462" t="s">
        <v>1241</v>
      </c>
      <c r="L266" s="463" t="s">
        <v>1242</v>
      </c>
      <c r="M266" s="464">
        <v>112068.97</v>
      </c>
      <c r="N266" s="464">
        <v>0</v>
      </c>
      <c r="O266" s="464">
        <v>1931.03</v>
      </c>
      <c r="P266" s="465">
        <v>114000</v>
      </c>
      <c r="Q266" s="392"/>
      <c r="R266" s="466">
        <v>100000</v>
      </c>
      <c r="S266" s="394">
        <f t="shared" si="76"/>
        <v>14000</v>
      </c>
      <c r="T266" s="267" t="s">
        <v>263</v>
      </c>
      <c r="U266" s="320"/>
      <c r="V266" s="354"/>
      <c r="W266" s="355"/>
      <c r="X266" s="355"/>
      <c r="Y266" s="355"/>
      <c r="Z266" s="328"/>
      <c r="AA266" s="328"/>
      <c r="AB266" s="328"/>
      <c r="AC266" s="328"/>
      <c r="AD266" s="333"/>
      <c r="AE266" s="328"/>
      <c r="AF266" s="328"/>
      <c r="AG266" s="346"/>
      <c r="AH266" s="347"/>
      <c r="AI266" s="363"/>
      <c r="AJ266" s="374"/>
    </row>
    <row r="267" spans="1:42" x14ac:dyDescent="0.2">
      <c r="A267" s="423">
        <f t="shared" si="77"/>
        <v>262</v>
      </c>
      <c r="B267" s="456" t="s">
        <v>675</v>
      </c>
      <c r="C267" s="457">
        <v>1032005</v>
      </c>
      <c r="D267" s="458" t="s">
        <v>721</v>
      </c>
      <c r="E267" s="454" t="s">
        <v>1267</v>
      </c>
      <c r="F267" s="391">
        <v>2017</v>
      </c>
      <c r="G267" s="455">
        <v>42765</v>
      </c>
      <c r="H267" s="459" t="s">
        <v>751</v>
      </c>
      <c r="I267" s="460" t="s">
        <v>1240</v>
      </c>
      <c r="J267" s="461" t="s">
        <v>724</v>
      </c>
      <c r="K267" s="462" t="s">
        <v>1241</v>
      </c>
      <c r="L267" s="463" t="s">
        <v>1242</v>
      </c>
      <c r="M267" s="464">
        <v>112068.97</v>
      </c>
      <c r="N267" s="464">
        <v>0</v>
      </c>
      <c r="O267" s="464">
        <v>1931.03</v>
      </c>
      <c r="P267" s="465">
        <v>114000</v>
      </c>
      <c r="Q267" s="392"/>
      <c r="R267" s="466">
        <v>100000</v>
      </c>
      <c r="S267" s="394">
        <f t="shared" si="76"/>
        <v>14000</v>
      </c>
      <c r="T267" s="113" t="s">
        <v>263</v>
      </c>
      <c r="U267" s="320"/>
      <c r="V267" s="354"/>
      <c r="W267" s="355"/>
      <c r="X267" s="330"/>
      <c r="Y267" s="363"/>
      <c r="Z267" s="328"/>
      <c r="AA267" s="328"/>
      <c r="AB267" s="328"/>
      <c r="AC267" s="328"/>
      <c r="AD267" s="333"/>
      <c r="AE267" s="328"/>
      <c r="AF267" s="328"/>
      <c r="AG267" s="346"/>
      <c r="AH267" s="272"/>
      <c r="AI267" s="313"/>
      <c r="AJ267" s="374"/>
    </row>
    <row r="268" spans="1:42" x14ac:dyDescent="0.2">
      <c r="A268" s="423">
        <f t="shared" si="77"/>
        <v>263</v>
      </c>
      <c r="B268" s="456" t="s">
        <v>676</v>
      </c>
      <c r="C268" s="457">
        <v>44707</v>
      </c>
      <c r="D268" s="458" t="s">
        <v>721</v>
      </c>
      <c r="E268" s="454" t="s">
        <v>1267</v>
      </c>
      <c r="F268" s="391">
        <v>2017</v>
      </c>
      <c r="G268" s="455">
        <v>42765</v>
      </c>
      <c r="H268" s="459" t="s">
        <v>1191</v>
      </c>
      <c r="I268" s="460" t="s">
        <v>1243</v>
      </c>
      <c r="J268" s="461" t="s">
        <v>724</v>
      </c>
      <c r="K268" s="462" t="s">
        <v>1244</v>
      </c>
      <c r="L268" s="463" t="s">
        <v>1245</v>
      </c>
      <c r="M268" s="464">
        <v>165862.07</v>
      </c>
      <c r="N268" s="464">
        <v>0</v>
      </c>
      <c r="O268" s="464">
        <v>4137.93</v>
      </c>
      <c r="P268" s="465">
        <v>170000</v>
      </c>
      <c r="Q268" s="392"/>
      <c r="R268" s="466">
        <v>140000</v>
      </c>
      <c r="S268" s="394">
        <f t="shared" si="76"/>
        <v>30000</v>
      </c>
      <c r="T268" s="444" t="s">
        <v>263</v>
      </c>
      <c r="U268" s="369"/>
      <c r="V268" s="370"/>
      <c r="W268" s="375"/>
      <c r="X268" s="375"/>
      <c r="Y268" s="375"/>
      <c r="Z268" s="371"/>
      <c r="AA268" s="371"/>
      <c r="AB268" s="371"/>
      <c r="AC268" s="371"/>
      <c r="AD268" s="372"/>
      <c r="AE268" s="371"/>
      <c r="AF268" s="371"/>
      <c r="AG268" s="270"/>
      <c r="AH268" s="272"/>
      <c r="AI268" s="313"/>
      <c r="AJ268" s="374"/>
    </row>
    <row r="269" spans="1:42" x14ac:dyDescent="0.2">
      <c r="A269" s="423">
        <f t="shared" si="77"/>
        <v>264</v>
      </c>
      <c r="B269" s="456" t="s">
        <v>677</v>
      </c>
      <c r="C269" s="457">
        <v>520214</v>
      </c>
      <c r="D269" s="458" t="s">
        <v>721</v>
      </c>
      <c r="E269" s="454" t="s">
        <v>1267</v>
      </c>
      <c r="F269" s="391">
        <v>2017</v>
      </c>
      <c r="G269" s="455">
        <v>42766</v>
      </c>
      <c r="H269" s="459" t="s">
        <v>1207</v>
      </c>
      <c r="I269" s="460" t="s">
        <v>1246</v>
      </c>
      <c r="J269" s="461" t="s">
        <v>724</v>
      </c>
      <c r="K269" s="462" t="s">
        <v>1247</v>
      </c>
      <c r="L269" s="463" t="s">
        <v>1248</v>
      </c>
      <c r="M269" s="464">
        <v>133793.1</v>
      </c>
      <c r="N269" s="464">
        <v>0</v>
      </c>
      <c r="O269" s="464">
        <v>2206.9</v>
      </c>
      <c r="P269" s="465">
        <v>136000</v>
      </c>
      <c r="Q269" s="392"/>
      <c r="R269" s="466">
        <v>120000</v>
      </c>
      <c r="S269" s="394">
        <f t="shared" si="76"/>
        <v>16000</v>
      </c>
      <c r="T269" s="113" t="s">
        <v>263</v>
      </c>
      <c r="U269" s="320"/>
      <c r="V269" s="354"/>
      <c r="W269" s="355"/>
      <c r="X269" s="355"/>
      <c r="Y269" s="355"/>
      <c r="Z269" s="328"/>
      <c r="AA269" s="328"/>
      <c r="AB269" s="328"/>
      <c r="AC269" s="328"/>
      <c r="AD269" s="333"/>
      <c r="AE269" s="328"/>
      <c r="AF269" s="328"/>
      <c r="AG269" s="346"/>
      <c r="AH269" s="272"/>
      <c r="AI269" s="313"/>
      <c r="AJ269" s="374"/>
    </row>
    <row r="270" spans="1:42" x14ac:dyDescent="0.2">
      <c r="A270" s="423">
        <f t="shared" si="77"/>
        <v>265</v>
      </c>
      <c r="B270" s="456" t="s">
        <v>678</v>
      </c>
      <c r="C270" s="457">
        <v>520815</v>
      </c>
      <c r="D270" s="458" t="s">
        <v>686</v>
      </c>
      <c r="E270" s="454" t="s">
        <v>695</v>
      </c>
      <c r="F270" s="391">
        <v>2017</v>
      </c>
      <c r="G270" s="455">
        <v>42744</v>
      </c>
      <c r="H270" s="459" t="s">
        <v>1207</v>
      </c>
      <c r="I270" s="460" t="s">
        <v>1249</v>
      </c>
      <c r="J270" s="461" t="s">
        <v>724</v>
      </c>
      <c r="K270" s="462" t="s">
        <v>1250</v>
      </c>
      <c r="L270" s="463" t="s">
        <v>1251</v>
      </c>
      <c r="M270" s="464">
        <v>316724.14</v>
      </c>
      <c r="N270" s="464">
        <v>0</v>
      </c>
      <c r="O270" s="464">
        <v>8275.86</v>
      </c>
      <c r="P270" s="465">
        <v>325000</v>
      </c>
      <c r="Q270" s="392"/>
      <c r="R270" s="466">
        <v>265000</v>
      </c>
      <c r="S270" s="394">
        <f t="shared" si="76"/>
        <v>60000</v>
      </c>
      <c r="T270" s="267" t="s">
        <v>263</v>
      </c>
      <c r="U270" s="369"/>
      <c r="V270" s="370"/>
      <c r="W270" s="375"/>
      <c r="X270" s="374"/>
      <c r="Y270" s="313"/>
      <c r="Z270" s="371"/>
      <c r="AA270" s="371"/>
      <c r="AB270" s="371"/>
      <c r="AC270" s="371"/>
      <c r="AD270" s="372"/>
      <c r="AE270" s="371"/>
      <c r="AF270" s="371"/>
      <c r="AG270" s="270"/>
      <c r="AH270" s="272"/>
      <c r="AI270" s="313"/>
      <c r="AJ270" s="330"/>
    </row>
    <row r="271" spans="1:42" s="379" customFormat="1" x14ac:dyDescent="0.2">
      <c r="A271" s="423">
        <f t="shared" si="77"/>
        <v>266</v>
      </c>
      <c r="B271" s="456" t="s">
        <v>679</v>
      </c>
      <c r="C271" s="457">
        <v>521802</v>
      </c>
      <c r="D271" s="458" t="s">
        <v>686</v>
      </c>
      <c r="E271" s="454" t="s">
        <v>695</v>
      </c>
      <c r="F271" s="391">
        <v>2017</v>
      </c>
      <c r="G271" s="455">
        <v>42748</v>
      </c>
      <c r="H271" s="459" t="s">
        <v>1207</v>
      </c>
      <c r="I271" s="460" t="s">
        <v>1252</v>
      </c>
      <c r="J271" s="461" t="s">
        <v>724</v>
      </c>
      <c r="K271" s="462" t="s">
        <v>1137</v>
      </c>
      <c r="L271" s="463" t="s">
        <v>1253</v>
      </c>
      <c r="M271" s="464">
        <v>200586.21</v>
      </c>
      <c r="N271" s="464">
        <v>0</v>
      </c>
      <c r="O271" s="464">
        <v>4413.79</v>
      </c>
      <c r="P271" s="465">
        <v>205000</v>
      </c>
      <c r="Q271" s="392"/>
      <c r="R271" s="466">
        <v>173000</v>
      </c>
      <c r="S271" s="394">
        <f t="shared" si="76"/>
        <v>32000</v>
      </c>
      <c r="T271" s="113" t="s">
        <v>263</v>
      </c>
      <c r="U271" s="320"/>
      <c r="V271" s="354"/>
      <c r="W271" s="355"/>
      <c r="X271" s="355"/>
      <c r="Y271" s="355"/>
      <c r="Z271" s="328"/>
      <c r="AA271" s="328"/>
      <c r="AB271" s="328"/>
      <c r="AC271" s="328"/>
      <c r="AD271" s="333"/>
      <c r="AE271" s="328"/>
      <c r="AF271" s="328"/>
      <c r="AG271" s="346"/>
      <c r="AH271" s="272"/>
      <c r="AI271" s="313"/>
      <c r="AJ271" s="330"/>
    </row>
    <row r="272" spans="1:42" x14ac:dyDescent="0.2">
      <c r="A272" s="423">
        <f t="shared" si="77"/>
        <v>267</v>
      </c>
      <c r="B272" s="456" t="s">
        <v>680</v>
      </c>
      <c r="C272" s="457">
        <v>521802</v>
      </c>
      <c r="D272" s="458" t="s">
        <v>686</v>
      </c>
      <c r="E272" s="454" t="s">
        <v>695</v>
      </c>
      <c r="F272" s="391">
        <v>2017</v>
      </c>
      <c r="G272" s="455">
        <v>42755</v>
      </c>
      <c r="H272" s="459" t="s">
        <v>751</v>
      </c>
      <c r="I272" s="460" t="s">
        <v>1254</v>
      </c>
      <c r="J272" s="461" t="s">
        <v>724</v>
      </c>
      <c r="K272" s="462" t="s">
        <v>1255</v>
      </c>
      <c r="L272" s="463" t="s">
        <v>1256</v>
      </c>
      <c r="M272" s="464">
        <v>116206.9</v>
      </c>
      <c r="N272" s="464">
        <v>0</v>
      </c>
      <c r="O272" s="464">
        <v>1793.1</v>
      </c>
      <c r="P272" s="465">
        <v>118000</v>
      </c>
      <c r="Q272" s="392"/>
      <c r="R272" s="466">
        <v>105000</v>
      </c>
      <c r="S272" s="394">
        <f t="shared" si="76"/>
        <v>13000</v>
      </c>
      <c r="T272" s="267" t="s">
        <v>263</v>
      </c>
      <c r="U272" s="369"/>
      <c r="V272" s="370"/>
      <c r="W272" s="375"/>
      <c r="X272" s="374"/>
      <c r="Y272" s="313"/>
      <c r="Z272" s="371"/>
      <c r="AA272" s="371"/>
      <c r="AB272" s="371"/>
      <c r="AC272" s="371"/>
      <c r="AD272" s="372"/>
      <c r="AE272" s="371"/>
      <c r="AF272" s="371"/>
      <c r="AG272" s="270"/>
      <c r="AH272" s="272"/>
      <c r="AI272" s="313"/>
      <c r="AJ272" s="374"/>
    </row>
    <row r="273" spans="1:41" x14ac:dyDescent="0.2">
      <c r="A273" s="423">
        <f t="shared" si="77"/>
        <v>268</v>
      </c>
      <c r="B273" s="456" t="s">
        <v>681</v>
      </c>
      <c r="C273" s="457">
        <v>520224</v>
      </c>
      <c r="D273" s="458" t="s">
        <v>686</v>
      </c>
      <c r="E273" s="454" t="s">
        <v>695</v>
      </c>
      <c r="F273" s="391">
        <v>2017</v>
      </c>
      <c r="G273" s="455">
        <v>42759</v>
      </c>
      <c r="H273" s="459" t="s">
        <v>735</v>
      </c>
      <c r="I273" s="460" t="s">
        <v>1257</v>
      </c>
      <c r="J273" s="461" t="s">
        <v>724</v>
      </c>
      <c r="K273" s="462" t="s">
        <v>1258</v>
      </c>
      <c r="L273" s="463" t="s">
        <v>1259</v>
      </c>
      <c r="M273" s="464">
        <v>273103.45</v>
      </c>
      <c r="N273" s="464">
        <v>0</v>
      </c>
      <c r="O273" s="464">
        <v>6896.55</v>
      </c>
      <c r="P273" s="465">
        <v>280000</v>
      </c>
      <c r="Q273" s="392"/>
      <c r="R273" s="466">
        <v>230000</v>
      </c>
      <c r="S273" s="394">
        <f t="shared" si="76"/>
        <v>50000</v>
      </c>
      <c r="T273" s="444" t="s">
        <v>263</v>
      </c>
      <c r="U273" s="369"/>
      <c r="V273" s="370"/>
      <c r="W273" s="375"/>
      <c r="X273" s="375"/>
      <c r="Y273" s="375"/>
      <c r="Z273" s="376"/>
      <c r="AA273" s="371"/>
      <c r="AB273" s="371"/>
      <c r="AC273" s="371"/>
      <c r="AD273" s="372"/>
      <c r="AE273" s="371"/>
      <c r="AF273" s="371"/>
      <c r="AG273" s="270"/>
      <c r="AH273" s="272"/>
      <c r="AI273" s="313"/>
      <c r="AJ273" s="374"/>
    </row>
    <row r="274" spans="1:41" s="379" customFormat="1" x14ac:dyDescent="0.2">
      <c r="A274" s="423">
        <f t="shared" si="77"/>
        <v>269</v>
      </c>
      <c r="B274" s="456" t="s">
        <v>682</v>
      </c>
      <c r="C274" s="457">
        <v>521702</v>
      </c>
      <c r="D274" s="458" t="s">
        <v>686</v>
      </c>
      <c r="E274" s="454" t="s">
        <v>695</v>
      </c>
      <c r="F274" s="391">
        <v>2017</v>
      </c>
      <c r="G274" s="455">
        <v>42762</v>
      </c>
      <c r="H274" s="459" t="s">
        <v>1191</v>
      </c>
      <c r="I274" s="460" t="s">
        <v>1260</v>
      </c>
      <c r="J274" s="461" t="s">
        <v>724</v>
      </c>
      <c r="K274" s="462" t="s">
        <v>1261</v>
      </c>
      <c r="L274" s="463" t="s">
        <v>1262</v>
      </c>
      <c r="M274" s="464">
        <v>190862.07</v>
      </c>
      <c r="N274" s="464">
        <v>0</v>
      </c>
      <c r="O274" s="464">
        <v>4137.93</v>
      </c>
      <c r="P274" s="465">
        <v>195000</v>
      </c>
      <c r="Q274" s="392"/>
      <c r="R274" s="466">
        <v>165000</v>
      </c>
      <c r="S274" s="394">
        <f t="shared" si="76"/>
        <v>30000</v>
      </c>
      <c r="T274" s="445" t="s">
        <v>263</v>
      </c>
      <c r="U274" s="320"/>
      <c r="V274" s="354"/>
      <c r="W274" s="355"/>
      <c r="X274" s="355"/>
      <c r="Y274" s="355"/>
      <c r="Z274" s="356"/>
      <c r="AA274" s="328"/>
      <c r="AB274" s="328"/>
      <c r="AC274" s="328"/>
      <c r="AD274" s="333"/>
      <c r="AE274" s="328"/>
      <c r="AF274" s="328"/>
      <c r="AG274" s="346"/>
      <c r="AH274" s="272"/>
      <c r="AI274" s="313"/>
      <c r="AJ274" s="330"/>
    </row>
    <row r="275" spans="1:41" s="379" customFormat="1" x14ac:dyDescent="0.2">
      <c r="A275" s="423">
        <f t="shared" si="77"/>
        <v>270</v>
      </c>
      <c r="B275" s="456" t="s">
        <v>683</v>
      </c>
      <c r="C275" s="457">
        <v>520209</v>
      </c>
      <c r="D275" s="458" t="s">
        <v>686</v>
      </c>
      <c r="E275" s="454" t="s">
        <v>695</v>
      </c>
      <c r="F275" s="391">
        <v>2017</v>
      </c>
      <c r="G275" s="455">
        <v>42762</v>
      </c>
      <c r="H275" s="459" t="s">
        <v>735</v>
      </c>
      <c r="I275" s="460" t="s">
        <v>1263</v>
      </c>
      <c r="J275" s="461" t="s">
        <v>724</v>
      </c>
      <c r="K275" s="462" t="s">
        <v>1264</v>
      </c>
      <c r="L275" s="463" t="s">
        <v>1265</v>
      </c>
      <c r="M275" s="464">
        <v>173793.1</v>
      </c>
      <c r="N275" s="464">
        <v>0</v>
      </c>
      <c r="O275" s="464">
        <v>6206.9</v>
      </c>
      <c r="P275" s="465">
        <v>180000</v>
      </c>
      <c r="Q275" s="392"/>
      <c r="R275" s="466">
        <v>135000</v>
      </c>
      <c r="S275" s="394">
        <f t="shared" si="76"/>
        <v>45000</v>
      </c>
      <c r="T275" s="113" t="s">
        <v>263</v>
      </c>
      <c r="U275" s="320"/>
      <c r="V275" s="354"/>
      <c r="W275" s="355"/>
      <c r="X275" s="355"/>
      <c r="Y275" s="355"/>
      <c r="Z275" s="356"/>
      <c r="AA275" s="328"/>
      <c r="AB275" s="328"/>
      <c r="AC275" s="328"/>
      <c r="AD275" s="333"/>
      <c r="AE275" s="328"/>
      <c r="AF275" s="328"/>
      <c r="AG275" s="346"/>
      <c r="AH275" s="272"/>
      <c r="AI275" s="313"/>
      <c r="AJ275" s="330"/>
    </row>
    <row r="276" spans="1:41" s="53" customFormat="1" x14ac:dyDescent="0.2">
      <c r="A276" s="48"/>
      <c r="B276" s="450"/>
      <c r="C276" s="450"/>
      <c r="D276" s="449"/>
      <c r="E276" s="373"/>
      <c r="F276" s="413"/>
      <c r="G276" s="378"/>
      <c r="H276" s="373"/>
      <c r="I276" s="373"/>
      <c r="J276" s="373"/>
      <c r="K276" s="373"/>
      <c r="L276" s="373"/>
      <c r="M276" s="397"/>
      <c r="N276" s="397"/>
      <c r="O276" s="397"/>
      <c r="P276" s="397"/>
      <c r="Q276" s="397"/>
      <c r="R276" s="397"/>
      <c r="S276" s="394"/>
      <c r="T276" s="398"/>
      <c r="U276" s="320"/>
      <c r="V276" s="354"/>
      <c r="W276" s="355"/>
      <c r="X276" s="355"/>
      <c r="Y276" s="355"/>
      <c r="Z276" s="356"/>
      <c r="AA276" s="328"/>
      <c r="AB276" s="328"/>
      <c r="AC276" s="328"/>
      <c r="AD276" s="333"/>
      <c r="AE276" s="328"/>
      <c r="AF276" s="328"/>
      <c r="AG276" s="346"/>
      <c r="AH276" s="272"/>
      <c r="AI276" s="313"/>
      <c r="AJ276" s="21"/>
      <c r="AK276" s="21"/>
      <c r="AL276" s="21"/>
      <c r="AM276" s="21"/>
      <c r="AN276" s="21"/>
      <c r="AO276" s="21"/>
    </row>
    <row r="277" spans="1:41" s="53" customFormat="1" x14ac:dyDescent="0.2">
      <c r="A277" s="48"/>
      <c r="B277" s="450"/>
      <c r="C277" s="450"/>
      <c r="D277" s="449"/>
      <c r="E277" s="373"/>
      <c r="F277" s="413"/>
      <c r="G277" s="368"/>
      <c r="H277" s="373"/>
      <c r="I277" s="373"/>
      <c r="J277" s="373"/>
      <c r="K277" s="373"/>
      <c r="L277" s="373"/>
      <c r="M277" s="397"/>
      <c r="N277" s="397"/>
      <c r="O277" s="397"/>
      <c r="P277" s="397"/>
      <c r="Q277" s="397"/>
      <c r="R277" s="397"/>
      <c r="S277" s="394"/>
      <c r="T277" s="13"/>
      <c r="U277" s="369"/>
      <c r="V277" s="370"/>
      <c r="W277" s="375"/>
      <c r="X277" s="375"/>
      <c r="Y277" s="375"/>
      <c r="Z277" s="376"/>
      <c r="AA277" s="371"/>
      <c r="AB277" s="371"/>
      <c r="AC277" s="371"/>
      <c r="AD277" s="372"/>
      <c r="AE277" s="371"/>
      <c r="AF277" s="371"/>
      <c r="AG277" s="270"/>
      <c r="AH277" s="272"/>
      <c r="AI277" s="313"/>
      <c r="AJ277" s="21"/>
      <c r="AK277" s="21"/>
      <c r="AL277" s="21"/>
      <c r="AM277" s="21"/>
      <c r="AN277" s="21"/>
      <c r="AO277" s="21"/>
    </row>
    <row r="278" spans="1:41" s="53" customFormat="1" ht="13.5" thickBot="1" x14ac:dyDescent="0.25">
      <c r="A278" s="48"/>
      <c r="B278" s="451"/>
      <c r="C278" s="451"/>
      <c r="D278" s="449"/>
      <c r="E278" s="373"/>
      <c r="F278" s="373"/>
      <c r="G278" s="368"/>
      <c r="H278" s="373"/>
      <c r="I278" s="373"/>
      <c r="J278" s="373"/>
      <c r="K278" s="373"/>
      <c r="L278" s="373"/>
      <c r="M278" s="397"/>
      <c r="N278" s="397"/>
      <c r="O278" s="397"/>
      <c r="P278" s="397"/>
      <c r="Q278" s="397"/>
      <c r="R278" s="397"/>
      <c r="S278" s="394"/>
      <c r="T278" s="13"/>
      <c r="U278" s="320"/>
      <c r="V278" s="354"/>
      <c r="W278" s="355"/>
      <c r="X278" s="355"/>
      <c r="Y278" s="355"/>
      <c r="Z278" s="356"/>
      <c r="AA278" s="328"/>
      <c r="AB278" s="328"/>
      <c r="AC278" s="328"/>
      <c r="AD278" s="333"/>
      <c r="AE278" s="328"/>
      <c r="AF278" s="328"/>
      <c r="AG278" s="346"/>
      <c r="AH278" s="272"/>
      <c r="AI278" s="313"/>
      <c r="AJ278" s="21"/>
      <c r="AK278" s="21"/>
      <c r="AL278" s="21"/>
      <c r="AM278" s="21"/>
      <c r="AN278" s="21"/>
      <c r="AO278" s="21"/>
    </row>
    <row r="279" spans="1:41" s="53" customFormat="1" x14ac:dyDescent="0.2">
      <c r="A279" s="48"/>
      <c r="B279" s="302"/>
      <c r="C279" s="128"/>
      <c r="D279" s="128"/>
      <c r="E279" s="128"/>
      <c r="F279" s="37"/>
      <c r="G279" s="80"/>
      <c r="H279" s="253"/>
      <c r="I279" s="264"/>
      <c r="J279" s="89"/>
      <c r="K279" s="89"/>
      <c r="L279" s="37"/>
      <c r="M279" s="206"/>
      <c r="N279" s="195"/>
      <c r="O279" s="196"/>
      <c r="P279" s="196"/>
      <c r="Q279" s="196"/>
      <c r="R279" s="399"/>
      <c r="S279" s="288"/>
      <c r="T279" s="13"/>
      <c r="U279" s="369"/>
      <c r="V279" s="370"/>
      <c r="W279" s="375"/>
      <c r="X279" s="375"/>
      <c r="Y279" s="375"/>
      <c r="Z279" s="376"/>
      <c r="AA279" s="371"/>
      <c r="AB279" s="371"/>
      <c r="AC279" s="371"/>
      <c r="AD279" s="372"/>
      <c r="AE279" s="371"/>
      <c r="AF279" s="371"/>
      <c r="AG279" s="270"/>
      <c r="AH279" s="272"/>
      <c r="AI279" s="313"/>
      <c r="AJ279" s="21"/>
      <c r="AK279" s="21"/>
      <c r="AL279" s="21"/>
      <c r="AM279" s="21"/>
      <c r="AN279" s="21"/>
      <c r="AO279" s="21"/>
    </row>
    <row r="280" spans="1:41" s="53" customFormat="1" x14ac:dyDescent="0.2">
      <c r="A280" s="48"/>
      <c r="B280" s="303"/>
      <c r="C280" s="262"/>
      <c r="D280" s="262"/>
      <c r="E280" s="129"/>
      <c r="F280" s="40"/>
      <c r="G280" s="81"/>
      <c r="H280" s="254"/>
      <c r="I280" s="90"/>
      <c r="J280" s="90"/>
      <c r="K280" s="90"/>
      <c r="L280" s="40"/>
      <c r="M280" s="209">
        <f>SUM(M6:M278)</f>
        <v>44763059.669999979</v>
      </c>
      <c r="N280" s="209">
        <f>SUM(N6:N278)</f>
        <v>1307177.98</v>
      </c>
      <c r="O280" s="209">
        <f>SUM(O6:O278)</f>
        <v>6945893.9499999955</v>
      </c>
      <c r="P280" s="209">
        <f>SUM(P6:P278)</f>
        <v>53016131.599999994</v>
      </c>
      <c r="Q280" s="209">
        <f t="shared" ref="Q280" si="78">SUM(Q6:Q278)</f>
        <v>0</v>
      </c>
      <c r="R280" s="209">
        <f>SUM(R6:R278)</f>
        <v>40542838</v>
      </c>
      <c r="S280" s="209">
        <f>SUM(S6:S278)</f>
        <v>12473293.600000007</v>
      </c>
      <c r="T280" s="13"/>
      <c r="U280" s="369"/>
      <c r="V280" s="370"/>
      <c r="W280" s="375"/>
      <c r="X280" s="375"/>
      <c r="Y280" s="375"/>
      <c r="Z280" s="376"/>
      <c r="AA280" s="371"/>
      <c r="AB280" s="371"/>
      <c r="AC280" s="371"/>
      <c r="AD280" s="372"/>
      <c r="AE280" s="371"/>
      <c r="AF280" s="371"/>
      <c r="AG280" s="270"/>
      <c r="AH280" s="272"/>
      <c r="AI280" s="313"/>
      <c r="AJ280" s="21"/>
      <c r="AK280" s="21"/>
      <c r="AL280" s="21"/>
      <c r="AM280" s="21"/>
      <c r="AN280" s="21"/>
      <c r="AO280" s="21"/>
    </row>
    <row r="281" spans="1:41" s="53" customFormat="1" ht="13.5" thickBot="1" x14ac:dyDescent="0.25">
      <c r="A281" s="48"/>
      <c r="B281" s="304"/>
      <c r="C281" s="130"/>
      <c r="D281" s="130"/>
      <c r="E281" s="130"/>
      <c r="F281" s="42"/>
      <c r="G281" s="82"/>
      <c r="H281" s="255"/>
      <c r="I281" s="265"/>
      <c r="J281" s="92"/>
      <c r="K281" s="92"/>
      <c r="L281" s="42"/>
      <c r="M281" s="205"/>
      <c r="N281" s="199"/>
      <c r="O281" s="197"/>
      <c r="P281" s="197"/>
      <c r="Q281" s="197"/>
      <c r="R281" s="43"/>
      <c r="S281" s="289"/>
      <c r="T281" s="13"/>
      <c r="U281" s="369"/>
      <c r="V281" s="370"/>
      <c r="W281" s="375"/>
      <c r="X281" s="375"/>
      <c r="Y281" s="375"/>
      <c r="Z281" s="376"/>
      <c r="AA281" s="371"/>
      <c r="AB281" s="371"/>
      <c r="AC281" s="371"/>
      <c r="AD281" s="372"/>
      <c r="AE281" s="371"/>
      <c r="AF281" s="371"/>
      <c r="AG281" s="270"/>
      <c r="AH281" s="272"/>
      <c r="AI281" s="313"/>
      <c r="AJ281" s="21"/>
      <c r="AK281" s="21"/>
      <c r="AL281" s="21"/>
      <c r="AM281" s="21"/>
      <c r="AN281" s="21"/>
      <c r="AO281" s="21"/>
    </row>
    <row r="282" spans="1:41" s="53" customFormat="1" x14ac:dyDescent="0.2">
      <c r="A282" s="48"/>
      <c r="B282" s="305"/>
      <c r="C282" s="233"/>
      <c r="D282" s="233"/>
      <c r="E282" s="113"/>
      <c r="F282" s="48"/>
      <c r="G282" s="49"/>
      <c r="H282" s="256"/>
      <c r="I282" s="133" t="s">
        <v>37</v>
      </c>
      <c r="J282" s="117"/>
      <c r="K282" s="133" t="s">
        <v>37</v>
      </c>
      <c r="L282" s="8" t="s">
        <v>75</v>
      </c>
      <c r="M282" s="410">
        <v>34711442.719999999</v>
      </c>
      <c r="N282" s="326">
        <v>1307177.98</v>
      </c>
      <c r="O282" s="201"/>
      <c r="P282" s="279"/>
      <c r="Q282" s="201"/>
      <c r="R282" s="326">
        <v>27364079.710000001</v>
      </c>
      <c r="S282" s="201">
        <f>SUM(R6:R157)+SUM(Q293:Q294)-R283+Q1</f>
        <v>23482473.559999999</v>
      </c>
      <c r="T282" s="13"/>
      <c r="U282" s="369"/>
      <c r="V282" s="370"/>
      <c r="W282" s="375"/>
      <c r="X282" s="375"/>
      <c r="Y282" s="375"/>
      <c r="Z282" s="376"/>
      <c r="AA282" s="371"/>
      <c r="AB282" s="371"/>
      <c r="AC282" s="371"/>
      <c r="AD282" s="372"/>
      <c r="AE282" s="371"/>
      <c r="AF282" s="371"/>
      <c r="AG282" s="270"/>
      <c r="AH282" s="272"/>
      <c r="AI282" s="313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305"/>
      <c r="C283" s="233"/>
      <c r="D283" s="233"/>
      <c r="E283" s="113"/>
      <c r="F283" s="48"/>
      <c r="G283" s="49"/>
      <c r="H283" s="256"/>
      <c r="I283" s="133" t="s">
        <v>404</v>
      </c>
      <c r="J283" s="117"/>
      <c r="K283" s="133" t="s">
        <v>74</v>
      </c>
      <c r="L283" s="8" t="s">
        <v>75</v>
      </c>
      <c r="M283" s="410">
        <v>5760803.1500000004</v>
      </c>
      <c r="N283" s="326"/>
      <c r="O283" s="201"/>
      <c r="P283" s="279"/>
      <c r="Q283" s="201"/>
      <c r="R283" s="326">
        <v>7522946.3200000003</v>
      </c>
      <c r="S283" s="285"/>
      <c r="T283" s="13"/>
      <c r="U283" s="320"/>
      <c r="V283" s="354"/>
      <c r="W283" s="355"/>
      <c r="X283" s="355"/>
      <c r="Y283" s="355"/>
      <c r="Z283" s="356"/>
      <c r="AA283" s="328"/>
      <c r="AB283" s="328"/>
      <c r="AC283" s="328"/>
      <c r="AD283" s="333"/>
      <c r="AE283" s="328"/>
      <c r="AF283" s="328"/>
      <c r="AG283" s="346"/>
      <c r="AH283" s="347"/>
      <c r="AI283" s="363"/>
      <c r="AJ283" s="21"/>
      <c r="AK283" s="21"/>
      <c r="AL283" s="21"/>
      <c r="AM283" s="21"/>
      <c r="AN283" s="21"/>
      <c r="AO283" s="21"/>
    </row>
    <row r="284" spans="1:41" s="53" customFormat="1" x14ac:dyDescent="0.2">
      <c r="A284" s="48"/>
      <c r="B284" s="306"/>
      <c r="C284" s="233"/>
      <c r="D284" s="233"/>
      <c r="E284" s="113"/>
      <c r="F284" s="48"/>
      <c r="G284" s="49"/>
      <c r="H284" s="256"/>
      <c r="I284" s="133" t="s">
        <v>74</v>
      </c>
      <c r="J284" s="117"/>
      <c r="K284" s="133" t="s">
        <v>38</v>
      </c>
      <c r="L284" s="8" t="s">
        <v>75</v>
      </c>
      <c r="M284" s="410">
        <v>4290813.8</v>
      </c>
      <c r="N284" s="201"/>
      <c r="O284" s="201"/>
      <c r="P284" s="279"/>
      <c r="Q284" s="332">
        <f>72*360</f>
        <v>25920</v>
      </c>
      <c r="R284" s="326">
        <v>5857317.5899999999</v>
      </c>
      <c r="S284" s="201">
        <f>SUM(R219:R266)</f>
        <v>7883462.4499999993</v>
      </c>
      <c r="T284" s="13"/>
      <c r="U284" s="369"/>
      <c r="V284" s="370"/>
      <c r="W284" s="375"/>
      <c r="X284" s="375"/>
      <c r="Y284" s="375"/>
      <c r="Z284" s="376"/>
      <c r="AA284" s="371"/>
      <c r="AB284" s="371"/>
      <c r="AC284" s="371"/>
      <c r="AD284" s="372"/>
      <c r="AE284" s="371"/>
      <c r="AF284" s="371"/>
      <c r="AG284" s="270"/>
      <c r="AH284" s="272"/>
      <c r="AI284" s="313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6"/>
      <c r="C285" s="233"/>
      <c r="D285" s="233"/>
      <c r="E285" s="113"/>
      <c r="F285" s="48"/>
      <c r="G285" s="49"/>
      <c r="H285" s="256"/>
      <c r="I285" s="133" t="s">
        <v>38</v>
      </c>
      <c r="J285" s="117"/>
      <c r="K285" s="117"/>
      <c r="L285" s="8"/>
      <c r="M285" s="326"/>
      <c r="N285" s="326"/>
      <c r="O285" s="326"/>
      <c r="P285" s="327"/>
      <c r="Q285" s="327"/>
      <c r="R285" s="400">
        <v>8200735.7800000003</v>
      </c>
      <c r="S285" s="401">
        <f>SUM(R268:R275)+SUM(Q343:Q434)-R286</f>
        <v>1332396</v>
      </c>
      <c r="T285" s="380">
        <f>+R285-S285</f>
        <v>6868339.7800000003</v>
      </c>
      <c r="U285" s="369"/>
      <c r="V285" s="370"/>
      <c r="W285" s="375"/>
      <c r="X285" s="375"/>
      <c r="Y285" s="375"/>
      <c r="Z285" s="376"/>
      <c r="AA285" s="371"/>
      <c r="AB285" s="371"/>
      <c r="AC285" s="371"/>
      <c r="AD285" s="372"/>
      <c r="AE285" s="371"/>
      <c r="AF285" s="371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6"/>
      <c r="C286" s="233"/>
      <c r="D286" s="233"/>
      <c r="E286" s="113"/>
      <c r="F286" s="48"/>
      <c r="G286" s="49"/>
      <c r="H286" s="256"/>
      <c r="I286" s="133" t="s">
        <v>405</v>
      </c>
      <c r="J286" s="117"/>
      <c r="K286" s="117"/>
      <c r="L286" s="8"/>
      <c r="M286" s="258">
        <v>0</v>
      </c>
      <c r="N286" s="258"/>
      <c r="O286" s="258"/>
      <c r="P286" s="280"/>
      <c r="Q286" s="280"/>
      <c r="R286" s="400">
        <v>604</v>
      </c>
      <c r="S286" s="401">
        <v>0</v>
      </c>
      <c r="T286" s="13"/>
      <c r="U286" s="320"/>
      <c r="V286" s="354"/>
      <c r="W286" s="355"/>
      <c r="X286" s="355"/>
      <c r="Y286" s="355"/>
      <c r="Z286" s="356"/>
      <c r="AA286" s="328"/>
      <c r="AB286" s="328"/>
      <c r="AC286" s="328"/>
      <c r="AD286" s="333"/>
      <c r="AE286" s="328"/>
      <c r="AF286" s="328"/>
      <c r="AG286" s="346"/>
      <c r="AH286" s="347"/>
      <c r="AI286" s="363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51"/>
      <c r="H287" s="257"/>
      <c r="I287" s="133" t="s">
        <v>39</v>
      </c>
      <c r="J287" s="117"/>
      <c r="K287" s="117"/>
      <c r="L287" s="8"/>
      <c r="M287" s="204">
        <f>SUM(M282:M286)</f>
        <v>44763059.669999994</v>
      </c>
      <c r="N287" s="204">
        <f>SUM(N282:N286)</f>
        <v>1307177.98</v>
      </c>
      <c r="O287" s="204"/>
      <c r="P287" s="204"/>
      <c r="Q287" s="204">
        <f>+Q280-Q282</f>
        <v>0</v>
      </c>
      <c r="R287" s="402">
        <f>+SUM(R282:R286)</f>
        <v>48945683.400000006</v>
      </c>
      <c r="S287" s="285"/>
      <c r="T287" s="13"/>
      <c r="U287" s="369"/>
      <c r="V287" s="370"/>
      <c r="W287" s="375"/>
      <c r="X287" s="375"/>
      <c r="Y287" s="375"/>
      <c r="Z287" s="376"/>
      <c r="AA287" s="371"/>
      <c r="AB287" s="371"/>
      <c r="AC287" s="371"/>
      <c r="AD287" s="372"/>
      <c r="AE287" s="371"/>
      <c r="AF287" s="371"/>
      <c r="AG287" s="270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06"/>
      <c r="C288" s="233"/>
      <c r="D288" s="233"/>
      <c r="E288" s="113"/>
      <c r="F288" s="48"/>
      <c r="G288" s="49"/>
      <c r="H288" s="256"/>
      <c r="I288" s="116"/>
      <c r="J288" s="117"/>
      <c r="K288" s="117"/>
      <c r="L288" s="8"/>
      <c r="M288" s="403"/>
      <c r="N288" s="201"/>
      <c r="O288" s="202"/>
      <c r="P288" s="200"/>
      <c r="Q288" s="200"/>
      <c r="R288" s="52"/>
      <c r="S288" s="285"/>
      <c r="T288" s="13"/>
      <c r="U288" s="369"/>
      <c r="V288" s="370"/>
      <c r="W288" s="375"/>
      <c r="X288" s="375"/>
      <c r="Y288" s="375"/>
      <c r="Z288" s="376"/>
      <c r="AA288" s="371"/>
      <c r="AB288" s="371"/>
      <c r="AC288" s="371"/>
      <c r="AD288" s="372"/>
      <c r="AE288" s="371"/>
      <c r="AF288" s="371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06"/>
      <c r="C289" s="233"/>
      <c r="D289" s="233"/>
      <c r="E289" s="113"/>
      <c r="F289" s="48"/>
      <c r="G289" s="49"/>
      <c r="H289" s="256"/>
      <c r="I289" s="116"/>
      <c r="J289" s="117"/>
      <c r="K289" s="117"/>
      <c r="L289" s="8" t="s">
        <v>40</v>
      </c>
      <c r="M289" s="404">
        <f>+M280-M287</f>
        <v>0</v>
      </c>
      <c r="N289" s="404"/>
      <c r="O289" s="202"/>
      <c r="P289" s="200"/>
      <c r="Q289" s="200"/>
      <c r="R289" s="52"/>
      <c r="S289" s="285"/>
      <c r="T289" s="13"/>
      <c r="U289" s="369"/>
      <c r="V289" s="370"/>
      <c r="W289" s="375"/>
      <c r="X289" s="375"/>
      <c r="Y289" s="375"/>
      <c r="Z289" s="376"/>
      <c r="AA289" s="371"/>
      <c r="AB289" s="371"/>
      <c r="AC289" s="371"/>
      <c r="AD289" s="372"/>
      <c r="AE289" s="371"/>
      <c r="AF289" s="371"/>
      <c r="AG289" s="270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69"/>
      <c r="C290" s="375"/>
      <c r="D290" s="374"/>
      <c r="E290" s="374"/>
      <c r="F290" s="374"/>
      <c r="G290" s="414"/>
      <c r="H290" s="415"/>
      <c r="I290" s="374"/>
      <c r="J290" s="374"/>
      <c r="K290" s="374"/>
      <c r="L290" s="374"/>
      <c r="M290" s="396"/>
      <c r="N290" s="396"/>
      <c r="O290" s="396"/>
      <c r="P290" s="396"/>
      <c r="Q290" s="401"/>
      <c r="R290" s="405"/>
      <c r="S290" s="406"/>
      <c r="T290" s="13"/>
      <c r="U290" s="369"/>
      <c r="V290" s="370"/>
      <c r="W290" s="375"/>
      <c r="X290" s="375"/>
      <c r="Y290" s="375"/>
      <c r="Z290" s="376"/>
      <c r="AA290" s="371"/>
      <c r="AB290" s="371"/>
      <c r="AC290" s="371"/>
      <c r="AD290" s="372"/>
      <c r="AE290" s="371"/>
      <c r="AF290" s="371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69"/>
      <c r="C291" s="375"/>
      <c r="D291" s="374"/>
      <c r="E291" s="374"/>
      <c r="F291" s="374"/>
      <c r="G291" s="414"/>
      <c r="H291" s="318"/>
      <c r="I291" s="374"/>
      <c r="J291" s="374"/>
      <c r="K291" s="374"/>
      <c r="L291" s="374"/>
      <c r="M291" s="396"/>
      <c r="N291" s="396"/>
      <c r="O291" s="396">
        <f>+O296-R293</f>
        <v>0</v>
      </c>
      <c r="P291" s="396"/>
      <c r="Q291" s="97"/>
      <c r="R291" s="407">
        <f>+R288-O291</f>
        <v>0</v>
      </c>
      <c r="S291" s="94"/>
      <c r="T291" s="13"/>
      <c r="U291" s="320"/>
      <c r="V291" s="354"/>
      <c r="W291" s="355"/>
      <c r="X291" s="355"/>
      <c r="Y291" s="355"/>
      <c r="Z291" s="356"/>
      <c r="AA291" s="328"/>
      <c r="AB291" s="328"/>
      <c r="AC291" s="328"/>
      <c r="AD291" s="333"/>
      <c r="AE291" s="328"/>
      <c r="AF291" s="328"/>
      <c r="AG291" s="346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69"/>
      <c r="C292" s="375"/>
      <c r="D292" s="374"/>
      <c r="E292" s="374"/>
      <c r="F292" s="374"/>
      <c r="G292" s="414"/>
      <c r="H292" s="318"/>
      <c r="I292" s="374"/>
      <c r="J292" s="374"/>
      <c r="K292" s="374"/>
      <c r="L292" s="297"/>
      <c r="M292" s="396"/>
      <c r="N292" s="396"/>
      <c r="O292" s="396"/>
      <c r="P292" s="396"/>
      <c r="Q292" s="21"/>
      <c r="R292" s="408"/>
      <c r="S292" s="94"/>
      <c r="T292" s="13"/>
      <c r="U292" s="320"/>
      <c r="V292" s="354"/>
      <c r="W292" s="355"/>
      <c r="X292" s="355"/>
      <c r="Y292" s="355"/>
      <c r="Z292" s="356"/>
      <c r="AA292" s="328"/>
      <c r="AB292" s="328"/>
      <c r="AC292" s="328"/>
      <c r="AD292" s="333"/>
      <c r="AE292" s="328"/>
      <c r="AF292" s="328"/>
      <c r="AG292" s="346"/>
      <c r="AH292" s="347"/>
      <c r="AI292" s="363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69"/>
      <c r="C293" s="375"/>
      <c r="D293" s="374"/>
      <c r="E293" s="374"/>
      <c r="F293" s="374"/>
      <c r="G293" s="414"/>
      <c r="H293" s="415"/>
      <c r="I293" s="291"/>
      <c r="J293" s="291"/>
      <c r="K293" s="374"/>
      <c r="L293" s="416"/>
      <c r="M293" s="403"/>
      <c r="N293" s="396"/>
      <c r="O293" s="396"/>
      <c r="P293" s="409"/>
      <c r="Q293" s="50"/>
      <c r="R293" s="407">
        <f>SUM(Q293:Q418)</f>
        <v>0</v>
      </c>
      <c r="S293" s="97">
        <f>+R293+R356</f>
        <v>0</v>
      </c>
      <c r="T293" s="13"/>
      <c r="U293" s="369"/>
      <c r="V293" s="370"/>
      <c r="W293" s="375"/>
      <c r="X293" s="375"/>
      <c r="Y293" s="375"/>
      <c r="Z293" s="376"/>
      <c r="AA293" s="371"/>
      <c r="AB293" s="371"/>
      <c r="AC293" s="371"/>
      <c r="AD293" s="372"/>
      <c r="AE293" s="371"/>
      <c r="AF293" s="371"/>
      <c r="AG293" s="270"/>
      <c r="AH293" s="347"/>
      <c r="AI293" s="363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69"/>
      <c r="C294" s="375"/>
      <c r="D294" s="374"/>
      <c r="E294" s="374"/>
      <c r="F294" s="374"/>
      <c r="G294" s="414"/>
      <c r="H294" s="415"/>
      <c r="I294" s="291"/>
      <c r="J294" s="291"/>
      <c r="K294" s="374"/>
      <c r="L294" s="377"/>
      <c r="M294" s="416"/>
      <c r="N294" s="270"/>
      <c r="O294" s="270"/>
      <c r="P294" s="296"/>
      <c r="Q294" s="78"/>
      <c r="S294" s="319"/>
      <c r="T294" s="13"/>
      <c r="U294" s="369"/>
      <c r="V294" s="370"/>
      <c r="W294" s="375"/>
      <c r="X294" s="375"/>
      <c r="Y294" s="375"/>
      <c r="Z294" s="376"/>
      <c r="AA294" s="371"/>
      <c r="AB294" s="371"/>
      <c r="AC294" s="371"/>
      <c r="AD294" s="372"/>
      <c r="AE294" s="371"/>
      <c r="AF294" s="371"/>
      <c r="AG294" s="270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69"/>
      <c r="C295" s="375"/>
      <c r="D295" s="374"/>
      <c r="E295" s="374"/>
      <c r="F295" s="374"/>
      <c r="G295" s="414"/>
      <c r="H295" s="415"/>
      <c r="I295" s="291"/>
      <c r="J295" s="291"/>
      <c r="K295" s="374"/>
      <c r="L295" s="291"/>
      <c r="M295" s="291"/>
      <c r="N295" s="270"/>
      <c r="O295" s="270"/>
      <c r="P295" s="387"/>
      <c r="Q295" s="417"/>
      <c r="T295" s="13"/>
      <c r="U295" s="369"/>
      <c r="V295" s="370"/>
      <c r="W295" s="375"/>
      <c r="X295" s="375"/>
      <c r="Y295" s="375"/>
      <c r="Z295" s="376"/>
      <c r="AA295" s="371"/>
      <c r="AB295" s="371"/>
      <c r="AC295" s="371"/>
      <c r="AD295" s="372"/>
      <c r="AE295" s="371"/>
      <c r="AF295" s="371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69"/>
      <c r="C296" s="375"/>
      <c r="D296" s="374"/>
      <c r="E296" s="374"/>
      <c r="F296" s="374"/>
      <c r="G296" s="414"/>
      <c r="H296" s="415"/>
      <c r="I296" s="291"/>
      <c r="J296" s="291"/>
      <c r="L296" s="374"/>
      <c r="M296" s="296"/>
      <c r="N296" s="316"/>
      <c r="O296" s="367"/>
      <c r="P296" s="387"/>
      <c r="Q296" s="417"/>
      <c r="T296" s="13"/>
      <c r="U296" s="369"/>
      <c r="V296" s="370"/>
      <c r="W296" s="375"/>
      <c r="X296" s="375"/>
      <c r="Y296" s="375"/>
      <c r="Z296" s="376"/>
      <c r="AA296" s="371"/>
      <c r="AB296" s="371"/>
      <c r="AC296" s="371"/>
      <c r="AD296" s="372"/>
      <c r="AE296" s="371"/>
      <c r="AF296" s="371"/>
      <c r="AG296" s="270"/>
      <c r="AH296" s="347"/>
      <c r="AI296" s="363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69"/>
      <c r="C297" s="375"/>
      <c r="D297" s="374"/>
      <c r="E297" s="374"/>
      <c r="F297" s="374"/>
      <c r="G297" s="414"/>
      <c r="H297" s="415"/>
      <c r="I297" s="291"/>
      <c r="J297" s="291"/>
      <c r="L297" s="384"/>
      <c r="M297" s="296"/>
      <c r="N297" s="316"/>
      <c r="O297" s="270"/>
      <c r="P297" s="387"/>
      <c r="Q297" s="417"/>
      <c r="T297" s="13"/>
      <c r="U297" s="369"/>
      <c r="V297" s="370"/>
      <c r="W297" s="375"/>
      <c r="X297" s="375"/>
      <c r="Y297" s="375"/>
      <c r="Z297" s="376"/>
      <c r="AA297" s="371"/>
      <c r="AB297" s="371"/>
      <c r="AC297" s="371"/>
      <c r="AD297" s="372"/>
      <c r="AE297" s="371"/>
      <c r="AF297" s="371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9"/>
      <c r="C298" s="375"/>
      <c r="D298" s="374"/>
      <c r="E298" s="374"/>
      <c r="F298" s="374"/>
      <c r="G298" s="414"/>
      <c r="H298" s="415"/>
      <c r="I298" s="291"/>
      <c r="J298" s="291"/>
      <c r="L298" s="374"/>
      <c r="M298" s="296"/>
      <c r="N298" s="316"/>
      <c r="O298" s="270"/>
      <c r="P298" s="387"/>
      <c r="Q298" s="417"/>
      <c r="T298" s="13"/>
      <c r="U298" s="369"/>
      <c r="V298" s="370"/>
      <c r="W298" s="375"/>
      <c r="X298" s="375"/>
      <c r="Y298" s="375"/>
      <c r="Z298" s="376"/>
      <c r="AA298" s="371"/>
      <c r="AB298" s="371"/>
      <c r="AC298" s="371"/>
      <c r="AD298" s="372"/>
      <c r="AE298" s="371"/>
      <c r="AF298" s="371"/>
      <c r="AG298" s="270"/>
      <c r="AH298" s="347"/>
      <c r="AI298" s="36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9"/>
      <c r="C299" s="375"/>
      <c r="D299" s="374"/>
      <c r="E299" s="374"/>
      <c r="F299" s="374"/>
      <c r="G299" s="414"/>
      <c r="H299" s="415"/>
      <c r="I299" s="291"/>
      <c r="J299" s="291"/>
      <c r="L299" s="374"/>
      <c r="M299" s="296"/>
      <c r="N299" s="316"/>
      <c r="O299" s="270"/>
      <c r="P299" s="387"/>
      <c r="Q299" s="417"/>
      <c r="T299" s="13"/>
      <c r="U299" s="369"/>
      <c r="V299" s="370"/>
      <c r="W299" s="375"/>
      <c r="X299" s="375"/>
      <c r="Y299" s="375"/>
      <c r="Z299" s="376"/>
      <c r="AA299" s="371"/>
      <c r="AB299" s="371"/>
      <c r="AC299" s="371"/>
      <c r="AD299" s="372"/>
      <c r="AE299" s="371"/>
      <c r="AF299" s="371"/>
      <c r="AG299" s="270"/>
      <c r="AH299" s="347"/>
      <c r="AI299" s="36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9"/>
      <c r="C300" s="375"/>
      <c r="D300" s="374"/>
      <c r="E300" s="374"/>
      <c r="F300" s="374"/>
      <c r="G300" s="414"/>
      <c r="H300" s="415"/>
      <c r="I300" s="78"/>
      <c r="J300" s="291"/>
      <c r="L300" s="374"/>
      <c r="M300" s="296"/>
      <c r="N300" s="316"/>
      <c r="O300" s="270"/>
      <c r="P300" s="418"/>
      <c r="Q300" s="417"/>
      <c r="T300" s="13"/>
      <c r="U300" s="366"/>
      <c r="V300" s="354"/>
      <c r="W300" s="355"/>
      <c r="X300" s="355"/>
      <c r="Y300" s="355"/>
      <c r="Z300" s="356"/>
      <c r="AA300" s="328"/>
      <c r="AB300" s="328"/>
      <c r="AC300" s="328"/>
      <c r="AD300" s="333"/>
      <c r="AE300" s="328"/>
      <c r="AF300" s="328"/>
      <c r="AG300" s="346"/>
      <c r="AH300" s="347"/>
      <c r="AI300" s="36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9"/>
      <c r="C301" s="375"/>
      <c r="D301" s="374"/>
      <c r="E301" s="374"/>
      <c r="F301" s="374"/>
      <c r="G301" s="414"/>
      <c r="H301" s="415"/>
      <c r="I301" s="78"/>
      <c r="J301" s="291"/>
      <c r="L301" s="374"/>
      <c r="M301" s="296"/>
      <c r="N301" s="316"/>
      <c r="O301" s="270"/>
      <c r="P301" s="387"/>
      <c r="Q301" s="417"/>
      <c r="T301" s="13"/>
      <c r="U301" s="320"/>
      <c r="V301" s="354"/>
      <c r="W301" s="355"/>
      <c r="X301" s="355"/>
      <c r="Y301" s="355"/>
      <c r="Z301" s="356"/>
      <c r="AA301" s="328"/>
      <c r="AB301" s="328"/>
      <c r="AC301" s="328"/>
      <c r="AD301" s="333"/>
      <c r="AE301" s="328"/>
      <c r="AF301" s="328"/>
      <c r="AG301" s="346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9"/>
      <c r="C302" s="375"/>
      <c r="D302" s="374"/>
      <c r="E302" s="374"/>
      <c r="F302" s="374"/>
      <c r="G302" s="414"/>
      <c r="H302" s="415"/>
      <c r="I302" s="78"/>
      <c r="J302" s="291"/>
      <c r="L302" s="374"/>
      <c r="M302" s="296"/>
      <c r="N302" s="316"/>
      <c r="O302" s="270"/>
      <c r="P302" s="387"/>
      <c r="Q302" s="417"/>
      <c r="T302" s="13"/>
      <c r="U302" s="320"/>
      <c r="V302" s="354"/>
      <c r="W302" s="355"/>
      <c r="X302" s="355"/>
      <c r="Y302" s="355"/>
      <c r="Z302" s="356"/>
      <c r="AA302" s="328"/>
      <c r="AB302" s="328"/>
      <c r="AC302" s="328"/>
      <c r="AD302" s="333"/>
      <c r="AE302" s="328"/>
      <c r="AF302" s="328"/>
      <c r="AG302" s="346"/>
      <c r="AH302" s="347"/>
      <c r="AI302" s="36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9"/>
      <c r="C303" s="375"/>
      <c r="D303" s="374"/>
      <c r="E303" s="374"/>
      <c r="F303" s="374"/>
      <c r="G303" s="414"/>
      <c r="H303" s="415"/>
      <c r="I303" s="78"/>
      <c r="J303" s="291"/>
      <c r="L303" s="374"/>
      <c r="M303" s="296"/>
      <c r="N303" s="316"/>
      <c r="O303" s="377"/>
      <c r="P303" s="388"/>
      <c r="Q303" s="417"/>
      <c r="T303" s="13"/>
      <c r="U303" s="366"/>
      <c r="V303" s="354"/>
      <c r="W303" s="359"/>
      <c r="X303" s="355"/>
      <c r="Y303" s="355"/>
      <c r="Z303" s="356"/>
      <c r="AA303" s="328"/>
      <c r="AB303" s="328"/>
      <c r="AC303" s="328"/>
      <c r="AD303" s="333"/>
      <c r="AE303" s="328"/>
      <c r="AF303" s="328"/>
      <c r="AG303" s="346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7"/>
      <c r="C304" s="375"/>
      <c r="D304" s="266"/>
      <c r="E304" s="267"/>
      <c r="F304" s="93"/>
      <c r="G304" s="268"/>
      <c r="H304" s="269"/>
      <c r="I304" s="78"/>
      <c r="J304" s="271"/>
      <c r="L304" s="382"/>
      <c r="M304" s="296"/>
      <c r="N304" s="316"/>
      <c r="O304" s="419"/>
      <c r="P304" s="387"/>
      <c r="Q304" s="417"/>
      <c r="T304" s="13"/>
      <c r="U304" s="366"/>
      <c r="V304" s="354"/>
      <c r="W304" s="355"/>
      <c r="X304" s="355"/>
      <c r="Y304" s="355"/>
      <c r="Z304" s="356"/>
      <c r="AA304" s="328"/>
      <c r="AB304" s="328"/>
      <c r="AC304" s="328"/>
      <c r="AD304" s="333"/>
      <c r="AE304" s="328"/>
      <c r="AF304" s="328"/>
      <c r="AG304" s="346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7"/>
      <c r="C305" s="375"/>
      <c r="D305" s="266"/>
      <c r="E305" s="267"/>
      <c r="F305" s="93"/>
      <c r="G305" s="268"/>
      <c r="H305" s="269"/>
      <c r="I305" s="78"/>
      <c r="J305" s="271"/>
      <c r="L305" s="271"/>
      <c r="M305" s="296"/>
      <c r="N305" s="316"/>
      <c r="O305" s="419"/>
      <c r="P305" s="387"/>
      <c r="Q305" s="417"/>
      <c r="T305" s="13"/>
      <c r="U305" s="320"/>
      <c r="V305" s="354"/>
      <c r="W305" s="355"/>
      <c r="X305" s="355"/>
      <c r="Y305" s="355"/>
      <c r="Z305" s="356"/>
      <c r="AA305" s="328"/>
      <c r="AB305" s="328"/>
      <c r="AC305" s="328"/>
      <c r="AD305" s="333"/>
      <c r="AE305" s="328"/>
      <c r="AF305" s="328"/>
      <c r="AG305" s="346"/>
      <c r="AH305" s="272"/>
      <c r="AI305" s="31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7"/>
      <c r="C306" s="375"/>
      <c r="D306" s="266"/>
      <c r="E306" s="267"/>
      <c r="F306" s="93"/>
      <c r="G306" s="268"/>
      <c r="H306" s="269"/>
      <c r="I306" s="78"/>
      <c r="J306" s="271"/>
      <c r="L306" s="271"/>
      <c r="M306" s="296"/>
      <c r="N306" s="316"/>
      <c r="O306" s="419"/>
      <c r="P306" s="387"/>
      <c r="Q306" s="417"/>
      <c r="T306" s="13"/>
      <c r="U306" s="357"/>
      <c r="V306" s="354"/>
      <c r="W306" s="355"/>
      <c r="X306" s="330"/>
      <c r="Y306" s="354"/>
      <c r="Z306" s="356"/>
      <c r="AA306" s="328"/>
      <c r="AB306" s="328"/>
      <c r="AC306" s="346"/>
      <c r="AD306" s="333"/>
      <c r="AE306" s="346"/>
      <c r="AF306" s="346"/>
      <c r="AG306" s="346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7"/>
      <c r="C307" s="375"/>
      <c r="D307" s="266"/>
      <c r="E307" s="267"/>
      <c r="F307" s="93"/>
      <c r="G307" s="268"/>
      <c r="H307" s="269"/>
      <c r="I307" s="78"/>
      <c r="J307" s="271"/>
      <c r="L307" s="382"/>
      <c r="M307" s="296"/>
      <c r="N307" s="316"/>
      <c r="O307" s="377"/>
      <c r="P307" s="387"/>
      <c r="Q307" s="417"/>
      <c r="T307" s="13"/>
      <c r="U307" s="370"/>
      <c r="V307" s="370"/>
      <c r="W307" s="375"/>
      <c r="X307" s="374"/>
      <c r="Y307" s="370"/>
      <c r="Z307" s="376"/>
      <c r="AA307" s="371"/>
      <c r="AB307" s="371"/>
      <c r="AC307" s="270"/>
      <c r="AD307" s="372"/>
      <c r="AE307" s="270"/>
      <c r="AF307" s="270"/>
      <c r="AG307" s="270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69"/>
      <c r="C308" s="375"/>
      <c r="D308" s="374"/>
      <c r="E308" s="374"/>
      <c r="F308" s="374"/>
      <c r="G308" s="414"/>
      <c r="H308" s="415"/>
      <c r="I308" s="78"/>
      <c r="J308" s="291"/>
      <c r="L308" s="271"/>
      <c r="M308" s="296"/>
      <c r="N308" s="316"/>
      <c r="O308" s="377"/>
      <c r="P308" s="388"/>
      <c r="Q308" s="417"/>
      <c r="T308" s="13"/>
      <c r="U308" s="370"/>
      <c r="V308" s="370"/>
      <c r="W308" s="375"/>
      <c r="X308" s="374"/>
      <c r="Y308" s="370"/>
      <c r="Z308" s="376"/>
      <c r="AA308" s="371"/>
      <c r="AB308" s="371"/>
      <c r="AC308" s="270"/>
      <c r="AD308" s="372"/>
      <c r="AE308" s="270"/>
      <c r="AF308" s="270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L309" s="94"/>
      <c r="M309" s="296"/>
      <c r="N309" s="316"/>
      <c r="O309" s="377"/>
      <c r="P309" s="388"/>
      <c r="Q309" s="417"/>
      <c r="T309" s="13"/>
      <c r="U309" s="370"/>
      <c r="V309" s="370"/>
      <c r="W309" s="375"/>
      <c r="X309" s="374"/>
      <c r="Y309" s="370"/>
      <c r="Z309" s="376"/>
      <c r="AA309" s="371"/>
      <c r="AB309" s="371"/>
      <c r="AC309" s="270"/>
      <c r="AD309" s="372"/>
      <c r="AE309" s="270"/>
      <c r="AF309" s="270"/>
      <c r="AG309" s="270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L310" s="94"/>
      <c r="M310" s="296"/>
      <c r="N310" s="316"/>
      <c r="O310" s="377"/>
      <c r="P310" s="387"/>
      <c r="Q310" s="417"/>
      <c r="T310" s="13"/>
      <c r="U310" s="370"/>
      <c r="V310" s="370"/>
      <c r="W310" s="375"/>
      <c r="X310" s="374"/>
      <c r="Y310" s="370"/>
      <c r="Z310" s="376"/>
      <c r="AA310" s="371"/>
      <c r="AB310" s="371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L311" s="117"/>
      <c r="M311" s="296"/>
      <c r="N311" s="316"/>
      <c r="O311" s="377"/>
      <c r="P311" s="387"/>
      <c r="Q311" s="417"/>
      <c r="T311" s="13"/>
      <c r="U311" s="370"/>
      <c r="V311" s="370"/>
      <c r="W311" s="375"/>
      <c r="X311" s="374"/>
      <c r="Y311" s="370"/>
      <c r="Z311" s="376"/>
      <c r="AA311" s="371"/>
      <c r="AB311" s="371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94"/>
      <c r="M312" s="296"/>
      <c r="N312" s="316"/>
      <c r="O312" s="377"/>
      <c r="P312" s="388"/>
      <c r="Q312" s="417"/>
      <c r="T312" s="13"/>
      <c r="U312" s="370"/>
      <c r="V312" s="370"/>
      <c r="W312" s="375"/>
      <c r="X312" s="374"/>
      <c r="Y312" s="370"/>
      <c r="Z312" s="376"/>
      <c r="AA312" s="371"/>
      <c r="AB312" s="371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6"/>
      <c r="O313" s="296"/>
      <c r="P313" s="387"/>
      <c r="Q313" s="417"/>
      <c r="T313" s="13"/>
      <c r="U313" s="370"/>
      <c r="V313" s="370"/>
      <c r="W313" s="375"/>
      <c r="X313" s="374"/>
      <c r="Y313" s="370"/>
      <c r="Z313" s="376"/>
      <c r="AA313" s="371"/>
      <c r="AB313" s="371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94"/>
      <c r="M314" s="296"/>
      <c r="N314" s="316"/>
      <c r="O314" s="296"/>
      <c r="P314" s="388"/>
      <c r="Q314" s="417"/>
      <c r="T314" s="13"/>
      <c r="U314" s="370"/>
      <c r="V314" s="370"/>
      <c r="W314" s="375"/>
      <c r="X314" s="374"/>
      <c r="Y314" s="370"/>
      <c r="Z314" s="376"/>
      <c r="AA314" s="371"/>
      <c r="AB314" s="371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6"/>
      <c r="O315" s="377"/>
      <c r="P315" s="387"/>
      <c r="Q315" s="417"/>
      <c r="T315" s="13"/>
      <c r="U315" s="370"/>
      <c r="V315" s="370"/>
      <c r="W315" s="375"/>
      <c r="X315" s="374"/>
      <c r="Y315" s="370"/>
      <c r="Z315" s="376"/>
      <c r="AA315" s="371"/>
      <c r="AB315" s="371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385"/>
      <c r="M316" s="296"/>
      <c r="N316" s="316"/>
      <c r="O316" s="377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371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94"/>
      <c r="M317" s="296"/>
      <c r="N317" s="316"/>
      <c r="O317" s="377"/>
      <c r="P317" s="387"/>
      <c r="Q317" s="417"/>
      <c r="T317" s="13"/>
      <c r="U317" s="370"/>
      <c r="V317" s="370"/>
      <c r="W317" s="375"/>
      <c r="X317" s="374"/>
      <c r="Y317" s="370"/>
      <c r="Z317" s="376"/>
      <c r="AA317" s="371"/>
      <c r="AB317" s="371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6"/>
      <c r="O318" s="377"/>
      <c r="P318" s="387"/>
      <c r="Q318" s="417"/>
      <c r="T318" s="13"/>
      <c r="U318" s="370"/>
      <c r="V318" s="370"/>
      <c r="W318" s="375"/>
      <c r="X318" s="374"/>
      <c r="Y318" s="370"/>
      <c r="Z318" s="376"/>
      <c r="AA318" s="371"/>
      <c r="AB318" s="371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94"/>
      <c r="M319" s="296"/>
      <c r="N319" s="316"/>
      <c r="O319" s="377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371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O320" s="296"/>
      <c r="P320" s="387"/>
      <c r="Q320" s="417"/>
      <c r="T320" s="13"/>
      <c r="U320" s="370"/>
      <c r="V320" s="370"/>
      <c r="W320" s="375"/>
      <c r="X320" s="374"/>
      <c r="Y320" s="370"/>
      <c r="Z320" s="376"/>
      <c r="AA320" s="371"/>
      <c r="AB320" s="371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O321" s="296"/>
      <c r="P321" s="387"/>
      <c r="Q321" s="417"/>
      <c r="T321" s="13"/>
      <c r="U321" s="370"/>
      <c r="V321" s="370"/>
      <c r="W321" s="375"/>
      <c r="X321" s="374"/>
      <c r="Y321" s="370"/>
      <c r="Z321" s="376"/>
      <c r="AA321" s="371"/>
      <c r="AB321" s="371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O322" s="296"/>
      <c r="P322" s="387"/>
      <c r="Q322" s="417"/>
      <c r="T322" s="13"/>
      <c r="U322" s="370"/>
      <c r="V322" s="370"/>
      <c r="W322" s="375"/>
      <c r="X322" s="374"/>
      <c r="Y322" s="370"/>
      <c r="Z322" s="376"/>
      <c r="AA322" s="371"/>
      <c r="AB322" s="371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296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371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362"/>
      <c r="P324" s="387"/>
      <c r="Q324" s="417"/>
      <c r="T324" s="13"/>
      <c r="U324" s="370"/>
      <c r="V324" s="370"/>
      <c r="W324" s="375"/>
      <c r="X324" s="374"/>
      <c r="Y324" s="370"/>
      <c r="Z324" s="376"/>
      <c r="AA324" s="371"/>
      <c r="AB324" s="371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296"/>
      <c r="P325" s="387"/>
      <c r="Q325" s="417"/>
      <c r="T325" s="13"/>
      <c r="U325" s="370"/>
      <c r="V325" s="370"/>
      <c r="W325" s="375"/>
      <c r="X325" s="374"/>
      <c r="Y325" s="370"/>
      <c r="Z325" s="376"/>
      <c r="AA325" s="371"/>
      <c r="AB325" s="371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7"/>
      <c r="Q326" s="417"/>
      <c r="T326" s="13"/>
      <c r="U326" s="370"/>
      <c r="V326" s="370"/>
      <c r="W326" s="375"/>
      <c r="X326" s="374"/>
      <c r="Y326" s="370"/>
      <c r="Z326" s="376"/>
      <c r="AA326" s="371"/>
      <c r="AB326" s="371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296"/>
      <c r="P327" s="387"/>
      <c r="Q327" s="417"/>
      <c r="T327" s="13"/>
      <c r="U327" s="370"/>
      <c r="V327" s="370"/>
      <c r="W327" s="375"/>
      <c r="X327" s="374"/>
      <c r="Y327" s="370"/>
      <c r="Z327" s="376"/>
      <c r="AA327" s="371"/>
      <c r="AB327" s="371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8"/>
      <c r="Q328" s="417"/>
      <c r="T328" s="13"/>
      <c r="U328" s="370"/>
      <c r="V328" s="370"/>
      <c r="W328" s="375"/>
      <c r="X328" s="374"/>
      <c r="Y328" s="370"/>
      <c r="Z328" s="376"/>
      <c r="AA328" s="371"/>
      <c r="AB328" s="371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6"/>
      <c r="Q329" s="420"/>
      <c r="T329" s="13"/>
      <c r="U329" s="370"/>
      <c r="V329" s="370"/>
      <c r="W329" s="375"/>
      <c r="X329" s="374"/>
      <c r="Y329" s="370"/>
      <c r="Z329" s="376"/>
      <c r="AA329" s="371"/>
      <c r="AB329" s="371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7"/>
      <c r="Q330" s="417"/>
      <c r="T330" s="13"/>
      <c r="U330" s="370"/>
      <c r="V330" s="370"/>
      <c r="W330" s="375"/>
      <c r="X330" s="374"/>
      <c r="Y330" s="370"/>
      <c r="Z330" s="376"/>
      <c r="AA330" s="371"/>
      <c r="AB330" s="371"/>
      <c r="AC330" s="270"/>
      <c r="AD330" s="372"/>
      <c r="AE330" s="270"/>
      <c r="AF330" s="270"/>
      <c r="AG330" s="270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7"/>
      <c r="Q331" s="417"/>
      <c r="T331" s="13"/>
      <c r="U331" s="370"/>
      <c r="V331" s="370"/>
      <c r="W331" s="375"/>
      <c r="X331" s="374"/>
      <c r="Y331" s="370"/>
      <c r="Z331" s="376"/>
      <c r="AA331" s="371"/>
      <c r="AB331" s="371"/>
      <c r="AC331" s="270"/>
      <c r="AD331" s="372"/>
      <c r="AE331" s="270"/>
      <c r="AF331" s="270"/>
      <c r="AG331" s="270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7"/>
      <c r="Q332" s="417"/>
      <c r="T332" s="13"/>
      <c r="U332" s="370"/>
      <c r="V332" s="370"/>
      <c r="W332" s="375"/>
      <c r="X332" s="374"/>
      <c r="Y332" s="370"/>
      <c r="Z332" s="376"/>
      <c r="AA332" s="371"/>
      <c r="AB332" s="371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7"/>
      <c r="Q333" s="417"/>
      <c r="T333" s="13"/>
      <c r="U333" s="370"/>
      <c r="V333" s="370"/>
      <c r="W333" s="375"/>
      <c r="X333" s="374"/>
      <c r="Y333" s="370"/>
      <c r="Z333" s="376"/>
      <c r="AA333" s="371"/>
      <c r="AB333" s="371"/>
      <c r="AC333" s="270"/>
      <c r="AD333" s="372"/>
      <c r="AE333" s="270"/>
      <c r="AF333" s="270"/>
      <c r="AG333" s="270"/>
      <c r="AH333" s="272"/>
      <c r="AI333" s="313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7"/>
      <c r="Q334" s="417"/>
      <c r="T334" s="13"/>
      <c r="U334" s="370"/>
      <c r="V334" s="370"/>
      <c r="W334" s="375"/>
      <c r="X334" s="374"/>
      <c r="Y334" s="370"/>
      <c r="Z334" s="376"/>
      <c r="AA334" s="371"/>
      <c r="AB334" s="371"/>
      <c r="AC334" s="270"/>
      <c r="AD334" s="372"/>
      <c r="AE334" s="270"/>
      <c r="AF334" s="270"/>
      <c r="AG334" s="270"/>
      <c r="AH334" s="272"/>
      <c r="AI334" s="313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8"/>
      <c r="Q335" s="417"/>
      <c r="T335" s="13"/>
      <c r="U335" s="370"/>
      <c r="V335" s="370"/>
      <c r="W335" s="375"/>
      <c r="X335" s="374"/>
      <c r="Y335" s="370"/>
      <c r="Z335" s="376"/>
      <c r="AA335" s="371"/>
      <c r="AB335" s="371"/>
      <c r="AC335" s="270"/>
      <c r="AD335" s="372"/>
      <c r="AE335" s="270"/>
      <c r="AF335" s="270"/>
      <c r="AG335" s="270"/>
      <c r="AH335" s="272"/>
      <c r="AI335" s="313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7"/>
      <c r="Q336" s="417"/>
      <c r="T336" s="13"/>
      <c r="U336" s="370"/>
      <c r="V336" s="370"/>
      <c r="W336" s="375"/>
      <c r="X336" s="374"/>
      <c r="Y336" s="370"/>
      <c r="Z336" s="376"/>
      <c r="AA336" s="371"/>
      <c r="AB336" s="371"/>
      <c r="AC336" s="270"/>
      <c r="AD336" s="372"/>
      <c r="AE336" s="270"/>
      <c r="AF336" s="270"/>
      <c r="AG336" s="270"/>
      <c r="AH336" s="272"/>
      <c r="AI336" s="313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7"/>
      <c r="Q337" s="417"/>
      <c r="T337" s="13"/>
      <c r="U337" s="370"/>
      <c r="V337" s="370"/>
      <c r="W337" s="375"/>
      <c r="X337" s="374"/>
      <c r="Y337" s="370"/>
      <c r="Z337" s="376"/>
      <c r="AA337" s="371"/>
      <c r="AB337" s="371"/>
      <c r="AC337" s="270"/>
      <c r="AD337" s="372"/>
      <c r="AE337" s="270"/>
      <c r="AF337" s="270"/>
      <c r="AG337" s="270"/>
      <c r="AH337" s="272"/>
      <c r="AI337" s="313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7"/>
      <c r="Q338" s="417"/>
      <c r="T338" s="13"/>
      <c r="U338" s="370"/>
      <c r="V338" s="370"/>
      <c r="W338" s="375"/>
      <c r="X338" s="374"/>
      <c r="Y338" s="370"/>
      <c r="Z338" s="376"/>
      <c r="AA338" s="371"/>
      <c r="AB338" s="371"/>
      <c r="AC338" s="270"/>
      <c r="AD338" s="372"/>
      <c r="AE338" s="270"/>
      <c r="AF338" s="270"/>
      <c r="AG338" s="270"/>
      <c r="AH338" s="272"/>
      <c r="AI338" s="313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7"/>
      <c r="Q339" s="417"/>
      <c r="T339" s="13"/>
      <c r="U339" s="370"/>
      <c r="V339" s="370"/>
      <c r="W339" s="375"/>
      <c r="X339" s="374"/>
      <c r="Y339" s="370"/>
      <c r="Z339" s="376"/>
      <c r="AA339" s="371"/>
      <c r="AB339" s="371"/>
      <c r="AC339" s="270"/>
      <c r="AD339" s="372"/>
      <c r="AE339" s="270"/>
      <c r="AF339" s="270"/>
      <c r="AG339" s="270"/>
      <c r="AH339" s="272"/>
      <c r="AI339" s="313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387"/>
      <c r="Q340" s="417"/>
      <c r="T340" s="13"/>
      <c r="U340" s="370"/>
      <c r="V340" s="370"/>
      <c r="W340" s="375"/>
      <c r="X340" s="374"/>
      <c r="Y340" s="370"/>
      <c r="Z340" s="376"/>
      <c r="AA340" s="371"/>
      <c r="AB340" s="371"/>
      <c r="AC340" s="270"/>
      <c r="AD340" s="372"/>
      <c r="AE340" s="270"/>
      <c r="AF340" s="270"/>
      <c r="AG340" s="270"/>
      <c r="AH340" s="272"/>
      <c r="AI340" s="313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387"/>
      <c r="Q341" s="417"/>
      <c r="T341" s="13"/>
      <c r="U341" s="370"/>
      <c r="V341" s="370"/>
      <c r="W341" s="375"/>
      <c r="X341" s="374"/>
      <c r="Y341" s="370"/>
      <c r="Z341" s="376"/>
      <c r="AA341" s="371"/>
      <c r="AB341" s="371"/>
      <c r="AC341" s="270"/>
      <c r="AD341" s="372"/>
      <c r="AE341" s="270"/>
      <c r="AF341" s="270"/>
      <c r="AG341" s="270"/>
      <c r="AH341" s="272"/>
      <c r="AI341" s="313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388"/>
      <c r="Q342" s="417"/>
      <c r="T342" s="13"/>
      <c r="U342" s="370"/>
      <c r="V342" s="370"/>
      <c r="W342" s="375"/>
      <c r="X342" s="374"/>
      <c r="Y342" s="370"/>
      <c r="Z342" s="376"/>
      <c r="AA342" s="371"/>
      <c r="AB342" s="371"/>
      <c r="AC342" s="270"/>
      <c r="AD342" s="372"/>
      <c r="AE342" s="270"/>
      <c r="AF342" s="270"/>
      <c r="AG342" s="270"/>
      <c r="AH342" s="272"/>
      <c r="AI342" s="313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316"/>
      <c r="R343" s="362"/>
      <c r="S343" s="291"/>
      <c r="T343" s="13"/>
      <c r="U343" s="370"/>
      <c r="V343" s="370"/>
      <c r="W343" s="375"/>
      <c r="X343" s="374"/>
      <c r="Y343" s="370"/>
      <c r="Z343" s="376"/>
      <c r="AA343" s="371"/>
      <c r="AB343" s="371"/>
      <c r="AC343" s="270"/>
      <c r="AD343" s="372"/>
      <c r="AE343" s="270"/>
      <c r="AF343" s="270"/>
      <c r="AG343" s="270"/>
      <c r="AH343" s="272"/>
      <c r="AI343" s="313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21"/>
      <c r="R344" s="362"/>
      <c r="S344" s="291"/>
      <c r="T344" s="13"/>
      <c r="U344" s="370"/>
      <c r="V344" s="370"/>
      <c r="W344" s="375"/>
      <c r="X344" s="374"/>
      <c r="Y344" s="370"/>
      <c r="Z344" s="376"/>
      <c r="AA344" s="371"/>
      <c r="AB344" s="371"/>
      <c r="AC344" s="270"/>
      <c r="AD344" s="372"/>
      <c r="AE344" s="270"/>
      <c r="AF344" s="270"/>
      <c r="AG344" s="270"/>
      <c r="AH344" s="272"/>
      <c r="AI344" s="313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21"/>
      <c r="R345" s="362"/>
      <c r="S345" s="291"/>
      <c r="T345" s="13"/>
      <c r="U345" s="370"/>
      <c r="V345" s="370"/>
      <c r="W345" s="375"/>
      <c r="X345" s="374"/>
      <c r="Y345" s="370"/>
      <c r="Z345" s="376"/>
      <c r="AA345" s="371"/>
      <c r="AB345" s="371"/>
      <c r="AC345" s="270"/>
      <c r="AD345" s="372"/>
      <c r="AE345" s="270"/>
      <c r="AF345" s="270"/>
      <c r="AG345" s="270"/>
      <c r="AH345" s="272"/>
      <c r="AI345" s="313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21"/>
      <c r="R346" s="362"/>
      <c r="S346" s="291"/>
      <c r="T346" s="13"/>
      <c r="U346" s="370"/>
      <c r="V346" s="370"/>
      <c r="W346" s="375"/>
      <c r="X346" s="374"/>
      <c r="Y346" s="370"/>
      <c r="Z346" s="376"/>
      <c r="AA346" s="371"/>
      <c r="AB346" s="371"/>
      <c r="AC346" s="270"/>
      <c r="AD346" s="372"/>
      <c r="AE346" s="270"/>
      <c r="AF346" s="270"/>
      <c r="AG346" s="270"/>
      <c r="AH346" s="272"/>
      <c r="AI346" s="313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21"/>
      <c r="R347" s="383"/>
      <c r="S347" s="21"/>
      <c r="T347" s="13"/>
      <c r="U347" s="370"/>
      <c r="V347" s="370"/>
      <c r="W347" s="375"/>
      <c r="X347" s="374"/>
      <c r="Y347" s="370"/>
      <c r="Z347" s="376"/>
      <c r="AA347" s="371"/>
      <c r="AB347" s="371"/>
      <c r="AC347" s="270"/>
      <c r="AD347" s="372"/>
      <c r="AE347" s="270"/>
      <c r="AF347" s="270"/>
      <c r="AG347" s="270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21"/>
      <c r="R348" s="383"/>
      <c r="S348" s="21"/>
      <c r="T348" s="13"/>
      <c r="U348" s="354"/>
      <c r="V348" s="354"/>
      <c r="W348" s="355"/>
      <c r="X348" s="330"/>
      <c r="Y348" s="354"/>
      <c r="Z348" s="356"/>
      <c r="AA348" s="328"/>
      <c r="AB348" s="328"/>
      <c r="AC348" s="346"/>
      <c r="AD348" s="333"/>
      <c r="AE348" s="346"/>
      <c r="AF348" s="346"/>
      <c r="AG348" s="346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O349" s="97"/>
      <c r="P349" s="296"/>
      <c r="Q349" s="421"/>
      <c r="R349" s="383"/>
      <c r="S349" s="21"/>
      <c r="T349" s="13"/>
      <c r="U349" s="354"/>
      <c r="V349" s="354"/>
      <c r="W349" s="355"/>
      <c r="X349" s="330"/>
      <c r="Y349" s="354"/>
      <c r="Z349" s="356"/>
      <c r="AA349" s="328"/>
      <c r="AB349" s="328"/>
      <c r="AC349" s="346"/>
      <c r="AD349" s="333"/>
      <c r="AE349" s="346"/>
      <c r="AF349" s="346"/>
      <c r="AG349" s="346"/>
      <c r="AH349" s="272"/>
      <c r="AI349" s="313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O350" s="97"/>
      <c r="P350" s="296"/>
      <c r="Q350" s="421"/>
      <c r="R350" s="383"/>
      <c r="S350" s="21"/>
      <c r="T350" s="13"/>
      <c r="U350" s="381"/>
      <c r="V350" s="381"/>
      <c r="W350" s="375"/>
      <c r="X350" s="374"/>
      <c r="Y350" s="370"/>
      <c r="Z350" s="376"/>
      <c r="AA350" s="371"/>
      <c r="AB350" s="371"/>
      <c r="AC350" s="270"/>
      <c r="AD350" s="372"/>
      <c r="AE350" s="270"/>
      <c r="AF350" s="270"/>
      <c r="AG350" s="270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21"/>
      <c r="R351" s="383"/>
      <c r="S351" s="21"/>
      <c r="T351" s="13"/>
      <c r="U351" s="381"/>
      <c r="V351" s="381"/>
      <c r="W351" s="375"/>
      <c r="X351" s="374"/>
      <c r="Y351" s="370"/>
      <c r="Z351" s="376"/>
      <c r="AA351" s="371"/>
      <c r="AB351" s="371"/>
      <c r="AC351" s="270"/>
      <c r="AD351" s="372"/>
      <c r="AE351" s="270"/>
      <c r="AF351" s="270"/>
      <c r="AG351" s="270"/>
      <c r="AH351" s="272"/>
      <c r="AI351" s="389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21"/>
      <c r="R352" s="383"/>
      <c r="S352" s="21"/>
      <c r="T352" s="13"/>
      <c r="U352" s="381"/>
      <c r="V352" s="381"/>
      <c r="W352" s="375"/>
      <c r="X352" s="374"/>
      <c r="Y352" s="370"/>
      <c r="Z352" s="376"/>
      <c r="AA352" s="371"/>
      <c r="AB352" s="371"/>
      <c r="AC352" s="270"/>
      <c r="AD352" s="372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371"/>
      <c r="AC353" s="270"/>
      <c r="AD353" s="372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371"/>
      <c r="AC354" s="270"/>
      <c r="AD354" s="372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O355" s="97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371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371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371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371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371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21"/>
      <c r="R360" s="383"/>
      <c r="S360" s="1"/>
      <c r="T360" s="13"/>
      <c r="U360" s="381"/>
      <c r="V360" s="381"/>
      <c r="W360" s="375"/>
      <c r="X360" s="374"/>
      <c r="Y360" s="370"/>
      <c r="Z360" s="376"/>
      <c r="AA360" s="371"/>
      <c r="AB360" s="371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371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371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371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371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371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371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371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371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371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371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371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21"/>
      <c r="R372" s="383"/>
      <c r="S372" s="21"/>
      <c r="T372" s="13"/>
      <c r="U372" s="381"/>
      <c r="V372" s="381"/>
      <c r="W372" s="375"/>
      <c r="X372" s="374"/>
      <c r="Y372" s="370"/>
      <c r="Z372" s="376"/>
      <c r="AA372" s="371"/>
      <c r="AB372" s="371"/>
      <c r="AC372" s="270"/>
      <c r="AD372" s="372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21"/>
      <c r="R373" s="383"/>
      <c r="S373" s="21"/>
      <c r="T373" s="13"/>
      <c r="U373" s="381"/>
      <c r="V373" s="381"/>
      <c r="W373" s="375"/>
      <c r="X373" s="374"/>
      <c r="Y373" s="370"/>
      <c r="Z373" s="376"/>
      <c r="AA373" s="371"/>
      <c r="AB373" s="371"/>
      <c r="AC373" s="270"/>
      <c r="AD373" s="372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21"/>
      <c r="R374" s="383"/>
      <c r="S374" s="21"/>
      <c r="T374" s="13"/>
      <c r="U374" s="381"/>
      <c r="V374" s="381"/>
      <c r="W374" s="375"/>
      <c r="X374" s="374"/>
      <c r="Y374" s="370"/>
      <c r="Z374" s="376"/>
      <c r="AA374" s="371"/>
      <c r="AB374" s="371"/>
      <c r="AC374" s="270"/>
      <c r="AD374" s="372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21"/>
      <c r="R375" s="383"/>
      <c r="S375" s="21"/>
      <c r="T375" s="13"/>
      <c r="U375" s="381"/>
      <c r="V375" s="381"/>
      <c r="W375" s="375"/>
      <c r="X375" s="374"/>
      <c r="Y375" s="370"/>
      <c r="Z375" s="376"/>
      <c r="AA375" s="371"/>
      <c r="AB375" s="371"/>
      <c r="AC375" s="270"/>
      <c r="AD375" s="372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296"/>
      <c r="Q376" s="421"/>
      <c r="R376" s="383"/>
      <c r="S376" s="21"/>
      <c r="T376" s="13"/>
      <c r="U376" s="381"/>
      <c r="V376" s="381"/>
      <c r="W376" s="375"/>
      <c r="X376" s="374"/>
      <c r="Y376" s="370"/>
      <c r="Z376" s="376"/>
      <c r="AA376" s="371"/>
      <c r="AB376" s="371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21"/>
      <c r="R377" s="383"/>
      <c r="S377" s="21"/>
      <c r="T377" s="13"/>
      <c r="U377" s="381"/>
      <c r="V377" s="381"/>
      <c r="W377" s="375"/>
      <c r="X377" s="374"/>
      <c r="Y377" s="370"/>
      <c r="Z377" s="376"/>
      <c r="AA377" s="371"/>
      <c r="AB377" s="371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21"/>
      <c r="R378" s="383"/>
      <c r="S378" s="21"/>
      <c r="T378" s="13"/>
      <c r="U378" s="381"/>
      <c r="V378" s="381"/>
      <c r="W378" s="375"/>
      <c r="X378" s="374"/>
      <c r="Y378" s="370"/>
      <c r="Z378" s="376"/>
      <c r="AA378" s="371"/>
      <c r="AB378" s="371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21"/>
      <c r="R379" s="383"/>
      <c r="S379" s="21"/>
      <c r="T379" s="13"/>
      <c r="U379" s="381"/>
      <c r="V379" s="381"/>
      <c r="W379" s="375"/>
      <c r="X379" s="374"/>
      <c r="Y379" s="370"/>
      <c r="Z379" s="376"/>
      <c r="AA379" s="371"/>
      <c r="AB379" s="371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21"/>
      <c r="R380" s="383"/>
      <c r="S380" s="21"/>
      <c r="T380" s="13"/>
      <c r="U380" s="381"/>
      <c r="V380" s="381"/>
      <c r="W380" s="375"/>
      <c r="X380" s="374"/>
      <c r="Y380" s="370"/>
      <c r="Z380" s="376"/>
      <c r="AA380" s="371"/>
      <c r="AB380" s="371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21"/>
      <c r="R381" s="383"/>
      <c r="S381" s="21"/>
      <c r="T381" s="13"/>
      <c r="U381" s="381"/>
      <c r="V381" s="381"/>
      <c r="W381" s="375"/>
      <c r="X381" s="374"/>
      <c r="Y381" s="370"/>
      <c r="Z381" s="376"/>
      <c r="AA381" s="371"/>
      <c r="AB381" s="371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81"/>
      <c r="W382" s="375"/>
      <c r="X382" s="374"/>
      <c r="Y382" s="370"/>
      <c r="Z382" s="376"/>
      <c r="AA382" s="371"/>
      <c r="AB382" s="371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81"/>
      <c r="W383" s="375"/>
      <c r="X383" s="374"/>
      <c r="Y383" s="370"/>
      <c r="Z383" s="376"/>
      <c r="AA383" s="371"/>
      <c r="AB383" s="371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81"/>
      <c r="W384" s="375"/>
      <c r="X384" s="374"/>
      <c r="Y384" s="370"/>
      <c r="Z384" s="376"/>
      <c r="AA384" s="371"/>
      <c r="AB384" s="371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81"/>
      <c r="W385" s="375"/>
      <c r="X385" s="374"/>
      <c r="Y385" s="370"/>
      <c r="Z385" s="376"/>
      <c r="AA385" s="371"/>
      <c r="AB385" s="371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81"/>
      <c r="W386" s="375"/>
      <c r="X386" s="374"/>
      <c r="Y386" s="370"/>
      <c r="Z386" s="376"/>
      <c r="AA386" s="371"/>
      <c r="AB386" s="371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81"/>
      <c r="W387" s="375"/>
      <c r="X387" s="374"/>
      <c r="Y387" s="370"/>
      <c r="Z387" s="376"/>
      <c r="AA387" s="371"/>
      <c r="AB387" s="371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81"/>
      <c r="W388" s="375"/>
      <c r="X388" s="374"/>
      <c r="Y388" s="370"/>
      <c r="Z388" s="376"/>
      <c r="AA388" s="371"/>
      <c r="AB388" s="371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81"/>
      <c r="W389" s="375"/>
      <c r="X389" s="374"/>
      <c r="Y389" s="370"/>
      <c r="Z389" s="376"/>
      <c r="AA389" s="371"/>
      <c r="AB389" s="371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21"/>
      <c r="W390" s="322"/>
      <c r="X390" s="322"/>
      <c r="Y390" s="322"/>
      <c r="Z390" s="323"/>
      <c r="AA390" s="371"/>
      <c r="AB390" s="371"/>
      <c r="AC390" s="371"/>
      <c r="AD390" s="372"/>
      <c r="AE390" s="371"/>
      <c r="AF390" s="371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21"/>
      <c r="W391" s="322"/>
      <c r="X391" s="322"/>
      <c r="Y391" s="322"/>
      <c r="Z391" s="323"/>
      <c r="AA391" s="371"/>
      <c r="AB391" s="371"/>
      <c r="AC391" s="371"/>
      <c r="AD391" s="372"/>
      <c r="AE391" s="371"/>
      <c r="AF391" s="371"/>
      <c r="AG391" s="270"/>
      <c r="AH391" s="272"/>
      <c r="AI391" s="1"/>
      <c r="AJ391" s="21"/>
      <c r="AK391" s="21"/>
      <c r="AL391" s="21"/>
      <c r="AM391" s="21"/>
      <c r="AN391" s="21"/>
      <c r="AO391" s="21"/>
      <c r="AQ391" s="21"/>
      <c r="AR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21"/>
      <c r="W392" s="322"/>
      <c r="X392" s="322"/>
      <c r="Y392" s="322"/>
      <c r="Z392" s="323"/>
      <c r="AA392" s="371"/>
      <c r="AB392" s="371"/>
      <c r="AC392" s="371"/>
      <c r="AD392" s="372"/>
      <c r="AE392" s="371"/>
      <c r="AF392" s="371"/>
      <c r="AG392" s="270"/>
      <c r="AH392" s="272"/>
      <c r="AI392" s="1"/>
      <c r="AJ392" s="21"/>
      <c r="AK392" s="21"/>
      <c r="AL392" s="21"/>
      <c r="AM392" s="21"/>
      <c r="AN392" s="21"/>
      <c r="AO392" s="21"/>
      <c r="AQ392" s="21"/>
      <c r="AR392" s="21"/>
    </row>
    <row r="393" spans="1:44" x14ac:dyDescent="0.2">
      <c r="A393" s="48"/>
      <c r="B393" s="306"/>
      <c r="C393" s="233"/>
      <c r="D393" s="233"/>
      <c r="P393" s="296"/>
      <c r="Q393" s="421"/>
      <c r="R393" s="383"/>
      <c r="U393" s="381"/>
      <c r="V393" s="321"/>
      <c r="W393" s="322"/>
      <c r="X393" s="322"/>
      <c r="Y393" s="322"/>
      <c r="Z393" s="323"/>
      <c r="AA393" s="371"/>
      <c r="AB393" s="371"/>
      <c r="AC393" s="371"/>
      <c r="AD393" s="372"/>
      <c r="AE393" s="371"/>
      <c r="AF393" s="371"/>
      <c r="AG393" s="270"/>
      <c r="AH393" s="272"/>
      <c r="AP393" s="53"/>
    </row>
    <row r="394" spans="1:44" x14ac:dyDescent="0.2">
      <c r="A394" s="48"/>
      <c r="B394" s="306"/>
      <c r="C394" s="233"/>
      <c r="D394" s="233"/>
      <c r="P394" s="296"/>
      <c r="Q394" s="421"/>
      <c r="R394" s="383"/>
      <c r="U394" s="381"/>
      <c r="V394" s="321"/>
      <c r="W394" s="322"/>
      <c r="X394" s="322"/>
      <c r="Y394" s="322"/>
      <c r="Z394" s="323"/>
      <c r="AA394" s="371"/>
      <c r="AB394" s="371"/>
      <c r="AC394" s="371"/>
      <c r="AD394" s="372"/>
      <c r="AE394" s="371"/>
      <c r="AF394" s="371"/>
      <c r="AG394" s="270"/>
      <c r="AH394" s="272"/>
      <c r="AP394" s="53"/>
    </row>
    <row r="395" spans="1:44" x14ac:dyDescent="0.2">
      <c r="A395" s="48"/>
      <c r="B395" s="306"/>
      <c r="C395" s="233"/>
      <c r="D395" s="233"/>
      <c r="P395" s="296"/>
      <c r="Q395" s="421"/>
      <c r="R395" s="383"/>
      <c r="U395" s="381"/>
      <c r="V395" s="370"/>
      <c r="W395" s="375"/>
      <c r="X395" s="375"/>
      <c r="Y395" s="375"/>
      <c r="Z395" s="376"/>
      <c r="AA395" s="371"/>
      <c r="AB395" s="371"/>
      <c r="AC395" s="371"/>
      <c r="AD395" s="372"/>
      <c r="AE395" s="371"/>
      <c r="AF395" s="371"/>
      <c r="AG395" s="270"/>
      <c r="AH395" s="272"/>
      <c r="AP395" s="53"/>
    </row>
    <row r="396" spans="1:44" x14ac:dyDescent="0.2">
      <c r="A396" s="48"/>
      <c r="B396" s="306"/>
      <c r="C396" s="233"/>
      <c r="D396" s="233"/>
      <c r="P396" s="296"/>
      <c r="Q396" s="421"/>
      <c r="R396" s="383"/>
      <c r="U396" s="381"/>
      <c r="V396" s="370"/>
      <c r="W396" s="375"/>
      <c r="X396" s="374"/>
      <c r="Y396" s="370"/>
      <c r="Z396" s="376"/>
      <c r="AA396" s="371"/>
      <c r="AB396" s="371"/>
      <c r="AC396" s="270"/>
      <c r="AD396" s="372"/>
      <c r="AE396" s="270"/>
      <c r="AF396" s="270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21"/>
      <c r="R397" s="383"/>
      <c r="U397" s="381"/>
      <c r="V397" s="370"/>
      <c r="W397" s="375"/>
      <c r="X397" s="374"/>
      <c r="Y397" s="370"/>
      <c r="Z397" s="376"/>
      <c r="AA397" s="371"/>
      <c r="AB397" s="371"/>
      <c r="AC397" s="270"/>
      <c r="AD397" s="372"/>
      <c r="AE397" s="270"/>
      <c r="AF397" s="270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21"/>
      <c r="R398" s="383"/>
      <c r="U398" s="381"/>
      <c r="V398" s="370"/>
      <c r="W398" s="375"/>
      <c r="X398" s="374"/>
      <c r="Y398" s="370"/>
      <c r="Z398" s="376"/>
      <c r="AA398" s="371"/>
      <c r="AB398" s="371"/>
      <c r="AC398" s="270"/>
      <c r="AD398" s="372"/>
      <c r="AE398" s="270"/>
      <c r="AF398" s="270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21"/>
      <c r="R399" s="383"/>
      <c r="U399" s="381"/>
      <c r="V399" s="370"/>
      <c r="W399" s="375"/>
      <c r="X399" s="374"/>
      <c r="Y399" s="370"/>
      <c r="Z399" s="376"/>
      <c r="AA399" s="371"/>
      <c r="AB399" s="371"/>
      <c r="AC399" s="270"/>
      <c r="AD399" s="372"/>
      <c r="AE399" s="270"/>
      <c r="AF399" s="270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21"/>
      <c r="R400" s="383"/>
      <c r="U400" s="381"/>
      <c r="V400" s="370"/>
      <c r="W400" s="375"/>
      <c r="X400" s="374"/>
      <c r="Y400" s="370"/>
      <c r="Z400" s="376"/>
      <c r="AA400" s="371"/>
      <c r="AB400" s="371"/>
      <c r="AC400" s="270"/>
      <c r="AD400" s="372"/>
      <c r="AE400" s="270"/>
      <c r="AF400" s="270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21"/>
      <c r="R401" s="383"/>
      <c r="U401" s="381"/>
      <c r="V401" s="370"/>
      <c r="W401" s="375"/>
      <c r="X401" s="374"/>
      <c r="Y401" s="370"/>
      <c r="Z401" s="376"/>
      <c r="AA401" s="371"/>
      <c r="AB401" s="371"/>
      <c r="AC401" s="270"/>
      <c r="AD401" s="372"/>
      <c r="AE401" s="270"/>
      <c r="AF401" s="270"/>
      <c r="AG401" s="270"/>
      <c r="AH401" s="272"/>
      <c r="AP401" s="53"/>
      <c r="AQ401" s="53"/>
      <c r="AR401" s="53"/>
    </row>
    <row r="402" spans="1:44" x14ac:dyDescent="0.2">
      <c r="A402" s="48"/>
      <c r="B402" s="306"/>
      <c r="C402" s="233"/>
      <c r="D402" s="233"/>
      <c r="P402" s="296"/>
      <c r="Q402" s="421"/>
      <c r="R402" s="383"/>
      <c r="U402" s="381"/>
      <c r="V402" s="370"/>
      <c r="W402" s="375"/>
      <c r="X402" s="374"/>
      <c r="Y402" s="370"/>
      <c r="Z402" s="376"/>
      <c r="AA402" s="371"/>
      <c r="AB402" s="371"/>
      <c r="AC402" s="270"/>
      <c r="AD402" s="372"/>
      <c r="AE402" s="270"/>
      <c r="AF402" s="270"/>
      <c r="AG402" s="270"/>
      <c r="AH402" s="272"/>
      <c r="AP402" s="53"/>
      <c r="AQ402" s="53"/>
      <c r="AR402" s="53"/>
    </row>
    <row r="403" spans="1:44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421"/>
      <c r="R403" s="383"/>
      <c r="S403" s="21"/>
      <c r="T403" s="13"/>
      <c r="U403" s="381"/>
      <c r="V403" s="370"/>
      <c r="W403" s="375"/>
      <c r="X403" s="374"/>
      <c r="Y403" s="370"/>
      <c r="Z403" s="376"/>
      <c r="AA403" s="371"/>
      <c r="AB403" s="371"/>
      <c r="AC403" s="270"/>
      <c r="AD403" s="372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4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21"/>
      <c r="R404" s="383"/>
      <c r="S404" s="21"/>
      <c r="T404" s="13"/>
      <c r="U404" s="381"/>
      <c r="V404" s="370"/>
      <c r="W404" s="375"/>
      <c r="X404" s="374"/>
      <c r="Y404" s="370"/>
      <c r="Z404" s="376"/>
      <c r="AA404" s="371"/>
      <c r="AB404" s="371"/>
      <c r="AC404" s="270"/>
      <c r="AD404" s="372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4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21"/>
      <c r="R405" s="383"/>
      <c r="S405" s="21"/>
      <c r="T405" s="13"/>
      <c r="U405" s="381"/>
      <c r="V405" s="370"/>
      <c r="W405" s="375"/>
      <c r="X405" s="374"/>
      <c r="Y405" s="370"/>
      <c r="Z405" s="376"/>
      <c r="AA405" s="371"/>
      <c r="AB405" s="371"/>
      <c r="AC405" s="270"/>
      <c r="AD405" s="372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4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21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371"/>
      <c r="AC406" s="270"/>
      <c r="AD406" s="372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4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21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371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4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21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371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21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371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21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371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21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371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21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371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21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371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21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371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21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371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21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371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21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371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21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371"/>
      <c r="AC418" s="270"/>
      <c r="AD418" s="372"/>
      <c r="AE418" s="270"/>
      <c r="AF418" s="270"/>
      <c r="AG418" s="270"/>
      <c r="AH418" s="315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316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371"/>
      <c r="AC419" s="270"/>
      <c r="AD419" s="372"/>
      <c r="AE419" s="270"/>
      <c r="AF419" s="270"/>
      <c r="AG419" s="270"/>
      <c r="AH419" s="315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316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371"/>
      <c r="AC420" s="270"/>
      <c r="AD420" s="372"/>
      <c r="AE420" s="270"/>
      <c r="AF420" s="270"/>
      <c r="AG420" s="270"/>
      <c r="AH420" s="315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316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371"/>
      <c r="AC421" s="270"/>
      <c r="AD421" s="372"/>
      <c r="AE421" s="270"/>
      <c r="AF421" s="270"/>
      <c r="AG421" s="270"/>
      <c r="AH421" s="315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316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371"/>
      <c r="AC422" s="270"/>
      <c r="AD422" s="372"/>
      <c r="AE422" s="270"/>
      <c r="AF422" s="270"/>
      <c r="AG422" s="270"/>
      <c r="AH422" s="315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6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371"/>
      <c r="AC423" s="270"/>
      <c r="AD423" s="372"/>
      <c r="AE423" s="270"/>
      <c r="AF423" s="270"/>
      <c r="AG423" s="270"/>
      <c r="AH423" s="315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6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371"/>
      <c r="AC424" s="270"/>
      <c r="AD424" s="372"/>
      <c r="AE424" s="270"/>
      <c r="AF424" s="270"/>
      <c r="AG424" s="270"/>
      <c r="AH424" s="315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6"/>
      <c r="R425" s="383"/>
      <c r="S425" s="21"/>
      <c r="T425" s="13"/>
      <c r="U425" s="381"/>
      <c r="V425" s="370"/>
      <c r="W425" s="375"/>
      <c r="X425" s="374"/>
      <c r="Y425" s="370"/>
      <c r="Z425" s="376"/>
      <c r="AA425" s="371"/>
      <c r="AB425" s="371"/>
      <c r="AC425" s="270"/>
      <c r="AD425" s="372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6"/>
      <c r="R426" s="383"/>
      <c r="S426" s="21"/>
      <c r="T426" s="13"/>
      <c r="U426" s="381"/>
      <c r="V426" s="370"/>
      <c r="W426" s="375"/>
      <c r="X426" s="374"/>
      <c r="Y426" s="370"/>
      <c r="Z426" s="376"/>
      <c r="AA426" s="371"/>
      <c r="AB426" s="371"/>
      <c r="AC426" s="270"/>
      <c r="AD426" s="372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6"/>
      <c r="R427" s="383"/>
      <c r="S427" s="21"/>
      <c r="T427" s="13"/>
      <c r="U427" s="381"/>
      <c r="V427" s="370"/>
      <c r="W427" s="375"/>
      <c r="X427" s="374"/>
      <c r="Y427" s="370"/>
      <c r="Z427" s="376"/>
      <c r="AA427" s="371"/>
      <c r="AB427" s="371"/>
      <c r="AC427" s="270"/>
      <c r="AD427" s="372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6"/>
      <c r="R428" s="383"/>
      <c r="S428" s="21"/>
      <c r="T428" s="13"/>
      <c r="U428" s="381"/>
      <c r="V428" s="370"/>
      <c r="W428" s="375"/>
      <c r="X428" s="374"/>
      <c r="Y428" s="370"/>
      <c r="Z428" s="376"/>
      <c r="AA428" s="371"/>
      <c r="AB428" s="371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6"/>
      <c r="R429" s="383"/>
      <c r="S429" s="21"/>
      <c r="T429" s="13"/>
      <c r="U429" s="381"/>
      <c r="V429" s="370"/>
      <c r="W429" s="375"/>
      <c r="X429" s="374"/>
      <c r="Y429" s="370"/>
      <c r="Z429" s="376"/>
      <c r="AA429" s="371"/>
      <c r="AB429" s="371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6"/>
      <c r="R430" s="383"/>
      <c r="S430" s="21"/>
      <c r="T430" s="13"/>
      <c r="U430" s="381"/>
      <c r="V430" s="370"/>
      <c r="W430" s="375"/>
      <c r="X430" s="374"/>
      <c r="Y430" s="370"/>
      <c r="Z430" s="376"/>
      <c r="AA430" s="371"/>
      <c r="AB430" s="371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6"/>
      <c r="R431" s="383"/>
      <c r="S431" s="21"/>
      <c r="T431" s="13"/>
      <c r="U431" s="381"/>
      <c r="V431" s="370"/>
      <c r="W431" s="375"/>
      <c r="X431" s="374"/>
      <c r="Y431" s="370"/>
      <c r="Z431" s="376"/>
      <c r="AA431" s="371"/>
      <c r="AB431" s="371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6"/>
      <c r="R432" s="383"/>
      <c r="S432" s="21"/>
      <c r="T432" s="13"/>
      <c r="U432" s="381"/>
      <c r="V432" s="370"/>
      <c r="W432" s="375"/>
      <c r="X432" s="374"/>
      <c r="Y432" s="370"/>
      <c r="Z432" s="376"/>
      <c r="AA432" s="371"/>
      <c r="AB432" s="371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6"/>
      <c r="R433" s="383"/>
      <c r="S433" s="21"/>
      <c r="T433" s="13"/>
      <c r="U433" s="381"/>
      <c r="V433" s="370"/>
      <c r="W433" s="375"/>
      <c r="X433" s="374"/>
      <c r="Y433" s="370"/>
      <c r="Z433" s="376"/>
      <c r="AA433" s="371"/>
      <c r="AB433" s="371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6"/>
      <c r="R434" s="383"/>
      <c r="S434" s="21"/>
      <c r="T434" s="13"/>
      <c r="U434" s="381"/>
      <c r="V434" s="370"/>
      <c r="W434" s="375"/>
      <c r="X434" s="374"/>
      <c r="Y434" s="370"/>
      <c r="Z434" s="376"/>
      <c r="AA434" s="371"/>
      <c r="AB434" s="371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6"/>
      <c r="R435" s="383"/>
      <c r="S435" s="21"/>
      <c r="T435" s="13"/>
      <c r="U435" s="381"/>
      <c r="V435" s="370"/>
      <c r="W435" s="375"/>
      <c r="X435" s="374"/>
      <c r="Y435" s="370"/>
      <c r="Z435" s="376"/>
      <c r="AA435" s="371"/>
      <c r="AB435" s="371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6"/>
      <c r="R436" s="383"/>
      <c r="S436" s="21"/>
      <c r="T436" s="13"/>
      <c r="U436" s="381"/>
      <c r="V436" s="370"/>
      <c r="W436" s="375"/>
      <c r="X436" s="374"/>
      <c r="Y436" s="370"/>
      <c r="Z436" s="376"/>
      <c r="AA436" s="371"/>
      <c r="AB436" s="371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6"/>
      <c r="R437" s="383"/>
      <c r="S437" s="21"/>
      <c r="T437" s="13"/>
      <c r="U437" s="381"/>
      <c r="V437" s="370"/>
      <c r="W437" s="375"/>
      <c r="X437" s="374"/>
      <c r="Y437" s="370"/>
      <c r="Z437" s="376"/>
      <c r="AA437" s="371"/>
      <c r="AB437" s="371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6"/>
      <c r="R438" s="383"/>
      <c r="S438" s="21"/>
      <c r="T438" s="13"/>
      <c r="U438" s="381"/>
      <c r="V438" s="370"/>
      <c r="W438" s="375"/>
      <c r="X438" s="374"/>
      <c r="Y438" s="370"/>
      <c r="Z438" s="376"/>
      <c r="AA438" s="371"/>
      <c r="AB438" s="371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6"/>
      <c r="R439" s="383"/>
      <c r="S439" s="21"/>
      <c r="T439" s="13"/>
      <c r="U439" s="381"/>
      <c r="V439" s="370"/>
      <c r="W439" s="375"/>
      <c r="X439" s="374"/>
      <c r="Y439" s="370"/>
      <c r="Z439" s="376"/>
      <c r="AA439" s="371"/>
      <c r="AB439" s="371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  <c r="AP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6"/>
      <c r="R440" s="383"/>
      <c r="S440" s="21"/>
      <c r="T440" s="13"/>
      <c r="U440" s="381"/>
      <c r="V440" s="370"/>
      <c r="W440" s="375"/>
      <c r="X440" s="374"/>
      <c r="Y440" s="370"/>
      <c r="Z440" s="376"/>
      <c r="AA440" s="371"/>
      <c r="AB440" s="371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  <c r="AP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6"/>
      <c r="R441" s="383"/>
      <c r="S441" s="21"/>
      <c r="T441" s="13"/>
      <c r="U441" s="381"/>
      <c r="V441" s="370"/>
      <c r="W441" s="375"/>
      <c r="X441" s="374"/>
      <c r="Y441" s="370"/>
      <c r="Z441" s="376"/>
      <c r="AA441" s="371"/>
      <c r="AB441" s="371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  <c r="AP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6"/>
      <c r="R442" s="383"/>
      <c r="S442" s="21"/>
      <c r="T442" s="13"/>
      <c r="U442" s="381"/>
      <c r="V442" s="370"/>
      <c r="W442" s="375"/>
      <c r="X442" s="374"/>
      <c r="Y442" s="370"/>
      <c r="Z442" s="376"/>
      <c r="AA442" s="371"/>
      <c r="AB442" s="371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6"/>
      <c r="R443" s="383"/>
      <c r="S443" s="21"/>
      <c r="T443" s="13"/>
      <c r="U443" s="381"/>
      <c r="V443" s="375"/>
      <c r="W443" s="374"/>
      <c r="X443" s="370"/>
      <c r="Y443" s="376"/>
      <c r="Z443" s="371"/>
      <c r="AA443" s="371"/>
      <c r="AB443" s="270"/>
      <c r="AC443" s="372"/>
      <c r="AD443" s="270"/>
      <c r="AE443" s="270"/>
      <c r="AF443" s="270"/>
      <c r="AG443" s="376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6"/>
      <c r="R444" s="383"/>
      <c r="S444" s="21"/>
      <c r="T444" s="13"/>
      <c r="U444" s="381"/>
      <c r="V444" s="375"/>
      <c r="W444" s="374"/>
      <c r="X444" s="370"/>
      <c r="Y444" s="376"/>
      <c r="Z444" s="371"/>
      <c r="AA444" s="371"/>
      <c r="AB444" s="270"/>
      <c r="AC444" s="372"/>
      <c r="AD444" s="270"/>
      <c r="AE444" s="270"/>
      <c r="AF444" s="270"/>
      <c r="AG444" s="376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6"/>
      <c r="R445" s="383"/>
      <c r="S445" s="21"/>
      <c r="T445" s="13"/>
      <c r="U445" s="381"/>
      <c r="V445" s="375"/>
      <c r="W445" s="374"/>
      <c r="X445" s="370"/>
      <c r="Y445" s="376"/>
      <c r="Z445" s="371"/>
      <c r="AA445" s="371"/>
      <c r="AB445" s="270"/>
      <c r="AC445" s="372"/>
      <c r="AD445" s="270"/>
      <c r="AE445" s="270"/>
      <c r="AF445" s="270"/>
      <c r="AG445" s="376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6"/>
      <c r="R446" s="383"/>
      <c r="S446" s="21"/>
      <c r="T446" s="13"/>
      <c r="U446" s="381"/>
      <c r="V446" s="375"/>
      <c r="W446" s="374"/>
      <c r="X446" s="370"/>
      <c r="Y446" s="376"/>
      <c r="Z446" s="371"/>
      <c r="AA446" s="371"/>
      <c r="AB446" s="270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6"/>
      <c r="R447" s="383"/>
      <c r="S447" s="21"/>
      <c r="T447" s="13"/>
      <c r="U447" s="381"/>
      <c r="V447" s="375"/>
      <c r="W447" s="374"/>
      <c r="X447" s="370"/>
      <c r="Y447" s="376"/>
      <c r="Z447" s="371"/>
      <c r="AA447" s="371"/>
      <c r="AB447" s="270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6"/>
      <c r="R448" s="383"/>
      <c r="S448" s="21"/>
      <c r="T448" s="13"/>
      <c r="U448" s="381"/>
      <c r="V448" s="375"/>
      <c r="W448" s="374"/>
      <c r="X448" s="370"/>
      <c r="Y448" s="376"/>
      <c r="Z448" s="371"/>
      <c r="AA448" s="371"/>
      <c r="AB448" s="270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1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62"/>
      <c r="R449" s="383"/>
      <c r="S449" s="21"/>
      <c r="T449" s="13"/>
      <c r="U449" s="381"/>
      <c r="V449" s="375"/>
      <c r="W449" s="374"/>
      <c r="X449" s="370"/>
      <c r="Y449" s="376"/>
      <c r="Z449" s="371"/>
      <c r="AA449" s="371"/>
      <c r="AB449" s="270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</row>
    <row r="450" spans="1:41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R450" s="285"/>
      <c r="S450" s="21"/>
      <c r="T450" s="13"/>
      <c r="U450" s="381"/>
      <c r="V450" s="375"/>
      <c r="W450" s="374"/>
      <c r="X450" s="370"/>
      <c r="Y450" s="376"/>
      <c r="Z450" s="371"/>
      <c r="AA450" s="371"/>
      <c r="AB450" s="270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</row>
    <row r="451" spans="1:41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R451" s="285"/>
      <c r="S451" s="21"/>
      <c r="T451" s="13"/>
      <c r="U451" s="381"/>
      <c r="V451" s="375"/>
      <c r="W451" s="374"/>
      <c r="X451" s="370"/>
      <c r="Y451" s="376"/>
      <c r="Z451" s="371"/>
      <c r="AA451" s="371"/>
      <c r="AB451" s="270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</row>
    <row r="452" spans="1:41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R452" s="285"/>
      <c r="S452" s="21"/>
      <c r="T452" s="13"/>
      <c r="U452" s="381"/>
      <c r="V452" s="375"/>
      <c r="W452" s="374"/>
      <c r="X452" s="370"/>
      <c r="Y452" s="376"/>
      <c r="Z452" s="371"/>
      <c r="AA452" s="371"/>
      <c r="AB452" s="270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1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1"/>
      <c r="V453" s="375"/>
      <c r="W453" s="374"/>
      <c r="X453" s="370"/>
      <c r="Y453" s="376"/>
      <c r="Z453" s="371"/>
      <c r="AA453" s="371"/>
      <c r="AB453" s="270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1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1"/>
      <c r="V454" s="375"/>
      <c r="W454" s="374"/>
      <c r="X454" s="370"/>
      <c r="Y454" s="376"/>
      <c r="Z454" s="371"/>
      <c r="AA454" s="371"/>
      <c r="AB454" s="270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</row>
    <row r="455" spans="1:41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R455" s="285"/>
      <c r="S455" s="21"/>
      <c r="T455" s="13"/>
      <c r="U455" s="381"/>
      <c r="V455" s="375"/>
      <c r="W455" s="374"/>
      <c r="X455" s="370"/>
      <c r="Y455" s="376"/>
      <c r="Z455" s="371"/>
      <c r="AA455" s="371"/>
      <c r="AB455" s="270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1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1"/>
      <c r="V456" s="375"/>
      <c r="W456" s="374"/>
      <c r="X456" s="370"/>
      <c r="Y456" s="376"/>
      <c r="Z456" s="371"/>
      <c r="AA456" s="371"/>
      <c r="AB456" s="270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1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6"/>
      <c r="R457" s="285"/>
      <c r="S457" s="21"/>
      <c r="T457" s="13"/>
      <c r="U457" s="381"/>
      <c r="V457" s="375"/>
      <c r="W457" s="374"/>
      <c r="X457" s="370"/>
      <c r="Y457" s="376"/>
      <c r="Z457" s="371"/>
      <c r="AA457" s="371"/>
      <c r="AB457" s="270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1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381"/>
      <c r="V458" s="375"/>
      <c r="W458" s="374"/>
      <c r="X458" s="370"/>
      <c r="Y458" s="376"/>
      <c r="Z458" s="371"/>
      <c r="AA458" s="371"/>
      <c r="AB458" s="270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1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381"/>
      <c r="V459" s="375"/>
      <c r="W459" s="374"/>
      <c r="X459" s="370"/>
      <c r="Y459" s="376"/>
      <c r="Z459" s="371"/>
      <c r="AA459" s="371"/>
      <c r="AB459" s="270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</row>
    <row r="460" spans="1:41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381"/>
      <c r="V460" s="375"/>
      <c r="W460" s="374"/>
      <c r="X460" s="370"/>
      <c r="Y460" s="376"/>
      <c r="Z460" s="371"/>
      <c r="AA460" s="371"/>
      <c r="AB460" s="270"/>
      <c r="AC460" s="372"/>
      <c r="AD460" s="270"/>
      <c r="AE460" s="270"/>
      <c r="AF460" s="270"/>
      <c r="AG460" s="376"/>
      <c r="AH460" s="272"/>
      <c r="AI460" s="1"/>
      <c r="AJ460" s="21"/>
      <c r="AK460" s="21"/>
      <c r="AL460" s="21"/>
      <c r="AM460" s="21"/>
      <c r="AN460" s="21"/>
      <c r="AO460" s="21"/>
    </row>
    <row r="461" spans="1:41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381"/>
      <c r="V461" s="375"/>
      <c r="W461" s="374"/>
      <c r="X461" s="370"/>
      <c r="Y461" s="376"/>
      <c r="Z461" s="371"/>
      <c r="AA461" s="371"/>
      <c r="AB461" s="270"/>
      <c r="AC461" s="372"/>
      <c r="AD461" s="270"/>
      <c r="AE461" s="270"/>
      <c r="AF461" s="270"/>
      <c r="AG461" s="376"/>
      <c r="AH461" s="272"/>
      <c r="AI461" s="1"/>
      <c r="AJ461" s="21"/>
      <c r="AK461" s="21"/>
      <c r="AL461" s="21"/>
      <c r="AM461" s="21"/>
      <c r="AN461" s="21"/>
      <c r="AO461" s="21"/>
    </row>
    <row r="462" spans="1:41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370"/>
      <c r="V462" s="375"/>
      <c r="W462" s="374"/>
      <c r="X462" s="370"/>
      <c r="Y462" s="376"/>
      <c r="Z462" s="371"/>
      <c r="AA462" s="371"/>
      <c r="AB462" s="270"/>
      <c r="AC462" s="372"/>
      <c r="AD462" s="270"/>
      <c r="AE462" s="270"/>
      <c r="AF462" s="270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1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370"/>
      <c r="V463" s="375"/>
      <c r="W463" s="374"/>
      <c r="X463" s="370"/>
      <c r="Y463" s="376"/>
      <c r="Z463" s="371"/>
      <c r="AA463" s="371"/>
      <c r="AB463" s="270"/>
      <c r="AC463" s="372"/>
      <c r="AD463" s="270"/>
      <c r="AE463" s="270"/>
      <c r="AF463" s="270"/>
      <c r="AG463" s="376"/>
      <c r="AH463" s="272"/>
      <c r="AI463" s="1"/>
      <c r="AJ463" s="21"/>
      <c r="AK463" s="21"/>
      <c r="AL463" s="21"/>
      <c r="AM463" s="21"/>
      <c r="AN463" s="21"/>
      <c r="AO463" s="21"/>
    </row>
    <row r="464" spans="1:41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370"/>
      <c r="V464" s="375"/>
      <c r="W464" s="374"/>
      <c r="X464" s="370"/>
      <c r="Y464" s="376"/>
      <c r="Z464" s="371"/>
      <c r="AA464" s="371"/>
      <c r="AB464" s="270"/>
      <c r="AC464" s="372"/>
      <c r="AD464" s="270"/>
      <c r="AE464" s="270"/>
      <c r="AF464" s="270"/>
      <c r="AG464" s="376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370"/>
      <c r="V465" s="375"/>
      <c r="W465" s="374"/>
      <c r="X465" s="370"/>
      <c r="Y465" s="376"/>
      <c r="Z465" s="371"/>
      <c r="AA465" s="371"/>
      <c r="AB465" s="270"/>
      <c r="AC465" s="372"/>
      <c r="AD465" s="270"/>
      <c r="AE465" s="270"/>
      <c r="AF465" s="270"/>
      <c r="AG465" s="376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370"/>
      <c r="V466" s="375"/>
      <c r="W466" s="374"/>
      <c r="X466" s="370"/>
      <c r="Y466" s="376"/>
      <c r="Z466" s="371"/>
      <c r="AA466" s="371"/>
      <c r="AB466" s="270"/>
      <c r="AC466" s="372"/>
      <c r="AD466" s="270"/>
      <c r="AE466" s="270"/>
      <c r="AF466" s="270"/>
      <c r="AG466" s="376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370"/>
      <c r="V467" s="375"/>
      <c r="W467" s="374"/>
      <c r="X467" s="370"/>
      <c r="Y467" s="376"/>
      <c r="Z467" s="371"/>
      <c r="AA467" s="371"/>
      <c r="AB467" s="270"/>
      <c r="AC467" s="372"/>
      <c r="AD467" s="270"/>
      <c r="AE467" s="270"/>
      <c r="AF467" s="270"/>
      <c r="AG467" s="376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422"/>
      <c r="V468" s="375"/>
      <c r="W468" s="374"/>
      <c r="X468" s="370"/>
      <c r="Y468" s="376"/>
      <c r="Z468" s="371"/>
      <c r="AA468" s="371"/>
      <c r="AB468" s="270"/>
      <c r="AC468" s="372"/>
      <c r="AD468" s="270"/>
      <c r="AE468" s="270"/>
      <c r="AF468" s="270"/>
      <c r="AG468" s="376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422"/>
      <c r="V469" s="375"/>
      <c r="W469" s="374"/>
      <c r="X469" s="370"/>
      <c r="Y469" s="376"/>
      <c r="Z469" s="371"/>
      <c r="AA469" s="371"/>
      <c r="AB469" s="270"/>
      <c r="AC469" s="372"/>
      <c r="AD469" s="270"/>
      <c r="AE469" s="270"/>
      <c r="AF469" s="270"/>
      <c r="AG469" s="376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422"/>
      <c r="V470" s="375"/>
      <c r="W470" s="374"/>
      <c r="X470" s="370"/>
      <c r="Y470" s="376"/>
      <c r="Z470" s="371"/>
      <c r="AA470" s="371"/>
      <c r="AB470" s="270"/>
      <c r="AC470" s="372"/>
      <c r="AD470" s="270"/>
      <c r="AE470" s="270"/>
      <c r="AF470" s="270"/>
      <c r="AG470" s="376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422"/>
      <c r="V471" s="375"/>
      <c r="W471" s="374"/>
      <c r="X471" s="370"/>
      <c r="Y471" s="376"/>
      <c r="Z471" s="371"/>
      <c r="AA471" s="371"/>
      <c r="AB471" s="270"/>
      <c r="AC471" s="372"/>
      <c r="AD471" s="270"/>
      <c r="AE471" s="270"/>
      <c r="AF471" s="270"/>
      <c r="AG471" s="376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422"/>
      <c r="V472" s="375"/>
      <c r="W472" s="374"/>
      <c r="X472" s="370"/>
      <c r="Y472" s="376"/>
      <c r="Z472" s="371"/>
      <c r="AA472" s="371"/>
      <c r="AB472" s="270"/>
      <c r="AC472" s="372"/>
      <c r="AD472" s="270"/>
      <c r="AE472" s="270"/>
      <c r="AF472" s="270"/>
      <c r="AG472" s="376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422"/>
      <c r="V473" s="375"/>
      <c r="W473" s="374"/>
      <c r="X473" s="370"/>
      <c r="Y473" s="376"/>
      <c r="Z473" s="371"/>
      <c r="AA473" s="371"/>
      <c r="AB473" s="270"/>
      <c r="AC473" s="372"/>
      <c r="AD473" s="270"/>
      <c r="AE473" s="270"/>
      <c r="AF473" s="270"/>
      <c r="AG473" s="376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422"/>
      <c r="V474" s="375"/>
      <c r="W474" s="374"/>
      <c r="X474" s="370"/>
      <c r="Y474" s="376"/>
      <c r="Z474" s="371"/>
      <c r="AA474" s="371"/>
      <c r="AB474" s="270"/>
      <c r="AC474" s="372"/>
      <c r="AD474" s="270"/>
      <c r="AE474" s="270"/>
      <c r="AF474" s="270"/>
      <c r="AG474" s="376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422"/>
      <c r="V475" s="375"/>
      <c r="W475" s="374"/>
      <c r="X475" s="370"/>
      <c r="Y475" s="376"/>
      <c r="Z475" s="371"/>
      <c r="AA475" s="371"/>
      <c r="AB475" s="270"/>
      <c r="AC475" s="372"/>
      <c r="AD475" s="270"/>
      <c r="AE475" s="270"/>
      <c r="AF475" s="270"/>
      <c r="AG475" s="376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422"/>
      <c r="V476" s="375"/>
      <c r="W476" s="374"/>
      <c r="X476" s="370"/>
      <c r="Y476" s="376"/>
      <c r="Z476" s="371"/>
      <c r="AA476" s="371"/>
      <c r="AB476" s="270"/>
      <c r="AC476" s="372"/>
      <c r="AD476" s="270"/>
      <c r="AE476" s="270"/>
      <c r="AF476" s="270"/>
      <c r="AG476" s="376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422"/>
      <c r="V477" s="375"/>
      <c r="W477" s="374"/>
      <c r="X477" s="370"/>
      <c r="Y477" s="376"/>
      <c r="Z477" s="371"/>
      <c r="AA477" s="371"/>
      <c r="AB477" s="270"/>
      <c r="AC477" s="372"/>
      <c r="AD477" s="270"/>
      <c r="AE477" s="270"/>
      <c r="AF477" s="270"/>
      <c r="AG477" s="376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50"/>
      <c r="AC478" s="64"/>
      <c r="AD478" s="50"/>
      <c r="AE478" s="50"/>
      <c r="AF478" s="19"/>
      <c r="AG478" s="376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50"/>
      <c r="AC479" s="64"/>
      <c r="AD479" s="50"/>
      <c r="AE479" s="50"/>
      <c r="AF479" s="19"/>
      <c r="AG479" s="376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50"/>
      <c r="AC480" s="64"/>
      <c r="AD480" s="50"/>
      <c r="AE480" s="50"/>
      <c r="AF480" s="19"/>
      <c r="AG480" s="376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50"/>
      <c r="AC481" s="64"/>
      <c r="AD481" s="50"/>
      <c r="AE481" s="50"/>
      <c r="AF481" s="19"/>
      <c r="AG481" s="376"/>
      <c r="AH481" s="272"/>
      <c r="AI481" s="1"/>
      <c r="AJ481" s="21"/>
      <c r="AK481" s="21"/>
      <c r="AL481" s="21"/>
      <c r="AM481" s="21"/>
      <c r="AN481" s="21"/>
      <c r="AO481" s="21"/>
      <c r="AQ481" s="308"/>
      <c r="AR481" s="308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50"/>
      <c r="AC482" s="64"/>
      <c r="AD482" s="50"/>
      <c r="AE482" s="50"/>
      <c r="AF482" s="19"/>
      <c r="AG482" s="376"/>
      <c r="AH482" s="272"/>
      <c r="AI482" s="1"/>
      <c r="AJ482" s="21"/>
      <c r="AK482" s="21"/>
      <c r="AL482" s="21"/>
      <c r="AM482" s="21"/>
      <c r="AN482" s="21"/>
      <c r="AO482" s="21"/>
      <c r="AQ482" s="308"/>
      <c r="AR482" s="308"/>
    </row>
    <row r="483" spans="1:44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50"/>
      <c r="AC483" s="64"/>
      <c r="AD483" s="50"/>
      <c r="AE483" s="50"/>
      <c r="AF483" s="19"/>
      <c r="AG483" s="376"/>
      <c r="AH483" s="272"/>
      <c r="AI483" s="1"/>
      <c r="AJ483" s="21"/>
      <c r="AK483" s="21"/>
      <c r="AL483" s="21"/>
      <c r="AM483" s="21"/>
      <c r="AN483" s="21"/>
      <c r="AO483" s="21"/>
      <c r="AP483" s="53"/>
    </row>
    <row r="484" spans="1:44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50"/>
      <c r="AC484" s="64"/>
      <c r="AD484" s="50"/>
      <c r="AE484" s="50"/>
      <c r="AF484" s="19"/>
      <c r="AG484" s="376"/>
      <c r="AH484" s="272"/>
      <c r="AI484" s="1"/>
      <c r="AJ484" s="21"/>
      <c r="AK484" s="21"/>
      <c r="AL484" s="21"/>
      <c r="AM484" s="21"/>
      <c r="AN484" s="21"/>
      <c r="AO484" s="21"/>
      <c r="AP484" s="53"/>
    </row>
    <row r="485" spans="1:44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50"/>
      <c r="AC485" s="64"/>
      <c r="AD485" s="50"/>
      <c r="AE485" s="50"/>
      <c r="AF485" s="19"/>
      <c r="AG485" s="120"/>
      <c r="AH485" s="272"/>
      <c r="AI485" s="1"/>
      <c r="AJ485" s="21"/>
      <c r="AK485" s="21"/>
      <c r="AL485" s="21"/>
      <c r="AM485" s="21"/>
      <c r="AN485" s="21"/>
      <c r="AO485" s="21"/>
      <c r="AP485" s="53"/>
    </row>
    <row r="486" spans="1:44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50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4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50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4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50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50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50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50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50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50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50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50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50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50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50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50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50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50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50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50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50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50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50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50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50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50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50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50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50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50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50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50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50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50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50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50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50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50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50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50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50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50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50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50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50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50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50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50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50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50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50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50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50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50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50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50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50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50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50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50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50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50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50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50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50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50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50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50"/>
      <c r="AC551" s="64"/>
      <c r="AD551" s="50"/>
      <c r="AE551" s="50"/>
      <c r="AF551" s="19"/>
      <c r="AG551" s="123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50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50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50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50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50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50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50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50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50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50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50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50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50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50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50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50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50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50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50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50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50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50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50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50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50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50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50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50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50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50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50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50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50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50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50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50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50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50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50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50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50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50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50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50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50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50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50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50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50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50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50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50"/>
      <c r="AC603" s="64"/>
      <c r="AD603" s="50"/>
      <c r="AE603" s="50"/>
      <c r="AF603" s="19"/>
      <c r="AG603" s="120"/>
      <c r="AH603" s="123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50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50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50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50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50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50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50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50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50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50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50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50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50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50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50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50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50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50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50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50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50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50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50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50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50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50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50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50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50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50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50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50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50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50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50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50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50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50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50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50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50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50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50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50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50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50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50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50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50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50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50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50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50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50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50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50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50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50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50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50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50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50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50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50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50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  <c r="AQ668" s="21"/>
      <c r="AR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50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  <c r="AQ669" s="21"/>
      <c r="AR669" s="21"/>
    </row>
    <row r="670" spans="1:44" x14ac:dyDescent="0.2">
      <c r="A670" s="48"/>
      <c r="AP670" s="308"/>
    </row>
    <row r="671" spans="1:44" x14ac:dyDescent="0.2">
      <c r="A671" s="48"/>
      <c r="AP671" s="308"/>
    </row>
    <row r="672" spans="1:44" x14ac:dyDescent="0.2">
      <c r="A672" s="48"/>
      <c r="AP672" s="308"/>
    </row>
    <row r="673" spans="1:44" x14ac:dyDescent="0.2">
      <c r="A673" s="48"/>
      <c r="AP673" s="308"/>
    </row>
    <row r="674" spans="1:44" x14ac:dyDescent="0.2">
      <c r="A674" s="48"/>
      <c r="AP674" s="308"/>
    </row>
    <row r="675" spans="1:44" x14ac:dyDescent="0.2">
      <c r="A675" s="48"/>
      <c r="AP675" s="308"/>
    </row>
    <row r="676" spans="1:44" x14ac:dyDescent="0.2">
      <c r="A676" s="48"/>
      <c r="AP676" s="308"/>
      <c r="AQ676" s="308"/>
      <c r="AR676" s="308"/>
    </row>
    <row r="677" spans="1:44" x14ac:dyDescent="0.2">
      <c r="A677" s="48"/>
      <c r="AP677" s="308"/>
      <c r="AQ677" s="308"/>
      <c r="AR677" s="308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50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50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50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50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50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50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50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50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50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50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50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4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50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4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50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50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50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50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50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50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50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50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50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50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50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50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50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4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50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  <c r="AQ703" s="21"/>
      <c r="AR703" s="21"/>
    </row>
    <row r="704" spans="1:44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50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  <c r="AQ704" s="21"/>
      <c r="AR704" s="21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</row>
    <row r="717" spans="1:42" x14ac:dyDescent="0.2">
      <c r="A717" s="48"/>
    </row>
    <row r="718" spans="1:42" x14ac:dyDescent="0.2">
      <c r="A718" s="48"/>
    </row>
    <row r="719" spans="1:42" x14ac:dyDescent="0.2">
      <c r="A719" s="48"/>
    </row>
    <row r="720" spans="1:42" x14ac:dyDescent="0.2">
      <c r="A720" s="48"/>
    </row>
    <row r="721" spans="1:42" x14ac:dyDescent="0.2">
      <c r="A721" s="4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  <c r="AP724" s="30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</row>
    <row r="752" spans="1:42" x14ac:dyDescent="0.2">
      <c r="A752" s="48"/>
    </row>
    <row r="753" spans="1:45" x14ac:dyDescent="0.2">
      <c r="A753" s="48"/>
    </row>
    <row r="754" spans="1:45" s="308" customFormat="1" x14ac:dyDescent="0.2">
      <c r="A754" s="48"/>
      <c r="C754" s="263"/>
      <c r="D754" s="263"/>
      <c r="E754" s="53"/>
      <c r="F754" s="13"/>
      <c r="G754" s="13"/>
      <c r="H754" s="53"/>
      <c r="I754" s="298"/>
      <c r="J754" s="21"/>
      <c r="K754" s="21"/>
      <c r="L754" s="13"/>
      <c r="M754" s="50"/>
      <c r="N754" s="97"/>
      <c r="O754" s="50"/>
      <c r="P754" s="50"/>
      <c r="Q754" s="316"/>
      <c r="R754" s="285"/>
      <c r="S754" s="21"/>
      <c r="T754" s="13"/>
      <c r="U754" s="13"/>
      <c r="V754" s="21"/>
      <c r="W754" s="21"/>
      <c r="X754" s="21"/>
      <c r="Y754" s="260"/>
      <c r="Z754" s="177"/>
      <c r="AA754" s="177"/>
      <c r="AB754" s="50"/>
      <c r="AC754" s="64"/>
      <c r="AD754" s="50"/>
      <c r="AE754" s="50"/>
      <c r="AF754" s="19"/>
      <c r="AG754" s="120"/>
      <c r="AH754" s="119"/>
      <c r="AI754" s="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</row>
    <row r="755" spans="1:45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6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50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</sheetData>
  <autoFilter ref="A5:AG275"/>
  <sortState ref="B6:T138">
    <sortCondition ref="C6:C138"/>
  </sortState>
  <mergeCells count="1">
    <mergeCell ref="AC4:AF4"/>
  </mergeCells>
  <printOptions horizontalCentered="1" gridLines="1"/>
  <pageMargins left="0" right="0" top="0" bottom="0" header="0" footer="0"/>
  <pageSetup scale="25" fitToHeight="2" orientation="portrait" r:id="rId1"/>
  <headerFooter alignWithMargins="0">
    <oddFooter>&amp;L&amp;F / &amp;A&amp;R&amp;P / &amp;N</oddFooter>
  </headerFooter>
  <ignoredErrors>
    <ignoredError sqref="S282:S28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28"/>
  <sheetViews>
    <sheetView topLeftCell="V79" workbookViewId="0">
      <selection activeCell="AC86" sqref="AC86:AF86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1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3.85546875" style="652" bestFit="1" customWidth="1"/>
    <col min="29" max="29" width="9.855468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" style="19" bestFit="1" customWidth="1"/>
    <col min="33" max="33" width="11.425781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1274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1933</v>
      </c>
      <c r="V4" s="67"/>
      <c r="W4" s="67"/>
      <c r="Y4" s="21"/>
      <c r="Z4" s="260"/>
      <c r="AB4" s="634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536" t="s">
        <v>1319</v>
      </c>
      <c r="C6" s="537">
        <v>520220</v>
      </c>
      <c r="D6" s="538">
        <v>1794</v>
      </c>
      <c r="E6" s="537" t="s">
        <v>687</v>
      </c>
      <c r="F6" s="539">
        <v>2017</v>
      </c>
      <c r="G6" s="540">
        <v>42781</v>
      </c>
      <c r="H6" s="537" t="s">
        <v>819</v>
      </c>
      <c r="I6" s="537" t="s">
        <v>1547</v>
      </c>
      <c r="J6" s="537" t="s">
        <v>724</v>
      </c>
      <c r="K6" s="537" t="s">
        <v>830</v>
      </c>
      <c r="L6" s="537" t="s">
        <v>1809</v>
      </c>
      <c r="M6" s="541">
        <v>262226.93</v>
      </c>
      <c r="N6" s="541">
        <v>2859.28</v>
      </c>
      <c r="O6" s="541">
        <v>42413.79</v>
      </c>
      <c r="P6" s="541">
        <v>307500</v>
      </c>
      <c r="Q6" s="541"/>
      <c r="R6" s="541">
        <v>225108.65</v>
      </c>
      <c r="S6" s="542">
        <f t="shared" ref="S6:S69" si="0">+P6-R6</f>
        <v>82391.350000000006</v>
      </c>
      <c r="T6" s="267" t="s">
        <v>1932</v>
      </c>
      <c r="U6" s="621" t="str">
        <f>+B6</f>
        <v>AA10438</v>
      </c>
      <c r="V6" s="622" t="str">
        <f>+I6</f>
        <v>0440-TCN17</v>
      </c>
      <c r="W6" s="621">
        <f>+C6</f>
        <v>520220</v>
      </c>
      <c r="X6" s="621" t="str">
        <f>+E6</f>
        <v>COROLLA LE AT</v>
      </c>
      <c r="Y6" s="622">
        <f>+F6</f>
        <v>2017</v>
      </c>
      <c r="Z6" s="623">
        <f>+M6</f>
        <v>262226.93</v>
      </c>
      <c r="AA6" s="624"/>
      <c r="AB6" s="636"/>
      <c r="AC6" s="624">
        <f t="shared" ref="AC6:AC15" si="1">VLOOKUP(Z6,TARIFA,1)</f>
        <v>246423.66</v>
      </c>
      <c r="AD6" s="625">
        <f t="shared" ref="AD6:AD43" si="2">VLOOKUP(Z6,TARIFA,4)</f>
        <v>0.05</v>
      </c>
      <c r="AE6" s="624">
        <f t="shared" ref="AE6:AE43" si="3">VLOOKUP(Z6,TARIFA,3)</f>
        <v>4928.3900000000003</v>
      </c>
      <c r="AF6" s="624">
        <f t="shared" ref="AF6:AF30" si="4">IF(Z6&lt;281240.78,(((Z6-AC6)*AD6+AE6)/2),(Z6-AC6)*AD6+AE6)</f>
        <v>2859.27675</v>
      </c>
      <c r="AG6" s="632">
        <f>+N6-AF6</f>
        <v>3.2500000002073648E-3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543" t="s">
        <v>1322</v>
      </c>
      <c r="C7" s="544">
        <v>520220</v>
      </c>
      <c r="D7" s="545">
        <v>1794</v>
      </c>
      <c r="E7" s="544" t="s">
        <v>687</v>
      </c>
      <c r="F7" s="546">
        <v>2017</v>
      </c>
      <c r="G7" s="547">
        <v>42781</v>
      </c>
      <c r="H7" s="544" t="s">
        <v>817</v>
      </c>
      <c r="I7" s="544" t="s">
        <v>1548</v>
      </c>
      <c r="J7" s="544" t="s">
        <v>724</v>
      </c>
      <c r="K7" s="544" t="s">
        <v>1685</v>
      </c>
      <c r="L7" s="544" t="s">
        <v>1810</v>
      </c>
      <c r="M7" s="548">
        <v>262226.93</v>
      </c>
      <c r="N7" s="548">
        <v>2859.28</v>
      </c>
      <c r="O7" s="548">
        <v>42413.79</v>
      </c>
      <c r="P7" s="548">
        <v>307500</v>
      </c>
      <c r="Q7" s="548"/>
      <c r="R7" s="548">
        <v>230475.74</v>
      </c>
      <c r="S7" s="549">
        <f t="shared" si="0"/>
        <v>77024.260000000009</v>
      </c>
      <c r="T7" s="113" t="s">
        <v>1932</v>
      </c>
      <c r="U7" s="626" t="str">
        <f t="shared" ref="U7:U70" si="5">+B7</f>
        <v>AA10440</v>
      </c>
      <c r="V7" s="627" t="str">
        <f t="shared" ref="V7:V70" si="6">+I7</f>
        <v>0768-TCN17</v>
      </c>
      <c r="W7" s="626">
        <f t="shared" ref="W7:W70" si="7">+C7</f>
        <v>520220</v>
      </c>
      <c r="X7" s="626" t="str">
        <f t="shared" ref="X7:Y70" si="8">+E7</f>
        <v>COROLLA LE AT</v>
      </c>
      <c r="Y7" s="627">
        <f t="shared" si="8"/>
        <v>2017</v>
      </c>
      <c r="Z7" s="628">
        <f t="shared" ref="Z7:Z70" si="9">+M7</f>
        <v>262226.93</v>
      </c>
      <c r="AA7" s="629"/>
      <c r="AB7" s="637"/>
      <c r="AC7" s="629">
        <f t="shared" si="1"/>
        <v>246423.66</v>
      </c>
      <c r="AD7" s="630">
        <f t="shared" si="2"/>
        <v>0.05</v>
      </c>
      <c r="AE7" s="629">
        <f t="shared" si="3"/>
        <v>4928.3900000000003</v>
      </c>
      <c r="AF7" s="629">
        <f t="shared" si="4"/>
        <v>2859.27675</v>
      </c>
      <c r="AG7" s="555">
        <f t="shared" ref="AG7:AG70" si="10">+N7-AF7</f>
        <v>3.2500000002073648E-3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543" t="s">
        <v>1326</v>
      </c>
      <c r="C8" s="544">
        <v>520220</v>
      </c>
      <c r="D8" s="545">
        <v>1794</v>
      </c>
      <c r="E8" s="544" t="s">
        <v>687</v>
      </c>
      <c r="F8" s="546">
        <v>2017</v>
      </c>
      <c r="G8" s="547">
        <v>42794</v>
      </c>
      <c r="H8" s="544" t="s">
        <v>760</v>
      </c>
      <c r="I8" s="544" t="s">
        <v>1550</v>
      </c>
      <c r="J8" s="544" t="s">
        <v>724</v>
      </c>
      <c r="K8" s="544" t="s">
        <v>1687</v>
      </c>
      <c r="L8" s="544" t="s">
        <v>1812</v>
      </c>
      <c r="M8" s="548">
        <v>262226.93</v>
      </c>
      <c r="N8" s="548">
        <v>2859.28</v>
      </c>
      <c r="O8" s="548">
        <v>42413.79</v>
      </c>
      <c r="P8" s="548">
        <v>307500</v>
      </c>
      <c r="Q8" s="548"/>
      <c r="R8" s="548">
        <v>224798.3</v>
      </c>
      <c r="S8" s="549">
        <f t="shared" si="0"/>
        <v>82701.700000000012</v>
      </c>
      <c r="T8" s="113" t="s">
        <v>1932</v>
      </c>
      <c r="U8" s="626" t="str">
        <f t="shared" si="5"/>
        <v>AA10548</v>
      </c>
      <c r="V8" s="627" t="str">
        <f t="shared" si="6"/>
        <v>0270-TCN17</v>
      </c>
      <c r="W8" s="626">
        <f t="shared" si="7"/>
        <v>520220</v>
      </c>
      <c r="X8" s="626" t="str">
        <f t="shared" si="8"/>
        <v>COROLLA LE AT</v>
      </c>
      <c r="Y8" s="627">
        <f t="shared" si="8"/>
        <v>2017</v>
      </c>
      <c r="Z8" s="628">
        <f t="shared" si="9"/>
        <v>262226.93</v>
      </c>
      <c r="AA8" s="629">
        <f>+Z8+Z7+Z6</f>
        <v>786680.79</v>
      </c>
      <c r="AB8" s="637">
        <v>3</v>
      </c>
      <c r="AC8" s="629">
        <f t="shared" si="1"/>
        <v>246423.66</v>
      </c>
      <c r="AD8" s="630">
        <f t="shared" si="2"/>
        <v>0.05</v>
      </c>
      <c r="AE8" s="629">
        <f t="shared" si="3"/>
        <v>4928.3900000000003</v>
      </c>
      <c r="AF8" s="629">
        <f t="shared" si="4"/>
        <v>2859.27675</v>
      </c>
      <c r="AG8" s="555">
        <f t="shared" si="10"/>
        <v>3.2500000002073648E-3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543" t="s">
        <v>1331</v>
      </c>
      <c r="C9" s="544">
        <v>520222</v>
      </c>
      <c r="D9" s="545">
        <v>1797</v>
      </c>
      <c r="E9" s="544" t="s">
        <v>688</v>
      </c>
      <c r="F9" s="546">
        <v>2017</v>
      </c>
      <c r="G9" s="547">
        <v>42768</v>
      </c>
      <c r="H9" s="544" t="s">
        <v>727</v>
      </c>
      <c r="I9" s="544" t="s">
        <v>1553</v>
      </c>
      <c r="J9" s="544" t="s">
        <v>724</v>
      </c>
      <c r="K9" s="544" t="s">
        <v>758</v>
      </c>
      <c r="L9" s="544" t="s">
        <v>1815</v>
      </c>
      <c r="M9" s="548">
        <v>231905.09</v>
      </c>
      <c r="N9" s="548">
        <v>2319.0500000000002</v>
      </c>
      <c r="O9" s="548">
        <v>37475.86</v>
      </c>
      <c r="P9" s="548">
        <v>271700</v>
      </c>
      <c r="Q9" s="548"/>
      <c r="R9" s="548">
        <v>203953.31</v>
      </c>
      <c r="S9" s="549">
        <f t="shared" si="0"/>
        <v>67746.69</v>
      </c>
      <c r="T9" s="113" t="s">
        <v>1932</v>
      </c>
      <c r="U9" s="626" t="str">
        <f t="shared" si="5"/>
        <v>AA10376</v>
      </c>
      <c r="V9" s="627" t="str">
        <f t="shared" si="6"/>
        <v>0737-TCN17</v>
      </c>
      <c r="W9" s="626">
        <f t="shared" si="7"/>
        <v>520222</v>
      </c>
      <c r="X9" s="626" t="str">
        <f t="shared" si="8"/>
        <v>COROLLA BASE MANUAL</v>
      </c>
      <c r="Y9" s="627">
        <f t="shared" si="8"/>
        <v>2017</v>
      </c>
      <c r="Z9" s="628">
        <f t="shared" si="9"/>
        <v>231905.09</v>
      </c>
      <c r="AA9" s="629"/>
      <c r="AB9" s="637"/>
      <c r="AC9" s="629">
        <f t="shared" si="1"/>
        <v>0.01</v>
      </c>
      <c r="AD9" s="630">
        <f t="shared" si="2"/>
        <v>0.02</v>
      </c>
      <c r="AE9" s="629">
        <f t="shared" si="3"/>
        <v>0</v>
      </c>
      <c r="AF9" s="629">
        <f t="shared" si="4"/>
        <v>2319.0508</v>
      </c>
      <c r="AG9" s="555">
        <f t="shared" si="10"/>
        <v>-7.9999999979918357E-4</v>
      </c>
      <c r="AH9" s="361"/>
      <c r="AI9" s="313"/>
    </row>
    <row r="10" spans="1:45" s="291" customFormat="1" x14ac:dyDescent="0.2">
      <c r="A10" s="423">
        <f t="shared" si="11"/>
        <v>5</v>
      </c>
      <c r="B10" s="543" t="s">
        <v>1332</v>
      </c>
      <c r="C10" s="544">
        <v>520222</v>
      </c>
      <c r="D10" s="545">
        <v>1797</v>
      </c>
      <c r="E10" s="544" t="s">
        <v>688</v>
      </c>
      <c r="F10" s="546">
        <v>2017</v>
      </c>
      <c r="G10" s="547">
        <v>42787</v>
      </c>
      <c r="H10" s="544" t="s">
        <v>774</v>
      </c>
      <c r="I10" s="544" t="s">
        <v>1554</v>
      </c>
      <c r="J10" s="544" t="s">
        <v>724</v>
      </c>
      <c r="K10" s="544" t="s">
        <v>1689</v>
      </c>
      <c r="L10" s="544" t="s">
        <v>1816</v>
      </c>
      <c r="M10" s="548">
        <v>231905.09</v>
      </c>
      <c r="N10" s="548">
        <v>2319.0500000000002</v>
      </c>
      <c r="O10" s="548">
        <v>37475.86</v>
      </c>
      <c r="P10" s="548">
        <v>271700</v>
      </c>
      <c r="Q10" s="548"/>
      <c r="R10" s="548">
        <v>204263.65</v>
      </c>
      <c r="S10" s="549">
        <f t="shared" si="0"/>
        <v>67436.350000000006</v>
      </c>
      <c r="T10" s="445" t="s">
        <v>1932</v>
      </c>
      <c r="U10" s="626" t="str">
        <f t="shared" si="5"/>
        <v>AA10484</v>
      </c>
      <c r="V10" s="627" t="str">
        <f t="shared" si="6"/>
        <v>0844-TCN17</v>
      </c>
      <c r="W10" s="626">
        <f t="shared" si="7"/>
        <v>520222</v>
      </c>
      <c r="X10" s="626" t="str">
        <f t="shared" si="8"/>
        <v>COROLLA BASE MANUAL</v>
      </c>
      <c r="Y10" s="627">
        <f t="shared" si="8"/>
        <v>2017</v>
      </c>
      <c r="Z10" s="628">
        <f t="shared" si="9"/>
        <v>231905.09</v>
      </c>
      <c r="AA10" s="629">
        <f>+Z10+Z9</f>
        <v>463810.18</v>
      </c>
      <c r="AB10" s="637">
        <v>2</v>
      </c>
      <c r="AC10" s="629">
        <f t="shared" si="1"/>
        <v>0.01</v>
      </c>
      <c r="AD10" s="630">
        <f t="shared" si="2"/>
        <v>0.02</v>
      </c>
      <c r="AE10" s="629">
        <f t="shared" si="3"/>
        <v>0</v>
      </c>
      <c r="AF10" s="629">
        <f t="shared" si="4"/>
        <v>2319.0508</v>
      </c>
      <c r="AG10" s="555">
        <f t="shared" si="10"/>
        <v>-7.9999999979918357E-4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543" t="s">
        <v>1310</v>
      </c>
      <c r="C11" s="544">
        <v>520224</v>
      </c>
      <c r="D11" s="545">
        <v>1781</v>
      </c>
      <c r="E11" s="544" t="s">
        <v>690</v>
      </c>
      <c r="F11" s="546">
        <v>2017</v>
      </c>
      <c r="G11" s="547">
        <v>42794</v>
      </c>
      <c r="H11" s="544" t="s">
        <v>792</v>
      </c>
      <c r="I11" s="544" t="s">
        <v>1542</v>
      </c>
      <c r="J11" s="544" t="s">
        <v>724</v>
      </c>
      <c r="K11" s="544" t="s">
        <v>1682</v>
      </c>
      <c r="L11" s="544" t="s">
        <v>1804</v>
      </c>
      <c r="M11" s="548">
        <v>270889.67</v>
      </c>
      <c r="N11" s="548">
        <v>3075.85</v>
      </c>
      <c r="O11" s="548">
        <v>43834.48</v>
      </c>
      <c r="P11" s="548">
        <v>317800</v>
      </c>
      <c r="Q11" s="548"/>
      <c r="R11" s="548">
        <v>238011.5</v>
      </c>
      <c r="S11" s="549">
        <f t="shared" si="0"/>
        <v>79788.5</v>
      </c>
      <c r="T11" s="113" t="s">
        <v>1932</v>
      </c>
      <c r="U11" s="626" t="str">
        <f t="shared" si="5"/>
        <v>AA10534</v>
      </c>
      <c r="V11" s="627" t="str">
        <f t="shared" si="6"/>
        <v>0780-TCN17</v>
      </c>
      <c r="W11" s="626">
        <f t="shared" si="7"/>
        <v>520224</v>
      </c>
      <c r="X11" s="626" t="str">
        <f t="shared" si="8"/>
        <v>COROLLA SE MT</v>
      </c>
      <c r="Y11" s="627">
        <f t="shared" si="8"/>
        <v>2017</v>
      </c>
      <c r="Z11" s="628">
        <f t="shared" si="9"/>
        <v>270889.67</v>
      </c>
      <c r="AA11" s="629">
        <f>+Z11</f>
        <v>270889.67</v>
      </c>
      <c r="AB11" s="637">
        <v>1</v>
      </c>
      <c r="AC11" s="629">
        <f t="shared" si="1"/>
        <v>246423.66</v>
      </c>
      <c r="AD11" s="630">
        <f t="shared" si="2"/>
        <v>0.05</v>
      </c>
      <c r="AE11" s="629">
        <f t="shared" si="3"/>
        <v>4928.3900000000003</v>
      </c>
      <c r="AF11" s="629">
        <f t="shared" si="4"/>
        <v>3075.8452499999999</v>
      </c>
      <c r="AG11" s="555">
        <f t="shared" si="10"/>
        <v>4.7500000000582077E-3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543" t="s">
        <v>1315</v>
      </c>
      <c r="C12" s="544">
        <v>520226</v>
      </c>
      <c r="D12" s="545">
        <v>1783</v>
      </c>
      <c r="E12" s="544" t="s">
        <v>692</v>
      </c>
      <c r="F12" s="546">
        <v>2017</v>
      </c>
      <c r="G12" s="547">
        <v>42794</v>
      </c>
      <c r="H12" s="544" t="s">
        <v>727</v>
      </c>
      <c r="I12" s="544" t="s">
        <v>1545</v>
      </c>
      <c r="J12" s="544" t="s">
        <v>724</v>
      </c>
      <c r="K12" s="544" t="s">
        <v>1683</v>
      </c>
      <c r="L12" s="544" t="s">
        <v>1807</v>
      </c>
      <c r="M12" s="548">
        <v>290284.12</v>
      </c>
      <c r="N12" s="548">
        <v>3560.71</v>
      </c>
      <c r="O12" s="548">
        <v>47015.17</v>
      </c>
      <c r="P12" s="548">
        <v>340860</v>
      </c>
      <c r="Q12" s="548"/>
      <c r="R12" s="548">
        <v>264669</v>
      </c>
      <c r="S12" s="549">
        <f t="shared" si="0"/>
        <v>76191</v>
      </c>
      <c r="T12" s="444" t="s">
        <v>1932</v>
      </c>
      <c r="U12" s="626" t="str">
        <f t="shared" si="5"/>
        <v>AA10554</v>
      </c>
      <c r="V12" s="627" t="str">
        <f t="shared" si="6"/>
        <v>0855-TCN17</v>
      </c>
      <c r="W12" s="626">
        <f t="shared" si="7"/>
        <v>520226</v>
      </c>
      <c r="X12" s="626" t="str">
        <f t="shared" si="8"/>
        <v>COROLLA SE  PLUS  AT</v>
      </c>
      <c r="Y12" s="627">
        <f t="shared" si="8"/>
        <v>2017</v>
      </c>
      <c r="Z12" s="628">
        <f t="shared" si="9"/>
        <v>290284.12</v>
      </c>
      <c r="AA12" s="629">
        <f>+Z12</f>
        <v>290284.12</v>
      </c>
      <c r="AB12" s="637">
        <v>1</v>
      </c>
      <c r="AC12" s="629">
        <f t="shared" ref="AC12" si="12">VLOOKUP(Z12,TARIFA,1)</f>
        <v>246423.66</v>
      </c>
      <c r="AD12" s="630">
        <f t="shared" ref="AD12" si="13">VLOOKUP(Z12,TARIFA,4)</f>
        <v>0.05</v>
      </c>
      <c r="AE12" s="629">
        <f t="shared" ref="AE12" si="14">VLOOKUP(Z12,TARIFA,3)</f>
        <v>4928.3900000000003</v>
      </c>
      <c r="AF12" s="629">
        <f t="shared" ref="AF12" si="15">IF(Z12&lt;281240.78,(((Z12-AC12)*AD12+AE12)/2),(Z12-AC12)*AD12+AE12)</f>
        <v>7121.4130000000005</v>
      </c>
      <c r="AG12" s="555">
        <f t="shared" si="10"/>
        <v>-3560.7030000000004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543" t="s">
        <v>1405</v>
      </c>
      <c r="C13" s="544">
        <v>520512</v>
      </c>
      <c r="D13" s="545">
        <v>5394</v>
      </c>
      <c r="E13" s="544" t="s">
        <v>223</v>
      </c>
      <c r="F13" s="546">
        <v>2017</v>
      </c>
      <c r="G13" s="547">
        <v>42782</v>
      </c>
      <c r="H13" s="544" t="s">
        <v>764</v>
      </c>
      <c r="I13" s="544" t="s">
        <v>1604</v>
      </c>
      <c r="J13" s="544" t="s">
        <v>724</v>
      </c>
      <c r="K13" s="544" t="s">
        <v>1727</v>
      </c>
      <c r="L13" s="544" t="s">
        <v>1866</v>
      </c>
      <c r="M13" s="548">
        <v>432186.08</v>
      </c>
      <c r="N13" s="548">
        <v>25400.13</v>
      </c>
      <c r="O13" s="548">
        <v>73213.789999999994</v>
      </c>
      <c r="P13" s="548">
        <v>530800</v>
      </c>
      <c r="Q13" s="548"/>
      <c r="R13" s="548">
        <v>383104.33</v>
      </c>
      <c r="S13" s="549">
        <f t="shared" si="0"/>
        <v>147695.66999999998</v>
      </c>
      <c r="T13" s="267" t="s">
        <v>1932</v>
      </c>
      <c r="U13" s="626" t="str">
        <f t="shared" si="5"/>
        <v>AA10450</v>
      </c>
      <c r="V13" s="627" t="str">
        <f t="shared" si="6"/>
        <v>0804-TCN17</v>
      </c>
      <c r="W13" s="626">
        <f t="shared" si="7"/>
        <v>520512</v>
      </c>
      <c r="X13" s="626" t="str">
        <f t="shared" si="8"/>
        <v>SIENNA LE</v>
      </c>
      <c r="Y13" s="627">
        <f t="shared" si="8"/>
        <v>2017</v>
      </c>
      <c r="Z13" s="628">
        <f t="shared" si="9"/>
        <v>432186.08</v>
      </c>
      <c r="AA13" s="629"/>
      <c r="AB13" s="637"/>
      <c r="AC13" s="629">
        <f t="shared" si="1"/>
        <v>344993.21</v>
      </c>
      <c r="AD13" s="630">
        <f t="shared" si="2"/>
        <v>0.15</v>
      </c>
      <c r="AE13" s="629">
        <f t="shared" si="3"/>
        <v>12321.2</v>
      </c>
      <c r="AF13" s="629">
        <f t="shared" si="4"/>
        <v>25400.130499999999</v>
      </c>
      <c r="AG13" s="555">
        <f t="shared" si="10"/>
        <v>-4.99999998282874E-4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543" t="s">
        <v>1404</v>
      </c>
      <c r="C14" s="544">
        <v>520512</v>
      </c>
      <c r="D14" s="545">
        <v>5394</v>
      </c>
      <c r="E14" s="544" t="s">
        <v>223</v>
      </c>
      <c r="F14" s="546">
        <v>2017</v>
      </c>
      <c r="G14" s="547">
        <v>42779</v>
      </c>
      <c r="H14" s="544" t="s">
        <v>788</v>
      </c>
      <c r="I14" s="544" t="s">
        <v>1603</v>
      </c>
      <c r="J14" s="544" t="s">
        <v>724</v>
      </c>
      <c r="K14" s="544" t="s">
        <v>1726</v>
      </c>
      <c r="L14" s="544" t="s">
        <v>1865</v>
      </c>
      <c r="M14" s="548">
        <v>432186.08</v>
      </c>
      <c r="N14" s="548">
        <v>25400.13</v>
      </c>
      <c r="O14" s="548">
        <v>73213.789999999994</v>
      </c>
      <c r="P14" s="548">
        <v>530800</v>
      </c>
      <c r="Q14" s="548"/>
      <c r="R14" s="548">
        <v>382748.85</v>
      </c>
      <c r="S14" s="549">
        <f t="shared" si="0"/>
        <v>148051.15000000002</v>
      </c>
      <c r="T14" s="267" t="s">
        <v>1932</v>
      </c>
      <c r="U14" s="626" t="str">
        <f t="shared" si="5"/>
        <v>AA10420</v>
      </c>
      <c r="V14" s="627" t="str">
        <f t="shared" si="6"/>
        <v>0803-TCN17</v>
      </c>
      <c r="W14" s="626">
        <f t="shared" si="7"/>
        <v>520512</v>
      </c>
      <c r="X14" s="626" t="str">
        <f t="shared" si="8"/>
        <v>SIENNA LE</v>
      </c>
      <c r="Y14" s="627">
        <f t="shared" si="8"/>
        <v>2017</v>
      </c>
      <c r="Z14" s="628">
        <f t="shared" si="9"/>
        <v>432186.08</v>
      </c>
      <c r="AA14" s="629">
        <f>+Z14+Z13</f>
        <v>864372.16</v>
      </c>
      <c r="AB14" s="637">
        <v>2</v>
      </c>
      <c r="AC14" s="629">
        <f t="shared" si="1"/>
        <v>344993.21</v>
      </c>
      <c r="AD14" s="630">
        <f t="shared" si="2"/>
        <v>0.15</v>
      </c>
      <c r="AE14" s="629">
        <f t="shared" si="3"/>
        <v>12321.2</v>
      </c>
      <c r="AF14" s="629">
        <f t="shared" si="4"/>
        <v>25400.130499999999</v>
      </c>
      <c r="AG14" s="555">
        <f t="shared" si="10"/>
        <v>-4.99999998282874E-4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543" t="s">
        <v>1410</v>
      </c>
      <c r="C15" s="544">
        <v>520513</v>
      </c>
      <c r="D15" s="545">
        <v>5396</v>
      </c>
      <c r="E15" s="544" t="s">
        <v>132</v>
      </c>
      <c r="F15" s="546">
        <v>2017</v>
      </c>
      <c r="G15" s="547">
        <v>42794</v>
      </c>
      <c r="H15" s="544" t="s">
        <v>727</v>
      </c>
      <c r="I15" s="544" t="s">
        <v>1605</v>
      </c>
      <c r="J15" s="544" t="s">
        <v>724</v>
      </c>
      <c r="K15" s="544" t="s">
        <v>1683</v>
      </c>
      <c r="L15" s="544" t="s">
        <v>1867</v>
      </c>
      <c r="M15" s="548">
        <v>470326.34</v>
      </c>
      <c r="N15" s="548">
        <v>31656.42</v>
      </c>
      <c r="O15" s="548">
        <v>80317.240000000005</v>
      </c>
      <c r="P15" s="548">
        <v>582300</v>
      </c>
      <c r="Q15" s="548"/>
      <c r="R15" s="548">
        <v>416294.36</v>
      </c>
      <c r="S15" s="549">
        <f t="shared" si="0"/>
        <v>166005.64000000001</v>
      </c>
      <c r="T15" s="113" t="s">
        <v>1932</v>
      </c>
      <c r="U15" s="626" t="str">
        <f t="shared" si="5"/>
        <v>AA10552</v>
      </c>
      <c r="V15" s="627" t="str">
        <f t="shared" si="6"/>
        <v>0897-TCN17</v>
      </c>
      <c r="W15" s="626">
        <f t="shared" si="7"/>
        <v>520513</v>
      </c>
      <c r="X15" s="626" t="str">
        <f t="shared" si="8"/>
        <v>SIENNA XLE</v>
      </c>
      <c r="Y15" s="627">
        <f t="shared" si="8"/>
        <v>2017</v>
      </c>
      <c r="Z15" s="628">
        <f t="shared" si="9"/>
        <v>470326.34</v>
      </c>
      <c r="AA15" s="629">
        <f>+Z15</f>
        <v>470326.34</v>
      </c>
      <c r="AB15" s="637">
        <v>1</v>
      </c>
      <c r="AC15" s="629">
        <f t="shared" si="1"/>
        <v>443562.4</v>
      </c>
      <c r="AD15" s="630">
        <f t="shared" si="2"/>
        <v>0.17</v>
      </c>
      <c r="AE15" s="629">
        <f t="shared" si="3"/>
        <v>27106.55</v>
      </c>
      <c r="AF15" s="629">
        <f t="shared" si="4"/>
        <v>31656.4198</v>
      </c>
      <c r="AG15" s="555">
        <f t="shared" si="10"/>
        <v>1.9999999858555384E-4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543" t="s">
        <v>1417</v>
      </c>
      <c r="C16" s="544">
        <v>520514</v>
      </c>
      <c r="D16" s="545">
        <v>5398</v>
      </c>
      <c r="E16" s="544" t="s">
        <v>117</v>
      </c>
      <c r="F16" s="546">
        <v>2017</v>
      </c>
      <c r="G16" s="547">
        <v>42776</v>
      </c>
      <c r="H16" s="544" t="s">
        <v>727</v>
      </c>
      <c r="I16" s="544" t="s">
        <v>1608</v>
      </c>
      <c r="J16" s="544" t="s">
        <v>724</v>
      </c>
      <c r="K16" s="544" t="s">
        <v>803</v>
      </c>
      <c r="L16" s="544" t="s">
        <v>1870</v>
      </c>
      <c r="M16" s="548">
        <v>515345.49</v>
      </c>
      <c r="N16" s="548">
        <v>39309.68</v>
      </c>
      <c r="O16" s="548">
        <v>88744.83</v>
      </c>
      <c r="P16" s="548">
        <v>643400</v>
      </c>
      <c r="Q16" s="548"/>
      <c r="R16" s="548">
        <v>455867.08</v>
      </c>
      <c r="S16" s="549">
        <f t="shared" si="0"/>
        <v>187532.91999999998</v>
      </c>
      <c r="T16" s="113" t="s">
        <v>1932</v>
      </c>
      <c r="U16" s="626" t="str">
        <f t="shared" si="5"/>
        <v>AA10406</v>
      </c>
      <c r="V16" s="627" t="str">
        <f t="shared" si="6"/>
        <v>0787-TCN17</v>
      </c>
      <c r="W16" s="626">
        <f t="shared" si="7"/>
        <v>520514</v>
      </c>
      <c r="X16" s="626" t="str">
        <f t="shared" si="8"/>
        <v>SIENNA XLE PIEL</v>
      </c>
      <c r="Y16" s="627">
        <f t="shared" si="8"/>
        <v>2017</v>
      </c>
      <c r="Z16" s="628">
        <f t="shared" si="9"/>
        <v>515345.49</v>
      </c>
      <c r="AA16" s="629"/>
      <c r="AB16" s="637"/>
      <c r="AC16" s="629">
        <f t="shared" ref="AC16" si="16">VLOOKUP(Z16,TARIFA,1)</f>
        <v>443562.4</v>
      </c>
      <c r="AD16" s="630">
        <f t="shared" ref="AD16" si="17">VLOOKUP(Z16,TARIFA,4)</f>
        <v>0.17</v>
      </c>
      <c r="AE16" s="629">
        <f t="shared" ref="AE16" si="18">VLOOKUP(Z16,TARIFA,3)</f>
        <v>27106.55</v>
      </c>
      <c r="AF16" s="629">
        <f t="shared" ref="AF16" si="19">IF(Z16&lt;281240.78,(((Z16-AC16)*AD16+AE16)/2),(Z16-AC16)*AD16+AE16)</f>
        <v>39309.675299999995</v>
      </c>
      <c r="AG16" s="555">
        <f t="shared" si="10"/>
        <v>4.7000000049592927E-3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543" t="s">
        <v>1415</v>
      </c>
      <c r="C17" s="544">
        <v>520514</v>
      </c>
      <c r="D17" s="545">
        <v>5398</v>
      </c>
      <c r="E17" s="544" t="s">
        <v>117</v>
      </c>
      <c r="F17" s="546">
        <v>2017</v>
      </c>
      <c r="G17" s="547">
        <v>42776</v>
      </c>
      <c r="H17" s="544" t="s">
        <v>727</v>
      </c>
      <c r="I17" s="544" t="s">
        <v>1606</v>
      </c>
      <c r="J17" s="544" t="s">
        <v>724</v>
      </c>
      <c r="K17" s="544" t="s">
        <v>803</v>
      </c>
      <c r="L17" s="544" t="s">
        <v>1868</v>
      </c>
      <c r="M17" s="548">
        <v>515345.49</v>
      </c>
      <c r="N17" s="548">
        <v>39309.68</v>
      </c>
      <c r="O17" s="548">
        <v>88744.83</v>
      </c>
      <c r="P17" s="548">
        <v>643400</v>
      </c>
      <c r="Q17" s="548"/>
      <c r="R17" s="548">
        <v>455867.08</v>
      </c>
      <c r="S17" s="549">
        <f t="shared" si="0"/>
        <v>187532.91999999998</v>
      </c>
      <c r="T17" s="267" t="s">
        <v>1932</v>
      </c>
      <c r="U17" s="626" t="str">
        <f t="shared" si="5"/>
        <v>AA10404</v>
      </c>
      <c r="V17" s="627" t="str">
        <f t="shared" si="6"/>
        <v>0722-TCN17</v>
      </c>
      <c r="W17" s="626">
        <f t="shared" si="7"/>
        <v>520514</v>
      </c>
      <c r="X17" s="626" t="str">
        <f t="shared" si="8"/>
        <v>SIENNA XLE PIEL</v>
      </c>
      <c r="Y17" s="627">
        <f t="shared" si="8"/>
        <v>2017</v>
      </c>
      <c r="Z17" s="628">
        <f t="shared" si="9"/>
        <v>515345.49</v>
      </c>
      <c r="AA17" s="629"/>
      <c r="AB17" s="637"/>
      <c r="AC17" s="629">
        <f t="shared" ref="AC17:AC18" si="20">VLOOKUP(Z17,TARIFA,1)</f>
        <v>443562.4</v>
      </c>
      <c r="AD17" s="630">
        <f t="shared" ref="AD17:AD18" si="21">VLOOKUP(Z17,TARIFA,4)</f>
        <v>0.17</v>
      </c>
      <c r="AE17" s="629">
        <f t="shared" ref="AE17:AE18" si="22">VLOOKUP(Z17,TARIFA,3)</f>
        <v>27106.55</v>
      </c>
      <c r="AF17" s="629">
        <f t="shared" ref="AF17:AF18" si="23">IF(Z17&lt;281240.78,(((Z17-AC17)*AD17+AE17)/2),(Z17-AC17)*AD17+AE17)</f>
        <v>39309.675299999995</v>
      </c>
      <c r="AG17" s="555">
        <f t="shared" si="10"/>
        <v>4.7000000049592927E-3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543" t="s">
        <v>1416</v>
      </c>
      <c r="C18" s="544">
        <v>520514</v>
      </c>
      <c r="D18" s="545">
        <v>5398</v>
      </c>
      <c r="E18" s="544" t="s">
        <v>117</v>
      </c>
      <c r="F18" s="546">
        <v>2017</v>
      </c>
      <c r="G18" s="547">
        <v>42776</v>
      </c>
      <c r="H18" s="544" t="s">
        <v>727</v>
      </c>
      <c r="I18" s="544" t="s">
        <v>1607</v>
      </c>
      <c r="J18" s="544" t="s">
        <v>724</v>
      </c>
      <c r="K18" s="544" t="s">
        <v>803</v>
      </c>
      <c r="L18" s="544" t="s">
        <v>1869</v>
      </c>
      <c r="M18" s="548">
        <v>515345.49</v>
      </c>
      <c r="N18" s="548">
        <v>39309.68</v>
      </c>
      <c r="O18" s="548">
        <v>88744.83</v>
      </c>
      <c r="P18" s="548">
        <v>643400</v>
      </c>
      <c r="Q18" s="548"/>
      <c r="R18" s="548">
        <v>455867.08</v>
      </c>
      <c r="S18" s="549">
        <f t="shared" si="0"/>
        <v>187532.91999999998</v>
      </c>
      <c r="T18" s="113" t="s">
        <v>1932</v>
      </c>
      <c r="U18" s="626" t="str">
        <f t="shared" si="5"/>
        <v>AA10405</v>
      </c>
      <c r="V18" s="627" t="str">
        <f t="shared" si="6"/>
        <v>0786-TCN17</v>
      </c>
      <c r="W18" s="626">
        <f t="shared" si="7"/>
        <v>520514</v>
      </c>
      <c r="X18" s="626" t="str">
        <f t="shared" si="8"/>
        <v>SIENNA XLE PIEL</v>
      </c>
      <c r="Y18" s="627">
        <f t="shared" si="8"/>
        <v>2017</v>
      </c>
      <c r="Z18" s="628">
        <f t="shared" si="9"/>
        <v>515345.49</v>
      </c>
      <c r="AA18" s="629">
        <f>+Z18+Z17+Z16</f>
        <v>1546036.47</v>
      </c>
      <c r="AB18" s="637">
        <v>3</v>
      </c>
      <c r="AC18" s="629">
        <f t="shared" si="20"/>
        <v>443562.4</v>
      </c>
      <c r="AD18" s="630">
        <f t="shared" si="21"/>
        <v>0.17</v>
      </c>
      <c r="AE18" s="629">
        <f t="shared" si="22"/>
        <v>27106.55</v>
      </c>
      <c r="AF18" s="629">
        <f t="shared" si="23"/>
        <v>39309.675299999995</v>
      </c>
      <c r="AG18" s="555">
        <f t="shared" si="10"/>
        <v>4.7000000049592927E-3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543" t="s">
        <v>1418</v>
      </c>
      <c r="C19" s="544">
        <v>520515</v>
      </c>
      <c r="D19" s="545">
        <v>5399</v>
      </c>
      <c r="E19" s="544" t="s">
        <v>267</v>
      </c>
      <c r="F19" s="546">
        <v>2017</v>
      </c>
      <c r="G19" s="547">
        <v>42775</v>
      </c>
      <c r="H19" s="544" t="s">
        <v>817</v>
      </c>
      <c r="I19" s="544" t="s">
        <v>1609</v>
      </c>
      <c r="J19" s="544" t="s">
        <v>724</v>
      </c>
      <c r="K19" s="544" t="s">
        <v>1729</v>
      </c>
      <c r="L19" s="544" t="s">
        <v>1871</v>
      </c>
      <c r="M19" s="548">
        <v>615772.84</v>
      </c>
      <c r="N19" s="548">
        <v>56382.33</v>
      </c>
      <c r="O19" s="548">
        <v>107544.83</v>
      </c>
      <c r="P19" s="548">
        <v>779700</v>
      </c>
      <c r="Q19" s="548"/>
      <c r="R19" s="548">
        <v>544597.63</v>
      </c>
      <c r="S19" s="549">
        <f t="shared" si="0"/>
        <v>235102.37</v>
      </c>
      <c r="T19" s="113" t="s">
        <v>1932</v>
      </c>
      <c r="U19" s="626" t="str">
        <f t="shared" si="5"/>
        <v>AA10401</v>
      </c>
      <c r="V19" s="627" t="str">
        <f t="shared" si="6"/>
        <v>0781-TCN17</v>
      </c>
      <c r="W19" s="626">
        <f t="shared" si="7"/>
        <v>520515</v>
      </c>
      <c r="X19" s="626" t="str">
        <f t="shared" si="8"/>
        <v>SIENNA LIMITED</v>
      </c>
      <c r="Y19" s="627">
        <f t="shared" si="8"/>
        <v>2017</v>
      </c>
      <c r="Z19" s="628">
        <f t="shared" si="9"/>
        <v>615772.84</v>
      </c>
      <c r="AA19" s="629">
        <f>+Z19</f>
        <v>615772.84</v>
      </c>
      <c r="AB19" s="637">
        <v>1</v>
      </c>
      <c r="AC19" s="629">
        <f t="shared" ref="AC19:AC20" si="24">VLOOKUP(Z19,TARIFA,1)</f>
        <v>443562.4</v>
      </c>
      <c r="AD19" s="630">
        <f t="shared" ref="AD19:AD20" si="25">VLOOKUP(Z19,TARIFA,4)</f>
        <v>0.17</v>
      </c>
      <c r="AE19" s="629">
        <f t="shared" ref="AE19:AE20" si="26">VLOOKUP(Z19,TARIFA,3)</f>
        <v>27106.55</v>
      </c>
      <c r="AF19" s="629">
        <f t="shared" ref="AF19:AF20" si="27">IF(Z19&lt;281240.78,(((Z19-AC19)*AD19+AE19)/2),(Z19-AC19)*AD19+AE19)</f>
        <v>56382.324799999988</v>
      </c>
      <c r="AG19" s="555">
        <f t="shared" si="10"/>
        <v>5.2000000141561031E-3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543" t="s">
        <v>1393</v>
      </c>
      <c r="C20" s="544">
        <v>520814</v>
      </c>
      <c r="D20" s="545">
        <v>4493</v>
      </c>
      <c r="E20" s="544" t="s">
        <v>693</v>
      </c>
      <c r="F20" s="546">
        <v>2017</v>
      </c>
      <c r="G20" s="547">
        <v>42787</v>
      </c>
      <c r="H20" s="544" t="s">
        <v>743</v>
      </c>
      <c r="I20" s="544" t="s">
        <v>1594</v>
      </c>
      <c r="J20" s="544" t="s">
        <v>724</v>
      </c>
      <c r="K20" s="544" t="s">
        <v>1719</v>
      </c>
      <c r="L20" s="544" t="s">
        <v>1856</v>
      </c>
      <c r="M20" s="548">
        <v>306995.76</v>
      </c>
      <c r="N20" s="548">
        <v>8521.48</v>
      </c>
      <c r="O20" s="548">
        <v>50482.76</v>
      </c>
      <c r="P20" s="548">
        <v>366000</v>
      </c>
      <c r="Q20" s="548"/>
      <c r="R20" s="548">
        <v>269095.08</v>
      </c>
      <c r="S20" s="549">
        <f t="shared" si="0"/>
        <v>96904.919999999984</v>
      </c>
      <c r="T20" s="113" t="s">
        <v>1932</v>
      </c>
      <c r="U20" s="626" t="str">
        <f t="shared" si="5"/>
        <v>AA10485</v>
      </c>
      <c r="V20" s="627" t="str">
        <f t="shared" si="6"/>
        <v>0837-TCN17</v>
      </c>
      <c r="W20" s="626">
        <f t="shared" si="7"/>
        <v>520814</v>
      </c>
      <c r="X20" s="626" t="str">
        <f t="shared" si="8"/>
        <v>RAV4 4X2  SUV  LE</v>
      </c>
      <c r="Y20" s="627">
        <f t="shared" si="8"/>
        <v>2017</v>
      </c>
      <c r="Z20" s="628">
        <f t="shared" si="9"/>
        <v>306995.76</v>
      </c>
      <c r="AA20" s="629"/>
      <c r="AB20" s="637"/>
      <c r="AC20" s="629">
        <f t="shared" si="24"/>
        <v>295708.34000000003</v>
      </c>
      <c r="AD20" s="630">
        <f t="shared" si="25"/>
        <v>0.1</v>
      </c>
      <c r="AE20" s="629">
        <f t="shared" si="26"/>
        <v>7392.74</v>
      </c>
      <c r="AF20" s="629">
        <f t="shared" si="27"/>
        <v>8521.4819999999982</v>
      </c>
      <c r="AG20" s="555">
        <f t="shared" si="10"/>
        <v>-1.9999999985884642E-3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543" t="s">
        <v>1396</v>
      </c>
      <c r="C21" s="544">
        <v>520814</v>
      </c>
      <c r="D21" s="545">
        <v>4493</v>
      </c>
      <c r="E21" s="544" t="s">
        <v>693</v>
      </c>
      <c r="F21" s="546">
        <v>2017</v>
      </c>
      <c r="G21" s="547">
        <v>42794</v>
      </c>
      <c r="H21" s="544" t="s">
        <v>788</v>
      </c>
      <c r="I21" s="544" t="s">
        <v>1597</v>
      </c>
      <c r="J21" s="544" t="s">
        <v>724</v>
      </c>
      <c r="K21" s="544" t="s">
        <v>1721</v>
      </c>
      <c r="L21" s="544" t="s">
        <v>1859</v>
      </c>
      <c r="M21" s="548">
        <v>306995.76</v>
      </c>
      <c r="N21" s="548">
        <v>8521.48</v>
      </c>
      <c r="O21" s="548">
        <v>50482.76</v>
      </c>
      <c r="P21" s="548">
        <v>366000</v>
      </c>
      <c r="Q21" s="548"/>
      <c r="R21" s="548">
        <v>269450.40999999997</v>
      </c>
      <c r="S21" s="549">
        <f t="shared" si="0"/>
        <v>96549.590000000026</v>
      </c>
      <c r="T21" s="113" t="s">
        <v>1932</v>
      </c>
      <c r="U21" s="626" t="str">
        <f t="shared" si="5"/>
        <v>AA10540</v>
      </c>
      <c r="V21" s="627" t="str">
        <f t="shared" si="6"/>
        <v>0886-TCN17</v>
      </c>
      <c r="W21" s="626">
        <f t="shared" si="7"/>
        <v>520814</v>
      </c>
      <c r="X21" s="626" t="str">
        <f t="shared" si="8"/>
        <v>RAV4 4X2  SUV  LE</v>
      </c>
      <c r="Y21" s="627">
        <f t="shared" si="8"/>
        <v>2017</v>
      </c>
      <c r="Z21" s="628">
        <f t="shared" si="9"/>
        <v>306995.76</v>
      </c>
      <c r="AA21" s="629"/>
      <c r="AB21" s="637"/>
      <c r="AC21" s="629">
        <f t="shared" ref="AC21:AC84" si="28">VLOOKUP(Z21,TARIFA,1)</f>
        <v>295708.34000000003</v>
      </c>
      <c r="AD21" s="630">
        <f t="shared" si="2"/>
        <v>0.1</v>
      </c>
      <c r="AE21" s="629">
        <f t="shared" si="3"/>
        <v>7392.74</v>
      </c>
      <c r="AF21" s="629">
        <f t="shared" si="4"/>
        <v>8521.4819999999982</v>
      </c>
      <c r="AG21" s="555">
        <f t="shared" si="10"/>
        <v>-1.9999999985884642E-3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543" t="s">
        <v>1395</v>
      </c>
      <c r="C22" s="544">
        <v>520814</v>
      </c>
      <c r="D22" s="545">
        <v>4493</v>
      </c>
      <c r="E22" s="544" t="s">
        <v>693</v>
      </c>
      <c r="F22" s="546">
        <v>2017</v>
      </c>
      <c r="G22" s="547">
        <v>42791</v>
      </c>
      <c r="H22" s="544" t="s">
        <v>739</v>
      </c>
      <c r="I22" s="544" t="s">
        <v>1596</v>
      </c>
      <c r="J22" s="544" t="s">
        <v>724</v>
      </c>
      <c r="K22" s="544" t="s">
        <v>1720</v>
      </c>
      <c r="L22" s="544" t="s">
        <v>1858</v>
      </c>
      <c r="M22" s="548">
        <v>306995.76</v>
      </c>
      <c r="N22" s="548">
        <v>8521.48</v>
      </c>
      <c r="O22" s="548">
        <v>50482.76</v>
      </c>
      <c r="P22" s="548">
        <v>366000</v>
      </c>
      <c r="Q22" s="548"/>
      <c r="R22" s="548">
        <v>269095.08</v>
      </c>
      <c r="S22" s="549">
        <f t="shared" si="0"/>
        <v>96904.919999999984</v>
      </c>
      <c r="T22" s="113" t="s">
        <v>1932</v>
      </c>
      <c r="U22" s="626" t="str">
        <f t="shared" si="5"/>
        <v>AA10519</v>
      </c>
      <c r="V22" s="627" t="str">
        <f t="shared" si="6"/>
        <v>0876-TCN17</v>
      </c>
      <c r="W22" s="626">
        <f t="shared" si="7"/>
        <v>520814</v>
      </c>
      <c r="X22" s="626" t="str">
        <f t="shared" si="8"/>
        <v>RAV4 4X2  SUV  LE</v>
      </c>
      <c r="Y22" s="627">
        <f t="shared" si="8"/>
        <v>2017</v>
      </c>
      <c r="Z22" s="628">
        <f t="shared" si="9"/>
        <v>306995.76</v>
      </c>
      <c r="AA22" s="629">
        <f>+Z22+Z21+Z20</f>
        <v>920987.28</v>
      </c>
      <c r="AB22" s="637">
        <v>3</v>
      </c>
      <c r="AC22" s="629">
        <f t="shared" si="28"/>
        <v>295708.34000000003</v>
      </c>
      <c r="AD22" s="630">
        <f t="shared" si="2"/>
        <v>0.1</v>
      </c>
      <c r="AE22" s="629">
        <f t="shared" si="3"/>
        <v>7392.74</v>
      </c>
      <c r="AF22" s="629">
        <f>IF(Z22&lt;281240.78,(((Z22-AC22)*AD22+AE22)/2),(Z22-AC22)*AD22+AE22)</f>
        <v>8521.4819999999982</v>
      </c>
      <c r="AG22" s="555">
        <f t="shared" si="10"/>
        <v>-1.9999999985884642E-3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543" t="s">
        <v>1388</v>
      </c>
      <c r="C23" s="544">
        <v>520815</v>
      </c>
      <c r="D23" s="545">
        <v>4492</v>
      </c>
      <c r="E23" s="544" t="s">
        <v>694</v>
      </c>
      <c r="F23" s="546">
        <v>2017</v>
      </c>
      <c r="G23" s="547">
        <v>42782</v>
      </c>
      <c r="H23" s="544" t="s">
        <v>788</v>
      </c>
      <c r="I23" s="544" t="s">
        <v>1591</v>
      </c>
      <c r="J23" s="544" t="s">
        <v>724</v>
      </c>
      <c r="K23" s="544" t="s">
        <v>1717</v>
      </c>
      <c r="L23" s="544" t="s">
        <v>1853</v>
      </c>
      <c r="M23" s="548">
        <v>346428.96</v>
      </c>
      <c r="N23" s="548">
        <v>12536.56</v>
      </c>
      <c r="O23" s="548">
        <v>57434.48</v>
      </c>
      <c r="P23" s="548">
        <v>416400</v>
      </c>
      <c r="Q23" s="548"/>
      <c r="R23" s="548">
        <v>303720.68</v>
      </c>
      <c r="S23" s="549">
        <f t="shared" si="0"/>
        <v>112679.32</v>
      </c>
      <c r="T23" s="267" t="s">
        <v>1932</v>
      </c>
      <c r="U23" s="626" t="str">
        <f t="shared" si="5"/>
        <v>AA10445</v>
      </c>
      <c r="V23" s="627" t="str">
        <f t="shared" si="6"/>
        <v>0813-TCN17</v>
      </c>
      <c r="W23" s="626">
        <f t="shared" si="7"/>
        <v>520815</v>
      </c>
      <c r="X23" s="626" t="str">
        <f t="shared" si="8"/>
        <v>RAV4 L4 AWD XLE</v>
      </c>
      <c r="Y23" s="627">
        <f t="shared" si="8"/>
        <v>2017</v>
      </c>
      <c r="Z23" s="628">
        <f t="shared" si="9"/>
        <v>346428.96</v>
      </c>
      <c r="AA23" s="629"/>
      <c r="AB23" s="637"/>
      <c r="AC23" s="629">
        <f t="shared" si="28"/>
        <v>344993.21</v>
      </c>
      <c r="AD23" s="630">
        <f t="shared" si="2"/>
        <v>0.15</v>
      </c>
      <c r="AE23" s="629">
        <f t="shared" si="3"/>
        <v>12321.2</v>
      </c>
      <c r="AF23" s="629">
        <f t="shared" ref="AF23" si="29">IF(Z23&lt;281240.78,(((Z23-AC23)*AD23+AE23)/2),(Z23-AC23)*AD23+AE23)</f>
        <v>12536.5625</v>
      </c>
      <c r="AG23" s="555">
        <f t="shared" si="10"/>
        <v>-2.500000000509317E-3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543" t="s">
        <v>1387</v>
      </c>
      <c r="C24" s="544">
        <v>520815</v>
      </c>
      <c r="D24" s="545">
        <v>4492</v>
      </c>
      <c r="E24" s="544" t="s">
        <v>694</v>
      </c>
      <c r="F24" s="546">
        <v>2017</v>
      </c>
      <c r="G24" s="547">
        <v>42768</v>
      </c>
      <c r="H24" s="544" t="s">
        <v>760</v>
      </c>
      <c r="I24" s="544" t="s">
        <v>1590</v>
      </c>
      <c r="J24" s="544" t="s">
        <v>724</v>
      </c>
      <c r="K24" s="544" t="s">
        <v>842</v>
      </c>
      <c r="L24" s="544" t="s">
        <v>1852</v>
      </c>
      <c r="M24" s="548">
        <v>346428.96</v>
      </c>
      <c r="N24" s="548">
        <v>12536.56</v>
      </c>
      <c r="O24" s="548">
        <v>57434.48</v>
      </c>
      <c r="P24" s="548">
        <v>416400</v>
      </c>
      <c r="Q24" s="548"/>
      <c r="R24" s="548">
        <v>303322.06</v>
      </c>
      <c r="S24" s="549">
        <f t="shared" si="0"/>
        <v>113077.94</v>
      </c>
      <c r="T24" s="113" t="s">
        <v>1932</v>
      </c>
      <c r="U24" s="626" t="str">
        <f t="shared" si="5"/>
        <v>AA10373</v>
      </c>
      <c r="V24" s="627" t="str">
        <f t="shared" si="6"/>
        <v>0774-TCN17</v>
      </c>
      <c r="W24" s="626">
        <f t="shared" si="7"/>
        <v>520815</v>
      </c>
      <c r="X24" s="626" t="str">
        <f t="shared" si="8"/>
        <v>RAV4 L4 AWD XLE</v>
      </c>
      <c r="Y24" s="627">
        <f t="shared" si="8"/>
        <v>2017</v>
      </c>
      <c r="Z24" s="628">
        <f t="shared" si="9"/>
        <v>346428.96</v>
      </c>
      <c r="AA24" s="629"/>
      <c r="AB24" s="637"/>
      <c r="AC24" s="629">
        <f t="shared" si="28"/>
        <v>344993.21</v>
      </c>
      <c r="AD24" s="630">
        <f t="shared" si="2"/>
        <v>0.15</v>
      </c>
      <c r="AE24" s="629">
        <f t="shared" si="3"/>
        <v>12321.2</v>
      </c>
      <c r="AF24" s="629">
        <f t="shared" si="4"/>
        <v>12536.5625</v>
      </c>
      <c r="AG24" s="555">
        <f t="shared" si="10"/>
        <v>-2.500000000509317E-3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543" t="s">
        <v>1391</v>
      </c>
      <c r="C25" s="544">
        <v>520815</v>
      </c>
      <c r="D25" s="545">
        <v>4492</v>
      </c>
      <c r="E25" s="544" t="s">
        <v>694</v>
      </c>
      <c r="F25" s="546">
        <v>2017</v>
      </c>
      <c r="G25" s="547">
        <v>42793</v>
      </c>
      <c r="H25" s="544" t="s">
        <v>747</v>
      </c>
      <c r="I25" s="544" t="s">
        <v>1592</v>
      </c>
      <c r="J25" s="544" t="s">
        <v>724</v>
      </c>
      <c r="K25" s="544" t="s">
        <v>1718</v>
      </c>
      <c r="L25" s="544" t="s">
        <v>1854</v>
      </c>
      <c r="M25" s="548">
        <v>346428.96</v>
      </c>
      <c r="N25" s="548">
        <v>12536.56</v>
      </c>
      <c r="O25" s="548">
        <v>57434.48</v>
      </c>
      <c r="P25" s="548">
        <v>416400</v>
      </c>
      <c r="Q25" s="548"/>
      <c r="R25" s="548">
        <v>303366.2</v>
      </c>
      <c r="S25" s="549">
        <f t="shared" si="0"/>
        <v>113033.79999999999</v>
      </c>
      <c r="T25" s="113" t="s">
        <v>1932</v>
      </c>
      <c r="U25" s="626" t="str">
        <f t="shared" si="5"/>
        <v>AA10533</v>
      </c>
      <c r="V25" s="627" t="str">
        <f t="shared" si="6"/>
        <v>0836-TCN17</v>
      </c>
      <c r="W25" s="626">
        <f t="shared" si="7"/>
        <v>520815</v>
      </c>
      <c r="X25" s="626" t="str">
        <f t="shared" si="8"/>
        <v>RAV4 L4 AWD XLE</v>
      </c>
      <c r="Y25" s="627">
        <f t="shared" si="8"/>
        <v>2017</v>
      </c>
      <c r="Z25" s="628">
        <f t="shared" si="9"/>
        <v>346428.96</v>
      </c>
      <c r="AA25" s="629">
        <f>+Z25+Z24+Z23</f>
        <v>1039286.8800000001</v>
      </c>
      <c r="AB25" s="637">
        <v>3</v>
      </c>
      <c r="AC25" s="629">
        <f t="shared" si="28"/>
        <v>344993.21</v>
      </c>
      <c r="AD25" s="630">
        <f t="shared" si="2"/>
        <v>0.15</v>
      </c>
      <c r="AE25" s="629">
        <f t="shared" si="3"/>
        <v>12321.2</v>
      </c>
      <c r="AF25" s="629">
        <f t="shared" si="4"/>
        <v>12536.5625</v>
      </c>
      <c r="AG25" s="555">
        <f t="shared" si="10"/>
        <v>-2.500000000509317E-3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543" t="s">
        <v>1400</v>
      </c>
      <c r="C26" s="544">
        <v>520816</v>
      </c>
      <c r="D26" s="545">
        <v>4497</v>
      </c>
      <c r="E26" s="544" t="s">
        <v>695</v>
      </c>
      <c r="F26" s="546">
        <v>2017</v>
      </c>
      <c r="G26" s="547">
        <v>42776</v>
      </c>
      <c r="H26" s="544" t="s">
        <v>774</v>
      </c>
      <c r="I26" s="544" t="s">
        <v>1601</v>
      </c>
      <c r="J26" s="544" t="s">
        <v>724</v>
      </c>
      <c r="K26" s="544" t="s">
        <v>1724</v>
      </c>
      <c r="L26" s="544" t="s">
        <v>1863</v>
      </c>
      <c r="M26" s="548">
        <v>418767.78</v>
      </c>
      <c r="N26" s="548">
        <v>23387.39</v>
      </c>
      <c r="O26" s="548">
        <v>70744.83</v>
      </c>
      <c r="P26" s="548">
        <v>512900</v>
      </c>
      <c r="Q26" s="548"/>
      <c r="R26" s="548">
        <v>366656.47</v>
      </c>
      <c r="S26" s="549">
        <f t="shared" si="0"/>
        <v>146243.53000000003</v>
      </c>
      <c r="T26" s="267" t="s">
        <v>1932</v>
      </c>
      <c r="U26" s="626" t="str">
        <f t="shared" si="5"/>
        <v>AA10402</v>
      </c>
      <c r="V26" s="627" t="str">
        <f t="shared" si="6"/>
        <v>0789-TCN17</v>
      </c>
      <c r="W26" s="626">
        <f t="shared" si="7"/>
        <v>520816</v>
      </c>
      <c r="X26" s="626" t="str">
        <f t="shared" si="8"/>
        <v>RAV4 L4 AWD LIMITED</v>
      </c>
      <c r="Y26" s="627">
        <f t="shared" si="8"/>
        <v>2017</v>
      </c>
      <c r="Z26" s="628">
        <f t="shared" si="9"/>
        <v>418767.78</v>
      </c>
      <c r="AA26" s="629">
        <f>+Z26</f>
        <v>418767.78</v>
      </c>
      <c r="AB26" s="637">
        <v>1</v>
      </c>
      <c r="AC26" s="629">
        <f t="shared" si="28"/>
        <v>344993.21</v>
      </c>
      <c r="AD26" s="630">
        <f t="shared" si="2"/>
        <v>0.15</v>
      </c>
      <c r="AE26" s="629">
        <f t="shared" si="3"/>
        <v>12321.2</v>
      </c>
      <c r="AF26" s="629">
        <f t="shared" si="4"/>
        <v>23387.385500000004</v>
      </c>
      <c r="AG26" s="555">
        <f t="shared" si="10"/>
        <v>4.4999999954598024E-3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543" t="s">
        <v>1398</v>
      </c>
      <c r="C27" s="544">
        <v>520818</v>
      </c>
      <c r="D27" s="545">
        <v>4495</v>
      </c>
      <c r="E27" s="544" t="s">
        <v>1519</v>
      </c>
      <c r="F27" s="546">
        <v>2017</v>
      </c>
      <c r="G27" s="547">
        <v>42774</v>
      </c>
      <c r="H27" s="544" t="s">
        <v>760</v>
      </c>
      <c r="I27" s="544" t="s">
        <v>1599</v>
      </c>
      <c r="J27" s="544" t="s">
        <v>724</v>
      </c>
      <c r="K27" s="544" t="s">
        <v>1722</v>
      </c>
      <c r="L27" s="544" t="s">
        <v>1861</v>
      </c>
      <c r="M27" s="548">
        <v>407598.37</v>
      </c>
      <c r="N27" s="548">
        <v>21711.97</v>
      </c>
      <c r="O27" s="548">
        <v>68689.66</v>
      </c>
      <c r="P27" s="548">
        <v>498000</v>
      </c>
      <c r="Q27" s="548"/>
      <c r="R27" s="548">
        <v>356583.84</v>
      </c>
      <c r="S27" s="549">
        <f t="shared" si="0"/>
        <v>141416.15999999997</v>
      </c>
      <c r="T27" s="113" t="s">
        <v>1932</v>
      </c>
      <c r="U27" s="626" t="str">
        <f t="shared" si="5"/>
        <v>AA10396</v>
      </c>
      <c r="V27" s="627" t="str">
        <f t="shared" si="6"/>
        <v>0729-TCN17</v>
      </c>
      <c r="W27" s="626">
        <f t="shared" si="7"/>
        <v>520818</v>
      </c>
      <c r="X27" s="626" t="str">
        <f t="shared" si="8"/>
        <v>RAV4 SE 4WD 2.5L</v>
      </c>
      <c r="Y27" s="627">
        <f t="shared" si="8"/>
        <v>2017</v>
      </c>
      <c r="Z27" s="628">
        <f t="shared" si="9"/>
        <v>407598.37</v>
      </c>
      <c r="AA27" s="629"/>
      <c r="AB27" s="637"/>
      <c r="AC27" s="629">
        <f t="shared" si="28"/>
        <v>344993.21</v>
      </c>
      <c r="AD27" s="630">
        <f t="shared" si="2"/>
        <v>0.15</v>
      </c>
      <c r="AE27" s="629">
        <f t="shared" si="3"/>
        <v>12321.2</v>
      </c>
      <c r="AF27" s="629">
        <f t="shared" si="4"/>
        <v>21711.973999999995</v>
      </c>
      <c r="AG27" s="555">
        <f t="shared" si="10"/>
        <v>-3.9999999935389496E-3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543" t="s">
        <v>1399</v>
      </c>
      <c r="C28" s="544">
        <v>520818</v>
      </c>
      <c r="D28" s="545">
        <v>4495</v>
      </c>
      <c r="E28" s="544" t="s">
        <v>1519</v>
      </c>
      <c r="F28" s="546">
        <v>2017</v>
      </c>
      <c r="G28" s="547">
        <v>42783</v>
      </c>
      <c r="H28" s="544" t="s">
        <v>747</v>
      </c>
      <c r="I28" s="544" t="s">
        <v>1600</v>
      </c>
      <c r="J28" s="544" t="s">
        <v>724</v>
      </c>
      <c r="K28" s="544" t="s">
        <v>1723</v>
      </c>
      <c r="L28" s="544" t="s">
        <v>1862</v>
      </c>
      <c r="M28" s="548">
        <v>407598.37</v>
      </c>
      <c r="N28" s="548">
        <v>21711.97</v>
      </c>
      <c r="O28" s="548">
        <v>68689.66</v>
      </c>
      <c r="P28" s="548">
        <v>498000</v>
      </c>
      <c r="Q28" s="548"/>
      <c r="R28" s="548">
        <v>356627.72</v>
      </c>
      <c r="S28" s="549">
        <f t="shared" si="0"/>
        <v>141372.28000000003</v>
      </c>
      <c r="T28" s="445" t="s">
        <v>1932</v>
      </c>
      <c r="U28" s="626" t="str">
        <f t="shared" si="5"/>
        <v>AA10459</v>
      </c>
      <c r="V28" s="627" t="str">
        <f t="shared" si="6"/>
        <v>0684-TCN17</v>
      </c>
      <c r="W28" s="626">
        <f t="shared" si="7"/>
        <v>520818</v>
      </c>
      <c r="X28" s="626" t="str">
        <f t="shared" si="8"/>
        <v>RAV4 SE 4WD 2.5L</v>
      </c>
      <c r="Y28" s="627">
        <f t="shared" si="8"/>
        <v>2017</v>
      </c>
      <c r="Z28" s="628">
        <f t="shared" si="9"/>
        <v>407598.37</v>
      </c>
      <c r="AA28" s="629"/>
      <c r="AB28" s="637"/>
      <c r="AC28" s="629">
        <f t="shared" si="28"/>
        <v>344993.21</v>
      </c>
      <c r="AD28" s="630">
        <f t="shared" si="2"/>
        <v>0.15</v>
      </c>
      <c r="AE28" s="629">
        <f t="shared" si="3"/>
        <v>12321.2</v>
      </c>
      <c r="AF28" s="629">
        <f t="shared" si="4"/>
        <v>21711.973999999995</v>
      </c>
      <c r="AG28" s="555">
        <f t="shared" si="10"/>
        <v>-3.9999999935389496E-3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543" t="s">
        <v>1401</v>
      </c>
      <c r="C29" s="544">
        <v>520819</v>
      </c>
      <c r="D29" s="545">
        <v>4498</v>
      </c>
      <c r="E29" s="544" t="s">
        <v>696</v>
      </c>
      <c r="F29" s="546">
        <v>2017</v>
      </c>
      <c r="G29" s="547">
        <v>42768</v>
      </c>
      <c r="H29" s="544" t="s">
        <v>760</v>
      </c>
      <c r="I29" s="544" t="s">
        <v>841</v>
      </c>
      <c r="J29" s="544" t="s">
        <v>724</v>
      </c>
      <c r="K29" s="544" t="s">
        <v>842</v>
      </c>
      <c r="L29" s="544" t="s">
        <v>843</v>
      </c>
      <c r="M29" s="548">
        <v>-373790.27</v>
      </c>
      <c r="N29" s="548">
        <v>-16640.759999999998</v>
      </c>
      <c r="O29" s="548">
        <v>-62468.97</v>
      </c>
      <c r="P29" s="548">
        <v>-452900</v>
      </c>
      <c r="Q29" s="548"/>
      <c r="R29" s="548">
        <v>-319849.96999999997</v>
      </c>
      <c r="S29" s="549">
        <f t="shared" si="0"/>
        <v>-133050.03000000003</v>
      </c>
      <c r="T29" s="113" t="s">
        <v>1266</v>
      </c>
      <c r="U29" s="626" t="str">
        <f t="shared" si="5"/>
        <v>ZA03882</v>
      </c>
      <c r="V29" s="627" t="str">
        <f t="shared" si="6"/>
        <v>0436-TCN17</v>
      </c>
      <c r="W29" s="626">
        <f t="shared" si="7"/>
        <v>520819</v>
      </c>
      <c r="X29" s="626" t="str">
        <f t="shared" si="8"/>
        <v>RAV4 XLE PLUS</v>
      </c>
      <c r="Y29" s="627">
        <f t="shared" si="8"/>
        <v>2017</v>
      </c>
      <c r="Z29" s="628">
        <f t="shared" si="9"/>
        <v>-373790.27</v>
      </c>
      <c r="AA29" s="629"/>
      <c r="AB29" s="637"/>
      <c r="AC29" s="629"/>
      <c r="AD29" s="630"/>
      <c r="AE29" s="629"/>
      <c r="AF29" s="629">
        <f>+N29</f>
        <v>-16640.759999999998</v>
      </c>
      <c r="AG29" s="555">
        <f t="shared" si="10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543" t="s">
        <v>1403</v>
      </c>
      <c r="C30" s="544">
        <v>520819</v>
      </c>
      <c r="D30" s="545">
        <v>4498</v>
      </c>
      <c r="E30" s="544" t="s">
        <v>696</v>
      </c>
      <c r="F30" s="546">
        <v>2017</v>
      </c>
      <c r="G30" s="547">
        <v>42794</v>
      </c>
      <c r="H30" s="544" t="s">
        <v>912</v>
      </c>
      <c r="I30" s="544" t="s">
        <v>1602</v>
      </c>
      <c r="J30" s="544" t="s">
        <v>724</v>
      </c>
      <c r="K30" s="544" t="s">
        <v>1725</v>
      </c>
      <c r="L30" s="544" t="s">
        <v>1864</v>
      </c>
      <c r="M30" s="548">
        <v>350551.9</v>
      </c>
      <c r="N30" s="548">
        <v>13155</v>
      </c>
      <c r="O30" s="548">
        <v>58193.1</v>
      </c>
      <c r="P30" s="548">
        <v>421900</v>
      </c>
      <c r="Q30" s="548"/>
      <c r="R30" s="548">
        <v>319849.96999999997</v>
      </c>
      <c r="S30" s="549">
        <f t="shared" si="0"/>
        <v>102050.03000000003</v>
      </c>
      <c r="T30" s="267" t="s">
        <v>1932</v>
      </c>
      <c r="U30" s="626" t="str">
        <f t="shared" si="5"/>
        <v>AA10556</v>
      </c>
      <c r="V30" s="627" t="str">
        <f t="shared" si="6"/>
        <v>0244-TCN17</v>
      </c>
      <c r="W30" s="626">
        <f t="shared" si="7"/>
        <v>520819</v>
      </c>
      <c r="X30" s="626" t="str">
        <f t="shared" si="8"/>
        <v>RAV4 XLE PLUS</v>
      </c>
      <c r="Y30" s="627">
        <f t="shared" si="8"/>
        <v>2017</v>
      </c>
      <c r="Z30" s="628">
        <f t="shared" si="9"/>
        <v>350551.9</v>
      </c>
      <c r="AA30" s="629">
        <f>+SUM(Z27:Z30)</f>
        <v>791958.37</v>
      </c>
      <c r="AB30" s="637">
        <v>2</v>
      </c>
      <c r="AC30" s="629">
        <f t="shared" si="28"/>
        <v>344993.21</v>
      </c>
      <c r="AD30" s="630">
        <f t="shared" si="2"/>
        <v>0.15</v>
      </c>
      <c r="AE30" s="629">
        <f t="shared" si="3"/>
        <v>12321.2</v>
      </c>
      <c r="AF30" s="629">
        <f t="shared" si="4"/>
        <v>13155.003500000001</v>
      </c>
      <c r="AG30" s="555">
        <f t="shared" si="10"/>
        <v>-3.5000000007130438E-3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543" t="s">
        <v>1357</v>
      </c>
      <c r="C31" s="544">
        <v>520908</v>
      </c>
      <c r="D31" s="545">
        <v>2008</v>
      </c>
      <c r="E31" s="544" t="s">
        <v>697</v>
      </c>
      <c r="F31" s="546">
        <v>2017</v>
      </c>
      <c r="G31" s="547">
        <v>42773</v>
      </c>
      <c r="H31" s="544" t="s">
        <v>727</v>
      </c>
      <c r="I31" s="544" t="s">
        <v>1571</v>
      </c>
      <c r="J31" s="544" t="s">
        <v>724</v>
      </c>
      <c r="K31" s="544" t="s">
        <v>1703</v>
      </c>
      <c r="L31" s="544" t="s">
        <v>1833</v>
      </c>
      <c r="M31" s="548">
        <v>200517.24</v>
      </c>
      <c r="N31" s="548">
        <v>0</v>
      </c>
      <c r="O31" s="548">
        <v>32082.76</v>
      </c>
      <c r="P31" s="548">
        <v>232600</v>
      </c>
      <c r="Q31" s="548"/>
      <c r="R31" s="548">
        <v>181847.87</v>
      </c>
      <c r="S31" s="549">
        <f t="shared" si="0"/>
        <v>50752.130000000005</v>
      </c>
      <c r="T31" s="113" t="s">
        <v>1932</v>
      </c>
      <c r="U31" s="626" t="str">
        <f t="shared" si="5"/>
        <v>AA10385</v>
      </c>
      <c r="V31" s="627" t="str">
        <f t="shared" si="6"/>
        <v>0779-TCN17</v>
      </c>
      <c r="W31" s="626">
        <f t="shared" si="7"/>
        <v>520908</v>
      </c>
      <c r="X31" s="626" t="str">
        <f t="shared" si="8"/>
        <v>YARIS HB S MT</v>
      </c>
      <c r="Y31" s="627">
        <f t="shared" si="8"/>
        <v>2017</v>
      </c>
      <c r="Z31" s="628">
        <f t="shared" si="9"/>
        <v>200517.24</v>
      </c>
      <c r="AA31" s="629">
        <f>+Z31</f>
        <v>200517.24</v>
      </c>
      <c r="AB31" s="639">
        <v>1</v>
      </c>
      <c r="AC31" s="629">
        <f t="shared" si="28"/>
        <v>0.01</v>
      </c>
      <c r="AD31" s="630">
        <f t="shared" si="2"/>
        <v>0.02</v>
      </c>
      <c r="AE31" s="629">
        <f t="shared" si="3"/>
        <v>0</v>
      </c>
      <c r="AF31" s="629">
        <v>0</v>
      </c>
      <c r="AG31" s="555">
        <f t="shared" si="10"/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543" t="s">
        <v>1513</v>
      </c>
      <c r="C32" s="544">
        <v>520909</v>
      </c>
      <c r="D32" s="545" t="s">
        <v>686</v>
      </c>
      <c r="E32" s="544" t="s">
        <v>252</v>
      </c>
      <c r="F32" s="546">
        <v>2017</v>
      </c>
      <c r="G32" s="547">
        <v>42780</v>
      </c>
      <c r="H32" s="544" t="s">
        <v>1191</v>
      </c>
      <c r="I32" s="544" t="s">
        <v>1666</v>
      </c>
      <c r="J32" s="544" t="s">
        <v>724</v>
      </c>
      <c r="K32" s="544" t="s">
        <v>1782</v>
      </c>
      <c r="L32" s="544" t="s">
        <v>1928</v>
      </c>
      <c r="M32" s="548">
        <v>204310.34</v>
      </c>
      <c r="N32" s="548">
        <v>0</v>
      </c>
      <c r="O32" s="548">
        <v>32689.66</v>
      </c>
      <c r="P32" s="548">
        <v>237000</v>
      </c>
      <c r="Q32" s="548"/>
      <c r="R32" s="548">
        <v>189260.24</v>
      </c>
      <c r="S32" s="549">
        <f t="shared" si="0"/>
        <v>47739.760000000009</v>
      </c>
      <c r="T32" s="113" t="s">
        <v>1932</v>
      </c>
      <c r="U32" s="626" t="str">
        <f t="shared" si="5"/>
        <v>AA10435</v>
      </c>
      <c r="V32" s="627" t="str">
        <f t="shared" si="6"/>
        <v>0103-TCN17</v>
      </c>
      <c r="W32" s="626">
        <f t="shared" si="7"/>
        <v>520909</v>
      </c>
      <c r="X32" s="626" t="str">
        <f t="shared" si="8"/>
        <v>YARIS SEDAN PREMIUM MT</v>
      </c>
      <c r="Y32" s="627">
        <f t="shared" si="8"/>
        <v>2017</v>
      </c>
      <c r="Z32" s="628">
        <f t="shared" si="9"/>
        <v>204310.34</v>
      </c>
      <c r="AA32" s="631"/>
      <c r="AB32" s="638"/>
      <c r="AC32" s="629">
        <f t="shared" si="28"/>
        <v>0.01</v>
      </c>
      <c r="AD32" s="630">
        <f t="shared" si="2"/>
        <v>0.02</v>
      </c>
      <c r="AE32" s="629">
        <f t="shared" si="3"/>
        <v>0</v>
      </c>
      <c r="AF32" s="629"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ht="12.75" customHeight="1" x14ac:dyDescent="0.2">
      <c r="A33" s="423">
        <f t="shared" si="11"/>
        <v>28</v>
      </c>
      <c r="B33" s="543" t="s">
        <v>1370</v>
      </c>
      <c r="C33" s="544">
        <v>520909</v>
      </c>
      <c r="D33" s="545">
        <v>2009</v>
      </c>
      <c r="E33" s="544" t="s">
        <v>698</v>
      </c>
      <c r="F33" s="546">
        <v>2017</v>
      </c>
      <c r="G33" s="547">
        <v>42791</v>
      </c>
      <c r="H33" s="544" t="s">
        <v>819</v>
      </c>
      <c r="I33" s="544" t="s">
        <v>1578</v>
      </c>
      <c r="J33" s="544" t="s">
        <v>724</v>
      </c>
      <c r="K33" s="544" t="s">
        <v>830</v>
      </c>
      <c r="L33" s="544" t="s">
        <v>1840</v>
      </c>
      <c r="M33" s="548">
        <v>213965.52</v>
      </c>
      <c r="N33" s="548">
        <v>0</v>
      </c>
      <c r="O33" s="548">
        <v>34234.480000000003</v>
      </c>
      <c r="P33" s="548">
        <v>248200</v>
      </c>
      <c r="Q33" s="548"/>
      <c r="R33" s="548">
        <v>193640.98</v>
      </c>
      <c r="S33" s="549">
        <f t="shared" si="0"/>
        <v>54559.01999999999</v>
      </c>
      <c r="T33" s="267" t="s">
        <v>1932</v>
      </c>
      <c r="U33" s="626" t="str">
        <f t="shared" si="5"/>
        <v>AA10520</v>
      </c>
      <c r="V33" s="627" t="str">
        <f t="shared" si="6"/>
        <v>0731-TCN17</v>
      </c>
      <c r="W33" s="626">
        <f t="shared" si="7"/>
        <v>520909</v>
      </c>
      <c r="X33" s="626" t="str">
        <f t="shared" si="8"/>
        <v>YARIS HB S CVT</v>
      </c>
      <c r="Y33" s="627">
        <f t="shared" si="8"/>
        <v>2017</v>
      </c>
      <c r="Z33" s="628">
        <f t="shared" si="9"/>
        <v>213965.52</v>
      </c>
      <c r="AA33" s="629"/>
      <c r="AB33" s="637"/>
      <c r="AC33" s="629">
        <f t="shared" si="28"/>
        <v>0.01</v>
      </c>
      <c r="AD33" s="630">
        <f t="shared" si="2"/>
        <v>0.02</v>
      </c>
      <c r="AE33" s="629">
        <f t="shared" si="3"/>
        <v>0</v>
      </c>
      <c r="AF33" s="629"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ht="12.75" customHeight="1" x14ac:dyDescent="0.2">
      <c r="A34" s="423">
        <f t="shared" si="11"/>
        <v>29</v>
      </c>
      <c r="B34" s="543" t="s">
        <v>1369</v>
      </c>
      <c r="C34" s="544">
        <v>520909</v>
      </c>
      <c r="D34" s="545">
        <v>2009</v>
      </c>
      <c r="E34" s="544" t="s">
        <v>698</v>
      </c>
      <c r="F34" s="546">
        <v>2017</v>
      </c>
      <c r="G34" s="547">
        <v>42789</v>
      </c>
      <c r="H34" s="544" t="s">
        <v>908</v>
      </c>
      <c r="I34" s="544" t="s">
        <v>1576</v>
      </c>
      <c r="J34" s="544" t="s">
        <v>724</v>
      </c>
      <c r="K34" s="544" t="s">
        <v>1708</v>
      </c>
      <c r="L34" s="544" t="s">
        <v>1838</v>
      </c>
      <c r="M34" s="548">
        <v>213965.52</v>
      </c>
      <c r="N34" s="548">
        <v>0</v>
      </c>
      <c r="O34" s="548">
        <v>34234.480000000003</v>
      </c>
      <c r="P34" s="548">
        <v>248200</v>
      </c>
      <c r="Q34" s="548"/>
      <c r="R34" s="548">
        <v>193640.98</v>
      </c>
      <c r="S34" s="549">
        <f t="shared" si="0"/>
        <v>54559.01999999999</v>
      </c>
      <c r="T34" s="267" t="s">
        <v>1932</v>
      </c>
      <c r="U34" s="626" t="str">
        <f t="shared" si="5"/>
        <v>AA10508</v>
      </c>
      <c r="V34" s="627" t="str">
        <f t="shared" si="6"/>
        <v>0810-TCN17</v>
      </c>
      <c r="W34" s="626">
        <f t="shared" si="7"/>
        <v>520909</v>
      </c>
      <c r="X34" s="626" t="str">
        <f t="shared" si="8"/>
        <v>YARIS HB S CVT</v>
      </c>
      <c r="Y34" s="627">
        <f t="shared" si="8"/>
        <v>2017</v>
      </c>
      <c r="Z34" s="628">
        <f t="shared" si="9"/>
        <v>213965.52</v>
      </c>
      <c r="AA34" s="629"/>
      <c r="AB34" s="637"/>
      <c r="AC34" s="629">
        <f t="shared" si="28"/>
        <v>0.01</v>
      </c>
      <c r="AD34" s="630">
        <f t="shared" si="2"/>
        <v>0.02</v>
      </c>
      <c r="AE34" s="629">
        <f t="shared" si="3"/>
        <v>0</v>
      </c>
      <c r="AF34" s="629"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ht="12.75" customHeight="1" x14ac:dyDescent="0.2">
      <c r="A35" s="423">
        <f t="shared" si="11"/>
        <v>30</v>
      </c>
      <c r="B35" s="543" t="s">
        <v>1368</v>
      </c>
      <c r="C35" s="544">
        <v>520909</v>
      </c>
      <c r="D35" s="545">
        <v>2009</v>
      </c>
      <c r="E35" s="544" t="s">
        <v>698</v>
      </c>
      <c r="F35" s="546">
        <v>2017</v>
      </c>
      <c r="G35" s="547">
        <v>42787</v>
      </c>
      <c r="H35" s="544" t="s">
        <v>764</v>
      </c>
      <c r="I35" s="544" t="s">
        <v>1577</v>
      </c>
      <c r="J35" s="544" t="s">
        <v>724</v>
      </c>
      <c r="K35" s="544" t="s">
        <v>1707</v>
      </c>
      <c r="L35" s="544" t="s">
        <v>1839</v>
      </c>
      <c r="M35" s="548">
        <v>213965.52</v>
      </c>
      <c r="N35" s="548">
        <v>0</v>
      </c>
      <c r="O35" s="548">
        <v>34234.480000000003</v>
      </c>
      <c r="P35" s="548">
        <v>248200</v>
      </c>
      <c r="Q35" s="548"/>
      <c r="R35" s="548">
        <v>193995.47</v>
      </c>
      <c r="S35" s="549">
        <f t="shared" si="0"/>
        <v>54204.53</v>
      </c>
      <c r="T35" s="113" t="s">
        <v>1932</v>
      </c>
      <c r="U35" s="626" t="str">
        <f t="shared" si="5"/>
        <v>AA10481</v>
      </c>
      <c r="V35" s="627" t="str">
        <f t="shared" si="6"/>
        <v>0830-TCN17</v>
      </c>
      <c r="W35" s="626">
        <f t="shared" si="7"/>
        <v>520909</v>
      </c>
      <c r="X35" s="626" t="str">
        <f t="shared" si="8"/>
        <v>YARIS HB S CVT</v>
      </c>
      <c r="Y35" s="627">
        <f t="shared" si="8"/>
        <v>2017</v>
      </c>
      <c r="Z35" s="628">
        <f t="shared" si="9"/>
        <v>213965.52</v>
      </c>
      <c r="AA35" s="629"/>
      <c r="AB35" s="637"/>
      <c r="AC35" s="629">
        <f t="shared" si="28"/>
        <v>0.01</v>
      </c>
      <c r="AD35" s="630">
        <f t="shared" si="2"/>
        <v>0.02</v>
      </c>
      <c r="AE35" s="629">
        <f t="shared" si="3"/>
        <v>0</v>
      </c>
      <c r="AF35" s="629"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ht="12.75" customHeight="1" x14ac:dyDescent="0.2">
      <c r="A36" s="423">
        <f t="shared" si="11"/>
        <v>31</v>
      </c>
      <c r="B36" s="543" t="s">
        <v>1359</v>
      </c>
      <c r="C36" s="544">
        <v>520909</v>
      </c>
      <c r="D36" s="545">
        <v>2009</v>
      </c>
      <c r="E36" s="544" t="s">
        <v>698</v>
      </c>
      <c r="F36" s="546">
        <v>2017</v>
      </c>
      <c r="G36" s="547">
        <v>42776</v>
      </c>
      <c r="H36" s="544" t="s">
        <v>760</v>
      </c>
      <c r="I36" s="544" t="s">
        <v>1573</v>
      </c>
      <c r="J36" s="544" t="s">
        <v>724</v>
      </c>
      <c r="K36" s="544" t="s">
        <v>1705</v>
      </c>
      <c r="L36" s="544" t="s">
        <v>1835</v>
      </c>
      <c r="M36" s="548">
        <v>213965.52</v>
      </c>
      <c r="N36" s="548">
        <v>0</v>
      </c>
      <c r="O36" s="548">
        <v>34234.480000000003</v>
      </c>
      <c r="P36" s="548">
        <v>248200</v>
      </c>
      <c r="Q36" s="548"/>
      <c r="R36" s="548">
        <v>193685.12</v>
      </c>
      <c r="S36" s="549">
        <f t="shared" si="0"/>
        <v>54514.880000000005</v>
      </c>
      <c r="T36" s="267" t="s">
        <v>1932</v>
      </c>
      <c r="U36" s="626" t="str">
        <f t="shared" si="5"/>
        <v>AA10410</v>
      </c>
      <c r="V36" s="627" t="str">
        <f t="shared" si="6"/>
        <v>0627-TCN17</v>
      </c>
      <c r="W36" s="626">
        <f t="shared" si="7"/>
        <v>520909</v>
      </c>
      <c r="X36" s="626" t="str">
        <f t="shared" si="8"/>
        <v>YARIS HB S CVT</v>
      </c>
      <c r="Y36" s="627">
        <f t="shared" si="8"/>
        <v>2017</v>
      </c>
      <c r="Z36" s="628">
        <f t="shared" si="9"/>
        <v>213965.52</v>
      </c>
      <c r="AA36" s="629">
        <f>+SUM(Z32:Z36)</f>
        <v>1060172.42</v>
      </c>
      <c r="AB36" s="639">
        <v>5</v>
      </c>
      <c r="AC36" s="629">
        <f t="shared" si="28"/>
        <v>0.01</v>
      </c>
      <c r="AD36" s="630">
        <f t="shared" si="2"/>
        <v>0.02</v>
      </c>
      <c r="AE36" s="629">
        <f t="shared" si="3"/>
        <v>0</v>
      </c>
      <c r="AF36" s="629"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ht="12.75" customHeight="1" x14ac:dyDescent="0.2">
      <c r="A37" s="423">
        <f t="shared" si="11"/>
        <v>32</v>
      </c>
      <c r="B37" s="543" t="s">
        <v>1285</v>
      </c>
      <c r="C37" s="544">
        <v>521101</v>
      </c>
      <c r="D37" s="545">
        <v>1251</v>
      </c>
      <c r="E37" s="544" t="s">
        <v>700</v>
      </c>
      <c r="F37" s="546">
        <v>2017</v>
      </c>
      <c r="G37" s="547">
        <v>42779</v>
      </c>
      <c r="H37" s="544" t="s">
        <v>747</v>
      </c>
      <c r="I37" s="544" t="s">
        <v>1529</v>
      </c>
      <c r="J37" s="544" t="s">
        <v>724</v>
      </c>
      <c r="K37" s="544" t="s">
        <v>1673</v>
      </c>
      <c r="L37" s="544" t="s">
        <v>1791</v>
      </c>
      <c r="M37" s="548">
        <v>312327.59000000003</v>
      </c>
      <c r="N37" s="548">
        <v>0</v>
      </c>
      <c r="O37" s="548">
        <v>49972.41</v>
      </c>
      <c r="P37" s="548">
        <v>362300</v>
      </c>
      <c r="Q37" s="548"/>
      <c r="R37" s="548">
        <v>283666.84000000003</v>
      </c>
      <c r="S37" s="549">
        <f t="shared" si="0"/>
        <v>78633.159999999974</v>
      </c>
      <c r="T37" s="444" t="s">
        <v>1932</v>
      </c>
      <c r="U37" s="626" t="str">
        <f t="shared" si="5"/>
        <v>AA10424</v>
      </c>
      <c r="V37" s="627" t="str">
        <f t="shared" si="6"/>
        <v>0805-TCN17</v>
      </c>
      <c r="W37" s="626">
        <f t="shared" si="7"/>
        <v>521101</v>
      </c>
      <c r="X37" s="626" t="str">
        <f t="shared" si="8"/>
        <v>PRIUS HYBRID BASE</v>
      </c>
      <c r="Y37" s="627">
        <f t="shared" si="8"/>
        <v>2017</v>
      </c>
      <c r="Z37" s="628">
        <f t="shared" si="9"/>
        <v>312327.59000000003</v>
      </c>
      <c r="AA37" s="629"/>
      <c r="AB37" s="637"/>
      <c r="AC37" s="629">
        <f t="shared" si="28"/>
        <v>295708.34000000003</v>
      </c>
      <c r="AD37" s="630">
        <f t="shared" si="2"/>
        <v>0.1</v>
      </c>
      <c r="AE37" s="629">
        <f t="shared" si="3"/>
        <v>7392.74</v>
      </c>
      <c r="AF37" s="629"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ht="12.75" customHeight="1" x14ac:dyDescent="0.2">
      <c r="A38" s="423">
        <f t="shared" si="11"/>
        <v>33</v>
      </c>
      <c r="B38" s="543" t="s">
        <v>1287</v>
      </c>
      <c r="C38" s="544">
        <v>521101</v>
      </c>
      <c r="D38" s="545">
        <v>1251</v>
      </c>
      <c r="E38" s="544" t="s">
        <v>700</v>
      </c>
      <c r="F38" s="546">
        <v>2017</v>
      </c>
      <c r="G38" s="547">
        <v>42793</v>
      </c>
      <c r="H38" s="544" t="s">
        <v>778</v>
      </c>
      <c r="I38" s="544" t="s">
        <v>1531</v>
      </c>
      <c r="J38" s="544" t="s">
        <v>724</v>
      </c>
      <c r="K38" s="544" t="s">
        <v>1675</v>
      </c>
      <c r="L38" s="544" t="s">
        <v>1793</v>
      </c>
      <c r="M38" s="548">
        <v>312327.59000000003</v>
      </c>
      <c r="N38" s="548">
        <v>0</v>
      </c>
      <c r="O38" s="548">
        <v>49972.41</v>
      </c>
      <c r="P38" s="548">
        <v>362300</v>
      </c>
      <c r="Q38" s="548"/>
      <c r="R38" s="548">
        <v>283666.84000000003</v>
      </c>
      <c r="S38" s="549">
        <f t="shared" si="0"/>
        <v>78633.159999999974</v>
      </c>
      <c r="T38" s="267" t="s">
        <v>1932</v>
      </c>
      <c r="U38" s="626" t="str">
        <f t="shared" si="5"/>
        <v>AA10525</v>
      </c>
      <c r="V38" s="627" t="str">
        <f t="shared" si="6"/>
        <v>0874-TCN17</v>
      </c>
      <c r="W38" s="626">
        <f t="shared" si="7"/>
        <v>521101</v>
      </c>
      <c r="X38" s="626" t="str">
        <f t="shared" si="8"/>
        <v>PRIUS HYBRID BASE</v>
      </c>
      <c r="Y38" s="627">
        <f t="shared" si="8"/>
        <v>2017</v>
      </c>
      <c r="Z38" s="628">
        <f t="shared" si="9"/>
        <v>312327.59000000003</v>
      </c>
      <c r="AA38" s="629"/>
      <c r="AB38" s="637"/>
      <c r="AC38" s="629">
        <f t="shared" si="28"/>
        <v>295708.34000000003</v>
      </c>
      <c r="AD38" s="630">
        <f t="shared" si="2"/>
        <v>0.1</v>
      </c>
      <c r="AE38" s="629">
        <f t="shared" si="3"/>
        <v>7392.74</v>
      </c>
      <c r="AF38" s="629"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ht="12.75" customHeight="1" x14ac:dyDescent="0.2">
      <c r="A39" s="423">
        <f t="shared" si="11"/>
        <v>34</v>
      </c>
      <c r="B39" s="543" t="s">
        <v>1297</v>
      </c>
      <c r="C39" s="544">
        <v>521101</v>
      </c>
      <c r="D39" s="545">
        <v>1253</v>
      </c>
      <c r="E39" s="544" t="s">
        <v>30</v>
      </c>
      <c r="F39" s="546">
        <v>2017</v>
      </c>
      <c r="G39" s="547">
        <v>42787</v>
      </c>
      <c r="H39" s="544" t="s">
        <v>788</v>
      </c>
      <c r="I39" s="544" t="s">
        <v>1537</v>
      </c>
      <c r="J39" s="544" t="s">
        <v>724</v>
      </c>
      <c r="K39" s="544" t="s">
        <v>1677</v>
      </c>
      <c r="L39" s="544" t="s">
        <v>1799</v>
      </c>
      <c r="M39" s="548">
        <v>367413.79</v>
      </c>
      <c r="N39" s="548">
        <v>0</v>
      </c>
      <c r="O39" s="548">
        <v>58786.21</v>
      </c>
      <c r="P39" s="548">
        <v>426200</v>
      </c>
      <c r="Q39" s="548"/>
      <c r="R39" s="548">
        <v>326020.56</v>
      </c>
      <c r="S39" s="549">
        <f t="shared" si="0"/>
        <v>100179.44</v>
      </c>
      <c r="T39" s="444" t="s">
        <v>1932</v>
      </c>
      <c r="U39" s="626" t="str">
        <f t="shared" si="5"/>
        <v>AA10482</v>
      </c>
      <c r="V39" s="627" t="str">
        <f t="shared" si="6"/>
        <v>0826-TCN17</v>
      </c>
      <c r="W39" s="626">
        <f t="shared" si="7"/>
        <v>521101</v>
      </c>
      <c r="X39" s="626" t="str">
        <f t="shared" si="8"/>
        <v>PRIUS</v>
      </c>
      <c r="Y39" s="627">
        <f t="shared" si="8"/>
        <v>2017</v>
      </c>
      <c r="Z39" s="628">
        <f t="shared" si="9"/>
        <v>367413.79</v>
      </c>
      <c r="AA39" s="629"/>
      <c r="AB39" s="637"/>
      <c r="AC39" s="629">
        <f t="shared" si="28"/>
        <v>344993.21</v>
      </c>
      <c r="AD39" s="630">
        <f t="shared" si="2"/>
        <v>0.15</v>
      </c>
      <c r="AE39" s="629">
        <f t="shared" si="3"/>
        <v>12321.2</v>
      </c>
      <c r="AF39" s="629"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ht="12.75" customHeight="1" x14ac:dyDescent="0.2">
      <c r="A40" s="423">
        <f t="shared" si="11"/>
        <v>35</v>
      </c>
      <c r="B40" s="543" t="s">
        <v>1296</v>
      </c>
      <c r="C40" s="544">
        <v>521101</v>
      </c>
      <c r="D40" s="545">
        <v>1253</v>
      </c>
      <c r="E40" s="544" t="s">
        <v>30</v>
      </c>
      <c r="F40" s="546">
        <v>2017</v>
      </c>
      <c r="G40" s="547">
        <v>42784</v>
      </c>
      <c r="H40" s="544" t="s">
        <v>747</v>
      </c>
      <c r="I40" s="544" t="s">
        <v>1535</v>
      </c>
      <c r="J40" s="544" t="s">
        <v>724</v>
      </c>
      <c r="K40" s="544" t="s">
        <v>1676</v>
      </c>
      <c r="L40" s="544" t="s">
        <v>1797</v>
      </c>
      <c r="M40" s="548">
        <v>367413.79</v>
      </c>
      <c r="N40" s="548">
        <v>0</v>
      </c>
      <c r="O40" s="548">
        <v>58786.21</v>
      </c>
      <c r="P40" s="548">
        <v>426200</v>
      </c>
      <c r="Q40" s="548"/>
      <c r="R40" s="548">
        <v>326020.56</v>
      </c>
      <c r="S40" s="549">
        <f t="shared" si="0"/>
        <v>100179.44</v>
      </c>
      <c r="T40" s="113" t="s">
        <v>1932</v>
      </c>
      <c r="U40" s="626" t="str">
        <f t="shared" si="5"/>
        <v>AA10460</v>
      </c>
      <c r="V40" s="627" t="str">
        <f t="shared" si="6"/>
        <v>0817-TCN17</v>
      </c>
      <c r="W40" s="626">
        <f t="shared" si="7"/>
        <v>521101</v>
      </c>
      <c r="X40" s="626" t="str">
        <f t="shared" si="8"/>
        <v>PRIUS</v>
      </c>
      <c r="Y40" s="627">
        <f t="shared" si="8"/>
        <v>2017</v>
      </c>
      <c r="Z40" s="628">
        <f t="shared" si="9"/>
        <v>367413.79</v>
      </c>
      <c r="AA40" s="629"/>
      <c r="AB40" s="637"/>
      <c r="AC40" s="629">
        <f t="shared" si="28"/>
        <v>344993.21</v>
      </c>
      <c r="AD40" s="630">
        <f t="shared" si="2"/>
        <v>0.15</v>
      </c>
      <c r="AE40" s="629">
        <f t="shared" si="3"/>
        <v>12321.2</v>
      </c>
      <c r="AF40" s="629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ht="12.75" customHeight="1" x14ac:dyDescent="0.2">
      <c r="A41" s="423">
        <f t="shared" si="11"/>
        <v>36</v>
      </c>
      <c r="B41" s="543" t="s">
        <v>1302</v>
      </c>
      <c r="C41" s="544">
        <v>521101</v>
      </c>
      <c r="D41" s="545">
        <v>1253</v>
      </c>
      <c r="E41" s="544" t="s">
        <v>30</v>
      </c>
      <c r="F41" s="546">
        <v>2017</v>
      </c>
      <c r="G41" s="547">
        <v>42790</v>
      </c>
      <c r="H41" s="544" t="s">
        <v>847</v>
      </c>
      <c r="I41" s="544" t="s">
        <v>1540</v>
      </c>
      <c r="J41" s="544" t="s">
        <v>724</v>
      </c>
      <c r="K41" s="544" t="s">
        <v>830</v>
      </c>
      <c r="L41" s="544" t="s">
        <v>1802</v>
      </c>
      <c r="M41" s="548">
        <v>367413.79</v>
      </c>
      <c r="N41" s="548">
        <v>0</v>
      </c>
      <c r="O41" s="548">
        <v>58786.21</v>
      </c>
      <c r="P41" s="548">
        <v>426200</v>
      </c>
      <c r="Q41" s="548"/>
      <c r="R41" s="548">
        <v>326020.56</v>
      </c>
      <c r="S41" s="549">
        <f t="shared" si="0"/>
        <v>100179.44</v>
      </c>
      <c r="T41" s="444" t="s">
        <v>1932</v>
      </c>
      <c r="U41" s="626" t="str">
        <f t="shared" si="5"/>
        <v>AA10512</v>
      </c>
      <c r="V41" s="627" t="str">
        <f t="shared" si="6"/>
        <v>0796-TCN17</v>
      </c>
      <c r="W41" s="626">
        <f t="shared" si="7"/>
        <v>521101</v>
      </c>
      <c r="X41" s="626" t="str">
        <f t="shared" si="8"/>
        <v>PRIUS</v>
      </c>
      <c r="Y41" s="627">
        <f t="shared" si="8"/>
        <v>2017</v>
      </c>
      <c r="Z41" s="628">
        <f t="shared" si="9"/>
        <v>367413.79</v>
      </c>
      <c r="AA41" s="629"/>
      <c r="AB41" s="637"/>
      <c r="AC41" s="629">
        <f t="shared" si="28"/>
        <v>344993.21</v>
      </c>
      <c r="AD41" s="630">
        <f t="shared" si="2"/>
        <v>0.15</v>
      </c>
      <c r="AE41" s="629">
        <f t="shared" si="3"/>
        <v>12321.2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ht="12.75" customHeight="1" x14ac:dyDescent="0.2">
      <c r="A42" s="423">
        <f t="shared" si="11"/>
        <v>37</v>
      </c>
      <c r="B42" s="543" t="s">
        <v>1307</v>
      </c>
      <c r="C42" s="544">
        <v>521101</v>
      </c>
      <c r="D42" s="545">
        <v>1253</v>
      </c>
      <c r="E42" s="544" t="s">
        <v>30</v>
      </c>
      <c r="F42" s="546">
        <v>2017</v>
      </c>
      <c r="G42" s="547">
        <v>42794</v>
      </c>
      <c r="H42" s="544" t="s">
        <v>1038</v>
      </c>
      <c r="I42" s="544" t="s">
        <v>1541</v>
      </c>
      <c r="J42" s="544" t="s">
        <v>724</v>
      </c>
      <c r="K42" s="544" t="s">
        <v>1679</v>
      </c>
      <c r="L42" s="544" t="s">
        <v>1803</v>
      </c>
      <c r="M42" s="548">
        <v>367413.79</v>
      </c>
      <c r="N42" s="548">
        <v>0</v>
      </c>
      <c r="O42" s="548">
        <v>58786.21</v>
      </c>
      <c r="P42" s="548">
        <v>426200</v>
      </c>
      <c r="Q42" s="548"/>
      <c r="R42" s="548">
        <v>326020.56</v>
      </c>
      <c r="S42" s="549">
        <f t="shared" si="0"/>
        <v>100179.44</v>
      </c>
      <c r="T42" s="267" t="s">
        <v>1932</v>
      </c>
      <c r="U42" s="626" t="str">
        <f t="shared" si="5"/>
        <v>AA10558</v>
      </c>
      <c r="V42" s="627" t="str">
        <f t="shared" si="6"/>
        <v>0887-TCN17</v>
      </c>
      <c r="W42" s="626">
        <f t="shared" si="7"/>
        <v>521101</v>
      </c>
      <c r="X42" s="626" t="str">
        <f t="shared" si="8"/>
        <v>PRIUS</v>
      </c>
      <c r="Y42" s="627">
        <f t="shared" si="8"/>
        <v>2017</v>
      </c>
      <c r="Z42" s="628">
        <f t="shared" si="9"/>
        <v>367413.79</v>
      </c>
      <c r="AA42" s="629"/>
      <c r="AB42" s="637"/>
      <c r="AC42" s="629">
        <f t="shared" si="28"/>
        <v>344993.21</v>
      </c>
      <c r="AD42" s="630">
        <f t="shared" si="2"/>
        <v>0.15</v>
      </c>
      <c r="AE42" s="629">
        <f t="shared" si="3"/>
        <v>12321.2</v>
      </c>
      <c r="AF42" s="629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ht="12.75" customHeight="1" x14ac:dyDescent="0.2">
      <c r="A43" s="423">
        <f t="shared" si="11"/>
        <v>38</v>
      </c>
      <c r="B43" s="543" t="s">
        <v>1305</v>
      </c>
      <c r="C43" s="544">
        <v>521101</v>
      </c>
      <c r="D43" s="545">
        <v>1253</v>
      </c>
      <c r="E43" s="544" t="s">
        <v>30</v>
      </c>
      <c r="F43" s="546">
        <v>2017</v>
      </c>
      <c r="G43" s="547">
        <v>42794</v>
      </c>
      <c r="H43" s="544" t="s">
        <v>747</v>
      </c>
      <c r="I43" s="544" t="s">
        <v>1539</v>
      </c>
      <c r="J43" s="544" t="s">
        <v>724</v>
      </c>
      <c r="K43" s="544" t="s">
        <v>1680</v>
      </c>
      <c r="L43" s="544" t="s">
        <v>1801</v>
      </c>
      <c r="M43" s="548">
        <v>367413.79</v>
      </c>
      <c r="N43" s="548">
        <v>0</v>
      </c>
      <c r="O43" s="548">
        <v>58786.21</v>
      </c>
      <c r="P43" s="548">
        <v>426200</v>
      </c>
      <c r="Q43" s="548"/>
      <c r="R43" s="548">
        <v>325876.03000000003</v>
      </c>
      <c r="S43" s="549">
        <f t="shared" si="0"/>
        <v>100323.96999999997</v>
      </c>
      <c r="T43" s="113" t="s">
        <v>1932</v>
      </c>
      <c r="U43" s="626" t="str">
        <f t="shared" si="5"/>
        <v>AA10542</v>
      </c>
      <c r="V43" s="627" t="str">
        <f t="shared" si="6"/>
        <v>0668-TCN17</v>
      </c>
      <c r="W43" s="626">
        <f t="shared" si="7"/>
        <v>521101</v>
      </c>
      <c r="X43" s="626" t="str">
        <f t="shared" si="8"/>
        <v>PRIUS</v>
      </c>
      <c r="Y43" s="627">
        <f t="shared" si="8"/>
        <v>2017</v>
      </c>
      <c r="Z43" s="628">
        <f t="shared" si="9"/>
        <v>367413.79</v>
      </c>
      <c r="AA43" s="629"/>
      <c r="AB43" s="637"/>
      <c r="AC43" s="629">
        <f t="shared" si="28"/>
        <v>344993.21</v>
      </c>
      <c r="AD43" s="630">
        <f t="shared" si="2"/>
        <v>0.15</v>
      </c>
      <c r="AE43" s="629">
        <f t="shared" si="3"/>
        <v>12321.2</v>
      </c>
      <c r="AF43" s="629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3">
        <f t="shared" si="11"/>
        <v>39</v>
      </c>
      <c r="B44" s="543" t="s">
        <v>1298</v>
      </c>
      <c r="C44" s="544">
        <v>521101</v>
      </c>
      <c r="D44" s="545">
        <v>1253</v>
      </c>
      <c r="E44" s="544" t="s">
        <v>30</v>
      </c>
      <c r="F44" s="546">
        <v>2017</v>
      </c>
      <c r="G44" s="547">
        <v>42787</v>
      </c>
      <c r="H44" s="544" t="s">
        <v>764</v>
      </c>
      <c r="I44" s="544" t="s">
        <v>1538</v>
      </c>
      <c r="J44" s="544" t="s">
        <v>724</v>
      </c>
      <c r="K44" s="544" t="s">
        <v>1678</v>
      </c>
      <c r="L44" s="544" t="s">
        <v>1800</v>
      </c>
      <c r="M44" s="548">
        <v>367413.79</v>
      </c>
      <c r="N44" s="548">
        <v>0</v>
      </c>
      <c r="O44" s="548">
        <v>58786.21</v>
      </c>
      <c r="P44" s="548">
        <v>426200</v>
      </c>
      <c r="Q44" s="548"/>
      <c r="R44" s="548">
        <v>326375.03999999998</v>
      </c>
      <c r="S44" s="549">
        <f t="shared" si="0"/>
        <v>99824.960000000021</v>
      </c>
      <c r="T44" s="113" t="s">
        <v>1932</v>
      </c>
      <c r="U44" s="626" t="str">
        <f t="shared" si="5"/>
        <v>AA10483</v>
      </c>
      <c r="V44" s="627" t="str">
        <f t="shared" si="6"/>
        <v>0828-TCN17</v>
      </c>
      <c r="W44" s="626">
        <f t="shared" si="7"/>
        <v>521101</v>
      </c>
      <c r="X44" s="626" t="str">
        <f t="shared" si="8"/>
        <v>PRIUS</v>
      </c>
      <c r="Y44" s="627">
        <f t="shared" si="8"/>
        <v>2017</v>
      </c>
      <c r="Z44" s="628">
        <f t="shared" si="9"/>
        <v>367413.79</v>
      </c>
      <c r="AA44" s="629"/>
      <c r="AB44" s="637"/>
      <c r="AC44" s="629">
        <f t="shared" ref="AC44:AC72" si="30">VLOOKUP(Z44,TARIFA,1)</f>
        <v>344993.21</v>
      </c>
      <c r="AD44" s="630">
        <f t="shared" ref="AD44:AD72" si="31">VLOOKUP(Z44,TARIFA,4)</f>
        <v>0.15</v>
      </c>
      <c r="AE44" s="629">
        <f t="shared" ref="AE44:AE72" si="32">VLOOKUP(Z44,TARIFA,3)</f>
        <v>12321.2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3">
        <f t="shared" si="11"/>
        <v>40</v>
      </c>
      <c r="B45" s="543" t="s">
        <v>1286</v>
      </c>
      <c r="C45" s="544">
        <v>521101</v>
      </c>
      <c r="D45" s="545">
        <v>1251</v>
      </c>
      <c r="E45" s="544" t="s">
        <v>700</v>
      </c>
      <c r="F45" s="546">
        <v>2017</v>
      </c>
      <c r="G45" s="547">
        <v>42793</v>
      </c>
      <c r="H45" s="544" t="s">
        <v>747</v>
      </c>
      <c r="I45" s="544" t="s">
        <v>1530</v>
      </c>
      <c r="J45" s="544" t="s">
        <v>724</v>
      </c>
      <c r="K45" s="544" t="s">
        <v>1674</v>
      </c>
      <c r="L45" s="544" t="s">
        <v>1792</v>
      </c>
      <c r="M45" s="548">
        <v>312327.59000000003</v>
      </c>
      <c r="N45" s="548">
        <v>0</v>
      </c>
      <c r="O45" s="548">
        <v>49972.41</v>
      </c>
      <c r="P45" s="548">
        <v>362300</v>
      </c>
      <c r="Q45" s="548"/>
      <c r="R45" s="548">
        <v>283666.84000000003</v>
      </c>
      <c r="S45" s="549">
        <f t="shared" si="0"/>
        <v>78633.159999999974</v>
      </c>
      <c r="T45" s="113" t="s">
        <v>1932</v>
      </c>
      <c r="U45" s="626" t="str">
        <f t="shared" si="5"/>
        <v>AA10530</v>
      </c>
      <c r="V45" s="627" t="str">
        <f t="shared" si="6"/>
        <v>0873-TCN17</v>
      </c>
      <c r="W45" s="626">
        <f t="shared" si="7"/>
        <v>521101</v>
      </c>
      <c r="X45" s="626" t="str">
        <f t="shared" si="8"/>
        <v>PRIUS HYBRID BASE</v>
      </c>
      <c r="Y45" s="627">
        <f t="shared" si="8"/>
        <v>2017</v>
      </c>
      <c r="Z45" s="628">
        <f t="shared" si="9"/>
        <v>312327.59000000003</v>
      </c>
      <c r="AA45" s="629">
        <f>+SUM(Z37:Z45)</f>
        <v>3141465.51</v>
      </c>
      <c r="AB45" s="640">
        <v>9</v>
      </c>
      <c r="AC45" s="629">
        <f t="shared" si="30"/>
        <v>295708.34000000003</v>
      </c>
      <c r="AD45" s="630">
        <f t="shared" si="31"/>
        <v>0.1</v>
      </c>
      <c r="AE45" s="629">
        <f t="shared" si="32"/>
        <v>7392.74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3">
        <f t="shared" si="11"/>
        <v>41</v>
      </c>
      <c r="B46" s="543" t="s">
        <v>1420</v>
      </c>
      <c r="C46" s="544">
        <v>521502</v>
      </c>
      <c r="D46" s="545">
        <v>5611</v>
      </c>
      <c r="E46" s="544" t="s">
        <v>225</v>
      </c>
      <c r="F46" s="546">
        <v>2017</v>
      </c>
      <c r="G46" s="547">
        <v>42770</v>
      </c>
      <c r="H46" s="544" t="s">
        <v>727</v>
      </c>
      <c r="I46" s="544" t="s">
        <v>1611</v>
      </c>
      <c r="J46" s="544" t="s">
        <v>724</v>
      </c>
      <c r="K46" s="544" t="s">
        <v>1731</v>
      </c>
      <c r="L46" s="544" t="s">
        <v>1873</v>
      </c>
      <c r="M46" s="548">
        <v>379112.61</v>
      </c>
      <c r="N46" s="548">
        <v>17439.11</v>
      </c>
      <c r="O46" s="548">
        <v>63448.28</v>
      </c>
      <c r="P46" s="548">
        <v>460000</v>
      </c>
      <c r="Q46" s="548"/>
      <c r="R46" s="548">
        <v>336038.92</v>
      </c>
      <c r="S46" s="549">
        <f t="shared" si="0"/>
        <v>123961.08000000002</v>
      </c>
      <c r="T46" s="113" t="s">
        <v>1932</v>
      </c>
      <c r="U46" s="626" t="str">
        <f t="shared" si="5"/>
        <v>AA10377</v>
      </c>
      <c r="V46" s="627" t="str">
        <f t="shared" si="6"/>
        <v>0667-TCN17</v>
      </c>
      <c r="W46" s="626">
        <f t="shared" si="7"/>
        <v>521502</v>
      </c>
      <c r="X46" s="626" t="str">
        <f t="shared" si="8"/>
        <v>HIACE PANEL 15 PASAJ AC</v>
      </c>
      <c r="Y46" s="627">
        <f t="shared" si="8"/>
        <v>2017</v>
      </c>
      <c r="Z46" s="628">
        <f t="shared" si="9"/>
        <v>379112.61</v>
      </c>
      <c r="AA46" s="629"/>
      <c r="AB46" s="637"/>
      <c r="AC46" s="629">
        <f t="shared" si="30"/>
        <v>344993.21</v>
      </c>
      <c r="AD46" s="630">
        <f t="shared" si="31"/>
        <v>0.15</v>
      </c>
      <c r="AE46" s="629">
        <f t="shared" si="32"/>
        <v>12321.2</v>
      </c>
      <c r="AF46" s="629">
        <f t="shared" ref="AF46:AF51" si="33">IF(Z46&lt;281240.78,(((Z46-AC46)*AD46+AE46)/2),(Z46-AC46)*AD46+AE46)</f>
        <v>17439.109999999993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3">
        <f t="shared" si="11"/>
        <v>42</v>
      </c>
      <c r="B47" s="543" t="s">
        <v>1423</v>
      </c>
      <c r="C47" s="544">
        <v>521502</v>
      </c>
      <c r="D47" s="545">
        <v>5611</v>
      </c>
      <c r="E47" s="544" t="s">
        <v>225</v>
      </c>
      <c r="F47" s="546">
        <v>2017</v>
      </c>
      <c r="G47" s="547">
        <v>42780</v>
      </c>
      <c r="H47" s="544" t="s">
        <v>774</v>
      </c>
      <c r="I47" s="544" t="s">
        <v>1612</v>
      </c>
      <c r="J47" s="544" t="s">
        <v>724</v>
      </c>
      <c r="K47" s="544" t="s">
        <v>830</v>
      </c>
      <c r="L47" s="544" t="s">
        <v>1874</v>
      </c>
      <c r="M47" s="548">
        <v>379112.61</v>
      </c>
      <c r="N47" s="548">
        <v>17439.11</v>
      </c>
      <c r="O47" s="548">
        <v>63448.28</v>
      </c>
      <c r="P47" s="548">
        <v>460000</v>
      </c>
      <c r="Q47" s="548"/>
      <c r="R47" s="548">
        <v>335727.72</v>
      </c>
      <c r="S47" s="549">
        <f t="shared" si="0"/>
        <v>124272.28000000003</v>
      </c>
      <c r="T47" s="267" t="s">
        <v>1932</v>
      </c>
      <c r="U47" s="626" t="str">
        <f t="shared" si="5"/>
        <v>AA10429</v>
      </c>
      <c r="V47" s="627" t="str">
        <f t="shared" si="6"/>
        <v>0742-TCN17</v>
      </c>
      <c r="W47" s="626">
        <f t="shared" si="7"/>
        <v>521502</v>
      </c>
      <c r="X47" s="626" t="str">
        <f t="shared" si="8"/>
        <v>HIACE PANEL 15 PASAJ AC</v>
      </c>
      <c r="Y47" s="627">
        <f t="shared" si="8"/>
        <v>2017</v>
      </c>
      <c r="Z47" s="628">
        <f t="shared" si="9"/>
        <v>379112.61</v>
      </c>
      <c r="AA47" s="629"/>
      <c r="AB47" s="637"/>
      <c r="AC47" s="629">
        <f t="shared" si="30"/>
        <v>344993.21</v>
      </c>
      <c r="AD47" s="630">
        <f t="shared" si="31"/>
        <v>0.15</v>
      </c>
      <c r="AE47" s="629">
        <f t="shared" si="32"/>
        <v>12321.2</v>
      </c>
      <c r="AF47" s="629">
        <f t="shared" si="33"/>
        <v>17439.109999999993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3">
        <f t="shared" si="11"/>
        <v>43</v>
      </c>
      <c r="B48" s="543" t="s">
        <v>1426</v>
      </c>
      <c r="C48" s="544">
        <v>521502</v>
      </c>
      <c r="D48" s="545">
        <v>5611</v>
      </c>
      <c r="E48" s="544" t="s">
        <v>225</v>
      </c>
      <c r="F48" s="546">
        <v>2017</v>
      </c>
      <c r="G48" s="547">
        <v>42788</v>
      </c>
      <c r="H48" s="544" t="s">
        <v>819</v>
      </c>
      <c r="I48" s="544" t="s">
        <v>1615</v>
      </c>
      <c r="J48" s="544" t="s">
        <v>724</v>
      </c>
      <c r="K48" s="544" t="s">
        <v>1735</v>
      </c>
      <c r="L48" s="544" t="s">
        <v>1877</v>
      </c>
      <c r="M48" s="548">
        <v>379112.61</v>
      </c>
      <c r="N48" s="548">
        <v>17439.11</v>
      </c>
      <c r="O48" s="548">
        <v>63448.28</v>
      </c>
      <c r="P48" s="548">
        <v>460000</v>
      </c>
      <c r="Q48" s="548"/>
      <c r="R48" s="548">
        <v>335727.72</v>
      </c>
      <c r="S48" s="549">
        <f t="shared" si="0"/>
        <v>124272.28000000003</v>
      </c>
      <c r="T48" s="113" t="s">
        <v>1932</v>
      </c>
      <c r="U48" s="626" t="str">
        <f t="shared" si="5"/>
        <v>AA10496</v>
      </c>
      <c r="V48" s="627" t="str">
        <f t="shared" si="6"/>
        <v>0846-TCN17</v>
      </c>
      <c r="W48" s="626">
        <f t="shared" si="7"/>
        <v>521502</v>
      </c>
      <c r="X48" s="626" t="str">
        <f t="shared" si="8"/>
        <v>HIACE PANEL 15 PASAJ AC</v>
      </c>
      <c r="Y48" s="627">
        <f t="shared" si="8"/>
        <v>2017</v>
      </c>
      <c r="Z48" s="628">
        <f t="shared" si="9"/>
        <v>379112.61</v>
      </c>
      <c r="AA48" s="629"/>
      <c r="AB48" s="637"/>
      <c r="AC48" s="629">
        <f t="shared" si="30"/>
        <v>344993.21</v>
      </c>
      <c r="AD48" s="630">
        <f t="shared" si="31"/>
        <v>0.15</v>
      </c>
      <c r="AE48" s="629">
        <f t="shared" si="32"/>
        <v>12321.2</v>
      </c>
      <c r="AF48" s="629">
        <f t="shared" si="33"/>
        <v>17439.109999999993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3">
        <f t="shared" si="11"/>
        <v>44</v>
      </c>
      <c r="B49" s="543" t="s">
        <v>1429</v>
      </c>
      <c r="C49" s="544">
        <v>521502</v>
      </c>
      <c r="D49" s="545">
        <v>5611</v>
      </c>
      <c r="E49" s="544" t="s">
        <v>225</v>
      </c>
      <c r="F49" s="546">
        <v>2017</v>
      </c>
      <c r="G49" s="547">
        <v>42791</v>
      </c>
      <c r="H49" s="544" t="s">
        <v>747</v>
      </c>
      <c r="I49" s="544" t="s">
        <v>1616</v>
      </c>
      <c r="J49" s="544" t="s">
        <v>724</v>
      </c>
      <c r="K49" s="544" t="s">
        <v>1736</v>
      </c>
      <c r="L49" s="544" t="s">
        <v>1878</v>
      </c>
      <c r="M49" s="548">
        <v>379112.61</v>
      </c>
      <c r="N49" s="548">
        <v>17439.11</v>
      </c>
      <c r="O49" s="548">
        <v>63448.28</v>
      </c>
      <c r="P49" s="548">
        <v>460000</v>
      </c>
      <c r="Q49" s="548"/>
      <c r="R49" s="548">
        <v>335727.72</v>
      </c>
      <c r="S49" s="549">
        <f t="shared" si="0"/>
        <v>124272.28000000003</v>
      </c>
      <c r="T49" s="113" t="s">
        <v>1932</v>
      </c>
      <c r="U49" s="626" t="str">
        <f t="shared" si="5"/>
        <v>AA10522</v>
      </c>
      <c r="V49" s="627" t="str">
        <f t="shared" si="6"/>
        <v>0797-TCN17</v>
      </c>
      <c r="W49" s="626">
        <f t="shared" si="7"/>
        <v>521502</v>
      </c>
      <c r="X49" s="626" t="str">
        <f t="shared" si="8"/>
        <v>HIACE PANEL 15 PASAJ AC</v>
      </c>
      <c r="Y49" s="627">
        <f t="shared" si="8"/>
        <v>2017</v>
      </c>
      <c r="Z49" s="628">
        <f t="shared" si="9"/>
        <v>379112.61</v>
      </c>
      <c r="AA49" s="629"/>
      <c r="AB49" s="637"/>
      <c r="AC49" s="629">
        <f t="shared" si="30"/>
        <v>344993.21</v>
      </c>
      <c r="AD49" s="630">
        <f t="shared" si="31"/>
        <v>0.15</v>
      </c>
      <c r="AE49" s="629">
        <f t="shared" si="32"/>
        <v>12321.2</v>
      </c>
      <c r="AF49" s="629">
        <f t="shared" si="33"/>
        <v>17439.109999999993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3">
        <f t="shared" si="11"/>
        <v>45</v>
      </c>
      <c r="B50" s="543" t="s">
        <v>1428</v>
      </c>
      <c r="C50" s="544">
        <v>521502</v>
      </c>
      <c r="D50" s="545">
        <v>5611</v>
      </c>
      <c r="E50" s="544" t="s">
        <v>225</v>
      </c>
      <c r="F50" s="546">
        <v>2017</v>
      </c>
      <c r="G50" s="547">
        <v>42789</v>
      </c>
      <c r="H50" s="544" t="s">
        <v>819</v>
      </c>
      <c r="I50" s="544" t="s">
        <v>1613</v>
      </c>
      <c r="J50" s="544" t="s">
        <v>724</v>
      </c>
      <c r="K50" s="544" t="s">
        <v>1733</v>
      </c>
      <c r="L50" s="544" t="s">
        <v>1875</v>
      </c>
      <c r="M50" s="548">
        <v>379112.61</v>
      </c>
      <c r="N50" s="548">
        <v>17439.11</v>
      </c>
      <c r="O50" s="548">
        <v>63448.28</v>
      </c>
      <c r="P50" s="548">
        <v>460000</v>
      </c>
      <c r="Q50" s="548"/>
      <c r="R50" s="548">
        <v>335727.72</v>
      </c>
      <c r="S50" s="549">
        <f t="shared" si="0"/>
        <v>124272.28000000003</v>
      </c>
      <c r="T50" s="362" t="s">
        <v>1932</v>
      </c>
      <c r="U50" s="626" t="str">
        <f t="shared" si="5"/>
        <v>AA10503</v>
      </c>
      <c r="V50" s="627" t="str">
        <f t="shared" si="6"/>
        <v>0743-TCN17</v>
      </c>
      <c r="W50" s="626">
        <f t="shared" si="7"/>
        <v>521502</v>
      </c>
      <c r="X50" s="626" t="str">
        <f t="shared" si="8"/>
        <v>HIACE PANEL 15 PASAJ AC</v>
      </c>
      <c r="Y50" s="627">
        <f t="shared" si="8"/>
        <v>2017</v>
      </c>
      <c r="Z50" s="628">
        <f t="shared" si="9"/>
        <v>379112.61</v>
      </c>
      <c r="AA50" s="629"/>
      <c r="AB50" s="637"/>
      <c r="AC50" s="629">
        <f t="shared" si="30"/>
        <v>344993.21</v>
      </c>
      <c r="AD50" s="630">
        <f t="shared" si="31"/>
        <v>0.15</v>
      </c>
      <c r="AE50" s="629">
        <f t="shared" si="32"/>
        <v>12321.2</v>
      </c>
      <c r="AF50" s="629">
        <f t="shared" si="33"/>
        <v>17439.109999999993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3">
        <f t="shared" si="11"/>
        <v>46</v>
      </c>
      <c r="B51" s="543" t="s">
        <v>1433</v>
      </c>
      <c r="C51" s="544">
        <v>521502</v>
      </c>
      <c r="D51" s="545">
        <v>5611</v>
      </c>
      <c r="E51" s="544" t="s">
        <v>225</v>
      </c>
      <c r="F51" s="546">
        <v>2017</v>
      </c>
      <c r="G51" s="547">
        <v>42794</v>
      </c>
      <c r="H51" s="544" t="s">
        <v>817</v>
      </c>
      <c r="I51" s="544" t="s">
        <v>1617</v>
      </c>
      <c r="J51" s="544" t="s">
        <v>724</v>
      </c>
      <c r="K51" s="544" t="s">
        <v>1737</v>
      </c>
      <c r="L51" s="544" t="s">
        <v>1879</v>
      </c>
      <c r="M51" s="548">
        <v>379112.61</v>
      </c>
      <c r="N51" s="548">
        <v>17439.11</v>
      </c>
      <c r="O51" s="548">
        <v>63448.28</v>
      </c>
      <c r="P51" s="548">
        <v>460000</v>
      </c>
      <c r="Q51" s="548"/>
      <c r="R51" s="548">
        <v>335727.72</v>
      </c>
      <c r="S51" s="549">
        <f t="shared" si="0"/>
        <v>124272.28000000003</v>
      </c>
      <c r="T51" s="267" t="s">
        <v>1932</v>
      </c>
      <c r="U51" s="626" t="str">
        <f t="shared" si="5"/>
        <v>AA10560</v>
      </c>
      <c r="V51" s="627" t="str">
        <f t="shared" si="6"/>
        <v>0880-TCN17</v>
      </c>
      <c r="W51" s="626">
        <f t="shared" si="7"/>
        <v>521502</v>
      </c>
      <c r="X51" s="626" t="str">
        <f t="shared" si="8"/>
        <v>HIACE PANEL 15 PASAJ AC</v>
      </c>
      <c r="Y51" s="627">
        <f t="shared" si="8"/>
        <v>2017</v>
      </c>
      <c r="Z51" s="628">
        <f t="shared" si="9"/>
        <v>379112.61</v>
      </c>
      <c r="AA51" s="629">
        <f>+SUM(Z46:Z51)</f>
        <v>2274675.6599999997</v>
      </c>
      <c r="AB51" s="637">
        <v>6</v>
      </c>
      <c r="AC51" s="629">
        <f t="shared" si="30"/>
        <v>344993.21</v>
      </c>
      <c r="AD51" s="630">
        <f t="shared" si="31"/>
        <v>0.15</v>
      </c>
      <c r="AE51" s="629">
        <f t="shared" si="32"/>
        <v>12321.2</v>
      </c>
      <c r="AF51" s="629">
        <f t="shared" si="33"/>
        <v>17439.109999999993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3">
        <f t="shared" si="11"/>
        <v>47</v>
      </c>
      <c r="B52" s="543" t="s">
        <v>1333</v>
      </c>
      <c r="C52" s="544">
        <v>521702</v>
      </c>
      <c r="D52" s="545">
        <v>2005</v>
      </c>
      <c r="E52" s="544" t="s">
        <v>701</v>
      </c>
      <c r="F52" s="546">
        <v>2017</v>
      </c>
      <c r="G52" s="547">
        <v>42783</v>
      </c>
      <c r="H52" s="544" t="s">
        <v>1522</v>
      </c>
      <c r="I52" s="544" t="s">
        <v>1555</v>
      </c>
      <c r="J52" s="544" t="s">
        <v>724</v>
      </c>
      <c r="K52" s="544" t="s">
        <v>1690</v>
      </c>
      <c r="L52" s="544" t="s">
        <v>1817</v>
      </c>
      <c r="M52" s="548">
        <v>177413.79</v>
      </c>
      <c r="N52" s="548">
        <v>0</v>
      </c>
      <c r="O52" s="548">
        <v>28386.21</v>
      </c>
      <c r="P52" s="548">
        <v>205800</v>
      </c>
      <c r="Q52" s="548"/>
      <c r="R52" s="548">
        <v>161270.1</v>
      </c>
      <c r="S52" s="549">
        <f t="shared" si="0"/>
        <v>44529.899999999994</v>
      </c>
      <c r="T52" s="113" t="s">
        <v>1932</v>
      </c>
      <c r="U52" s="626" t="str">
        <f t="shared" si="5"/>
        <v>AA10454</v>
      </c>
      <c r="V52" s="627" t="str">
        <f t="shared" si="6"/>
        <v>0814-TCN17</v>
      </c>
      <c r="W52" s="626">
        <f t="shared" si="7"/>
        <v>521702</v>
      </c>
      <c r="X52" s="626" t="str">
        <f t="shared" si="8"/>
        <v>YARIS CORE MT, SEDAN</v>
      </c>
      <c r="Y52" s="627">
        <f t="shared" si="8"/>
        <v>2017</v>
      </c>
      <c r="Z52" s="628">
        <f t="shared" si="9"/>
        <v>177413.79</v>
      </c>
      <c r="AA52" s="629"/>
      <c r="AB52" s="637"/>
      <c r="AC52" s="629">
        <f t="shared" si="30"/>
        <v>0.01</v>
      </c>
      <c r="AD52" s="630">
        <f t="shared" si="31"/>
        <v>0.02</v>
      </c>
      <c r="AE52" s="629">
        <f t="shared" si="32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3">
        <f t="shared" si="11"/>
        <v>48</v>
      </c>
      <c r="B53" s="543" t="s">
        <v>1335</v>
      </c>
      <c r="C53" s="544">
        <v>521702</v>
      </c>
      <c r="D53" s="545">
        <v>2005</v>
      </c>
      <c r="E53" s="544" t="s">
        <v>701</v>
      </c>
      <c r="F53" s="546">
        <v>2017</v>
      </c>
      <c r="G53" s="547">
        <v>42786</v>
      </c>
      <c r="H53" s="544" t="s">
        <v>819</v>
      </c>
      <c r="I53" s="544" t="s">
        <v>1557</v>
      </c>
      <c r="J53" s="544" t="s">
        <v>724</v>
      </c>
      <c r="K53" s="544" t="s">
        <v>1692</v>
      </c>
      <c r="L53" s="544" t="s">
        <v>1819</v>
      </c>
      <c r="M53" s="548">
        <v>177413.79</v>
      </c>
      <c r="N53" s="548">
        <v>0</v>
      </c>
      <c r="O53" s="548">
        <v>28386.21</v>
      </c>
      <c r="P53" s="548">
        <v>205800</v>
      </c>
      <c r="Q53" s="548"/>
      <c r="R53" s="548">
        <v>161271.1</v>
      </c>
      <c r="S53" s="549">
        <f t="shared" si="0"/>
        <v>44528.899999999994</v>
      </c>
      <c r="T53" s="267" t="s">
        <v>1932</v>
      </c>
      <c r="U53" s="626" t="str">
        <f t="shared" si="5"/>
        <v>AA10475</v>
      </c>
      <c r="V53" s="627" t="str">
        <f t="shared" si="6"/>
        <v>0827-TCN17</v>
      </c>
      <c r="W53" s="626">
        <f t="shared" si="7"/>
        <v>521702</v>
      </c>
      <c r="X53" s="626" t="str">
        <f t="shared" si="8"/>
        <v>YARIS CORE MT, SEDAN</v>
      </c>
      <c r="Y53" s="627">
        <f t="shared" si="8"/>
        <v>2017</v>
      </c>
      <c r="Z53" s="628">
        <f t="shared" si="9"/>
        <v>177413.79</v>
      </c>
      <c r="AA53" s="629"/>
      <c r="AB53" s="637"/>
      <c r="AC53" s="629">
        <f t="shared" si="30"/>
        <v>0.01</v>
      </c>
      <c r="AD53" s="630">
        <f t="shared" si="31"/>
        <v>0.02</v>
      </c>
      <c r="AE53" s="629">
        <f t="shared" si="32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3">
        <f t="shared" si="11"/>
        <v>49</v>
      </c>
      <c r="B54" s="543" t="s">
        <v>1336</v>
      </c>
      <c r="C54" s="544">
        <v>521702</v>
      </c>
      <c r="D54" s="545">
        <v>2005</v>
      </c>
      <c r="E54" s="544" t="s">
        <v>701</v>
      </c>
      <c r="F54" s="546">
        <v>2017</v>
      </c>
      <c r="G54" s="547">
        <v>42788</v>
      </c>
      <c r="H54" s="544" t="s">
        <v>817</v>
      </c>
      <c r="I54" s="544" t="s">
        <v>1558</v>
      </c>
      <c r="J54" s="544" t="s">
        <v>724</v>
      </c>
      <c r="K54" s="544" t="s">
        <v>1693</v>
      </c>
      <c r="L54" s="544" t="s">
        <v>1820</v>
      </c>
      <c r="M54" s="548">
        <v>177413.79</v>
      </c>
      <c r="N54" s="548">
        <v>0</v>
      </c>
      <c r="O54" s="548">
        <v>28386.21</v>
      </c>
      <c r="P54" s="548">
        <v>205800</v>
      </c>
      <c r="Q54" s="548"/>
      <c r="R54" s="548">
        <v>160915.62</v>
      </c>
      <c r="S54" s="549">
        <f t="shared" si="0"/>
        <v>44884.380000000005</v>
      </c>
      <c r="T54" s="267" t="s">
        <v>1932</v>
      </c>
      <c r="U54" s="626" t="str">
        <f t="shared" si="5"/>
        <v>AA10497</v>
      </c>
      <c r="V54" s="627" t="str">
        <f t="shared" si="6"/>
        <v>0847-TCN17</v>
      </c>
      <c r="W54" s="626">
        <f t="shared" si="7"/>
        <v>521702</v>
      </c>
      <c r="X54" s="626" t="str">
        <f t="shared" si="8"/>
        <v>YARIS CORE MT, SEDAN</v>
      </c>
      <c r="Y54" s="627">
        <f t="shared" si="8"/>
        <v>2017</v>
      </c>
      <c r="Z54" s="628">
        <f t="shared" si="9"/>
        <v>177413.79</v>
      </c>
      <c r="AA54" s="629"/>
      <c r="AB54" s="637"/>
      <c r="AC54" s="629">
        <f t="shared" si="30"/>
        <v>0.01</v>
      </c>
      <c r="AD54" s="630">
        <f t="shared" si="31"/>
        <v>0.02</v>
      </c>
      <c r="AE54" s="629">
        <f t="shared" si="32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3">
        <f t="shared" si="11"/>
        <v>50</v>
      </c>
      <c r="B55" s="543" t="s">
        <v>1334</v>
      </c>
      <c r="C55" s="544">
        <v>521702</v>
      </c>
      <c r="D55" s="545">
        <v>2005</v>
      </c>
      <c r="E55" s="544" t="s">
        <v>701</v>
      </c>
      <c r="F55" s="546">
        <v>2017</v>
      </c>
      <c r="G55" s="547">
        <v>42786</v>
      </c>
      <c r="H55" s="544" t="s">
        <v>722</v>
      </c>
      <c r="I55" s="544" t="s">
        <v>1556</v>
      </c>
      <c r="J55" s="544" t="s">
        <v>724</v>
      </c>
      <c r="K55" s="544" t="s">
        <v>1691</v>
      </c>
      <c r="L55" s="544" t="s">
        <v>1818</v>
      </c>
      <c r="M55" s="548">
        <v>177413.79</v>
      </c>
      <c r="N55" s="548">
        <v>0</v>
      </c>
      <c r="O55" s="548">
        <v>28386.21</v>
      </c>
      <c r="P55" s="548">
        <v>205800</v>
      </c>
      <c r="Q55" s="548"/>
      <c r="R55" s="548">
        <v>161270.1</v>
      </c>
      <c r="S55" s="549">
        <f t="shared" si="0"/>
        <v>44529.899999999994</v>
      </c>
      <c r="T55" s="267" t="s">
        <v>1932</v>
      </c>
      <c r="U55" s="626" t="str">
        <f t="shared" si="5"/>
        <v>AA10474</v>
      </c>
      <c r="V55" s="627" t="str">
        <f t="shared" si="6"/>
        <v>0819-TCN17</v>
      </c>
      <c r="W55" s="626">
        <f t="shared" si="7"/>
        <v>521702</v>
      </c>
      <c r="X55" s="626" t="str">
        <f t="shared" si="8"/>
        <v>YARIS CORE MT, SEDAN</v>
      </c>
      <c r="Y55" s="627">
        <f t="shared" si="8"/>
        <v>2017</v>
      </c>
      <c r="Z55" s="628">
        <f t="shared" si="9"/>
        <v>177413.79</v>
      </c>
      <c r="AA55" s="629"/>
      <c r="AB55" s="637"/>
      <c r="AC55" s="629">
        <f t="shared" si="30"/>
        <v>0.01</v>
      </c>
      <c r="AD55" s="630">
        <f t="shared" si="31"/>
        <v>0.02</v>
      </c>
      <c r="AE55" s="629">
        <f t="shared" si="32"/>
        <v>0</v>
      </c>
      <c r="AF55" s="629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3">
        <f t="shared" si="11"/>
        <v>51</v>
      </c>
      <c r="B56" s="543" t="s">
        <v>1338</v>
      </c>
      <c r="C56" s="544">
        <v>521702</v>
      </c>
      <c r="D56" s="545">
        <v>2005</v>
      </c>
      <c r="E56" s="544" t="s">
        <v>701</v>
      </c>
      <c r="F56" s="546">
        <v>2017</v>
      </c>
      <c r="G56" s="547">
        <v>42793</v>
      </c>
      <c r="H56" s="544" t="s">
        <v>722</v>
      </c>
      <c r="I56" s="544" t="s">
        <v>1560</v>
      </c>
      <c r="J56" s="544" t="s">
        <v>724</v>
      </c>
      <c r="K56" s="544" t="s">
        <v>1695</v>
      </c>
      <c r="L56" s="544" t="s">
        <v>1822</v>
      </c>
      <c r="M56" s="548">
        <v>177413.79</v>
      </c>
      <c r="N56" s="548">
        <v>0</v>
      </c>
      <c r="O56" s="548">
        <v>28386.21</v>
      </c>
      <c r="P56" s="548">
        <v>205800</v>
      </c>
      <c r="Q56" s="548"/>
      <c r="R56" s="548">
        <v>160915.62</v>
      </c>
      <c r="S56" s="549">
        <f t="shared" si="0"/>
        <v>44884.380000000005</v>
      </c>
      <c r="T56" s="267" t="s">
        <v>1932</v>
      </c>
      <c r="U56" s="626" t="str">
        <f t="shared" si="5"/>
        <v>AA10526</v>
      </c>
      <c r="V56" s="627" t="str">
        <f t="shared" si="6"/>
        <v>0881-TCN17</v>
      </c>
      <c r="W56" s="626">
        <f t="shared" si="7"/>
        <v>521702</v>
      </c>
      <c r="X56" s="626" t="str">
        <f t="shared" si="8"/>
        <v>YARIS CORE MT, SEDAN</v>
      </c>
      <c r="Y56" s="627">
        <f t="shared" si="8"/>
        <v>2017</v>
      </c>
      <c r="Z56" s="628">
        <f t="shared" si="9"/>
        <v>177413.79</v>
      </c>
      <c r="AA56" s="629"/>
      <c r="AB56" s="637"/>
      <c r="AC56" s="629">
        <f t="shared" si="30"/>
        <v>0.01</v>
      </c>
      <c r="AD56" s="630">
        <f t="shared" si="31"/>
        <v>0.02</v>
      </c>
      <c r="AE56" s="629">
        <f t="shared" si="32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3">
        <f t="shared" si="11"/>
        <v>52</v>
      </c>
      <c r="B57" s="543" t="s">
        <v>1339</v>
      </c>
      <c r="C57" s="544">
        <v>521702</v>
      </c>
      <c r="D57" s="545">
        <v>2005</v>
      </c>
      <c r="E57" s="544" t="s">
        <v>701</v>
      </c>
      <c r="F57" s="546">
        <v>2017</v>
      </c>
      <c r="G57" s="547">
        <v>42794</v>
      </c>
      <c r="H57" s="544" t="s">
        <v>743</v>
      </c>
      <c r="I57" s="544" t="s">
        <v>1561</v>
      </c>
      <c r="J57" s="544" t="s">
        <v>724</v>
      </c>
      <c r="K57" s="544" t="s">
        <v>1696</v>
      </c>
      <c r="L57" s="544" t="s">
        <v>1823</v>
      </c>
      <c r="M57" s="548">
        <v>177413.79</v>
      </c>
      <c r="N57" s="548">
        <v>0</v>
      </c>
      <c r="O57" s="548">
        <v>28386.21</v>
      </c>
      <c r="P57" s="548">
        <v>205800</v>
      </c>
      <c r="Q57" s="548"/>
      <c r="R57" s="548">
        <v>160915.62</v>
      </c>
      <c r="S57" s="549">
        <f t="shared" si="0"/>
        <v>44884.380000000005</v>
      </c>
      <c r="T57" s="267" t="s">
        <v>1932</v>
      </c>
      <c r="U57" s="626" t="str">
        <f t="shared" si="5"/>
        <v>AA10557</v>
      </c>
      <c r="V57" s="627" t="str">
        <f t="shared" si="6"/>
        <v>0896-TCN17</v>
      </c>
      <c r="W57" s="626">
        <f t="shared" si="7"/>
        <v>521702</v>
      </c>
      <c r="X57" s="626" t="str">
        <f t="shared" si="8"/>
        <v>YARIS CORE MT, SEDAN</v>
      </c>
      <c r="Y57" s="627">
        <f t="shared" si="8"/>
        <v>2017</v>
      </c>
      <c r="Z57" s="628">
        <f t="shared" si="9"/>
        <v>177413.79</v>
      </c>
      <c r="AA57" s="629"/>
      <c r="AB57" s="637"/>
      <c r="AC57" s="629">
        <f t="shared" si="30"/>
        <v>0.01</v>
      </c>
      <c r="AD57" s="630">
        <f t="shared" si="31"/>
        <v>0.02</v>
      </c>
      <c r="AE57" s="629">
        <f t="shared" si="32"/>
        <v>0</v>
      </c>
      <c r="AF57" s="629"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ht="12.75" customHeight="1" x14ac:dyDescent="0.2">
      <c r="A58" s="423">
        <f t="shared" si="11"/>
        <v>53</v>
      </c>
      <c r="B58" s="543" t="s">
        <v>1337</v>
      </c>
      <c r="C58" s="544">
        <v>521702</v>
      </c>
      <c r="D58" s="545">
        <v>2005</v>
      </c>
      <c r="E58" s="544" t="s">
        <v>701</v>
      </c>
      <c r="F58" s="546">
        <v>2017</v>
      </c>
      <c r="G58" s="547">
        <v>42790</v>
      </c>
      <c r="H58" s="544" t="s">
        <v>727</v>
      </c>
      <c r="I58" s="544" t="s">
        <v>1559</v>
      </c>
      <c r="J58" s="544" t="s">
        <v>724</v>
      </c>
      <c r="K58" s="544" t="s">
        <v>1694</v>
      </c>
      <c r="L58" s="544" t="s">
        <v>1821</v>
      </c>
      <c r="M58" s="548">
        <v>177413.79</v>
      </c>
      <c r="N58" s="548">
        <v>0</v>
      </c>
      <c r="O58" s="548">
        <v>28386.21</v>
      </c>
      <c r="P58" s="548">
        <v>205800</v>
      </c>
      <c r="Q58" s="548"/>
      <c r="R58" s="548">
        <v>160915.62</v>
      </c>
      <c r="S58" s="549">
        <f t="shared" si="0"/>
        <v>44884.380000000005</v>
      </c>
      <c r="T58" s="267" t="s">
        <v>1932</v>
      </c>
      <c r="U58" s="626" t="str">
        <f t="shared" si="5"/>
        <v>AA10514</v>
      </c>
      <c r="V58" s="627" t="str">
        <f t="shared" si="6"/>
        <v>0850-TCN17</v>
      </c>
      <c r="W58" s="626">
        <f t="shared" si="7"/>
        <v>521702</v>
      </c>
      <c r="X58" s="626" t="str">
        <f t="shared" si="8"/>
        <v>YARIS CORE MT, SEDAN</v>
      </c>
      <c r="Y58" s="627">
        <f t="shared" si="8"/>
        <v>2017</v>
      </c>
      <c r="Z58" s="628">
        <f t="shared" si="9"/>
        <v>177413.79</v>
      </c>
      <c r="AA58" s="629">
        <f>+SUM(Z52:Z58)</f>
        <v>1241896.53</v>
      </c>
      <c r="AB58" s="639">
        <v>7</v>
      </c>
      <c r="AC58" s="629">
        <f t="shared" si="30"/>
        <v>0.01</v>
      </c>
      <c r="AD58" s="630">
        <f t="shared" si="31"/>
        <v>0.02</v>
      </c>
      <c r="AE58" s="629">
        <f t="shared" si="32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ht="12.75" customHeight="1" x14ac:dyDescent="0.2">
      <c r="A59" s="423">
        <f t="shared" si="11"/>
        <v>54</v>
      </c>
      <c r="B59" s="543" t="s">
        <v>1356</v>
      </c>
      <c r="C59" s="544">
        <v>521707</v>
      </c>
      <c r="D59" s="545">
        <v>2006</v>
      </c>
      <c r="E59" s="544" t="s">
        <v>702</v>
      </c>
      <c r="F59" s="546">
        <v>2017</v>
      </c>
      <c r="G59" s="547">
        <v>42794</v>
      </c>
      <c r="H59" s="544" t="s">
        <v>788</v>
      </c>
      <c r="I59" s="544" t="s">
        <v>1570</v>
      </c>
      <c r="J59" s="544" t="s">
        <v>724</v>
      </c>
      <c r="K59" s="544" t="s">
        <v>1702</v>
      </c>
      <c r="L59" s="544" t="s">
        <v>1832</v>
      </c>
      <c r="M59" s="548">
        <v>195172.41</v>
      </c>
      <c r="N59" s="548">
        <v>0</v>
      </c>
      <c r="O59" s="548">
        <v>31227.59</v>
      </c>
      <c r="P59" s="548">
        <v>226400</v>
      </c>
      <c r="Q59" s="548"/>
      <c r="R59" s="548">
        <v>176916.14</v>
      </c>
      <c r="S59" s="549">
        <f t="shared" si="0"/>
        <v>49483.859999999986</v>
      </c>
      <c r="T59" s="113" t="s">
        <v>1932</v>
      </c>
      <c r="U59" s="626" t="str">
        <f t="shared" si="5"/>
        <v>AA10550</v>
      </c>
      <c r="V59" s="627" t="str">
        <f t="shared" si="6"/>
        <v>0898-TCN17</v>
      </c>
      <c r="W59" s="626">
        <f t="shared" si="7"/>
        <v>521707</v>
      </c>
      <c r="X59" s="626" t="str">
        <f t="shared" si="8"/>
        <v>YARIS CORE,SEDAN CVT.</v>
      </c>
      <c r="Y59" s="627">
        <f t="shared" si="8"/>
        <v>2017</v>
      </c>
      <c r="Z59" s="628">
        <f t="shared" si="9"/>
        <v>195172.41</v>
      </c>
      <c r="AA59" s="629"/>
      <c r="AB59" s="637"/>
      <c r="AC59" s="629">
        <f t="shared" si="30"/>
        <v>0.01</v>
      </c>
      <c r="AD59" s="630">
        <f t="shared" si="31"/>
        <v>0.02</v>
      </c>
      <c r="AE59" s="629">
        <f t="shared" si="32"/>
        <v>0</v>
      </c>
      <c r="AF59" s="629"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ht="12.75" customHeight="1" x14ac:dyDescent="0.2">
      <c r="A60" s="423">
        <f t="shared" si="11"/>
        <v>55</v>
      </c>
      <c r="B60" s="543" t="s">
        <v>1341</v>
      </c>
      <c r="C60" s="544">
        <v>521707</v>
      </c>
      <c r="D60" s="545">
        <v>2006</v>
      </c>
      <c r="E60" s="544" t="s">
        <v>702</v>
      </c>
      <c r="F60" s="546">
        <v>2017</v>
      </c>
      <c r="G60" s="547">
        <v>42774</v>
      </c>
      <c r="H60" s="544" t="s">
        <v>727</v>
      </c>
      <c r="I60" s="544" t="s">
        <v>1563</v>
      </c>
      <c r="J60" s="544" t="s">
        <v>724</v>
      </c>
      <c r="K60" s="544" t="s">
        <v>1697</v>
      </c>
      <c r="L60" s="544" t="s">
        <v>1825</v>
      </c>
      <c r="M60" s="548">
        <v>195172.41</v>
      </c>
      <c r="N60" s="548">
        <v>0</v>
      </c>
      <c r="O60" s="548">
        <v>31227.59</v>
      </c>
      <c r="P60" s="548">
        <v>226400</v>
      </c>
      <c r="Q60" s="548"/>
      <c r="R60" s="548">
        <v>176916.14</v>
      </c>
      <c r="S60" s="549">
        <f t="shared" si="0"/>
        <v>49483.859999999986</v>
      </c>
      <c r="T60" s="267" t="s">
        <v>1932</v>
      </c>
      <c r="U60" s="626" t="str">
        <f t="shared" si="5"/>
        <v>AA10393</v>
      </c>
      <c r="V60" s="627" t="str">
        <f t="shared" si="6"/>
        <v>0784-TCN17</v>
      </c>
      <c r="W60" s="626">
        <f t="shared" si="7"/>
        <v>521707</v>
      </c>
      <c r="X60" s="626" t="str">
        <f t="shared" si="8"/>
        <v>YARIS CORE,SEDAN CVT.</v>
      </c>
      <c r="Y60" s="627">
        <f t="shared" si="8"/>
        <v>2017</v>
      </c>
      <c r="Z60" s="628">
        <f t="shared" si="9"/>
        <v>195172.41</v>
      </c>
      <c r="AA60" s="629"/>
      <c r="AB60" s="637"/>
      <c r="AC60" s="629">
        <f t="shared" si="30"/>
        <v>0.01</v>
      </c>
      <c r="AD60" s="630">
        <f t="shared" si="31"/>
        <v>0.02</v>
      </c>
      <c r="AE60" s="629">
        <f t="shared" si="32"/>
        <v>0</v>
      </c>
      <c r="AF60" s="629">
        <v>0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ht="12.75" customHeight="1" x14ac:dyDescent="0.2">
      <c r="A61" s="423">
        <f t="shared" si="11"/>
        <v>56</v>
      </c>
      <c r="B61" s="543" t="s">
        <v>1351</v>
      </c>
      <c r="C61" s="544">
        <v>521707</v>
      </c>
      <c r="D61" s="545">
        <v>2006</v>
      </c>
      <c r="E61" s="544" t="s">
        <v>702</v>
      </c>
      <c r="F61" s="546">
        <v>2017</v>
      </c>
      <c r="G61" s="547">
        <v>42793</v>
      </c>
      <c r="H61" s="544" t="s">
        <v>778</v>
      </c>
      <c r="I61" s="544" t="s">
        <v>1567</v>
      </c>
      <c r="J61" s="544" t="s">
        <v>724</v>
      </c>
      <c r="K61" s="544" t="s">
        <v>1701</v>
      </c>
      <c r="L61" s="544" t="s">
        <v>1829</v>
      </c>
      <c r="M61" s="548">
        <v>195172.41</v>
      </c>
      <c r="N61" s="548">
        <v>0</v>
      </c>
      <c r="O61" s="548">
        <v>31227.59</v>
      </c>
      <c r="P61" s="548">
        <v>226400</v>
      </c>
      <c r="Q61" s="548"/>
      <c r="R61" s="548">
        <v>177270.62</v>
      </c>
      <c r="S61" s="549">
        <f t="shared" si="0"/>
        <v>49129.380000000005</v>
      </c>
      <c r="T61" s="113" t="s">
        <v>1932</v>
      </c>
      <c r="U61" s="626" t="str">
        <f t="shared" si="5"/>
        <v>AA10524</v>
      </c>
      <c r="V61" s="627" t="str">
        <f t="shared" si="6"/>
        <v>0879-TCN17</v>
      </c>
      <c r="W61" s="626">
        <f t="shared" si="7"/>
        <v>521707</v>
      </c>
      <c r="X61" s="626" t="str">
        <f t="shared" si="8"/>
        <v>YARIS CORE,SEDAN CVT.</v>
      </c>
      <c r="Y61" s="627">
        <f t="shared" si="8"/>
        <v>2017</v>
      </c>
      <c r="Z61" s="628">
        <f t="shared" si="9"/>
        <v>195172.41</v>
      </c>
      <c r="AA61" s="629"/>
      <c r="AB61" s="637"/>
      <c r="AC61" s="629">
        <f t="shared" si="30"/>
        <v>0.01</v>
      </c>
      <c r="AD61" s="630">
        <f t="shared" si="31"/>
        <v>0.02</v>
      </c>
      <c r="AE61" s="629">
        <f t="shared" si="32"/>
        <v>0</v>
      </c>
      <c r="AF61" s="629"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ht="12.75" customHeight="1" x14ac:dyDescent="0.2">
      <c r="A62" s="423">
        <f t="shared" si="11"/>
        <v>57</v>
      </c>
      <c r="B62" s="543" t="s">
        <v>1350</v>
      </c>
      <c r="C62" s="544">
        <v>521707</v>
      </c>
      <c r="D62" s="545">
        <v>2006</v>
      </c>
      <c r="E62" s="544" t="s">
        <v>702</v>
      </c>
      <c r="F62" s="546">
        <v>2017</v>
      </c>
      <c r="G62" s="547">
        <v>42789</v>
      </c>
      <c r="H62" s="544" t="s">
        <v>817</v>
      </c>
      <c r="I62" s="544" t="s">
        <v>1566</v>
      </c>
      <c r="J62" s="544" t="s">
        <v>724</v>
      </c>
      <c r="K62" s="544" t="s">
        <v>1700</v>
      </c>
      <c r="L62" s="544" t="s">
        <v>1828</v>
      </c>
      <c r="M62" s="548">
        <v>195172.41</v>
      </c>
      <c r="N62" s="548">
        <v>0</v>
      </c>
      <c r="O62" s="548">
        <v>31227.59</v>
      </c>
      <c r="P62" s="548">
        <v>226400</v>
      </c>
      <c r="Q62" s="548"/>
      <c r="R62" s="548">
        <v>177270.62</v>
      </c>
      <c r="S62" s="549">
        <f t="shared" si="0"/>
        <v>49129.380000000005</v>
      </c>
      <c r="T62" s="267" t="s">
        <v>1932</v>
      </c>
      <c r="U62" s="626" t="str">
        <f t="shared" si="5"/>
        <v>AA10504</v>
      </c>
      <c r="V62" s="627" t="str">
        <f t="shared" si="6"/>
        <v>0848-TCN17</v>
      </c>
      <c r="W62" s="626">
        <f t="shared" si="7"/>
        <v>521707</v>
      </c>
      <c r="X62" s="626" t="str">
        <f t="shared" si="8"/>
        <v>YARIS CORE,SEDAN CVT.</v>
      </c>
      <c r="Y62" s="627">
        <f t="shared" si="8"/>
        <v>2017</v>
      </c>
      <c r="Z62" s="628">
        <f t="shared" si="9"/>
        <v>195172.41</v>
      </c>
      <c r="AA62" s="629"/>
      <c r="AB62" s="637"/>
      <c r="AC62" s="629">
        <f t="shared" si="30"/>
        <v>0.01</v>
      </c>
      <c r="AD62" s="630">
        <f t="shared" si="31"/>
        <v>0.02</v>
      </c>
      <c r="AE62" s="629">
        <f t="shared" si="32"/>
        <v>0</v>
      </c>
      <c r="AF62" s="629"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ht="12.75" customHeight="1" x14ac:dyDescent="0.2">
      <c r="A63" s="423">
        <f t="shared" si="11"/>
        <v>58</v>
      </c>
      <c r="B63" s="543" t="s">
        <v>1345</v>
      </c>
      <c r="C63" s="544">
        <v>521707</v>
      </c>
      <c r="D63" s="545">
        <v>2006</v>
      </c>
      <c r="E63" s="544" t="s">
        <v>702</v>
      </c>
      <c r="F63" s="546">
        <v>2017</v>
      </c>
      <c r="G63" s="547">
        <v>42784</v>
      </c>
      <c r="H63" s="544" t="s">
        <v>778</v>
      </c>
      <c r="I63" s="544" t="s">
        <v>1565</v>
      </c>
      <c r="J63" s="544" t="s">
        <v>724</v>
      </c>
      <c r="K63" s="544" t="s">
        <v>1699</v>
      </c>
      <c r="L63" s="544" t="s">
        <v>1827</v>
      </c>
      <c r="M63" s="548">
        <v>195172.41</v>
      </c>
      <c r="N63" s="548">
        <v>0</v>
      </c>
      <c r="O63" s="548">
        <v>31227.59</v>
      </c>
      <c r="P63" s="548">
        <v>226400</v>
      </c>
      <c r="Q63" s="548"/>
      <c r="R63" s="548">
        <v>176916.14</v>
      </c>
      <c r="S63" s="549">
        <f t="shared" si="0"/>
        <v>49483.859999999986</v>
      </c>
      <c r="T63" s="113" t="s">
        <v>1932</v>
      </c>
      <c r="U63" s="626" t="str">
        <f t="shared" si="5"/>
        <v>AA10465</v>
      </c>
      <c r="V63" s="627" t="str">
        <f t="shared" si="6"/>
        <v>0822-TCN17</v>
      </c>
      <c r="W63" s="626">
        <f t="shared" si="7"/>
        <v>521707</v>
      </c>
      <c r="X63" s="626" t="str">
        <f t="shared" si="8"/>
        <v>YARIS CORE,SEDAN CVT.</v>
      </c>
      <c r="Y63" s="627">
        <f t="shared" si="8"/>
        <v>2017</v>
      </c>
      <c r="Z63" s="628">
        <f t="shared" si="9"/>
        <v>195172.41</v>
      </c>
      <c r="AA63" s="629">
        <f>+SUM(Z59:Z63)</f>
        <v>975862.05</v>
      </c>
      <c r="AB63" s="639">
        <v>5</v>
      </c>
      <c r="AC63" s="629">
        <f t="shared" si="30"/>
        <v>0.01</v>
      </c>
      <c r="AD63" s="630">
        <f t="shared" si="31"/>
        <v>0.02</v>
      </c>
      <c r="AE63" s="629">
        <f t="shared" si="32"/>
        <v>0</v>
      </c>
      <c r="AF63" s="629"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3">
        <f t="shared" si="11"/>
        <v>59</v>
      </c>
      <c r="B64" s="543" t="s">
        <v>1378</v>
      </c>
      <c r="C64" s="544">
        <v>521801</v>
      </c>
      <c r="D64" s="545">
        <v>2201</v>
      </c>
      <c r="E64" s="544" t="s">
        <v>704</v>
      </c>
      <c r="F64" s="546">
        <v>2017</v>
      </c>
      <c r="G64" s="547">
        <v>42794</v>
      </c>
      <c r="H64" s="544" t="s">
        <v>760</v>
      </c>
      <c r="I64" s="544" t="s">
        <v>1583</v>
      </c>
      <c r="J64" s="544" t="s">
        <v>724</v>
      </c>
      <c r="K64" s="544" t="s">
        <v>1712</v>
      </c>
      <c r="L64" s="544" t="s">
        <v>1845</v>
      </c>
      <c r="M64" s="548">
        <v>197586.21</v>
      </c>
      <c r="N64" s="548">
        <v>0</v>
      </c>
      <c r="O64" s="548">
        <v>31613.79</v>
      </c>
      <c r="P64" s="548">
        <v>229200</v>
      </c>
      <c r="Q64" s="548"/>
      <c r="R64" s="548">
        <v>179255.09</v>
      </c>
      <c r="S64" s="549">
        <f t="shared" si="0"/>
        <v>49944.91</v>
      </c>
      <c r="T64" s="267" t="s">
        <v>1932</v>
      </c>
      <c r="U64" s="626" t="str">
        <f t="shared" si="5"/>
        <v>AA10561</v>
      </c>
      <c r="V64" s="627" t="str">
        <f t="shared" si="6"/>
        <v>0708-TCN17</v>
      </c>
      <c r="W64" s="626">
        <f t="shared" si="7"/>
        <v>521801</v>
      </c>
      <c r="X64" s="626" t="str">
        <f t="shared" si="8"/>
        <v>AVANZA HI 5MT</v>
      </c>
      <c r="Y64" s="627">
        <f t="shared" si="8"/>
        <v>2017</v>
      </c>
      <c r="Z64" s="628">
        <f t="shared" si="9"/>
        <v>197586.21</v>
      </c>
      <c r="AA64" s="629"/>
      <c r="AB64" s="637"/>
      <c r="AC64" s="629">
        <f t="shared" si="30"/>
        <v>0.01</v>
      </c>
      <c r="AD64" s="630">
        <f t="shared" si="31"/>
        <v>0.02</v>
      </c>
      <c r="AE64" s="629">
        <f t="shared" si="32"/>
        <v>0</v>
      </c>
      <c r="AF64" s="629"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3">
        <f t="shared" si="11"/>
        <v>60</v>
      </c>
      <c r="B65" s="543" t="s">
        <v>1374</v>
      </c>
      <c r="C65" s="544">
        <v>521801</v>
      </c>
      <c r="D65" s="545">
        <v>2201</v>
      </c>
      <c r="E65" s="544" t="s">
        <v>704</v>
      </c>
      <c r="F65" s="546">
        <v>2017</v>
      </c>
      <c r="G65" s="547">
        <v>42786</v>
      </c>
      <c r="H65" s="544" t="s">
        <v>739</v>
      </c>
      <c r="I65" s="544" t="s">
        <v>1582</v>
      </c>
      <c r="J65" s="544" t="s">
        <v>724</v>
      </c>
      <c r="K65" s="544" t="s">
        <v>1711</v>
      </c>
      <c r="L65" s="544" t="s">
        <v>1844</v>
      </c>
      <c r="M65" s="548">
        <v>197586.21</v>
      </c>
      <c r="N65" s="548">
        <v>0</v>
      </c>
      <c r="O65" s="548">
        <v>31613.79</v>
      </c>
      <c r="P65" s="548">
        <v>229200</v>
      </c>
      <c r="Q65" s="548"/>
      <c r="R65" s="548">
        <v>178943.74</v>
      </c>
      <c r="S65" s="549">
        <f t="shared" si="0"/>
        <v>50256.260000000009</v>
      </c>
      <c r="T65" s="113" t="s">
        <v>1932</v>
      </c>
      <c r="U65" s="626" t="str">
        <f t="shared" si="5"/>
        <v>AA10473</v>
      </c>
      <c r="V65" s="627" t="str">
        <f t="shared" si="6"/>
        <v>0635-TCN17</v>
      </c>
      <c r="W65" s="626">
        <f t="shared" si="7"/>
        <v>521801</v>
      </c>
      <c r="X65" s="626" t="str">
        <f t="shared" si="8"/>
        <v>AVANZA HI 5MT</v>
      </c>
      <c r="Y65" s="627">
        <f t="shared" si="8"/>
        <v>2017</v>
      </c>
      <c r="Z65" s="628">
        <f t="shared" si="9"/>
        <v>197586.21</v>
      </c>
      <c r="AA65" s="629"/>
      <c r="AB65" s="637"/>
      <c r="AC65" s="629">
        <f t="shared" si="30"/>
        <v>0.01</v>
      </c>
      <c r="AD65" s="630">
        <f t="shared" si="31"/>
        <v>0.02</v>
      </c>
      <c r="AE65" s="629">
        <f t="shared" si="32"/>
        <v>0</v>
      </c>
      <c r="AF65" s="629">
        <v>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3">
        <f>+A159+1</f>
        <v>63</v>
      </c>
      <c r="B66" s="543" t="s">
        <v>1372</v>
      </c>
      <c r="C66" s="544">
        <v>521801</v>
      </c>
      <c r="D66" s="544">
        <v>2201</v>
      </c>
      <c r="E66" s="544" t="s">
        <v>704</v>
      </c>
      <c r="F66" s="546">
        <v>2017</v>
      </c>
      <c r="G66" s="547">
        <v>42779</v>
      </c>
      <c r="H66" s="544" t="s">
        <v>778</v>
      </c>
      <c r="I66" s="544" t="s">
        <v>1580</v>
      </c>
      <c r="J66" s="544" t="s">
        <v>724</v>
      </c>
      <c r="K66" s="544" t="s">
        <v>1709</v>
      </c>
      <c r="L66" s="544" t="s">
        <v>1842</v>
      </c>
      <c r="M66" s="548">
        <v>197586.21</v>
      </c>
      <c r="N66" s="548">
        <v>0</v>
      </c>
      <c r="O66" s="548">
        <v>31613.79</v>
      </c>
      <c r="P66" s="548">
        <v>229200</v>
      </c>
      <c r="Q66" s="548"/>
      <c r="R66" s="548">
        <v>178899.6</v>
      </c>
      <c r="S66" s="549">
        <f t="shared" si="0"/>
        <v>50300.399999999994</v>
      </c>
      <c r="T66" s="113" t="s">
        <v>1932</v>
      </c>
      <c r="U66" s="626" t="str">
        <f t="shared" si="5"/>
        <v>AA10423</v>
      </c>
      <c r="V66" s="627" t="str">
        <f t="shared" si="6"/>
        <v>0747-TCN17</v>
      </c>
      <c r="W66" s="626">
        <f t="shared" si="7"/>
        <v>521801</v>
      </c>
      <c r="X66" s="626" t="str">
        <f t="shared" si="8"/>
        <v>AVANZA HI 5MT</v>
      </c>
      <c r="Y66" s="627">
        <f t="shared" si="8"/>
        <v>2017</v>
      </c>
      <c r="Z66" s="628">
        <f t="shared" si="9"/>
        <v>197586.21</v>
      </c>
      <c r="AA66" s="629">
        <f>+Z66+Z65+Z64</f>
        <v>592758.63</v>
      </c>
      <c r="AB66" s="639">
        <v>3</v>
      </c>
      <c r="AC66" s="629">
        <f t="shared" si="30"/>
        <v>0.01</v>
      </c>
      <c r="AD66" s="630">
        <f t="shared" si="31"/>
        <v>0.02</v>
      </c>
      <c r="AE66" s="629">
        <f t="shared" si="32"/>
        <v>0</v>
      </c>
      <c r="AF66" s="629">
        <v>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ht="12.75" customHeight="1" x14ac:dyDescent="0.2">
      <c r="A67" s="423">
        <f t="shared" si="11"/>
        <v>64</v>
      </c>
      <c r="B67" s="543" t="s">
        <v>1381</v>
      </c>
      <c r="C67" s="544">
        <v>521802</v>
      </c>
      <c r="D67" s="545">
        <v>2202</v>
      </c>
      <c r="E67" s="544" t="s">
        <v>703</v>
      </c>
      <c r="F67" s="546">
        <v>2017</v>
      </c>
      <c r="G67" s="547">
        <v>42789</v>
      </c>
      <c r="H67" s="544" t="s">
        <v>810</v>
      </c>
      <c r="I67" s="544" t="s">
        <v>1586</v>
      </c>
      <c r="J67" s="544" t="s">
        <v>724</v>
      </c>
      <c r="K67" s="544" t="s">
        <v>1713</v>
      </c>
      <c r="L67" s="544" t="s">
        <v>1848</v>
      </c>
      <c r="M67" s="548">
        <v>201982.76</v>
      </c>
      <c r="N67" s="548">
        <v>0</v>
      </c>
      <c r="O67" s="548">
        <v>32317.24</v>
      </c>
      <c r="P67" s="548">
        <v>234300</v>
      </c>
      <c r="Q67" s="548"/>
      <c r="R67" s="548">
        <v>183211.98</v>
      </c>
      <c r="S67" s="549">
        <f t="shared" si="0"/>
        <v>51088.01999999999</v>
      </c>
      <c r="T67" s="267" t="s">
        <v>1932</v>
      </c>
      <c r="U67" s="626" t="str">
        <f t="shared" si="5"/>
        <v>AA10506</v>
      </c>
      <c r="V67" s="627" t="str">
        <f t="shared" si="6"/>
        <v>0821-TCN17</v>
      </c>
      <c r="W67" s="626">
        <f t="shared" si="7"/>
        <v>521802</v>
      </c>
      <c r="X67" s="626" t="str">
        <f t="shared" si="8"/>
        <v>AVANZA HI 4AT</v>
      </c>
      <c r="Y67" s="627">
        <f t="shared" si="8"/>
        <v>2017</v>
      </c>
      <c r="Z67" s="628">
        <f t="shared" si="9"/>
        <v>201982.76</v>
      </c>
      <c r="AA67" s="629"/>
      <c r="AB67" s="637"/>
      <c r="AC67" s="629">
        <f t="shared" si="30"/>
        <v>0.01</v>
      </c>
      <c r="AD67" s="630">
        <f t="shared" si="31"/>
        <v>0.02</v>
      </c>
      <c r="AE67" s="629">
        <f t="shared" si="32"/>
        <v>0</v>
      </c>
      <c r="AF67" s="629"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ht="13.5" customHeight="1" x14ac:dyDescent="0.2">
      <c r="A68" s="423">
        <f t="shared" si="11"/>
        <v>65</v>
      </c>
      <c r="B68" s="543" t="s">
        <v>1382</v>
      </c>
      <c r="C68" s="544">
        <v>521802</v>
      </c>
      <c r="D68" s="545">
        <v>2202</v>
      </c>
      <c r="E68" s="544" t="s">
        <v>703</v>
      </c>
      <c r="F68" s="546">
        <v>2017</v>
      </c>
      <c r="G68" s="547">
        <v>42794</v>
      </c>
      <c r="H68" s="544" t="s">
        <v>810</v>
      </c>
      <c r="I68" s="544" t="s">
        <v>1587</v>
      </c>
      <c r="J68" s="544" t="s">
        <v>724</v>
      </c>
      <c r="K68" s="544" t="s">
        <v>1714</v>
      </c>
      <c r="L68" s="544" t="s">
        <v>1849</v>
      </c>
      <c r="M68" s="548">
        <v>201982.76</v>
      </c>
      <c r="N68" s="548">
        <v>0</v>
      </c>
      <c r="O68" s="548">
        <v>32317.24</v>
      </c>
      <c r="P68" s="548">
        <v>234300</v>
      </c>
      <c r="Q68" s="548"/>
      <c r="R68" s="548">
        <v>182856.5</v>
      </c>
      <c r="S68" s="549">
        <f t="shared" si="0"/>
        <v>51443.5</v>
      </c>
      <c r="T68" s="445" t="s">
        <v>1932</v>
      </c>
      <c r="U68" s="626" t="str">
        <f t="shared" si="5"/>
        <v>AA10547</v>
      </c>
      <c r="V68" s="627" t="str">
        <f t="shared" si="6"/>
        <v>0751-TCN17</v>
      </c>
      <c r="W68" s="626">
        <f t="shared" si="7"/>
        <v>521802</v>
      </c>
      <c r="X68" s="626" t="str">
        <f t="shared" si="8"/>
        <v>AVANZA HI 4AT</v>
      </c>
      <c r="Y68" s="627">
        <f t="shared" si="8"/>
        <v>2017</v>
      </c>
      <c r="Z68" s="628">
        <f t="shared" si="9"/>
        <v>201982.76</v>
      </c>
      <c r="AA68" s="629"/>
      <c r="AB68" s="637"/>
      <c r="AC68" s="629">
        <f t="shared" si="30"/>
        <v>0.01</v>
      </c>
      <c r="AD68" s="630">
        <f t="shared" si="31"/>
        <v>0.02</v>
      </c>
      <c r="AE68" s="629">
        <f t="shared" si="32"/>
        <v>0</v>
      </c>
      <c r="AF68" s="629">
        <v>0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ht="12.75" customHeight="1" x14ac:dyDescent="0.2">
      <c r="A69" s="423">
        <f t="shared" si="11"/>
        <v>66</v>
      </c>
      <c r="B69" s="543" t="s">
        <v>1384</v>
      </c>
      <c r="C69" s="544">
        <v>521802</v>
      </c>
      <c r="D69" s="545">
        <v>2204</v>
      </c>
      <c r="E69" s="544" t="s">
        <v>705</v>
      </c>
      <c r="F69" s="546">
        <v>2017</v>
      </c>
      <c r="G69" s="547">
        <v>42776</v>
      </c>
      <c r="H69" s="544" t="s">
        <v>819</v>
      </c>
      <c r="I69" s="544" t="s">
        <v>1589</v>
      </c>
      <c r="J69" s="544" t="s">
        <v>724</v>
      </c>
      <c r="K69" s="544" t="s">
        <v>1715</v>
      </c>
      <c r="L69" s="544" t="s">
        <v>1851</v>
      </c>
      <c r="M69" s="548">
        <v>226206.9</v>
      </c>
      <c r="N69" s="548">
        <v>0</v>
      </c>
      <c r="O69" s="548">
        <v>36193.1</v>
      </c>
      <c r="P69" s="548">
        <v>262400</v>
      </c>
      <c r="Q69" s="548"/>
      <c r="R69" s="548">
        <v>205012.71</v>
      </c>
      <c r="S69" s="549">
        <f t="shared" si="0"/>
        <v>57387.290000000008</v>
      </c>
      <c r="T69" s="267" t="s">
        <v>1932</v>
      </c>
      <c r="U69" s="626" t="str">
        <f t="shared" si="5"/>
        <v>AA10409</v>
      </c>
      <c r="V69" s="627" t="str">
        <f t="shared" si="6"/>
        <v>0777-TCN17</v>
      </c>
      <c r="W69" s="626">
        <f t="shared" si="7"/>
        <v>521802</v>
      </c>
      <c r="X69" s="626" t="str">
        <f t="shared" si="8"/>
        <v>AVANZA LIMITED</v>
      </c>
      <c r="Y69" s="627">
        <f t="shared" si="8"/>
        <v>2017</v>
      </c>
      <c r="Z69" s="628">
        <f t="shared" si="9"/>
        <v>226206.9</v>
      </c>
      <c r="AA69" s="629"/>
      <c r="AB69" s="637"/>
      <c r="AC69" s="629">
        <f t="shared" si="30"/>
        <v>0.01</v>
      </c>
      <c r="AD69" s="630">
        <f t="shared" si="31"/>
        <v>0.02</v>
      </c>
      <c r="AE69" s="629">
        <f t="shared" si="32"/>
        <v>0</v>
      </c>
      <c r="AF69" s="629">
        <v>0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ht="13.5" customHeight="1" x14ac:dyDescent="0.2">
      <c r="A70" s="423">
        <f t="shared" si="11"/>
        <v>67</v>
      </c>
      <c r="B70" s="543" t="s">
        <v>1386</v>
      </c>
      <c r="C70" s="544">
        <v>521802</v>
      </c>
      <c r="D70" s="545">
        <v>2204</v>
      </c>
      <c r="E70" s="544" t="s">
        <v>705</v>
      </c>
      <c r="F70" s="546">
        <v>2017</v>
      </c>
      <c r="G70" s="547">
        <v>42783</v>
      </c>
      <c r="H70" s="544" t="s">
        <v>778</v>
      </c>
      <c r="I70" s="544" t="s">
        <v>1588</v>
      </c>
      <c r="J70" s="544" t="s">
        <v>724</v>
      </c>
      <c r="K70" s="544" t="s">
        <v>1716</v>
      </c>
      <c r="L70" s="544" t="s">
        <v>1850</v>
      </c>
      <c r="M70" s="548">
        <v>226206.9</v>
      </c>
      <c r="N70" s="548">
        <v>0</v>
      </c>
      <c r="O70" s="548">
        <v>36193.1</v>
      </c>
      <c r="P70" s="548">
        <v>262400</v>
      </c>
      <c r="Q70" s="548"/>
      <c r="R70" s="548">
        <v>205013.71</v>
      </c>
      <c r="S70" s="549">
        <f t="shared" ref="S70:S133" si="34">+P70-R70</f>
        <v>57386.290000000008</v>
      </c>
      <c r="T70" s="267" t="s">
        <v>1932</v>
      </c>
      <c r="U70" s="626" t="str">
        <f t="shared" si="5"/>
        <v>AA10458</v>
      </c>
      <c r="V70" s="627" t="str">
        <f t="shared" si="6"/>
        <v>0775-TCN17</v>
      </c>
      <c r="W70" s="626">
        <f t="shared" si="7"/>
        <v>521802</v>
      </c>
      <c r="X70" s="626" t="str">
        <f t="shared" si="8"/>
        <v>AVANZA LIMITED</v>
      </c>
      <c r="Y70" s="627">
        <f t="shared" si="8"/>
        <v>2017</v>
      </c>
      <c r="Z70" s="628">
        <f t="shared" si="9"/>
        <v>226206.9</v>
      </c>
      <c r="AA70" s="629">
        <f>+SUM(Z67:Z70)</f>
        <v>856379.32000000007</v>
      </c>
      <c r="AB70" s="639">
        <v>4</v>
      </c>
      <c r="AC70" s="629">
        <f t="shared" si="30"/>
        <v>0.01</v>
      </c>
      <c r="AD70" s="630">
        <f t="shared" si="31"/>
        <v>0.02</v>
      </c>
      <c r="AE70" s="629">
        <f t="shared" si="32"/>
        <v>0</v>
      </c>
      <c r="AF70" s="629">
        <v>0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ht="13.5" customHeight="1" x14ac:dyDescent="0.2">
      <c r="A71" s="423">
        <f t="shared" si="11"/>
        <v>68</v>
      </c>
      <c r="B71" s="543" t="s">
        <v>1435</v>
      </c>
      <c r="C71" s="544">
        <v>521909</v>
      </c>
      <c r="D71" s="545">
        <v>6986</v>
      </c>
      <c r="E71" s="544" t="s">
        <v>707</v>
      </c>
      <c r="F71" s="546">
        <v>2016</v>
      </c>
      <c r="G71" s="547">
        <v>42782</v>
      </c>
      <c r="H71" s="544" t="s">
        <v>774</v>
      </c>
      <c r="I71" s="544" t="s">
        <v>1618</v>
      </c>
      <c r="J71" s="544" t="s">
        <v>724</v>
      </c>
      <c r="K71" s="544" t="s">
        <v>1738</v>
      </c>
      <c r="L71" s="544" t="s">
        <v>1880</v>
      </c>
      <c r="M71" s="548">
        <v>483367.9</v>
      </c>
      <c r="N71" s="548">
        <v>33873.480000000003</v>
      </c>
      <c r="O71" s="548">
        <v>82758.62</v>
      </c>
      <c r="P71" s="548">
        <v>600000</v>
      </c>
      <c r="Q71" s="548"/>
      <c r="R71" s="548">
        <v>463844.27</v>
      </c>
      <c r="S71" s="549">
        <f t="shared" si="34"/>
        <v>136155.72999999998</v>
      </c>
      <c r="T71" s="113" t="s">
        <v>1932</v>
      </c>
      <c r="U71" s="626" t="str">
        <f t="shared" ref="U71:U99" si="35">+B71</f>
        <v>AA10448</v>
      </c>
      <c r="V71" s="627" t="str">
        <f t="shared" ref="V71:V99" si="36">+I71</f>
        <v>1101-TCN16</v>
      </c>
      <c r="W71" s="626">
        <f t="shared" ref="W71:W99" si="37">+C71</f>
        <v>521909</v>
      </c>
      <c r="X71" s="626" t="str">
        <f t="shared" ref="X71:Y99" si="38">+E71</f>
        <v>HIGHLANDER LIMITED BLUE- RAY</v>
      </c>
      <c r="Y71" s="627">
        <f t="shared" si="38"/>
        <v>2016</v>
      </c>
      <c r="Z71" s="628">
        <f t="shared" ref="Z71:Z99" si="39">+M71</f>
        <v>483367.9</v>
      </c>
      <c r="AA71" s="629"/>
      <c r="AB71" s="637"/>
      <c r="AC71" s="629">
        <f t="shared" si="30"/>
        <v>443562.4</v>
      </c>
      <c r="AD71" s="630">
        <f t="shared" si="31"/>
        <v>0.17</v>
      </c>
      <c r="AE71" s="629">
        <f t="shared" si="32"/>
        <v>27106.55</v>
      </c>
      <c r="AF71" s="629">
        <f>+N71</f>
        <v>33873.480000000003</v>
      </c>
      <c r="AG71" s="555">
        <f t="shared" ref="AG71:AG99" si="40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ht="12.75" customHeight="1" x14ac:dyDescent="0.2">
      <c r="A72" s="423">
        <f t="shared" ref="A72:A135" si="41">+A71+1</f>
        <v>69</v>
      </c>
      <c r="B72" s="543" t="s">
        <v>1436</v>
      </c>
      <c r="C72" s="544">
        <v>521909</v>
      </c>
      <c r="D72" s="545">
        <v>6986</v>
      </c>
      <c r="E72" s="544" t="s">
        <v>707</v>
      </c>
      <c r="F72" s="546">
        <v>2017</v>
      </c>
      <c r="G72" s="547">
        <v>42783</v>
      </c>
      <c r="H72" s="544" t="s">
        <v>817</v>
      </c>
      <c r="I72" s="544" t="s">
        <v>1619</v>
      </c>
      <c r="J72" s="544" t="s">
        <v>724</v>
      </c>
      <c r="K72" s="544" t="s">
        <v>1739</v>
      </c>
      <c r="L72" s="544" t="s">
        <v>1881</v>
      </c>
      <c r="M72" s="548">
        <v>556975.31999999995</v>
      </c>
      <c r="N72" s="548">
        <v>46386.75</v>
      </c>
      <c r="O72" s="548">
        <v>96537.93</v>
      </c>
      <c r="P72" s="548">
        <v>699900</v>
      </c>
      <c r="Q72" s="548"/>
      <c r="R72" s="548">
        <v>492855.81</v>
      </c>
      <c r="S72" s="549">
        <f t="shared" si="34"/>
        <v>207044.19</v>
      </c>
      <c r="T72" s="113" t="s">
        <v>1932</v>
      </c>
      <c r="U72" s="626" t="str">
        <f t="shared" si="35"/>
        <v>AA10457</v>
      </c>
      <c r="V72" s="627" t="str">
        <f t="shared" si="36"/>
        <v>0820-TCN17</v>
      </c>
      <c r="W72" s="626">
        <f t="shared" si="37"/>
        <v>521909</v>
      </c>
      <c r="X72" s="626" t="str">
        <f t="shared" si="38"/>
        <v>HIGHLANDER LIMITED BLUE- RAY</v>
      </c>
      <c r="Y72" s="627">
        <f t="shared" si="38"/>
        <v>2017</v>
      </c>
      <c r="Z72" s="628">
        <f t="shared" si="39"/>
        <v>556975.31999999995</v>
      </c>
      <c r="AA72" s="629">
        <f>+Z72+Z71</f>
        <v>1040343.22</v>
      </c>
      <c r="AB72" s="637">
        <v>2</v>
      </c>
      <c r="AC72" s="629">
        <f t="shared" si="30"/>
        <v>443562.4</v>
      </c>
      <c r="AD72" s="630">
        <f t="shared" si="31"/>
        <v>0.17</v>
      </c>
      <c r="AE72" s="629">
        <f t="shared" si="32"/>
        <v>27106.55</v>
      </c>
      <c r="AF72" s="629">
        <f>+N72</f>
        <v>46386.75</v>
      </c>
      <c r="AG72" s="555">
        <f t="shared" si="40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ht="12.75" customHeight="1" x14ac:dyDescent="0.2">
      <c r="A73" s="423">
        <f t="shared" si="41"/>
        <v>70</v>
      </c>
      <c r="B73" s="543" t="s">
        <v>1282</v>
      </c>
      <c r="C73" s="544">
        <v>522401</v>
      </c>
      <c r="D73" s="545">
        <v>1062</v>
      </c>
      <c r="E73" s="544" t="s">
        <v>709</v>
      </c>
      <c r="F73" s="546">
        <v>2017</v>
      </c>
      <c r="G73" s="547">
        <v>42791</v>
      </c>
      <c r="H73" s="544" t="s">
        <v>819</v>
      </c>
      <c r="I73" s="544" t="s">
        <v>1526</v>
      </c>
      <c r="J73" s="544" t="s">
        <v>729</v>
      </c>
      <c r="K73" s="544" t="s">
        <v>830</v>
      </c>
      <c r="L73" s="544" t="s">
        <v>1788</v>
      </c>
      <c r="M73" s="548">
        <v>224137.93</v>
      </c>
      <c r="N73" s="548">
        <v>0</v>
      </c>
      <c r="O73" s="548">
        <v>35862.07</v>
      </c>
      <c r="P73" s="548">
        <v>260000</v>
      </c>
      <c r="Q73" s="548"/>
      <c r="R73" s="548">
        <v>203012.91</v>
      </c>
      <c r="S73" s="549">
        <f t="shared" si="34"/>
        <v>56987.09</v>
      </c>
      <c r="T73" s="113" t="s">
        <v>1932</v>
      </c>
      <c r="U73" s="626" t="str">
        <f t="shared" si="35"/>
        <v>AA10521</v>
      </c>
      <c r="V73" s="627" t="str">
        <f t="shared" si="36"/>
        <v>0878-TCN17</v>
      </c>
      <c r="W73" s="626">
        <f t="shared" si="37"/>
        <v>522401</v>
      </c>
      <c r="X73" s="626" t="str">
        <f t="shared" si="38"/>
        <v>YARIS XLE R AT</v>
      </c>
      <c r="Y73" s="627">
        <f t="shared" si="38"/>
        <v>2017</v>
      </c>
      <c r="Z73" s="628">
        <f t="shared" si="39"/>
        <v>224137.93</v>
      </c>
      <c r="AA73" s="629"/>
      <c r="AB73" s="637"/>
      <c r="AC73" s="629">
        <f t="shared" ref="AC73:AC81" si="42">VLOOKUP(Z73,TARIFA,1)</f>
        <v>0.01</v>
      </c>
      <c r="AD73" s="630">
        <f t="shared" ref="AD73:AD75" si="43">VLOOKUP(Z73,TARIFA,4)</f>
        <v>0.02</v>
      </c>
      <c r="AE73" s="629">
        <f t="shared" ref="AE73:AE81" si="44">VLOOKUP(Z73,TARIFA,3)</f>
        <v>0</v>
      </c>
      <c r="AF73" s="629">
        <v>0</v>
      </c>
      <c r="AG73" s="555">
        <f t="shared" si="40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ht="12.75" customHeight="1" x14ac:dyDescent="0.2">
      <c r="A74" s="423">
        <f t="shared" si="41"/>
        <v>71</v>
      </c>
      <c r="B74" s="543" t="s">
        <v>1281</v>
      </c>
      <c r="C74" s="544">
        <v>522401</v>
      </c>
      <c r="D74" s="545">
        <v>1062</v>
      </c>
      <c r="E74" s="544" t="s">
        <v>709</v>
      </c>
      <c r="F74" s="546">
        <v>2017</v>
      </c>
      <c r="G74" s="547">
        <v>42783</v>
      </c>
      <c r="H74" s="544" t="s">
        <v>1038</v>
      </c>
      <c r="I74" s="544" t="s">
        <v>1525</v>
      </c>
      <c r="J74" s="544" t="s">
        <v>729</v>
      </c>
      <c r="K74" s="544" t="s">
        <v>1671</v>
      </c>
      <c r="L74" s="544" t="s">
        <v>1787</v>
      </c>
      <c r="M74" s="548">
        <v>224137.93</v>
      </c>
      <c r="N74" s="548">
        <v>0</v>
      </c>
      <c r="O74" s="548">
        <v>35862.07</v>
      </c>
      <c r="P74" s="548">
        <v>260000</v>
      </c>
      <c r="Q74" s="548"/>
      <c r="R74" s="548">
        <v>203013.78</v>
      </c>
      <c r="S74" s="549">
        <f t="shared" si="34"/>
        <v>56986.22</v>
      </c>
      <c r="T74" s="113" t="s">
        <v>1932</v>
      </c>
      <c r="U74" s="626" t="str">
        <f t="shared" si="35"/>
        <v>AA10456</v>
      </c>
      <c r="V74" s="627" t="str">
        <f t="shared" si="36"/>
        <v>0812-TCN17</v>
      </c>
      <c r="W74" s="626">
        <f t="shared" si="37"/>
        <v>522401</v>
      </c>
      <c r="X74" s="626" t="str">
        <f t="shared" si="38"/>
        <v>YARIS XLE R AT</v>
      </c>
      <c r="Y74" s="627">
        <f t="shared" si="38"/>
        <v>2017</v>
      </c>
      <c r="Z74" s="628">
        <f t="shared" si="39"/>
        <v>224137.93</v>
      </c>
      <c r="AA74" s="629">
        <f>+Z74+Z73</f>
        <v>448275.86</v>
      </c>
      <c r="AB74" s="639">
        <v>2</v>
      </c>
      <c r="AC74" s="629">
        <f t="shared" si="42"/>
        <v>0.01</v>
      </c>
      <c r="AD74" s="630">
        <f t="shared" si="43"/>
        <v>0.02</v>
      </c>
      <c r="AE74" s="629">
        <f t="shared" si="44"/>
        <v>0</v>
      </c>
      <c r="AF74" s="629">
        <v>0</v>
      </c>
      <c r="AG74" s="555">
        <f t="shared" si="40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ht="12.75" customHeight="1" x14ac:dyDescent="0.2">
      <c r="A75" s="423">
        <f t="shared" si="41"/>
        <v>72</v>
      </c>
      <c r="B75" s="543" t="s">
        <v>1275</v>
      </c>
      <c r="C75" s="544">
        <v>522402</v>
      </c>
      <c r="D75" s="545">
        <v>1061</v>
      </c>
      <c r="E75" s="544" t="s">
        <v>1518</v>
      </c>
      <c r="F75" s="546">
        <v>2016</v>
      </c>
      <c r="G75" s="547">
        <v>42779</v>
      </c>
      <c r="H75" s="544" t="s">
        <v>751</v>
      </c>
      <c r="I75" s="544" t="s">
        <v>1523</v>
      </c>
      <c r="J75" s="544" t="s">
        <v>729</v>
      </c>
      <c r="K75" s="544" t="s">
        <v>1669</v>
      </c>
      <c r="L75" s="544" t="s">
        <v>1785</v>
      </c>
      <c r="M75" s="548">
        <v>162938.63</v>
      </c>
      <c r="N75" s="548">
        <v>0</v>
      </c>
      <c r="O75" s="548">
        <v>26070.18</v>
      </c>
      <c r="P75" s="548">
        <v>189008.81</v>
      </c>
      <c r="Q75" s="548"/>
      <c r="R75" s="548">
        <v>189008.81</v>
      </c>
      <c r="S75" s="549">
        <f t="shared" si="34"/>
        <v>0</v>
      </c>
      <c r="T75" s="113" t="s">
        <v>1932</v>
      </c>
      <c r="U75" s="626" t="str">
        <f t="shared" si="35"/>
        <v>AA10422</v>
      </c>
      <c r="V75" s="627" t="str">
        <f t="shared" si="36"/>
        <v>1050-TCN16</v>
      </c>
      <c r="W75" s="626">
        <f t="shared" si="37"/>
        <v>522402</v>
      </c>
      <c r="X75" s="626" t="str">
        <f t="shared" si="38"/>
        <v>YARIS R INTERMEDIO</v>
      </c>
      <c r="Y75" s="627">
        <f t="shared" si="38"/>
        <v>2016</v>
      </c>
      <c r="Z75" s="628">
        <f t="shared" si="39"/>
        <v>162938.63</v>
      </c>
      <c r="AA75" s="629">
        <f>+Z75</f>
        <v>162938.63</v>
      </c>
      <c r="AB75" s="639">
        <v>1</v>
      </c>
      <c r="AC75" s="629">
        <f t="shared" si="42"/>
        <v>0.01</v>
      </c>
      <c r="AD75" s="630">
        <f t="shared" si="43"/>
        <v>0.02</v>
      </c>
      <c r="AE75" s="629">
        <f t="shared" si="44"/>
        <v>0</v>
      </c>
      <c r="AF75" s="629">
        <v>0</v>
      </c>
      <c r="AG75" s="555">
        <f t="shared" si="40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ht="12.75" customHeight="1" x14ac:dyDescent="0.2">
      <c r="A76" s="423">
        <f t="shared" si="41"/>
        <v>73</v>
      </c>
      <c r="B76" s="543" t="s">
        <v>1441</v>
      </c>
      <c r="C76" s="544">
        <v>1520104</v>
      </c>
      <c r="D76" s="545">
        <v>7493</v>
      </c>
      <c r="E76" s="544" t="s">
        <v>711</v>
      </c>
      <c r="F76" s="546">
        <v>2017</v>
      </c>
      <c r="G76" s="547">
        <v>42781</v>
      </c>
      <c r="H76" s="544" t="s">
        <v>727</v>
      </c>
      <c r="I76" s="544" t="s">
        <v>1621</v>
      </c>
      <c r="J76" s="544" t="s">
        <v>724</v>
      </c>
      <c r="K76" s="544" t="s">
        <v>1742</v>
      </c>
      <c r="L76" s="544" t="s">
        <v>1883</v>
      </c>
      <c r="M76" s="548">
        <v>238095.24</v>
      </c>
      <c r="N76" s="548">
        <v>11904.76</v>
      </c>
      <c r="O76" s="548">
        <v>40000</v>
      </c>
      <c r="P76" s="548">
        <v>290000</v>
      </c>
      <c r="Q76" s="548"/>
      <c r="R76" s="548">
        <v>218207.39</v>
      </c>
      <c r="S76" s="549">
        <f t="shared" si="34"/>
        <v>71792.609999999986</v>
      </c>
      <c r="T76" s="267" t="s">
        <v>1932</v>
      </c>
      <c r="U76" s="626" t="str">
        <f t="shared" si="35"/>
        <v>AA10443</v>
      </c>
      <c r="V76" s="627" t="str">
        <f t="shared" si="36"/>
        <v>0816-TCN17</v>
      </c>
      <c r="W76" s="626">
        <f t="shared" si="37"/>
        <v>1520104</v>
      </c>
      <c r="X76" s="626" t="str">
        <f t="shared" si="38"/>
        <v>HILUX PICK UP BASIC CAB L4 16V AC</v>
      </c>
      <c r="Y76" s="627">
        <f t="shared" si="38"/>
        <v>2017</v>
      </c>
      <c r="Z76" s="628">
        <f t="shared" si="39"/>
        <v>238095.24</v>
      </c>
      <c r="AA76" s="629"/>
      <c r="AB76" s="637"/>
      <c r="AC76" s="629">
        <f t="shared" si="42"/>
        <v>0.01</v>
      </c>
      <c r="AD76" s="630">
        <v>0.05</v>
      </c>
      <c r="AE76" s="629">
        <f t="shared" si="44"/>
        <v>0</v>
      </c>
      <c r="AF76" s="629">
        <f t="shared" ref="AF76:AF81" si="45">+N76</f>
        <v>11904.76</v>
      </c>
      <c r="AG76" s="555">
        <f t="shared" si="40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ht="12.75" customHeight="1" x14ac:dyDescent="0.2">
      <c r="A77" s="423">
        <f t="shared" si="41"/>
        <v>74</v>
      </c>
      <c r="B77" s="543" t="s">
        <v>1442</v>
      </c>
      <c r="C77" s="544">
        <v>1520104</v>
      </c>
      <c r="D77" s="545">
        <v>7493</v>
      </c>
      <c r="E77" s="544" t="s">
        <v>711</v>
      </c>
      <c r="F77" s="546">
        <v>2017</v>
      </c>
      <c r="G77" s="547">
        <v>42794</v>
      </c>
      <c r="H77" s="544" t="s">
        <v>788</v>
      </c>
      <c r="I77" s="544" t="s">
        <v>1622</v>
      </c>
      <c r="J77" s="544" t="s">
        <v>724</v>
      </c>
      <c r="K77" s="544" t="s">
        <v>1743</v>
      </c>
      <c r="L77" s="544" t="s">
        <v>1884</v>
      </c>
      <c r="M77" s="548">
        <v>238095.24</v>
      </c>
      <c r="N77" s="548">
        <v>11904.76</v>
      </c>
      <c r="O77" s="548">
        <v>40000</v>
      </c>
      <c r="P77" s="548">
        <v>290000</v>
      </c>
      <c r="Q77" s="548"/>
      <c r="R77" s="548">
        <v>218207.39</v>
      </c>
      <c r="S77" s="549">
        <f t="shared" si="34"/>
        <v>71792.609999999986</v>
      </c>
      <c r="T77" s="113" t="s">
        <v>1932</v>
      </c>
      <c r="U77" s="626" t="str">
        <f t="shared" si="35"/>
        <v>AA10549</v>
      </c>
      <c r="V77" s="627" t="str">
        <f t="shared" si="36"/>
        <v>0839-TCN17</v>
      </c>
      <c r="W77" s="626">
        <f t="shared" si="37"/>
        <v>1520104</v>
      </c>
      <c r="X77" s="626" t="str">
        <f t="shared" si="38"/>
        <v>HILUX PICK UP BASIC CAB L4 16V AC</v>
      </c>
      <c r="Y77" s="627">
        <f t="shared" si="38"/>
        <v>2017</v>
      </c>
      <c r="Z77" s="628">
        <f t="shared" si="39"/>
        <v>238095.24</v>
      </c>
      <c r="AA77" s="629">
        <f>+Z77+Z76</f>
        <v>476190.48</v>
      </c>
      <c r="AB77" s="653">
        <v>2</v>
      </c>
      <c r="AC77" s="629">
        <f t="shared" si="42"/>
        <v>0.01</v>
      </c>
      <c r="AD77" s="630">
        <v>0.05</v>
      </c>
      <c r="AE77" s="629">
        <f t="shared" si="44"/>
        <v>0</v>
      </c>
      <c r="AF77" s="629">
        <f t="shared" si="45"/>
        <v>11904.76</v>
      </c>
      <c r="AG77" s="555">
        <f t="shared" si="40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ht="12.75" customHeight="1" x14ac:dyDescent="0.2">
      <c r="A78" s="423">
        <f t="shared" si="41"/>
        <v>75</v>
      </c>
      <c r="B78" s="543" t="s">
        <v>1443</v>
      </c>
      <c r="C78" s="544">
        <v>1520105</v>
      </c>
      <c r="D78" s="545">
        <v>7494</v>
      </c>
      <c r="E78" s="544" t="s">
        <v>712</v>
      </c>
      <c r="F78" s="546">
        <v>2017</v>
      </c>
      <c r="G78" s="547">
        <v>42767</v>
      </c>
      <c r="H78" s="544" t="s">
        <v>727</v>
      </c>
      <c r="I78" s="544" t="s">
        <v>1623</v>
      </c>
      <c r="J78" s="544" t="s">
        <v>724</v>
      </c>
      <c r="K78" s="544" t="s">
        <v>997</v>
      </c>
      <c r="L78" s="544" t="s">
        <v>1885</v>
      </c>
      <c r="M78" s="548">
        <v>223809.52</v>
      </c>
      <c r="N78" s="548">
        <v>11190.48</v>
      </c>
      <c r="O78" s="548">
        <v>37600</v>
      </c>
      <c r="P78" s="548">
        <v>272600</v>
      </c>
      <c r="Q78" s="548"/>
      <c r="R78" s="548">
        <v>205183</v>
      </c>
      <c r="S78" s="549">
        <f t="shared" si="34"/>
        <v>67417</v>
      </c>
      <c r="T78" s="444" t="s">
        <v>1932</v>
      </c>
      <c r="U78" s="626" t="str">
        <f t="shared" si="35"/>
        <v>AA10370</v>
      </c>
      <c r="V78" s="627" t="str">
        <f t="shared" si="36"/>
        <v>0758-TCN17</v>
      </c>
      <c r="W78" s="626">
        <f t="shared" si="37"/>
        <v>1520105</v>
      </c>
      <c r="X78" s="626" t="str">
        <f t="shared" si="38"/>
        <v>HILUX PICK UP CHASSIS CAB</v>
      </c>
      <c r="Y78" s="627">
        <f t="shared" si="38"/>
        <v>2017</v>
      </c>
      <c r="Z78" s="628">
        <f t="shared" si="39"/>
        <v>223809.52</v>
      </c>
      <c r="AA78" s="629"/>
      <c r="AB78" s="637"/>
      <c r="AC78" s="629">
        <f t="shared" si="42"/>
        <v>0.01</v>
      </c>
      <c r="AD78" s="630">
        <v>0.05</v>
      </c>
      <c r="AE78" s="629">
        <f t="shared" si="44"/>
        <v>0</v>
      </c>
      <c r="AF78" s="629">
        <f t="shared" si="45"/>
        <v>11190.48</v>
      </c>
      <c r="AG78" s="555">
        <f t="shared" si="40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ht="12.75" customHeight="1" x14ac:dyDescent="0.2">
      <c r="A79" s="423">
        <f t="shared" si="41"/>
        <v>76</v>
      </c>
      <c r="B79" s="543" t="s">
        <v>1444</v>
      </c>
      <c r="C79" s="544">
        <v>1520105</v>
      </c>
      <c r="D79" s="545">
        <v>7494</v>
      </c>
      <c r="E79" s="544" t="s">
        <v>712</v>
      </c>
      <c r="F79" s="546">
        <v>2017</v>
      </c>
      <c r="G79" s="547">
        <v>42780</v>
      </c>
      <c r="H79" s="544" t="s">
        <v>774</v>
      </c>
      <c r="I79" s="544" t="s">
        <v>1624</v>
      </c>
      <c r="J79" s="544" t="s">
        <v>724</v>
      </c>
      <c r="K79" s="544" t="s">
        <v>1744</v>
      </c>
      <c r="L79" s="544" t="s">
        <v>1886</v>
      </c>
      <c r="M79" s="548">
        <v>223809.52</v>
      </c>
      <c r="N79" s="548">
        <v>11190.48</v>
      </c>
      <c r="O79" s="548">
        <v>37600</v>
      </c>
      <c r="P79" s="548">
        <v>272600</v>
      </c>
      <c r="Q79" s="548"/>
      <c r="R79" s="548">
        <v>205227.14</v>
      </c>
      <c r="S79" s="549">
        <f t="shared" si="34"/>
        <v>67372.859999999986</v>
      </c>
      <c r="T79" s="113" t="s">
        <v>1932</v>
      </c>
      <c r="U79" s="626" t="str">
        <f t="shared" si="35"/>
        <v>AA10436</v>
      </c>
      <c r="V79" s="627" t="str">
        <f t="shared" si="36"/>
        <v>0660-TCN17</v>
      </c>
      <c r="W79" s="626">
        <f t="shared" si="37"/>
        <v>1520105</v>
      </c>
      <c r="X79" s="626" t="str">
        <f t="shared" si="38"/>
        <v>HILUX PICK UP CHASSIS CAB</v>
      </c>
      <c r="Y79" s="627">
        <f t="shared" si="38"/>
        <v>2017</v>
      </c>
      <c r="Z79" s="628">
        <f t="shared" si="39"/>
        <v>223809.52</v>
      </c>
      <c r="AA79" s="629"/>
      <c r="AB79" s="637"/>
      <c r="AC79" s="629">
        <f t="shared" si="42"/>
        <v>0.01</v>
      </c>
      <c r="AD79" s="630">
        <v>0.05</v>
      </c>
      <c r="AE79" s="629">
        <f t="shared" si="44"/>
        <v>0</v>
      </c>
      <c r="AF79" s="629">
        <f t="shared" si="45"/>
        <v>11190.48</v>
      </c>
      <c r="AG79" s="555">
        <f t="shared" si="40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ht="12.75" customHeight="1" x14ac:dyDescent="0.2">
      <c r="A80" s="423">
        <f t="shared" si="41"/>
        <v>77</v>
      </c>
      <c r="B80" s="543" t="s">
        <v>1448</v>
      </c>
      <c r="C80" s="544">
        <v>1520105</v>
      </c>
      <c r="D80" s="545">
        <v>7494</v>
      </c>
      <c r="E80" s="544" t="s">
        <v>712</v>
      </c>
      <c r="F80" s="546">
        <v>2017</v>
      </c>
      <c r="G80" s="547">
        <v>42788</v>
      </c>
      <c r="H80" s="544" t="s">
        <v>792</v>
      </c>
      <c r="I80" s="544" t="s">
        <v>1626</v>
      </c>
      <c r="J80" s="544" t="s">
        <v>724</v>
      </c>
      <c r="K80" s="544" t="s">
        <v>1746</v>
      </c>
      <c r="L80" s="544" t="s">
        <v>1888</v>
      </c>
      <c r="M80" s="548">
        <v>223809.52</v>
      </c>
      <c r="N80" s="548">
        <v>11190.48</v>
      </c>
      <c r="O80" s="548">
        <v>37600</v>
      </c>
      <c r="P80" s="548">
        <v>272600</v>
      </c>
      <c r="Q80" s="548"/>
      <c r="R80" s="548">
        <v>205183</v>
      </c>
      <c r="S80" s="549">
        <f t="shared" si="34"/>
        <v>67417</v>
      </c>
      <c r="T80" s="267" t="s">
        <v>1932</v>
      </c>
      <c r="U80" s="626" t="str">
        <f t="shared" si="35"/>
        <v>AA10495</v>
      </c>
      <c r="V80" s="627" t="str">
        <f t="shared" si="36"/>
        <v>0841-TCN17</v>
      </c>
      <c r="W80" s="626">
        <f t="shared" si="37"/>
        <v>1520105</v>
      </c>
      <c r="X80" s="626" t="str">
        <f t="shared" si="38"/>
        <v>HILUX PICK UP CHASSIS CAB</v>
      </c>
      <c r="Y80" s="627">
        <f t="shared" si="38"/>
        <v>2017</v>
      </c>
      <c r="Z80" s="628">
        <f t="shared" si="39"/>
        <v>223809.52</v>
      </c>
      <c r="AA80" s="629">
        <f>+Z80+Z79+Z78</f>
        <v>671428.55999999994</v>
      </c>
      <c r="AB80" s="653">
        <v>3</v>
      </c>
      <c r="AC80" s="629">
        <f t="shared" si="42"/>
        <v>0.01</v>
      </c>
      <c r="AD80" s="630">
        <v>0.05</v>
      </c>
      <c r="AE80" s="629">
        <f t="shared" si="44"/>
        <v>0</v>
      </c>
      <c r="AF80" s="629">
        <f t="shared" si="45"/>
        <v>11190.48</v>
      </c>
      <c r="AG80" s="555">
        <f t="shared" si="40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ht="12.75" customHeight="1" x14ac:dyDescent="0.2">
      <c r="A81" s="423">
        <f t="shared" si="41"/>
        <v>78</v>
      </c>
      <c r="B81" s="543" t="s">
        <v>1438</v>
      </c>
      <c r="C81" s="544">
        <v>1520304</v>
      </c>
      <c r="D81" s="545">
        <v>7440</v>
      </c>
      <c r="E81" s="544" t="s">
        <v>1520</v>
      </c>
      <c r="F81" s="546">
        <v>2017</v>
      </c>
      <c r="G81" s="547">
        <v>42784</v>
      </c>
      <c r="H81" s="544" t="s">
        <v>727</v>
      </c>
      <c r="I81" s="544" t="s">
        <v>1620</v>
      </c>
      <c r="J81" s="544" t="s">
        <v>724</v>
      </c>
      <c r="K81" s="544" t="s">
        <v>1740</v>
      </c>
      <c r="L81" s="544" t="s">
        <v>1882</v>
      </c>
      <c r="M81" s="548">
        <v>529310.34</v>
      </c>
      <c r="N81" s="548">
        <v>26465.52</v>
      </c>
      <c r="O81" s="548">
        <v>88924.14</v>
      </c>
      <c r="P81" s="548">
        <v>644700</v>
      </c>
      <c r="Q81" s="548"/>
      <c r="R81" s="548">
        <v>468261.86</v>
      </c>
      <c r="S81" s="549">
        <f t="shared" si="34"/>
        <v>176438.14</v>
      </c>
      <c r="T81" s="113" t="s">
        <v>1932</v>
      </c>
      <c r="U81" s="626" t="str">
        <f t="shared" si="35"/>
        <v>AA10470</v>
      </c>
      <c r="V81" s="627" t="str">
        <f t="shared" si="36"/>
        <v>0825-TCN17</v>
      </c>
      <c r="W81" s="626">
        <f t="shared" si="37"/>
        <v>1520304</v>
      </c>
      <c r="X81" s="626" t="str">
        <f t="shared" si="38"/>
        <v>TACOMA EDICION ESPECIAL</v>
      </c>
      <c r="Y81" s="627">
        <f t="shared" si="38"/>
        <v>2017</v>
      </c>
      <c r="Z81" s="628">
        <f t="shared" si="39"/>
        <v>529310.34</v>
      </c>
      <c r="AA81" s="629"/>
      <c r="AB81" s="637"/>
      <c r="AC81" s="629">
        <f t="shared" si="42"/>
        <v>443562.4</v>
      </c>
      <c r="AD81" s="630">
        <v>0.05</v>
      </c>
      <c r="AE81" s="629">
        <f t="shared" si="44"/>
        <v>27106.55</v>
      </c>
      <c r="AF81" s="629">
        <f t="shared" si="45"/>
        <v>26465.52</v>
      </c>
      <c r="AG81" s="555">
        <f t="shared" si="40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ht="12.75" customHeight="1" x14ac:dyDescent="0.2">
      <c r="A82" s="423">
        <f t="shared" si="41"/>
        <v>79</v>
      </c>
      <c r="B82" s="543" t="s">
        <v>1482</v>
      </c>
      <c r="C82" s="544">
        <v>1520504</v>
      </c>
      <c r="D82" s="545">
        <v>8127</v>
      </c>
      <c r="E82" s="544" t="s">
        <v>716</v>
      </c>
      <c r="F82" s="546">
        <v>2017</v>
      </c>
      <c r="G82" s="547">
        <v>42776</v>
      </c>
      <c r="H82" s="544" t="s">
        <v>1038</v>
      </c>
      <c r="I82" s="544" t="s">
        <v>1039</v>
      </c>
      <c r="J82" s="544" t="s">
        <v>724</v>
      </c>
      <c r="K82" s="544" t="s">
        <v>1040</v>
      </c>
      <c r="L82" s="544" t="s">
        <v>1041</v>
      </c>
      <c r="M82" s="548">
        <v>-641954.02</v>
      </c>
      <c r="N82" s="548">
        <v>-32097.7</v>
      </c>
      <c r="O82" s="548">
        <v>-107848.28</v>
      </c>
      <c r="P82" s="548">
        <v>-781900</v>
      </c>
      <c r="Q82" s="548"/>
      <c r="R82" s="548">
        <v>-567388.30000000005</v>
      </c>
      <c r="S82" s="549">
        <f t="shared" si="34"/>
        <v>-214511.69999999995</v>
      </c>
      <c r="T82" s="267" t="s">
        <v>1266</v>
      </c>
      <c r="U82" s="626" t="str">
        <f t="shared" si="35"/>
        <v>ZA03891</v>
      </c>
      <c r="V82" s="627" t="str">
        <f t="shared" si="36"/>
        <v>0735-TCN17</v>
      </c>
      <c r="W82" s="626">
        <f t="shared" si="37"/>
        <v>1520504</v>
      </c>
      <c r="X82" s="626" t="str">
        <f t="shared" si="38"/>
        <v>TUNDRA 4X4 DOBLE CABINA EQUIPADA</v>
      </c>
      <c r="Y82" s="627">
        <f t="shared" si="38"/>
        <v>2017</v>
      </c>
      <c r="Z82" s="628">
        <f t="shared" si="39"/>
        <v>-641954.02</v>
      </c>
      <c r="AA82" s="629"/>
      <c r="AB82" s="637"/>
      <c r="AC82" s="629"/>
      <c r="AD82" s="630"/>
      <c r="AE82" s="629"/>
      <c r="AF82" s="629">
        <f>+N82</f>
        <v>-32097.7</v>
      </c>
      <c r="AG82" s="555">
        <f t="shared" si="40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3">
        <f t="shared" si="41"/>
        <v>80</v>
      </c>
      <c r="B83" s="543" t="s">
        <v>1485</v>
      </c>
      <c r="C83" s="544">
        <v>1520504</v>
      </c>
      <c r="D83" s="545">
        <v>8127</v>
      </c>
      <c r="E83" s="544" t="s">
        <v>716</v>
      </c>
      <c r="F83" s="546">
        <v>2017</v>
      </c>
      <c r="G83" s="547">
        <v>42779</v>
      </c>
      <c r="H83" s="544" t="s">
        <v>1038</v>
      </c>
      <c r="I83" s="544" t="s">
        <v>1648</v>
      </c>
      <c r="J83" s="544" t="s">
        <v>724</v>
      </c>
      <c r="K83" s="544" t="s">
        <v>1040</v>
      </c>
      <c r="L83" s="544" t="s">
        <v>1910</v>
      </c>
      <c r="M83" s="548">
        <v>641954.02</v>
      </c>
      <c r="N83" s="548">
        <v>32097.7</v>
      </c>
      <c r="O83" s="548">
        <v>107848.28</v>
      </c>
      <c r="P83" s="548">
        <v>781900</v>
      </c>
      <c r="Q83" s="548"/>
      <c r="R83" s="548">
        <v>551269.88</v>
      </c>
      <c r="S83" s="549">
        <f t="shared" si="34"/>
        <v>230630.12</v>
      </c>
      <c r="T83" s="267" t="s">
        <v>1932</v>
      </c>
      <c r="U83" s="626" t="str">
        <f t="shared" si="35"/>
        <v>AA10418</v>
      </c>
      <c r="V83" s="627" t="str">
        <f t="shared" si="36"/>
        <v>0788-TCN17</v>
      </c>
      <c r="W83" s="626">
        <f t="shared" si="37"/>
        <v>1520504</v>
      </c>
      <c r="X83" s="626" t="str">
        <f t="shared" si="38"/>
        <v>TUNDRA 4X4 DOBLE CABINA EQUIPADA</v>
      </c>
      <c r="Y83" s="627">
        <f t="shared" si="38"/>
        <v>2017</v>
      </c>
      <c r="Z83" s="628">
        <f t="shared" si="39"/>
        <v>641954.02</v>
      </c>
      <c r="AA83" s="629">
        <f>+Z83+Z82+Z81</f>
        <v>529310.34</v>
      </c>
      <c r="AB83" s="653">
        <v>1</v>
      </c>
      <c r="AC83" s="629">
        <f t="shared" si="28"/>
        <v>443562.4</v>
      </c>
      <c r="AD83" s="630">
        <v>0.05</v>
      </c>
      <c r="AE83" s="629">
        <f t="shared" ref="AE83:AE99" si="46">VLOOKUP(Z83,TARIFA,3)</f>
        <v>27106.55</v>
      </c>
      <c r="AF83" s="629">
        <f t="shared" ref="AF83:AF99" si="47">+N83</f>
        <v>32097.7</v>
      </c>
      <c r="AG83" s="555">
        <f t="shared" si="40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ht="12.75" customHeight="1" x14ac:dyDescent="0.2">
      <c r="A84" s="423">
        <f t="shared" si="41"/>
        <v>81</v>
      </c>
      <c r="B84" s="543" t="s">
        <v>1481</v>
      </c>
      <c r="C84" s="544">
        <v>1520603</v>
      </c>
      <c r="D84" s="545">
        <v>7497</v>
      </c>
      <c r="E84" s="544" t="s">
        <v>717</v>
      </c>
      <c r="F84" s="546">
        <v>2017</v>
      </c>
      <c r="G84" s="547">
        <v>42793</v>
      </c>
      <c r="H84" s="544" t="s">
        <v>817</v>
      </c>
      <c r="I84" s="544" t="s">
        <v>1647</v>
      </c>
      <c r="J84" s="544" t="s">
        <v>724</v>
      </c>
      <c r="K84" s="544" t="s">
        <v>1764</v>
      </c>
      <c r="L84" s="544" t="s">
        <v>1909</v>
      </c>
      <c r="M84" s="548">
        <v>272988.5</v>
      </c>
      <c r="N84" s="548">
        <v>13649.43</v>
      </c>
      <c r="O84" s="548">
        <v>45862.07</v>
      </c>
      <c r="P84" s="548">
        <v>332500</v>
      </c>
      <c r="Q84" s="548"/>
      <c r="R84" s="548">
        <v>241698.52</v>
      </c>
      <c r="S84" s="549">
        <f t="shared" si="34"/>
        <v>90801.48000000001</v>
      </c>
      <c r="T84" s="267" t="s">
        <v>1932</v>
      </c>
      <c r="U84" s="626" t="str">
        <f t="shared" si="35"/>
        <v>AA10527</v>
      </c>
      <c r="V84" s="627" t="str">
        <f t="shared" si="36"/>
        <v>0406-TCN17</v>
      </c>
      <c r="W84" s="626">
        <f t="shared" si="37"/>
        <v>1520603</v>
      </c>
      <c r="X84" s="626" t="str">
        <f t="shared" si="38"/>
        <v>HILUX BASE CON VIDRIOS ELECTRICOS</v>
      </c>
      <c r="Y84" s="627">
        <f t="shared" si="38"/>
        <v>2017</v>
      </c>
      <c r="Z84" s="628">
        <f t="shared" si="39"/>
        <v>272988.5</v>
      </c>
      <c r="AA84" s="629"/>
      <c r="AB84" s="637"/>
      <c r="AC84" s="629">
        <f t="shared" si="28"/>
        <v>246423.66</v>
      </c>
      <c r="AD84" s="630">
        <f t="shared" ref="AD84:AD99" si="48">VLOOKUP(Z84,TARIFA,4)</f>
        <v>0.05</v>
      </c>
      <c r="AE84" s="629">
        <f t="shared" si="46"/>
        <v>4928.3900000000003</v>
      </c>
      <c r="AF84" s="629">
        <f t="shared" si="47"/>
        <v>13649.43</v>
      </c>
      <c r="AG84" s="555">
        <f t="shared" si="40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ht="12.75" customHeight="1" x14ac:dyDescent="0.2">
      <c r="A85" s="423">
        <f t="shared" si="41"/>
        <v>82</v>
      </c>
      <c r="B85" s="543" t="s">
        <v>1480</v>
      </c>
      <c r="C85" s="544">
        <v>1520603</v>
      </c>
      <c r="D85" s="545">
        <v>7497</v>
      </c>
      <c r="E85" s="544" t="s">
        <v>717</v>
      </c>
      <c r="F85" s="546">
        <v>2017</v>
      </c>
      <c r="G85" s="547">
        <v>42788</v>
      </c>
      <c r="H85" s="544" t="s">
        <v>751</v>
      </c>
      <c r="I85" s="544" t="s">
        <v>1646</v>
      </c>
      <c r="J85" s="544" t="s">
        <v>724</v>
      </c>
      <c r="K85" s="544" t="s">
        <v>830</v>
      </c>
      <c r="L85" s="544" t="s">
        <v>1908</v>
      </c>
      <c r="M85" s="548">
        <v>272988.5</v>
      </c>
      <c r="N85" s="548">
        <v>13649.43</v>
      </c>
      <c r="O85" s="548">
        <v>45862.07</v>
      </c>
      <c r="P85" s="548">
        <v>332500</v>
      </c>
      <c r="Q85" s="548"/>
      <c r="R85" s="548">
        <v>247329.71</v>
      </c>
      <c r="S85" s="549">
        <f t="shared" si="34"/>
        <v>85170.290000000008</v>
      </c>
      <c r="T85" s="113" t="s">
        <v>1932</v>
      </c>
      <c r="U85" s="626" t="str">
        <f t="shared" si="35"/>
        <v>AA10494</v>
      </c>
      <c r="V85" s="627" t="str">
        <f t="shared" si="36"/>
        <v>0651-TCN17</v>
      </c>
      <c r="W85" s="626">
        <f t="shared" si="37"/>
        <v>1520603</v>
      </c>
      <c r="X85" s="626" t="str">
        <f t="shared" si="38"/>
        <v>HILUX BASE CON VIDRIOS ELECTRICOS</v>
      </c>
      <c r="Y85" s="627">
        <f t="shared" si="38"/>
        <v>2017</v>
      </c>
      <c r="Z85" s="628">
        <f t="shared" si="39"/>
        <v>272988.5</v>
      </c>
      <c r="AA85" s="629">
        <f>+Z85+Z84</f>
        <v>545977</v>
      </c>
      <c r="AB85" s="653">
        <v>2</v>
      </c>
      <c r="AC85" s="629">
        <f t="shared" ref="AC85:AC99" si="49">VLOOKUP(Z85,TARIFA,1)</f>
        <v>246423.66</v>
      </c>
      <c r="AD85" s="630">
        <f t="shared" si="48"/>
        <v>0.05</v>
      </c>
      <c r="AE85" s="629">
        <f t="shared" si="46"/>
        <v>4928.3900000000003</v>
      </c>
      <c r="AF85" s="629">
        <f t="shared" si="47"/>
        <v>13649.43</v>
      </c>
      <c r="AG85" s="555">
        <f t="shared" si="40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ht="12.75" customHeight="1" x14ac:dyDescent="0.2">
      <c r="A86" s="423">
        <f t="shared" si="41"/>
        <v>83</v>
      </c>
      <c r="B86" s="543" t="s">
        <v>1466</v>
      </c>
      <c r="C86" s="544">
        <v>1520604</v>
      </c>
      <c r="D86" s="545">
        <v>7495</v>
      </c>
      <c r="E86" s="544" t="s">
        <v>718</v>
      </c>
      <c r="F86" s="546">
        <v>2017</v>
      </c>
      <c r="G86" s="547">
        <v>42784</v>
      </c>
      <c r="H86" s="544" t="s">
        <v>819</v>
      </c>
      <c r="I86" s="544" t="s">
        <v>1638</v>
      </c>
      <c r="J86" s="544" t="s">
        <v>724</v>
      </c>
      <c r="K86" s="544" t="s">
        <v>1755</v>
      </c>
      <c r="L86" s="544" t="s">
        <v>1900</v>
      </c>
      <c r="M86" s="548">
        <v>282019.7</v>
      </c>
      <c r="N86" s="548">
        <v>14100.99</v>
      </c>
      <c r="O86" s="548">
        <v>47379.31</v>
      </c>
      <c r="P86" s="548">
        <v>343500</v>
      </c>
      <c r="Q86" s="548"/>
      <c r="R86" s="548">
        <v>255426.86</v>
      </c>
      <c r="S86" s="549">
        <f t="shared" si="34"/>
        <v>88073.140000000014</v>
      </c>
      <c r="T86" s="267" t="s">
        <v>1932</v>
      </c>
      <c r="U86" s="626" t="str">
        <f t="shared" si="35"/>
        <v>AA10469</v>
      </c>
      <c r="V86" s="627" t="str">
        <f t="shared" si="36"/>
        <v>0762-TCN17</v>
      </c>
      <c r="W86" s="626">
        <f t="shared" si="37"/>
        <v>1520604</v>
      </c>
      <c r="X86" s="626" t="str">
        <f t="shared" si="38"/>
        <v>HILUX PICK UP D CAB SR A/C</v>
      </c>
      <c r="Y86" s="627">
        <f t="shared" si="38"/>
        <v>2017</v>
      </c>
      <c r="Z86" s="628">
        <f t="shared" si="39"/>
        <v>282019.7</v>
      </c>
      <c r="AA86" s="629"/>
      <c r="AB86" s="637"/>
      <c r="AC86" s="629">
        <f t="shared" si="49"/>
        <v>246423.66</v>
      </c>
      <c r="AD86" s="630">
        <f t="shared" si="48"/>
        <v>0.05</v>
      </c>
      <c r="AE86" s="629">
        <f t="shared" si="46"/>
        <v>4928.3900000000003</v>
      </c>
      <c r="AF86" s="629">
        <f t="shared" si="47"/>
        <v>14100.99</v>
      </c>
      <c r="AG86" s="555">
        <f t="shared" si="40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ht="12.75" customHeight="1" x14ac:dyDescent="0.2">
      <c r="A87" s="423">
        <f t="shared" si="41"/>
        <v>84</v>
      </c>
      <c r="B87" s="543" t="s">
        <v>1454</v>
      </c>
      <c r="C87" s="544">
        <v>1520604</v>
      </c>
      <c r="D87" s="545">
        <v>7495</v>
      </c>
      <c r="E87" s="544" t="s">
        <v>718</v>
      </c>
      <c r="F87" s="546">
        <v>2017</v>
      </c>
      <c r="G87" s="547">
        <v>42774</v>
      </c>
      <c r="H87" s="544" t="s">
        <v>722</v>
      </c>
      <c r="I87" s="544" t="s">
        <v>1630</v>
      </c>
      <c r="J87" s="544" t="s">
        <v>724</v>
      </c>
      <c r="K87" s="544" t="s">
        <v>1748</v>
      </c>
      <c r="L87" s="544" t="s">
        <v>1892</v>
      </c>
      <c r="M87" s="548">
        <v>282019.7</v>
      </c>
      <c r="N87" s="548">
        <v>14100.99</v>
      </c>
      <c r="O87" s="548">
        <v>47379.31</v>
      </c>
      <c r="P87" s="548">
        <v>343500</v>
      </c>
      <c r="Q87" s="548"/>
      <c r="R87" s="548">
        <v>255471</v>
      </c>
      <c r="S87" s="549">
        <f t="shared" si="34"/>
        <v>88029</v>
      </c>
      <c r="T87" s="113" t="s">
        <v>1932</v>
      </c>
      <c r="U87" s="626" t="str">
        <f t="shared" si="35"/>
        <v>AA10397</v>
      </c>
      <c r="V87" s="627" t="str">
        <f t="shared" si="36"/>
        <v>0645-TCN17</v>
      </c>
      <c r="W87" s="626">
        <f t="shared" si="37"/>
        <v>1520604</v>
      </c>
      <c r="X87" s="626" t="str">
        <f t="shared" si="38"/>
        <v>HILUX PICK UP D CAB SR A/C</v>
      </c>
      <c r="Y87" s="627">
        <f t="shared" si="38"/>
        <v>2017</v>
      </c>
      <c r="Z87" s="628">
        <f t="shared" si="39"/>
        <v>282019.7</v>
      </c>
      <c r="AA87" s="629"/>
      <c r="AB87" s="637"/>
      <c r="AC87" s="629">
        <f t="shared" si="49"/>
        <v>246423.66</v>
      </c>
      <c r="AD87" s="630">
        <f t="shared" si="48"/>
        <v>0.05</v>
      </c>
      <c r="AE87" s="629">
        <f t="shared" si="46"/>
        <v>4928.3900000000003</v>
      </c>
      <c r="AF87" s="629">
        <f t="shared" si="47"/>
        <v>14100.99</v>
      </c>
      <c r="AG87" s="555">
        <f t="shared" si="40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ht="12.75" customHeight="1" x14ac:dyDescent="0.2">
      <c r="A88" s="423">
        <f t="shared" si="41"/>
        <v>85</v>
      </c>
      <c r="B88" s="543" t="s">
        <v>1468</v>
      </c>
      <c r="C88" s="544">
        <v>1520604</v>
      </c>
      <c r="D88" s="545">
        <v>7495</v>
      </c>
      <c r="E88" s="544" t="s">
        <v>718</v>
      </c>
      <c r="F88" s="546">
        <v>2017</v>
      </c>
      <c r="G88" s="547">
        <v>42787</v>
      </c>
      <c r="H88" s="544" t="s">
        <v>819</v>
      </c>
      <c r="I88" s="544" t="s">
        <v>1639</v>
      </c>
      <c r="J88" s="544" t="s">
        <v>724</v>
      </c>
      <c r="K88" s="544" t="s">
        <v>1757</v>
      </c>
      <c r="L88" s="544" t="s">
        <v>1901</v>
      </c>
      <c r="M88" s="548">
        <v>282019.7</v>
      </c>
      <c r="N88" s="548">
        <v>14100.99</v>
      </c>
      <c r="O88" s="548">
        <v>47379.31</v>
      </c>
      <c r="P88" s="548">
        <v>343500</v>
      </c>
      <c r="Q88" s="548"/>
      <c r="R88" s="548">
        <v>255426.86</v>
      </c>
      <c r="S88" s="549">
        <f t="shared" si="34"/>
        <v>88073.140000000014</v>
      </c>
      <c r="T88" s="267" t="s">
        <v>1932</v>
      </c>
      <c r="U88" s="626" t="str">
        <f t="shared" si="35"/>
        <v>AA10477</v>
      </c>
      <c r="V88" s="627" t="str">
        <f t="shared" si="36"/>
        <v>0829-TCN17</v>
      </c>
      <c r="W88" s="626">
        <f t="shared" si="37"/>
        <v>1520604</v>
      </c>
      <c r="X88" s="626" t="str">
        <f t="shared" si="38"/>
        <v>HILUX PICK UP D CAB SR A/C</v>
      </c>
      <c r="Y88" s="627">
        <f t="shared" si="38"/>
        <v>2017</v>
      </c>
      <c r="Z88" s="628">
        <f t="shared" si="39"/>
        <v>282019.7</v>
      </c>
      <c r="AA88" s="629"/>
      <c r="AB88" s="637"/>
      <c r="AC88" s="629">
        <f t="shared" si="49"/>
        <v>246423.66</v>
      </c>
      <c r="AD88" s="630">
        <f t="shared" si="48"/>
        <v>0.05</v>
      </c>
      <c r="AE88" s="629">
        <f t="shared" si="46"/>
        <v>4928.3900000000003</v>
      </c>
      <c r="AF88" s="629">
        <f t="shared" si="47"/>
        <v>14100.99</v>
      </c>
      <c r="AG88" s="555">
        <f t="shared" si="40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ht="12.75" customHeight="1" x14ac:dyDescent="0.2">
      <c r="A89" s="423">
        <f t="shared" si="41"/>
        <v>86</v>
      </c>
      <c r="B89" s="543" t="s">
        <v>1462</v>
      </c>
      <c r="C89" s="544">
        <v>1520604</v>
      </c>
      <c r="D89" s="545">
        <v>7495</v>
      </c>
      <c r="E89" s="544" t="s">
        <v>718</v>
      </c>
      <c r="F89" s="546">
        <v>2017</v>
      </c>
      <c r="G89" s="547">
        <v>42780</v>
      </c>
      <c r="H89" s="544" t="s">
        <v>778</v>
      </c>
      <c r="I89" s="544" t="s">
        <v>1634</v>
      </c>
      <c r="J89" s="544" t="s">
        <v>724</v>
      </c>
      <c r="K89" s="544" t="s">
        <v>1751</v>
      </c>
      <c r="L89" s="544" t="s">
        <v>1896</v>
      </c>
      <c r="M89" s="548">
        <v>282019.7</v>
      </c>
      <c r="N89" s="548">
        <v>14100.99</v>
      </c>
      <c r="O89" s="548">
        <v>47379.31</v>
      </c>
      <c r="P89" s="548">
        <v>343500</v>
      </c>
      <c r="Q89" s="548"/>
      <c r="R89" s="548">
        <v>255426.86</v>
      </c>
      <c r="S89" s="549">
        <f t="shared" si="34"/>
        <v>88073.140000000014</v>
      </c>
      <c r="T89" s="267" t="s">
        <v>1932</v>
      </c>
      <c r="U89" s="626" t="str">
        <f t="shared" si="35"/>
        <v>AA10434</v>
      </c>
      <c r="V89" s="627" t="str">
        <f t="shared" si="36"/>
        <v>0761-TCN17</v>
      </c>
      <c r="W89" s="626">
        <f t="shared" si="37"/>
        <v>1520604</v>
      </c>
      <c r="X89" s="626" t="str">
        <f t="shared" si="38"/>
        <v>HILUX PICK UP D CAB SR A/C</v>
      </c>
      <c r="Y89" s="627">
        <f t="shared" si="38"/>
        <v>2017</v>
      </c>
      <c r="Z89" s="628">
        <f t="shared" si="39"/>
        <v>282019.7</v>
      </c>
      <c r="AA89" s="629"/>
      <c r="AB89" s="637"/>
      <c r="AC89" s="629">
        <f t="shared" si="49"/>
        <v>246423.66</v>
      </c>
      <c r="AD89" s="630">
        <f t="shared" si="48"/>
        <v>0.05</v>
      </c>
      <c r="AE89" s="629">
        <f t="shared" si="46"/>
        <v>4928.3900000000003</v>
      </c>
      <c r="AF89" s="629">
        <f t="shared" si="47"/>
        <v>14100.99</v>
      </c>
      <c r="AG89" s="555">
        <f t="shared" si="40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ht="12.75" customHeight="1" x14ac:dyDescent="0.2">
      <c r="A90" s="423">
        <f t="shared" si="41"/>
        <v>87</v>
      </c>
      <c r="B90" s="543" t="s">
        <v>1463</v>
      </c>
      <c r="C90" s="544">
        <v>1520604</v>
      </c>
      <c r="D90" s="545">
        <v>7495</v>
      </c>
      <c r="E90" s="544" t="s">
        <v>718</v>
      </c>
      <c r="F90" s="546">
        <v>2017</v>
      </c>
      <c r="G90" s="547">
        <v>42780</v>
      </c>
      <c r="H90" s="544" t="s">
        <v>792</v>
      </c>
      <c r="I90" s="544" t="s">
        <v>1635</v>
      </c>
      <c r="J90" s="544" t="s">
        <v>724</v>
      </c>
      <c r="K90" s="544" t="s">
        <v>1752</v>
      </c>
      <c r="L90" s="544" t="s">
        <v>1897</v>
      </c>
      <c r="M90" s="548">
        <v>282019.7</v>
      </c>
      <c r="N90" s="548">
        <v>14100.99</v>
      </c>
      <c r="O90" s="548">
        <v>47379.31</v>
      </c>
      <c r="P90" s="548">
        <v>343500</v>
      </c>
      <c r="Q90" s="548"/>
      <c r="R90" s="548">
        <v>255426.86</v>
      </c>
      <c r="S90" s="549">
        <f t="shared" si="34"/>
        <v>88073.140000000014</v>
      </c>
      <c r="T90" s="113" t="s">
        <v>1932</v>
      </c>
      <c r="U90" s="626" t="str">
        <f t="shared" si="35"/>
        <v>AA10437</v>
      </c>
      <c r="V90" s="627" t="str">
        <f t="shared" si="36"/>
        <v>0811-TCN17</v>
      </c>
      <c r="W90" s="626">
        <f t="shared" si="37"/>
        <v>1520604</v>
      </c>
      <c r="X90" s="626" t="str">
        <f t="shared" si="38"/>
        <v>HILUX PICK UP D CAB SR A/C</v>
      </c>
      <c r="Y90" s="627">
        <f t="shared" si="38"/>
        <v>2017</v>
      </c>
      <c r="Z90" s="628">
        <f t="shared" si="39"/>
        <v>282019.7</v>
      </c>
      <c r="AA90" s="629"/>
      <c r="AB90" s="637"/>
      <c r="AC90" s="629">
        <f t="shared" si="49"/>
        <v>246423.66</v>
      </c>
      <c r="AD90" s="630">
        <f t="shared" si="48"/>
        <v>0.05</v>
      </c>
      <c r="AE90" s="629">
        <f t="shared" si="46"/>
        <v>4928.3900000000003</v>
      </c>
      <c r="AF90" s="629">
        <f t="shared" si="47"/>
        <v>14100.99</v>
      </c>
      <c r="AG90" s="555">
        <f t="shared" si="40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3">
        <f t="shared" si="41"/>
        <v>88</v>
      </c>
      <c r="B91" s="543" t="s">
        <v>1464</v>
      </c>
      <c r="C91" s="544">
        <v>1520604</v>
      </c>
      <c r="D91" s="545">
        <v>7495</v>
      </c>
      <c r="E91" s="544" t="s">
        <v>718</v>
      </c>
      <c r="F91" s="546">
        <v>2017</v>
      </c>
      <c r="G91" s="547">
        <v>42782</v>
      </c>
      <c r="H91" s="544" t="s">
        <v>774</v>
      </c>
      <c r="I91" s="544" t="s">
        <v>1636</v>
      </c>
      <c r="J91" s="544" t="s">
        <v>724</v>
      </c>
      <c r="K91" s="544" t="s">
        <v>1753</v>
      </c>
      <c r="L91" s="544" t="s">
        <v>1898</v>
      </c>
      <c r="M91" s="548">
        <v>282019.7</v>
      </c>
      <c r="N91" s="548">
        <v>14100.99</v>
      </c>
      <c r="O91" s="548">
        <v>47379.31</v>
      </c>
      <c r="P91" s="548">
        <v>343500</v>
      </c>
      <c r="Q91" s="548"/>
      <c r="R91" s="548">
        <v>256382.72</v>
      </c>
      <c r="S91" s="549">
        <f t="shared" si="34"/>
        <v>87117.28</v>
      </c>
      <c r="T91" s="113" t="s">
        <v>1932</v>
      </c>
      <c r="U91" s="626" t="str">
        <f t="shared" si="35"/>
        <v>AA10451</v>
      </c>
      <c r="V91" s="627" t="str">
        <f t="shared" si="36"/>
        <v>0818-TCN17</v>
      </c>
      <c r="W91" s="626">
        <f t="shared" si="37"/>
        <v>1520604</v>
      </c>
      <c r="X91" s="626" t="str">
        <f t="shared" si="38"/>
        <v>HILUX PICK UP D CAB SR A/C</v>
      </c>
      <c r="Y91" s="627">
        <f t="shared" si="38"/>
        <v>2017</v>
      </c>
      <c r="Z91" s="628">
        <f t="shared" si="39"/>
        <v>282019.7</v>
      </c>
      <c r="AA91" s="629"/>
      <c r="AB91" s="637"/>
      <c r="AC91" s="629">
        <f t="shared" si="49"/>
        <v>246423.66</v>
      </c>
      <c r="AD91" s="630">
        <f t="shared" si="48"/>
        <v>0.05</v>
      </c>
      <c r="AE91" s="629">
        <f t="shared" si="46"/>
        <v>4928.3900000000003</v>
      </c>
      <c r="AF91" s="629">
        <f t="shared" si="47"/>
        <v>14100.99</v>
      </c>
      <c r="AG91" s="555">
        <f t="shared" si="40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351" customFormat="1" ht="12.75" customHeight="1" x14ac:dyDescent="0.2">
      <c r="A92" s="423">
        <f t="shared" si="41"/>
        <v>89</v>
      </c>
      <c r="B92" s="543" t="s">
        <v>1459</v>
      </c>
      <c r="C92" s="544">
        <v>1520604</v>
      </c>
      <c r="D92" s="545">
        <v>7495</v>
      </c>
      <c r="E92" s="544" t="s">
        <v>718</v>
      </c>
      <c r="F92" s="546">
        <v>2017</v>
      </c>
      <c r="G92" s="547">
        <v>42774</v>
      </c>
      <c r="H92" s="544" t="s">
        <v>747</v>
      </c>
      <c r="I92" s="544" t="s">
        <v>1632</v>
      </c>
      <c r="J92" s="544" t="s">
        <v>724</v>
      </c>
      <c r="K92" s="544" t="s">
        <v>1749</v>
      </c>
      <c r="L92" s="544" t="s">
        <v>1894</v>
      </c>
      <c r="M92" s="548">
        <v>282019.7</v>
      </c>
      <c r="N92" s="548">
        <v>14100.99</v>
      </c>
      <c r="O92" s="548">
        <v>47379.31</v>
      </c>
      <c r="P92" s="548">
        <v>343500</v>
      </c>
      <c r="Q92" s="548"/>
      <c r="R92" s="548">
        <v>255426.86</v>
      </c>
      <c r="S92" s="549">
        <f t="shared" si="34"/>
        <v>88073.140000000014</v>
      </c>
      <c r="T92" s="113" t="s">
        <v>1932</v>
      </c>
      <c r="U92" s="626" t="str">
        <f t="shared" si="35"/>
        <v>AA10395</v>
      </c>
      <c r="V92" s="627" t="str">
        <f t="shared" si="36"/>
        <v>0766-TCN17</v>
      </c>
      <c r="W92" s="626">
        <f t="shared" si="37"/>
        <v>1520604</v>
      </c>
      <c r="X92" s="626" t="str">
        <f t="shared" si="38"/>
        <v>HILUX PICK UP D CAB SR A/C</v>
      </c>
      <c r="Y92" s="627">
        <f t="shared" si="38"/>
        <v>2017</v>
      </c>
      <c r="Z92" s="628">
        <f t="shared" si="39"/>
        <v>282019.7</v>
      </c>
      <c r="AA92" s="629"/>
      <c r="AB92" s="637"/>
      <c r="AC92" s="629">
        <f t="shared" si="49"/>
        <v>246423.66</v>
      </c>
      <c r="AD92" s="630">
        <f t="shared" si="48"/>
        <v>0.05</v>
      </c>
      <c r="AE92" s="629">
        <f t="shared" si="46"/>
        <v>4928.3900000000003</v>
      </c>
      <c r="AF92" s="629">
        <f t="shared" si="47"/>
        <v>14100.99</v>
      </c>
      <c r="AG92" s="555">
        <f t="shared" si="40"/>
        <v>0</v>
      </c>
      <c r="AH92" s="361"/>
      <c r="AI92" s="313"/>
      <c r="AJ92" s="374"/>
      <c r="AK92" s="331"/>
      <c r="AL92" s="331"/>
      <c r="AM92" s="331"/>
      <c r="AN92" s="352"/>
      <c r="AO92" s="352"/>
      <c r="AP92" s="352"/>
      <c r="AQ92" s="352"/>
      <c r="AR92" s="352"/>
      <c r="AS92" s="352"/>
      <c r="AT92" s="352"/>
      <c r="AU92" s="352"/>
    </row>
    <row r="93" spans="1:47" s="351" customFormat="1" ht="12.75" customHeight="1" x14ac:dyDescent="0.2">
      <c r="A93" s="423">
        <f t="shared" si="41"/>
        <v>90</v>
      </c>
      <c r="B93" s="543" t="s">
        <v>1467</v>
      </c>
      <c r="C93" s="544">
        <v>1520604</v>
      </c>
      <c r="D93" s="545">
        <v>7495</v>
      </c>
      <c r="E93" s="544" t="s">
        <v>718</v>
      </c>
      <c r="F93" s="546">
        <v>2017</v>
      </c>
      <c r="G93" s="547">
        <v>42786</v>
      </c>
      <c r="H93" s="544" t="s">
        <v>778</v>
      </c>
      <c r="I93" s="544" t="s">
        <v>1631</v>
      </c>
      <c r="J93" s="544" t="s">
        <v>724</v>
      </c>
      <c r="K93" s="544" t="s">
        <v>1756</v>
      </c>
      <c r="L93" s="544" t="s">
        <v>1893</v>
      </c>
      <c r="M93" s="548">
        <v>282019.7</v>
      </c>
      <c r="N93" s="548">
        <v>14100.99</v>
      </c>
      <c r="O93" s="548">
        <v>47379.31</v>
      </c>
      <c r="P93" s="548">
        <v>343500</v>
      </c>
      <c r="Q93" s="548"/>
      <c r="R93" s="548">
        <v>255426.86</v>
      </c>
      <c r="S93" s="549">
        <f t="shared" si="34"/>
        <v>88073.140000000014</v>
      </c>
      <c r="T93" s="113" t="s">
        <v>1932</v>
      </c>
      <c r="U93" s="626" t="str">
        <f t="shared" si="35"/>
        <v>AA10472</v>
      </c>
      <c r="V93" s="627" t="str">
        <f t="shared" si="36"/>
        <v>0765-TCN17</v>
      </c>
      <c r="W93" s="626">
        <f t="shared" si="37"/>
        <v>1520604</v>
      </c>
      <c r="X93" s="626" t="str">
        <f t="shared" si="38"/>
        <v>HILUX PICK UP D CAB SR A/C</v>
      </c>
      <c r="Y93" s="627">
        <f t="shared" si="38"/>
        <v>2017</v>
      </c>
      <c r="Z93" s="628">
        <f t="shared" si="39"/>
        <v>282019.7</v>
      </c>
      <c r="AA93" s="629"/>
      <c r="AB93" s="637"/>
      <c r="AC93" s="629">
        <f t="shared" si="49"/>
        <v>246423.66</v>
      </c>
      <c r="AD93" s="630">
        <f t="shared" si="48"/>
        <v>0.05</v>
      </c>
      <c r="AE93" s="629">
        <f t="shared" si="46"/>
        <v>4928.3900000000003</v>
      </c>
      <c r="AF93" s="629">
        <f t="shared" si="47"/>
        <v>14100.99</v>
      </c>
      <c r="AG93" s="555">
        <f t="shared" si="40"/>
        <v>0</v>
      </c>
      <c r="AH93" s="361"/>
      <c r="AI93" s="313"/>
      <c r="AJ93" s="374"/>
      <c r="AK93" s="331"/>
      <c r="AL93" s="331"/>
      <c r="AM93" s="331"/>
      <c r="AN93" s="352"/>
      <c r="AO93" s="352"/>
      <c r="AP93" s="352"/>
      <c r="AQ93" s="352"/>
      <c r="AR93" s="352"/>
      <c r="AS93" s="352"/>
      <c r="AT93" s="352"/>
      <c r="AU93" s="352"/>
    </row>
    <row r="94" spans="1:47" s="291" customFormat="1" ht="12.75" customHeight="1" x14ac:dyDescent="0.2">
      <c r="A94" s="423">
        <f t="shared" si="41"/>
        <v>91</v>
      </c>
      <c r="B94" s="543" t="s">
        <v>1470</v>
      </c>
      <c r="C94" s="544">
        <v>1520604</v>
      </c>
      <c r="D94" s="545">
        <v>7495</v>
      </c>
      <c r="E94" s="544" t="s">
        <v>718</v>
      </c>
      <c r="F94" s="546">
        <v>2017</v>
      </c>
      <c r="G94" s="547">
        <v>42788</v>
      </c>
      <c r="H94" s="544" t="s">
        <v>743</v>
      </c>
      <c r="I94" s="544" t="s">
        <v>1641</v>
      </c>
      <c r="J94" s="544" t="s">
        <v>724</v>
      </c>
      <c r="K94" s="544" t="s">
        <v>1758</v>
      </c>
      <c r="L94" s="544" t="s">
        <v>1903</v>
      </c>
      <c r="M94" s="548">
        <v>282019.7</v>
      </c>
      <c r="N94" s="548">
        <v>14100.99</v>
      </c>
      <c r="O94" s="548">
        <v>47379.31</v>
      </c>
      <c r="P94" s="548">
        <v>343500</v>
      </c>
      <c r="Q94" s="548"/>
      <c r="R94" s="548">
        <v>255426.86</v>
      </c>
      <c r="S94" s="549">
        <f t="shared" si="34"/>
        <v>88073.140000000014</v>
      </c>
      <c r="T94" s="113" t="s">
        <v>1932</v>
      </c>
      <c r="U94" s="626" t="str">
        <f t="shared" si="35"/>
        <v>AA10499</v>
      </c>
      <c r="V94" s="627" t="str">
        <f t="shared" si="36"/>
        <v>0759-TCN17</v>
      </c>
      <c r="W94" s="626">
        <f t="shared" si="37"/>
        <v>1520604</v>
      </c>
      <c r="X94" s="626" t="str">
        <f t="shared" si="38"/>
        <v>HILUX PICK UP D CAB SR A/C</v>
      </c>
      <c r="Y94" s="627">
        <f t="shared" si="38"/>
        <v>2017</v>
      </c>
      <c r="Z94" s="628">
        <f t="shared" si="39"/>
        <v>282019.7</v>
      </c>
      <c r="AA94" s="629"/>
      <c r="AB94" s="637"/>
      <c r="AC94" s="629">
        <f t="shared" si="49"/>
        <v>246423.66</v>
      </c>
      <c r="AD94" s="630">
        <f t="shared" si="48"/>
        <v>0.05</v>
      </c>
      <c r="AE94" s="629">
        <f t="shared" si="46"/>
        <v>4928.3900000000003</v>
      </c>
      <c r="AF94" s="629">
        <f t="shared" si="47"/>
        <v>14100.99</v>
      </c>
      <c r="AG94" s="555">
        <f t="shared" si="40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351" customFormat="1" ht="12.75" customHeight="1" x14ac:dyDescent="0.2">
      <c r="A95" s="423">
        <f t="shared" si="41"/>
        <v>92</v>
      </c>
      <c r="B95" s="543" t="s">
        <v>1461</v>
      </c>
      <c r="C95" s="544">
        <v>1520604</v>
      </c>
      <c r="D95" s="545">
        <v>7495</v>
      </c>
      <c r="E95" s="544" t="s">
        <v>718</v>
      </c>
      <c r="F95" s="546">
        <v>2017</v>
      </c>
      <c r="G95" s="547">
        <v>42779</v>
      </c>
      <c r="H95" s="544" t="s">
        <v>764</v>
      </c>
      <c r="I95" s="544" t="s">
        <v>1633</v>
      </c>
      <c r="J95" s="544" t="s">
        <v>724</v>
      </c>
      <c r="K95" s="544" t="s">
        <v>1750</v>
      </c>
      <c r="L95" s="544" t="s">
        <v>1895</v>
      </c>
      <c r="M95" s="548">
        <v>282019.7</v>
      </c>
      <c r="N95" s="548">
        <v>14100.99</v>
      </c>
      <c r="O95" s="548">
        <v>47379.31</v>
      </c>
      <c r="P95" s="548">
        <v>343500</v>
      </c>
      <c r="Q95" s="548"/>
      <c r="R95" s="548">
        <v>256382.72</v>
      </c>
      <c r="S95" s="549">
        <f t="shared" si="34"/>
        <v>87117.28</v>
      </c>
      <c r="T95" s="113" t="s">
        <v>1932</v>
      </c>
      <c r="U95" s="626" t="str">
        <f t="shared" si="35"/>
        <v>AA10419</v>
      </c>
      <c r="V95" s="627" t="str">
        <f t="shared" si="36"/>
        <v>0806-TCN17</v>
      </c>
      <c r="W95" s="626">
        <f t="shared" si="37"/>
        <v>1520604</v>
      </c>
      <c r="X95" s="626" t="str">
        <f t="shared" si="38"/>
        <v>HILUX PICK UP D CAB SR A/C</v>
      </c>
      <c r="Y95" s="627">
        <f t="shared" si="38"/>
        <v>2017</v>
      </c>
      <c r="Z95" s="628">
        <f t="shared" si="39"/>
        <v>282019.7</v>
      </c>
      <c r="AA95" s="629"/>
      <c r="AB95" s="637"/>
      <c r="AC95" s="629">
        <f t="shared" si="49"/>
        <v>246423.66</v>
      </c>
      <c r="AD95" s="630">
        <f t="shared" si="48"/>
        <v>0.05</v>
      </c>
      <c r="AE95" s="629">
        <f t="shared" si="46"/>
        <v>4928.3900000000003</v>
      </c>
      <c r="AF95" s="629">
        <f t="shared" si="47"/>
        <v>14100.99</v>
      </c>
      <c r="AG95" s="555">
        <f t="shared" si="40"/>
        <v>0</v>
      </c>
      <c r="AH95" s="361"/>
      <c r="AI95" s="313"/>
      <c r="AJ95" s="374"/>
      <c r="AK95" s="331"/>
      <c r="AL95" s="331"/>
      <c r="AM95" s="331"/>
      <c r="AN95" s="352"/>
      <c r="AO95" s="352"/>
      <c r="AP95" s="352"/>
      <c r="AQ95" s="352"/>
      <c r="AR95" s="352"/>
      <c r="AS95" s="352"/>
      <c r="AT95" s="352"/>
      <c r="AU95" s="352"/>
    </row>
    <row r="96" spans="1:47" s="291" customFormat="1" ht="12.75" customHeight="1" x14ac:dyDescent="0.2">
      <c r="A96" s="423">
        <f>+A143+1</f>
        <v>94</v>
      </c>
      <c r="B96" s="543" t="s">
        <v>1473</v>
      </c>
      <c r="C96" s="544">
        <v>1520604</v>
      </c>
      <c r="D96" s="545">
        <v>7495</v>
      </c>
      <c r="E96" s="544" t="s">
        <v>718</v>
      </c>
      <c r="F96" s="546">
        <v>2017</v>
      </c>
      <c r="G96" s="547">
        <v>42791</v>
      </c>
      <c r="H96" s="544" t="s">
        <v>1038</v>
      </c>
      <c r="I96" s="544" t="s">
        <v>1643</v>
      </c>
      <c r="J96" s="544" t="s">
        <v>724</v>
      </c>
      <c r="K96" s="544" t="s">
        <v>1761</v>
      </c>
      <c r="L96" s="544" t="s">
        <v>1905</v>
      </c>
      <c r="M96" s="548">
        <v>282019.7</v>
      </c>
      <c r="N96" s="548">
        <v>14100.99</v>
      </c>
      <c r="O96" s="548">
        <v>47379.31</v>
      </c>
      <c r="P96" s="548">
        <v>343500</v>
      </c>
      <c r="Q96" s="548"/>
      <c r="R96" s="548">
        <v>255426.86</v>
      </c>
      <c r="S96" s="549">
        <f t="shared" si="34"/>
        <v>88073.140000000014</v>
      </c>
      <c r="T96" s="113" t="s">
        <v>1932</v>
      </c>
      <c r="U96" s="626" t="str">
        <f t="shared" si="35"/>
        <v>AA10518</v>
      </c>
      <c r="V96" s="627" t="str">
        <f t="shared" si="36"/>
        <v>0764-TCN17</v>
      </c>
      <c r="W96" s="626">
        <f t="shared" si="37"/>
        <v>1520604</v>
      </c>
      <c r="X96" s="626" t="str">
        <f t="shared" si="38"/>
        <v>HILUX PICK UP D CAB SR A/C</v>
      </c>
      <c r="Y96" s="627">
        <f t="shared" si="38"/>
        <v>2017</v>
      </c>
      <c r="Z96" s="628">
        <f t="shared" si="39"/>
        <v>282019.7</v>
      </c>
      <c r="AA96" s="629"/>
      <c r="AB96" s="637"/>
      <c r="AC96" s="629">
        <f t="shared" si="49"/>
        <v>246423.66</v>
      </c>
      <c r="AD96" s="630">
        <f t="shared" si="48"/>
        <v>0.05</v>
      </c>
      <c r="AE96" s="629">
        <f t="shared" si="46"/>
        <v>4928.3900000000003</v>
      </c>
      <c r="AF96" s="629">
        <f t="shared" si="47"/>
        <v>14100.99</v>
      </c>
      <c r="AG96" s="555">
        <f t="shared" si="40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3">
        <f t="shared" si="41"/>
        <v>95</v>
      </c>
      <c r="B97" s="543" t="s">
        <v>1471</v>
      </c>
      <c r="C97" s="544">
        <v>1520604</v>
      </c>
      <c r="D97" s="545">
        <v>7495</v>
      </c>
      <c r="E97" s="544" t="s">
        <v>718</v>
      </c>
      <c r="F97" s="546">
        <v>2017</v>
      </c>
      <c r="G97" s="547">
        <v>42788</v>
      </c>
      <c r="H97" s="544" t="s">
        <v>727</v>
      </c>
      <c r="I97" s="544" t="s">
        <v>1629</v>
      </c>
      <c r="J97" s="544" t="s">
        <v>724</v>
      </c>
      <c r="K97" s="544" t="s">
        <v>1759</v>
      </c>
      <c r="L97" s="544" t="s">
        <v>1891</v>
      </c>
      <c r="M97" s="548">
        <v>282019.7</v>
      </c>
      <c r="N97" s="548">
        <v>14100.99</v>
      </c>
      <c r="O97" s="548">
        <v>47379.31</v>
      </c>
      <c r="P97" s="548">
        <v>343500</v>
      </c>
      <c r="Q97" s="548"/>
      <c r="R97" s="548">
        <v>255426.86</v>
      </c>
      <c r="S97" s="549">
        <f t="shared" si="34"/>
        <v>88073.140000000014</v>
      </c>
      <c r="T97" s="113" t="s">
        <v>1932</v>
      </c>
      <c r="U97" s="626" t="str">
        <f t="shared" si="35"/>
        <v>AA10490</v>
      </c>
      <c r="V97" s="627" t="str">
        <f t="shared" si="36"/>
        <v>0760-TCN17</v>
      </c>
      <c r="W97" s="626">
        <f t="shared" si="37"/>
        <v>1520604</v>
      </c>
      <c r="X97" s="626" t="str">
        <f t="shared" si="38"/>
        <v>HILUX PICK UP D CAB SR A/C</v>
      </c>
      <c r="Y97" s="627">
        <f t="shared" si="38"/>
        <v>2017</v>
      </c>
      <c r="Z97" s="628">
        <f t="shared" si="39"/>
        <v>282019.7</v>
      </c>
      <c r="AA97" s="629"/>
      <c r="AB97" s="637"/>
      <c r="AC97" s="629">
        <f t="shared" si="49"/>
        <v>246423.66</v>
      </c>
      <c r="AD97" s="630">
        <f t="shared" si="48"/>
        <v>0.05</v>
      </c>
      <c r="AE97" s="629">
        <f t="shared" si="46"/>
        <v>4928.3900000000003</v>
      </c>
      <c r="AF97" s="629">
        <f t="shared" si="47"/>
        <v>14100.99</v>
      </c>
      <c r="AG97" s="555">
        <f t="shared" si="40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351" customFormat="1" ht="12.75" customHeight="1" x14ac:dyDescent="0.2">
      <c r="A98" s="423">
        <f t="shared" si="41"/>
        <v>96</v>
      </c>
      <c r="B98" s="543" t="s">
        <v>1472</v>
      </c>
      <c r="C98" s="544">
        <v>1520604</v>
      </c>
      <c r="D98" s="545">
        <v>7495</v>
      </c>
      <c r="E98" s="544" t="s">
        <v>718</v>
      </c>
      <c r="F98" s="546">
        <v>2017</v>
      </c>
      <c r="G98" s="547">
        <v>42788</v>
      </c>
      <c r="H98" s="544" t="s">
        <v>847</v>
      </c>
      <c r="I98" s="544" t="s">
        <v>1642</v>
      </c>
      <c r="J98" s="544" t="s">
        <v>724</v>
      </c>
      <c r="K98" s="544" t="s">
        <v>1760</v>
      </c>
      <c r="L98" s="544" t="s">
        <v>1904</v>
      </c>
      <c r="M98" s="548">
        <v>282019.7</v>
      </c>
      <c r="N98" s="548">
        <v>14100.99</v>
      </c>
      <c r="O98" s="548">
        <v>47379.31</v>
      </c>
      <c r="P98" s="548">
        <v>343500</v>
      </c>
      <c r="Q98" s="548"/>
      <c r="R98" s="548">
        <v>255426.86</v>
      </c>
      <c r="S98" s="549">
        <f t="shared" si="34"/>
        <v>88073.140000000014</v>
      </c>
      <c r="T98" s="113" t="s">
        <v>1932</v>
      </c>
      <c r="U98" s="626" t="str">
        <f t="shared" si="35"/>
        <v>AA10487</v>
      </c>
      <c r="V98" s="627" t="str">
        <f t="shared" si="36"/>
        <v>0845-TCN17</v>
      </c>
      <c r="W98" s="626">
        <f t="shared" si="37"/>
        <v>1520604</v>
      </c>
      <c r="X98" s="626" t="str">
        <f t="shared" si="38"/>
        <v>HILUX PICK UP D CAB SR A/C</v>
      </c>
      <c r="Y98" s="627">
        <f t="shared" si="38"/>
        <v>2017</v>
      </c>
      <c r="Z98" s="628">
        <f t="shared" si="39"/>
        <v>282019.7</v>
      </c>
      <c r="AA98" s="629"/>
      <c r="AB98" s="637"/>
      <c r="AC98" s="629">
        <f t="shared" si="49"/>
        <v>246423.66</v>
      </c>
      <c r="AD98" s="630">
        <f t="shared" si="48"/>
        <v>0.05</v>
      </c>
      <c r="AE98" s="629">
        <f t="shared" si="46"/>
        <v>4928.3900000000003</v>
      </c>
      <c r="AF98" s="629">
        <f t="shared" si="47"/>
        <v>14100.99</v>
      </c>
      <c r="AG98" s="555">
        <f t="shared" si="40"/>
        <v>0</v>
      </c>
      <c r="AH98" s="361"/>
      <c r="AI98" s="313"/>
      <c r="AJ98" s="374"/>
      <c r="AK98" s="331"/>
      <c r="AL98" s="331"/>
      <c r="AM98" s="331"/>
      <c r="AN98" s="352"/>
      <c r="AO98" s="352"/>
      <c r="AP98" s="352"/>
      <c r="AQ98" s="352"/>
      <c r="AR98" s="352"/>
      <c r="AS98" s="352"/>
      <c r="AT98" s="352"/>
      <c r="AU98" s="352"/>
    </row>
    <row r="99" spans="1:47" s="291" customFormat="1" ht="12.75" customHeight="1" x14ac:dyDescent="0.2">
      <c r="A99" s="423">
        <f>+A144+1</f>
        <v>98</v>
      </c>
      <c r="B99" s="543" t="s">
        <v>1475</v>
      </c>
      <c r="C99" s="544">
        <v>1520604</v>
      </c>
      <c r="D99" s="545">
        <v>7495</v>
      </c>
      <c r="E99" s="544" t="s">
        <v>718</v>
      </c>
      <c r="F99" s="546">
        <v>2017</v>
      </c>
      <c r="G99" s="547">
        <v>42794</v>
      </c>
      <c r="H99" s="544" t="s">
        <v>760</v>
      </c>
      <c r="I99" s="544" t="s">
        <v>1645</v>
      </c>
      <c r="J99" s="544" t="s">
        <v>724</v>
      </c>
      <c r="K99" s="544" t="s">
        <v>1762</v>
      </c>
      <c r="L99" s="544" t="s">
        <v>1907</v>
      </c>
      <c r="M99" s="548">
        <v>282019.7</v>
      </c>
      <c r="N99" s="548">
        <v>14100.99</v>
      </c>
      <c r="O99" s="548">
        <v>47379.31</v>
      </c>
      <c r="P99" s="548">
        <v>343500</v>
      </c>
      <c r="Q99" s="548"/>
      <c r="R99" s="548">
        <v>255426.86</v>
      </c>
      <c r="S99" s="549">
        <f t="shared" si="34"/>
        <v>88073.140000000014</v>
      </c>
      <c r="T99" s="444" t="s">
        <v>1932</v>
      </c>
      <c r="U99" s="626" t="str">
        <f t="shared" si="35"/>
        <v>AA10541</v>
      </c>
      <c r="V99" s="627" t="str">
        <f t="shared" si="36"/>
        <v>0893-TCN17</v>
      </c>
      <c r="W99" s="626">
        <f t="shared" si="37"/>
        <v>1520604</v>
      </c>
      <c r="X99" s="626" t="str">
        <f t="shared" si="38"/>
        <v>HILUX PICK UP D CAB SR A/C</v>
      </c>
      <c r="Y99" s="627">
        <f t="shared" si="38"/>
        <v>2017</v>
      </c>
      <c r="Z99" s="628">
        <f t="shared" si="39"/>
        <v>282019.7</v>
      </c>
      <c r="AA99" s="629">
        <f>+SUM(Z86:Z99)</f>
        <v>3948275.8000000012</v>
      </c>
      <c r="AB99" s="653">
        <v>14</v>
      </c>
      <c r="AC99" s="629">
        <f t="shared" si="49"/>
        <v>246423.66</v>
      </c>
      <c r="AD99" s="630">
        <f t="shared" si="48"/>
        <v>0.05</v>
      </c>
      <c r="AE99" s="629">
        <f t="shared" si="46"/>
        <v>4928.3900000000003</v>
      </c>
      <c r="AF99" s="629">
        <f t="shared" si="47"/>
        <v>14100.99</v>
      </c>
      <c r="AG99" s="555">
        <f t="shared" si="40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351" customFormat="1" ht="12.75" customHeight="1" x14ac:dyDescent="0.2">
      <c r="A100" s="423">
        <f t="shared" si="41"/>
        <v>99</v>
      </c>
      <c r="B100" s="543" t="s">
        <v>1389</v>
      </c>
      <c r="C100" s="544">
        <v>520815</v>
      </c>
      <c r="D100" s="545">
        <v>4492</v>
      </c>
      <c r="E100" s="544" t="s">
        <v>694</v>
      </c>
      <c r="F100" s="546">
        <v>2017</v>
      </c>
      <c r="G100" s="547">
        <v>42793</v>
      </c>
      <c r="H100" s="544" t="s">
        <v>747</v>
      </c>
      <c r="I100" s="544" t="s">
        <v>1592</v>
      </c>
      <c r="J100" s="544" t="s">
        <v>724</v>
      </c>
      <c r="K100" s="544" t="s">
        <v>1718</v>
      </c>
      <c r="L100" s="544" t="s">
        <v>1854</v>
      </c>
      <c r="M100" s="548">
        <v>-346428.96</v>
      </c>
      <c r="N100" s="548">
        <v>-12536.56</v>
      </c>
      <c r="O100" s="548">
        <v>-57434.48</v>
      </c>
      <c r="P100" s="548">
        <v>-416400</v>
      </c>
      <c r="Q100" s="548"/>
      <c r="R100" s="548">
        <v>-303366.2</v>
      </c>
      <c r="S100" s="549">
        <f t="shared" si="34"/>
        <v>-113033.79999999999</v>
      </c>
      <c r="T100" s="267" t="s">
        <v>1931</v>
      </c>
      <c r="U100" s="267"/>
      <c r="V100" s="93"/>
      <c r="W100" s="267"/>
      <c r="X100" s="267"/>
      <c r="Y100" s="93"/>
      <c r="Z100" s="618"/>
      <c r="AA100" s="424"/>
      <c r="AB100" s="472"/>
      <c r="AC100" s="424"/>
      <c r="AD100" s="425"/>
      <c r="AE100" s="424"/>
      <c r="AF100" s="424"/>
      <c r="AG100" s="396"/>
      <c r="AH100" s="361"/>
      <c r="AI100" s="313"/>
      <c r="AJ100" s="374"/>
      <c r="AK100" s="331"/>
      <c r="AL100" s="331"/>
      <c r="AM100" s="331"/>
      <c r="AN100" s="352"/>
      <c r="AO100" s="352"/>
      <c r="AP100" s="352"/>
      <c r="AQ100" s="352"/>
      <c r="AR100" s="352"/>
      <c r="AS100" s="352"/>
      <c r="AT100" s="352"/>
      <c r="AU100" s="352"/>
    </row>
    <row r="101" spans="1:47" s="352" customFormat="1" ht="12.75" customHeight="1" x14ac:dyDescent="0.2">
      <c r="A101" s="423">
        <f t="shared" si="41"/>
        <v>100</v>
      </c>
      <c r="B101" s="543" t="s">
        <v>1390</v>
      </c>
      <c r="C101" s="544">
        <v>520815</v>
      </c>
      <c r="D101" s="545">
        <v>4492</v>
      </c>
      <c r="E101" s="544" t="s">
        <v>694</v>
      </c>
      <c r="F101" s="546">
        <v>2017</v>
      </c>
      <c r="G101" s="547">
        <v>42793</v>
      </c>
      <c r="H101" s="544" t="s">
        <v>747</v>
      </c>
      <c r="I101" s="544" t="s">
        <v>1592</v>
      </c>
      <c r="J101" s="544" t="s">
        <v>724</v>
      </c>
      <c r="K101" s="544" t="s">
        <v>1718</v>
      </c>
      <c r="L101" s="544" t="s">
        <v>1854</v>
      </c>
      <c r="M101" s="548">
        <v>346428.96</v>
      </c>
      <c r="N101" s="548">
        <v>12536.56</v>
      </c>
      <c r="O101" s="548">
        <v>57434.48</v>
      </c>
      <c r="P101" s="548">
        <v>416400</v>
      </c>
      <c r="Q101" s="548"/>
      <c r="R101" s="548">
        <v>303366.2</v>
      </c>
      <c r="S101" s="549">
        <f t="shared" si="34"/>
        <v>113033.79999999999</v>
      </c>
      <c r="T101" s="113" t="s">
        <v>1931</v>
      </c>
      <c r="U101" s="351"/>
      <c r="V101" s="351"/>
      <c r="W101" s="351"/>
      <c r="X101" s="351"/>
      <c r="Y101" s="351"/>
      <c r="Z101" s="351"/>
      <c r="AA101" s="351"/>
      <c r="AB101" s="641"/>
      <c r="AC101" s="351"/>
      <c r="AD101" s="351"/>
      <c r="AE101" s="351"/>
      <c r="AF101" s="351"/>
      <c r="AG101" s="396"/>
      <c r="AH101" s="361"/>
      <c r="AI101" s="313"/>
      <c r="AJ101" s="374"/>
      <c r="AK101" s="331"/>
      <c r="AL101" s="331"/>
      <c r="AM101" s="331"/>
    </row>
    <row r="102" spans="1:47" s="412" customFormat="1" ht="12.75" customHeight="1" thickBot="1" x14ac:dyDescent="0.25">
      <c r="A102" s="423">
        <f t="shared" si="41"/>
        <v>101</v>
      </c>
      <c r="B102" s="543" t="s">
        <v>1279</v>
      </c>
      <c r="C102" s="544">
        <v>522401</v>
      </c>
      <c r="D102" s="545">
        <v>1062</v>
      </c>
      <c r="E102" s="544" t="s">
        <v>709</v>
      </c>
      <c r="F102" s="546">
        <v>2017</v>
      </c>
      <c r="G102" s="547">
        <v>42783</v>
      </c>
      <c r="H102" s="544" t="s">
        <v>1038</v>
      </c>
      <c r="I102" s="544" t="s">
        <v>1525</v>
      </c>
      <c r="J102" s="544" t="s">
        <v>729</v>
      </c>
      <c r="K102" s="544" t="s">
        <v>1671</v>
      </c>
      <c r="L102" s="544" t="s">
        <v>1787</v>
      </c>
      <c r="M102" s="548">
        <v>-224137.93</v>
      </c>
      <c r="N102" s="548">
        <v>0</v>
      </c>
      <c r="O102" s="548">
        <v>-35862.07</v>
      </c>
      <c r="P102" s="548">
        <v>-260000</v>
      </c>
      <c r="Q102" s="548"/>
      <c r="R102" s="548">
        <v>-203013.78</v>
      </c>
      <c r="S102" s="549">
        <f t="shared" si="34"/>
        <v>-56986.22</v>
      </c>
      <c r="T102" s="267" t="s">
        <v>1931</v>
      </c>
      <c r="U102" s="291"/>
      <c r="V102" s="291"/>
      <c r="W102" s="291"/>
      <c r="X102" s="291"/>
      <c r="Y102" s="291"/>
      <c r="Z102" s="291"/>
      <c r="AA102" s="291"/>
      <c r="AB102" s="642"/>
      <c r="AC102" s="291"/>
      <c r="AD102" s="291"/>
      <c r="AE102" s="291"/>
      <c r="AF102" s="291"/>
      <c r="AG102" s="395"/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351" customFormat="1" ht="12.75" customHeight="1" thickBot="1" x14ac:dyDescent="0.25">
      <c r="A103" s="423">
        <f t="shared" si="41"/>
        <v>102</v>
      </c>
      <c r="B103" s="543" t="s">
        <v>1280</v>
      </c>
      <c r="C103" s="544">
        <v>522401</v>
      </c>
      <c r="D103" s="545">
        <v>1062</v>
      </c>
      <c r="E103" s="544" t="s">
        <v>709</v>
      </c>
      <c r="F103" s="546">
        <v>2017</v>
      </c>
      <c r="G103" s="547">
        <v>42783</v>
      </c>
      <c r="H103" s="544" t="s">
        <v>1038</v>
      </c>
      <c r="I103" s="544" t="s">
        <v>1525</v>
      </c>
      <c r="J103" s="544" t="s">
        <v>729</v>
      </c>
      <c r="K103" s="544" t="s">
        <v>1671</v>
      </c>
      <c r="L103" s="544" t="s">
        <v>1787</v>
      </c>
      <c r="M103" s="548">
        <v>224137.93</v>
      </c>
      <c r="N103" s="548">
        <v>0</v>
      </c>
      <c r="O103" s="548">
        <v>35862.07</v>
      </c>
      <c r="P103" s="548">
        <v>260000</v>
      </c>
      <c r="Q103" s="548"/>
      <c r="R103" s="548">
        <v>203013.78</v>
      </c>
      <c r="S103" s="549">
        <f t="shared" si="34"/>
        <v>56986.22</v>
      </c>
      <c r="T103" s="113" t="s">
        <v>1931</v>
      </c>
      <c r="U103" s="307"/>
      <c r="V103" s="423"/>
      <c r="W103" s="362"/>
      <c r="X103" s="362"/>
      <c r="Y103" s="619">
        <f>154-4</f>
        <v>150</v>
      </c>
      <c r="Z103" s="620">
        <f>+SUM(Z6:Z99)</f>
        <v>26645640.129999969</v>
      </c>
      <c r="AA103" s="620">
        <f>+SUM(AA6:AA99)</f>
        <v>26645640.129999995</v>
      </c>
      <c r="AB103" s="643">
        <f>+SUM(AB6:AB99)</f>
        <v>90</v>
      </c>
      <c r="AC103" s="620"/>
      <c r="AD103" s="620"/>
      <c r="AE103" s="620"/>
      <c r="AF103" s="620">
        <f>+SUM(AF6:AF99)</f>
        <v>900135.02209999983</v>
      </c>
      <c r="AG103" s="379"/>
      <c r="AH103" s="272"/>
      <c r="AI103" s="313"/>
      <c r="AJ103" s="374"/>
      <c r="AK103" s="331"/>
      <c r="AL103" s="331"/>
      <c r="AM103" s="331"/>
      <c r="AN103" s="352"/>
      <c r="AO103" s="352"/>
      <c r="AP103" s="352"/>
      <c r="AQ103" s="352"/>
      <c r="AR103" s="352"/>
      <c r="AS103" s="352"/>
      <c r="AT103" s="352"/>
      <c r="AU103" s="352"/>
    </row>
    <row r="104" spans="1:47" s="351" customFormat="1" ht="12.75" customHeight="1" thickTop="1" x14ac:dyDescent="0.2">
      <c r="A104" s="423">
        <f t="shared" si="41"/>
        <v>103</v>
      </c>
      <c r="B104" s="543" t="s">
        <v>1406</v>
      </c>
      <c r="C104" s="544">
        <v>520513</v>
      </c>
      <c r="D104" s="545">
        <v>5396</v>
      </c>
      <c r="E104" s="544" t="s">
        <v>132</v>
      </c>
      <c r="F104" s="546">
        <v>2017</v>
      </c>
      <c r="G104" s="547">
        <v>42770</v>
      </c>
      <c r="H104" s="544" t="s">
        <v>727</v>
      </c>
      <c r="I104" s="544" t="s">
        <v>802</v>
      </c>
      <c r="J104" s="544" t="s">
        <v>724</v>
      </c>
      <c r="K104" s="544" t="s">
        <v>803</v>
      </c>
      <c r="L104" s="544" t="s">
        <v>804</v>
      </c>
      <c r="M104" s="548">
        <v>-470326.34</v>
      </c>
      <c r="N104" s="548">
        <v>-31656.42</v>
      </c>
      <c r="O104" s="548">
        <v>-80317.240000000005</v>
      </c>
      <c r="P104" s="548">
        <v>-582300</v>
      </c>
      <c r="Q104" s="548"/>
      <c r="R104" s="548">
        <v>-416250.22</v>
      </c>
      <c r="S104" s="549">
        <f t="shared" si="34"/>
        <v>-166049.78000000003</v>
      </c>
      <c r="T104" s="113" t="s">
        <v>1931</v>
      </c>
      <c r="U104" s="434"/>
      <c r="V104" s="427"/>
      <c r="W104" s="428"/>
      <c r="X104" s="428"/>
      <c r="Y104" s="93"/>
      <c r="Z104" s="260"/>
      <c r="AA104" s="431"/>
      <c r="AB104" s="644"/>
      <c r="AC104" s="431"/>
      <c r="AD104" s="436"/>
      <c r="AE104" s="431"/>
      <c r="AF104" s="431">
        <f>+N255</f>
        <v>896574.32999999973</v>
      </c>
      <c r="AG104" s="440"/>
      <c r="AH104" s="272"/>
      <c r="AI104" s="313"/>
      <c r="AJ104" s="374"/>
      <c r="AK104" s="331"/>
      <c r="AL104" s="331"/>
      <c r="AM104" s="331"/>
      <c r="AN104" s="352"/>
      <c r="AO104" s="352"/>
      <c r="AP104" s="352"/>
      <c r="AQ104" s="352"/>
      <c r="AR104" s="352"/>
      <c r="AS104" s="352"/>
      <c r="AT104" s="352"/>
      <c r="AU104" s="352"/>
    </row>
    <row r="105" spans="1:47" s="291" customFormat="1" ht="12.75" customHeight="1" x14ac:dyDescent="0.2">
      <c r="A105" s="423">
        <f t="shared" si="41"/>
        <v>104</v>
      </c>
      <c r="B105" s="543" t="s">
        <v>1407</v>
      </c>
      <c r="C105" s="544">
        <v>520513</v>
      </c>
      <c r="D105" s="545">
        <v>5396</v>
      </c>
      <c r="E105" s="544" t="s">
        <v>132</v>
      </c>
      <c r="F105" s="546">
        <v>2017</v>
      </c>
      <c r="G105" s="547">
        <v>42770</v>
      </c>
      <c r="H105" s="544" t="s">
        <v>739</v>
      </c>
      <c r="I105" s="544" t="s">
        <v>802</v>
      </c>
      <c r="J105" s="544" t="s">
        <v>724</v>
      </c>
      <c r="K105" s="544" t="s">
        <v>1728</v>
      </c>
      <c r="L105" s="544" t="s">
        <v>804</v>
      </c>
      <c r="M105" s="548">
        <v>-470326.34</v>
      </c>
      <c r="N105" s="548">
        <v>-31656.42</v>
      </c>
      <c r="O105" s="548">
        <v>-80317.240000000005</v>
      </c>
      <c r="P105" s="548">
        <v>-582300</v>
      </c>
      <c r="Q105" s="548"/>
      <c r="R105" s="548">
        <v>-416250.22</v>
      </c>
      <c r="S105" s="549">
        <f t="shared" si="34"/>
        <v>-166049.78000000003</v>
      </c>
      <c r="T105" s="113" t="s">
        <v>1931</v>
      </c>
      <c r="U105" s="93"/>
      <c r="V105" s="93"/>
      <c r="W105" s="267"/>
      <c r="X105" s="271"/>
      <c r="Y105" s="469"/>
      <c r="Z105" s="470"/>
      <c r="AA105" s="431"/>
      <c r="AB105" s="644"/>
      <c r="AC105" s="396"/>
      <c r="AD105" s="425"/>
      <c r="AE105" s="395"/>
      <c r="AF105" s="379"/>
      <c r="AG105" s="395"/>
      <c r="AH105" s="272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3">
        <f t="shared" si="41"/>
        <v>105</v>
      </c>
      <c r="B106" s="543" t="s">
        <v>1408</v>
      </c>
      <c r="C106" s="544">
        <v>520513</v>
      </c>
      <c r="D106" s="545">
        <v>5396</v>
      </c>
      <c r="E106" s="544" t="s">
        <v>132</v>
      </c>
      <c r="F106" s="546">
        <v>2017</v>
      </c>
      <c r="G106" s="547">
        <v>42770</v>
      </c>
      <c r="H106" s="544" t="s">
        <v>739</v>
      </c>
      <c r="I106" s="544" t="s">
        <v>802</v>
      </c>
      <c r="J106" s="544" t="s">
        <v>724</v>
      </c>
      <c r="K106" s="544" t="s">
        <v>1728</v>
      </c>
      <c r="L106" s="544" t="s">
        <v>804</v>
      </c>
      <c r="M106" s="548">
        <v>470326.34</v>
      </c>
      <c r="N106" s="548">
        <v>31656.42</v>
      </c>
      <c r="O106" s="548">
        <v>80317.240000000005</v>
      </c>
      <c r="P106" s="548">
        <v>582300</v>
      </c>
      <c r="Q106" s="548"/>
      <c r="R106" s="548">
        <v>416250.22</v>
      </c>
      <c r="S106" s="549">
        <f t="shared" si="34"/>
        <v>166049.78000000003</v>
      </c>
      <c r="T106" s="113" t="s">
        <v>1931</v>
      </c>
      <c r="U106" s="429"/>
      <c r="V106" s="298" t="s">
        <v>250</v>
      </c>
      <c r="W106" s="437" t="s">
        <v>1443</v>
      </c>
      <c r="X106" s="382"/>
      <c r="Y106" s="441"/>
      <c r="Z106" s="438"/>
      <c r="AA106" s="439"/>
      <c r="AB106" s="645"/>
      <c r="AC106" s="396"/>
      <c r="AD106" s="425"/>
      <c r="AE106" s="440"/>
      <c r="AF106" s="439">
        <f>+AF103-AF104</f>
        <v>3560.6921000001021</v>
      </c>
      <c r="AG106" s="396">
        <f>SUM(AG6:AG105)</f>
        <v>-3560.6920999999579</v>
      </c>
      <c r="AH106" s="272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351" customFormat="1" ht="12.75" customHeight="1" x14ac:dyDescent="0.2">
      <c r="A107" s="423">
        <f t="shared" si="41"/>
        <v>106</v>
      </c>
      <c r="B107" s="543" t="s">
        <v>1409</v>
      </c>
      <c r="C107" s="544">
        <v>520513</v>
      </c>
      <c r="D107" s="545">
        <v>5396</v>
      </c>
      <c r="E107" s="544" t="s">
        <v>132</v>
      </c>
      <c r="F107" s="546">
        <v>2017</v>
      </c>
      <c r="G107" s="547">
        <v>42770</v>
      </c>
      <c r="H107" s="544" t="s">
        <v>739</v>
      </c>
      <c r="I107" s="544" t="s">
        <v>802</v>
      </c>
      <c r="J107" s="544" t="s">
        <v>724</v>
      </c>
      <c r="K107" s="544" t="s">
        <v>1728</v>
      </c>
      <c r="L107" s="544" t="s">
        <v>804</v>
      </c>
      <c r="M107" s="548">
        <v>470326.34</v>
      </c>
      <c r="N107" s="548">
        <v>31656.42</v>
      </c>
      <c r="O107" s="548">
        <v>80317.240000000005</v>
      </c>
      <c r="P107" s="548">
        <v>582300</v>
      </c>
      <c r="Q107" s="548"/>
      <c r="R107" s="548">
        <v>416250.22</v>
      </c>
      <c r="S107" s="549">
        <f t="shared" si="34"/>
        <v>166049.78000000003</v>
      </c>
      <c r="T107" s="113" t="s">
        <v>1931</v>
      </c>
      <c r="U107" s="93"/>
      <c r="V107" s="298" t="s">
        <v>251</v>
      </c>
      <c r="W107" s="437" t="s">
        <v>1378</v>
      </c>
      <c r="X107" s="271"/>
      <c r="Y107" s="441"/>
      <c r="Z107" s="471">
        <f>+AB99+AB85+AB83+AB80+AB77</f>
        <v>22</v>
      </c>
      <c r="AA107" s="472">
        <f>+AA99+AA85+AA83+AA80+AA77</f>
        <v>6171182.1799999997</v>
      </c>
      <c r="AB107" s="646"/>
      <c r="AC107" s="474" t="s">
        <v>1269</v>
      </c>
      <c r="AD107" s="436"/>
      <c r="AE107" s="431"/>
      <c r="AF107" s="431"/>
      <c r="AG107" s="440"/>
      <c r="AH107" s="350"/>
      <c r="AI107" s="313"/>
      <c r="AJ107" s="374"/>
      <c r="AK107" s="331"/>
      <c r="AL107" s="331"/>
      <c r="AM107" s="331"/>
      <c r="AN107" s="352"/>
      <c r="AO107" s="352"/>
      <c r="AP107" s="352"/>
      <c r="AQ107" s="352"/>
      <c r="AR107" s="352"/>
      <c r="AS107" s="352"/>
      <c r="AT107" s="352"/>
      <c r="AU107" s="352"/>
    </row>
    <row r="108" spans="1:47" s="351" customFormat="1" ht="12.75" customHeight="1" x14ac:dyDescent="0.2">
      <c r="A108" s="423">
        <f t="shared" si="41"/>
        <v>107</v>
      </c>
      <c r="B108" s="543" t="s">
        <v>1413</v>
      </c>
      <c r="C108" s="544">
        <v>520514</v>
      </c>
      <c r="D108" s="545">
        <v>5398</v>
      </c>
      <c r="E108" s="544" t="s">
        <v>117</v>
      </c>
      <c r="F108" s="546">
        <v>2017</v>
      </c>
      <c r="G108" s="547">
        <v>42776</v>
      </c>
      <c r="H108" s="544" t="s">
        <v>727</v>
      </c>
      <c r="I108" s="544" t="s">
        <v>1606</v>
      </c>
      <c r="J108" s="544" t="s">
        <v>724</v>
      </c>
      <c r="K108" s="544" t="s">
        <v>803</v>
      </c>
      <c r="L108" s="544" t="s">
        <v>1868</v>
      </c>
      <c r="M108" s="548">
        <v>-515345.49</v>
      </c>
      <c r="N108" s="548">
        <v>-39309.68</v>
      </c>
      <c r="O108" s="548">
        <v>-88744.83</v>
      </c>
      <c r="P108" s="548">
        <v>-643400</v>
      </c>
      <c r="Q108" s="548"/>
      <c r="R108" s="548">
        <v>-455867.08</v>
      </c>
      <c r="S108" s="549">
        <f t="shared" si="34"/>
        <v>-187532.91999999998</v>
      </c>
      <c r="T108" s="113" t="s">
        <v>1931</v>
      </c>
      <c r="U108" s="93"/>
      <c r="V108" s="93"/>
      <c r="W108" s="267"/>
      <c r="X108" s="271"/>
      <c r="Y108" s="94"/>
      <c r="Z108" s="475">
        <f>+AB75+AB74+AB70+AB66+AB63+AB58+AB36+AB31</f>
        <v>28</v>
      </c>
      <c r="AA108" s="472">
        <f>+AA75+AA74+AA70+AA66+AA63+AA58+AA36+AA31</f>
        <v>5538800.6800000006</v>
      </c>
      <c r="AB108" s="646"/>
      <c r="AC108" s="474" t="s">
        <v>1270</v>
      </c>
      <c r="AD108" s="425"/>
      <c r="AE108" s="424"/>
      <c r="AF108" s="424"/>
      <c r="AG108" s="346"/>
      <c r="AH108" s="313"/>
      <c r="AI108" s="313"/>
      <c r="AJ108" s="374"/>
      <c r="AK108" s="331"/>
      <c r="AL108" s="331"/>
      <c r="AM108" s="331"/>
      <c r="AN108" s="352"/>
      <c r="AO108" s="352"/>
      <c r="AP108" s="352"/>
      <c r="AQ108" s="352"/>
      <c r="AR108" s="352"/>
      <c r="AS108" s="352"/>
      <c r="AT108" s="352"/>
      <c r="AU108" s="352"/>
    </row>
    <row r="109" spans="1:47" s="291" customFormat="1" ht="12.75" customHeight="1" x14ac:dyDescent="0.2">
      <c r="A109" s="423">
        <f t="shared" si="41"/>
        <v>108</v>
      </c>
      <c r="B109" s="543" t="s">
        <v>1414</v>
      </c>
      <c r="C109" s="544">
        <v>520514</v>
      </c>
      <c r="D109" s="545">
        <v>5398</v>
      </c>
      <c r="E109" s="544" t="s">
        <v>117</v>
      </c>
      <c r="F109" s="546">
        <v>2017</v>
      </c>
      <c r="G109" s="547">
        <v>42776</v>
      </c>
      <c r="H109" s="544" t="s">
        <v>727</v>
      </c>
      <c r="I109" s="544" t="s">
        <v>1606</v>
      </c>
      <c r="J109" s="544" t="s">
        <v>724</v>
      </c>
      <c r="K109" s="544" t="s">
        <v>803</v>
      </c>
      <c r="L109" s="544" t="s">
        <v>1868</v>
      </c>
      <c r="M109" s="548">
        <v>515345.49</v>
      </c>
      <c r="N109" s="548">
        <v>39309.68</v>
      </c>
      <c r="O109" s="548">
        <v>88744.83</v>
      </c>
      <c r="P109" s="548">
        <v>643400</v>
      </c>
      <c r="Q109" s="548"/>
      <c r="R109" s="548">
        <v>455867.08</v>
      </c>
      <c r="S109" s="549">
        <f t="shared" si="34"/>
        <v>187532.91999999998</v>
      </c>
      <c r="T109" s="444" t="s">
        <v>1931</v>
      </c>
      <c r="U109" s="429"/>
      <c r="V109" s="429"/>
      <c r="W109" s="426"/>
      <c r="X109" s="382"/>
      <c r="Y109" s="442"/>
      <c r="Z109" s="476">
        <f>+AB72+AB51+AB30+AB26+AB25+AB22+AB19+AB18+AB15+AB14+AB12+AB11+AB10+AB8</f>
        <v>31</v>
      </c>
      <c r="AA109" s="472">
        <f>+AA72+AA51+AA30+AA26+AA25+AA22+AA19+AA18+AA15+AA14+AA12+AA11+AA10+AA8</f>
        <v>11794191.759999998</v>
      </c>
      <c r="AB109" s="646"/>
      <c r="AC109" s="474" t="s">
        <v>1271</v>
      </c>
      <c r="AD109" s="443"/>
      <c r="AE109" s="439"/>
      <c r="AF109" s="439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351" customFormat="1" ht="12.75" customHeight="1" thickBot="1" x14ac:dyDescent="0.25">
      <c r="A110" s="423">
        <f t="shared" si="41"/>
        <v>109</v>
      </c>
      <c r="B110" s="543" t="s">
        <v>1411</v>
      </c>
      <c r="C110" s="544">
        <v>520514</v>
      </c>
      <c r="D110" s="545">
        <v>5398</v>
      </c>
      <c r="E110" s="544" t="s">
        <v>117</v>
      </c>
      <c r="F110" s="546">
        <v>2017</v>
      </c>
      <c r="G110" s="547">
        <v>42773</v>
      </c>
      <c r="H110" s="544" t="s">
        <v>727</v>
      </c>
      <c r="I110" s="544" t="s">
        <v>808</v>
      </c>
      <c r="J110" s="544" t="s">
        <v>724</v>
      </c>
      <c r="K110" s="544" t="s">
        <v>803</v>
      </c>
      <c r="L110" s="544" t="s">
        <v>809</v>
      </c>
      <c r="M110" s="548">
        <v>-515345.49</v>
      </c>
      <c r="N110" s="548">
        <v>-39309.68</v>
      </c>
      <c r="O110" s="548">
        <v>-88744.83</v>
      </c>
      <c r="P110" s="548">
        <v>-643400</v>
      </c>
      <c r="Q110" s="548"/>
      <c r="R110" s="548">
        <v>-455867.08</v>
      </c>
      <c r="S110" s="549">
        <f t="shared" si="34"/>
        <v>-187532.91999999998</v>
      </c>
      <c r="T110" s="267" t="s">
        <v>1931</v>
      </c>
      <c r="Y110" s="352"/>
      <c r="Z110" s="477">
        <f>+AB45</f>
        <v>9</v>
      </c>
      <c r="AA110" s="478">
        <f>+AA45</f>
        <v>3141465.51</v>
      </c>
      <c r="AB110" s="646"/>
      <c r="AC110" s="474" t="s">
        <v>1272</v>
      </c>
      <c r="AI110" s="313"/>
      <c r="AJ110" s="374"/>
      <c r="AK110" s="331"/>
      <c r="AL110" s="331"/>
      <c r="AM110" s="331"/>
      <c r="AN110" s="352"/>
      <c r="AO110" s="352"/>
      <c r="AP110" s="352"/>
      <c r="AQ110" s="352"/>
      <c r="AR110" s="352"/>
      <c r="AS110" s="352"/>
      <c r="AT110" s="352"/>
      <c r="AU110" s="352"/>
    </row>
    <row r="111" spans="1:47" s="291" customFormat="1" ht="12.75" customHeight="1" thickTop="1" x14ac:dyDescent="0.2">
      <c r="A111" s="423">
        <f t="shared" si="41"/>
        <v>110</v>
      </c>
      <c r="B111" s="543" t="s">
        <v>1412</v>
      </c>
      <c r="C111" s="544">
        <v>520514</v>
      </c>
      <c r="D111" s="545">
        <v>5398</v>
      </c>
      <c r="E111" s="544" t="s">
        <v>117</v>
      </c>
      <c r="F111" s="546">
        <v>2017</v>
      </c>
      <c r="G111" s="547">
        <v>42773</v>
      </c>
      <c r="H111" s="544" t="s">
        <v>760</v>
      </c>
      <c r="I111" s="544" t="s">
        <v>808</v>
      </c>
      <c r="J111" s="544" t="s">
        <v>724</v>
      </c>
      <c r="K111" s="544" t="s">
        <v>815</v>
      </c>
      <c r="L111" s="544" t="s">
        <v>809</v>
      </c>
      <c r="M111" s="548">
        <v>515345.49</v>
      </c>
      <c r="N111" s="548">
        <v>39309.68</v>
      </c>
      <c r="O111" s="548">
        <v>88744.83</v>
      </c>
      <c r="P111" s="548">
        <v>643400</v>
      </c>
      <c r="Q111" s="548"/>
      <c r="R111" s="548">
        <v>455867.08</v>
      </c>
      <c r="S111" s="549">
        <f t="shared" si="34"/>
        <v>187532.91999999998</v>
      </c>
      <c r="T111" s="267" t="s">
        <v>1931</v>
      </c>
      <c r="U111" s="348"/>
      <c r="V111" s="348"/>
      <c r="W111" s="348"/>
      <c r="X111" s="348"/>
      <c r="Y111" s="348"/>
      <c r="Z111" s="479">
        <f>+SUM(Z107:Z110)</f>
        <v>90</v>
      </c>
      <c r="AA111" s="480">
        <f>SUM(AA107:AA110)</f>
        <v>26645640.129999995</v>
      </c>
      <c r="AB111" s="646"/>
      <c r="AC111" s="472"/>
      <c r="AD111" s="348"/>
      <c r="AE111" s="348"/>
      <c r="AF111" s="348"/>
      <c r="AG111" s="348"/>
      <c r="AH111" s="348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351" customFormat="1" ht="12.75" customHeight="1" x14ac:dyDescent="0.2">
      <c r="A112" s="423">
        <f t="shared" si="41"/>
        <v>111</v>
      </c>
      <c r="B112" s="543" t="s">
        <v>1434</v>
      </c>
      <c r="C112" s="544">
        <v>521909</v>
      </c>
      <c r="D112" s="545">
        <v>6986</v>
      </c>
      <c r="E112" s="544" t="s">
        <v>707</v>
      </c>
      <c r="F112" s="546">
        <v>2017</v>
      </c>
      <c r="G112" s="547">
        <v>42777</v>
      </c>
      <c r="H112" s="544" t="s">
        <v>743</v>
      </c>
      <c r="I112" s="544" t="s">
        <v>969</v>
      </c>
      <c r="J112" s="544" t="s">
        <v>724</v>
      </c>
      <c r="K112" s="544" t="s">
        <v>970</v>
      </c>
      <c r="L112" s="544" t="s">
        <v>971</v>
      </c>
      <c r="M112" s="548">
        <v>-556975.31999999995</v>
      </c>
      <c r="N112" s="548">
        <v>-46386.75</v>
      </c>
      <c r="O112" s="548">
        <v>-96537.93</v>
      </c>
      <c r="P112" s="548">
        <v>-699900</v>
      </c>
      <c r="Q112" s="548"/>
      <c r="R112" s="548">
        <v>-492545.47</v>
      </c>
      <c r="S112" s="549">
        <f t="shared" si="34"/>
        <v>-207354.53000000003</v>
      </c>
      <c r="T112" s="113" t="s">
        <v>1931</v>
      </c>
      <c r="U112" s="267"/>
      <c r="V112" s="93"/>
      <c r="W112" s="267"/>
      <c r="X112" s="267"/>
      <c r="Y112" s="93"/>
      <c r="Z112" s="618"/>
      <c r="AA112" s="424"/>
      <c r="AB112" s="472"/>
      <c r="AC112" s="424"/>
      <c r="AD112" s="425"/>
      <c r="AE112" s="424"/>
      <c r="AF112" s="424"/>
      <c r="AG112" s="396"/>
      <c r="AH112" s="361"/>
      <c r="AI112" s="313"/>
      <c r="AJ112" s="374"/>
      <c r="AK112" s="331"/>
      <c r="AL112" s="331"/>
      <c r="AM112" s="331"/>
      <c r="AN112" s="352"/>
      <c r="AO112" s="352"/>
      <c r="AP112" s="352"/>
      <c r="AQ112" s="352"/>
      <c r="AR112" s="352"/>
      <c r="AS112" s="352"/>
      <c r="AT112" s="352"/>
      <c r="AU112" s="352"/>
    </row>
    <row r="113" spans="1:47" s="291" customFormat="1" ht="12.75" customHeight="1" x14ac:dyDescent="0.2">
      <c r="A113" s="423">
        <f t="shared" si="41"/>
        <v>112</v>
      </c>
      <c r="B113" s="543" t="s">
        <v>1437</v>
      </c>
      <c r="C113" s="544">
        <v>521909</v>
      </c>
      <c r="D113" s="545">
        <v>6986</v>
      </c>
      <c r="E113" s="544" t="s">
        <v>707</v>
      </c>
      <c r="F113" s="546">
        <v>2017</v>
      </c>
      <c r="G113" s="547">
        <v>42789</v>
      </c>
      <c r="H113" s="544" t="s">
        <v>751</v>
      </c>
      <c r="I113" s="544" t="s">
        <v>969</v>
      </c>
      <c r="J113" s="544" t="s">
        <v>724</v>
      </c>
      <c r="K113" s="544" t="s">
        <v>830</v>
      </c>
      <c r="L113" s="544" t="s">
        <v>971</v>
      </c>
      <c r="M113" s="548">
        <v>556975.31999999995</v>
      </c>
      <c r="N113" s="548">
        <v>46386.75</v>
      </c>
      <c r="O113" s="548">
        <v>96537.93</v>
      </c>
      <c r="P113" s="548">
        <v>699900</v>
      </c>
      <c r="Q113" s="548"/>
      <c r="R113" s="548">
        <v>492545.47</v>
      </c>
      <c r="S113" s="549">
        <f t="shared" si="34"/>
        <v>207354.53000000003</v>
      </c>
      <c r="T113" s="113" t="s">
        <v>1931</v>
      </c>
      <c r="U113" s="267"/>
      <c r="V113" s="93"/>
      <c r="W113" s="267"/>
      <c r="X113" s="267"/>
      <c r="Y113" s="93"/>
      <c r="Z113" s="618"/>
      <c r="AA113" s="424"/>
      <c r="AB113" s="472"/>
      <c r="AC113" s="424"/>
      <c r="AD113" s="425"/>
      <c r="AE113" s="424"/>
      <c r="AF113" s="424"/>
      <c r="AG113" s="396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x14ac:dyDescent="0.2">
      <c r="A114" s="423">
        <f t="shared" si="41"/>
        <v>113</v>
      </c>
      <c r="B114" s="543" t="s">
        <v>1483</v>
      </c>
      <c r="C114" s="544">
        <v>1520504</v>
      </c>
      <c r="D114" s="545">
        <v>8127</v>
      </c>
      <c r="E114" s="544" t="s">
        <v>716</v>
      </c>
      <c r="F114" s="546">
        <v>2017</v>
      </c>
      <c r="G114" s="547">
        <v>42776</v>
      </c>
      <c r="H114" s="544" t="s">
        <v>1038</v>
      </c>
      <c r="I114" s="544" t="s">
        <v>1648</v>
      </c>
      <c r="J114" s="544" t="s">
        <v>724</v>
      </c>
      <c r="K114" s="544" t="s">
        <v>1040</v>
      </c>
      <c r="L114" s="544" t="s">
        <v>1910</v>
      </c>
      <c r="M114" s="548">
        <v>641954.02</v>
      </c>
      <c r="N114" s="548">
        <v>32097.7</v>
      </c>
      <c r="O114" s="548">
        <v>107848.28</v>
      </c>
      <c r="P114" s="548">
        <v>781900</v>
      </c>
      <c r="Q114" s="548"/>
      <c r="R114" s="548">
        <v>475233.81</v>
      </c>
      <c r="S114" s="549">
        <f t="shared" si="34"/>
        <v>306666.19</v>
      </c>
      <c r="T114" s="267" t="s">
        <v>1931</v>
      </c>
      <c r="U114" s="267"/>
      <c r="V114" s="93"/>
      <c r="W114" s="267"/>
      <c r="X114" s="267"/>
      <c r="Y114" s="93"/>
      <c r="Z114" s="618"/>
      <c r="AA114" s="424"/>
      <c r="AB114" s="472"/>
      <c r="AC114" s="424"/>
      <c r="AD114" s="425"/>
      <c r="AE114" s="424"/>
      <c r="AF114" s="424"/>
      <c r="AG114" s="396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351" customFormat="1" ht="12.75" customHeight="1" x14ac:dyDescent="0.2">
      <c r="A115" s="423">
        <f t="shared" si="41"/>
        <v>114</v>
      </c>
      <c r="B115" s="543" t="s">
        <v>1484</v>
      </c>
      <c r="C115" s="544">
        <v>1520504</v>
      </c>
      <c r="D115" s="545">
        <v>8127</v>
      </c>
      <c r="E115" s="544" t="s">
        <v>716</v>
      </c>
      <c r="F115" s="546">
        <v>2017</v>
      </c>
      <c r="G115" s="547">
        <v>42779</v>
      </c>
      <c r="H115" s="544" t="s">
        <v>1038</v>
      </c>
      <c r="I115" s="544" t="s">
        <v>1648</v>
      </c>
      <c r="J115" s="544" t="s">
        <v>724</v>
      </c>
      <c r="K115" s="544" t="s">
        <v>1040</v>
      </c>
      <c r="L115" s="544" t="s">
        <v>1910</v>
      </c>
      <c r="M115" s="548">
        <v>-641954.02</v>
      </c>
      <c r="N115" s="548">
        <v>-32097.7</v>
      </c>
      <c r="O115" s="548">
        <v>-107848.28</v>
      </c>
      <c r="P115" s="548">
        <v>-781900</v>
      </c>
      <c r="Q115" s="548"/>
      <c r="R115" s="548">
        <v>-475233.81</v>
      </c>
      <c r="S115" s="549">
        <f t="shared" si="34"/>
        <v>-306666.19</v>
      </c>
      <c r="T115" s="113" t="s">
        <v>1931</v>
      </c>
      <c r="U115" s="267"/>
      <c r="V115" s="93"/>
      <c r="W115" s="267"/>
      <c r="X115" s="267"/>
      <c r="Y115" s="93"/>
      <c r="Z115" s="618"/>
      <c r="AA115" s="424"/>
      <c r="AB115" s="472"/>
      <c r="AC115" s="424"/>
      <c r="AD115" s="425"/>
      <c r="AE115" s="424"/>
      <c r="AF115" s="424"/>
      <c r="AG115" s="396"/>
      <c r="AH115" s="361"/>
      <c r="AI115" s="313"/>
      <c r="AJ115" s="374"/>
      <c r="AK115" s="331"/>
      <c r="AL115" s="331"/>
      <c r="AM115" s="331"/>
      <c r="AN115" s="352"/>
      <c r="AO115" s="352"/>
      <c r="AP115" s="352"/>
      <c r="AQ115" s="352"/>
      <c r="AR115" s="352"/>
      <c r="AS115" s="352"/>
      <c r="AT115" s="352"/>
      <c r="AU115" s="352"/>
    </row>
    <row r="116" spans="1:47" s="351" customFormat="1" ht="12.75" customHeight="1" x14ac:dyDescent="0.2">
      <c r="A116" s="423">
        <f t="shared" si="41"/>
        <v>115</v>
      </c>
      <c r="B116" s="543" t="s">
        <v>1324</v>
      </c>
      <c r="C116" s="544">
        <v>520220</v>
      </c>
      <c r="D116" s="545">
        <v>1794</v>
      </c>
      <c r="E116" s="544" t="s">
        <v>687</v>
      </c>
      <c r="F116" s="546">
        <v>2017</v>
      </c>
      <c r="G116" s="547">
        <v>42784</v>
      </c>
      <c r="H116" s="544" t="s">
        <v>774</v>
      </c>
      <c r="I116" s="544" t="s">
        <v>1549</v>
      </c>
      <c r="J116" s="544" t="s">
        <v>724</v>
      </c>
      <c r="K116" s="544" t="s">
        <v>1686</v>
      </c>
      <c r="L116" s="544" t="s">
        <v>1811</v>
      </c>
      <c r="M116" s="548">
        <v>262226.93</v>
      </c>
      <c r="N116" s="548">
        <v>2859.28</v>
      </c>
      <c r="O116" s="548">
        <v>42413.79</v>
      </c>
      <c r="P116" s="548">
        <v>307500</v>
      </c>
      <c r="Q116" s="548"/>
      <c r="R116" s="548">
        <v>230475.74</v>
      </c>
      <c r="S116" s="549">
        <f t="shared" si="34"/>
        <v>77024.260000000009</v>
      </c>
      <c r="T116" s="267" t="s">
        <v>1931</v>
      </c>
      <c r="U116" s="267"/>
      <c r="V116" s="93"/>
      <c r="W116" s="267"/>
      <c r="X116" s="267"/>
      <c r="Y116" s="93"/>
      <c r="Z116" s="618"/>
      <c r="AA116" s="424"/>
      <c r="AB116" s="472"/>
      <c r="AC116" s="424"/>
      <c r="AD116" s="425"/>
      <c r="AE116" s="424"/>
      <c r="AF116" s="424"/>
      <c r="AG116" s="396"/>
      <c r="AH116" s="361"/>
      <c r="AI116" s="313"/>
      <c r="AJ116" s="374"/>
      <c r="AK116" s="331"/>
      <c r="AL116" s="331"/>
      <c r="AM116" s="331"/>
      <c r="AN116" s="352"/>
      <c r="AO116" s="352"/>
      <c r="AP116" s="352"/>
      <c r="AQ116" s="352"/>
      <c r="AR116" s="352"/>
      <c r="AS116" s="352"/>
      <c r="AT116" s="352"/>
      <c r="AU116" s="352"/>
    </row>
    <row r="117" spans="1:47" s="291" customFormat="1" ht="12.75" customHeight="1" x14ac:dyDescent="0.2">
      <c r="A117" s="423">
        <f t="shared" si="41"/>
        <v>116</v>
      </c>
      <c r="B117" s="543" t="s">
        <v>1325</v>
      </c>
      <c r="C117" s="544">
        <v>520220</v>
      </c>
      <c r="D117" s="545">
        <v>1794</v>
      </c>
      <c r="E117" s="544" t="s">
        <v>687</v>
      </c>
      <c r="F117" s="546">
        <v>2017</v>
      </c>
      <c r="G117" s="547">
        <v>42793</v>
      </c>
      <c r="H117" s="544" t="s">
        <v>774</v>
      </c>
      <c r="I117" s="544" t="s">
        <v>1549</v>
      </c>
      <c r="J117" s="544" t="s">
        <v>724</v>
      </c>
      <c r="K117" s="544" t="s">
        <v>1686</v>
      </c>
      <c r="L117" s="544" t="s">
        <v>1811</v>
      </c>
      <c r="M117" s="548">
        <v>-262226.93</v>
      </c>
      <c r="N117" s="548">
        <v>-2859.28</v>
      </c>
      <c r="O117" s="548">
        <v>-42413.79</v>
      </c>
      <c r="P117" s="548">
        <v>-307500</v>
      </c>
      <c r="Q117" s="548"/>
      <c r="R117" s="548">
        <v>-230475.74</v>
      </c>
      <c r="S117" s="549">
        <f t="shared" si="34"/>
        <v>-77024.260000000009</v>
      </c>
      <c r="T117" s="444" t="s">
        <v>1931</v>
      </c>
      <c r="U117" s="267"/>
      <c r="V117" s="93"/>
      <c r="W117" s="267"/>
      <c r="X117" s="267"/>
      <c r="Y117" s="93"/>
      <c r="Z117" s="618"/>
      <c r="AA117" s="424"/>
      <c r="AB117" s="472"/>
      <c r="AC117" s="424"/>
      <c r="AD117" s="425"/>
      <c r="AE117" s="424"/>
      <c r="AF117" s="424"/>
      <c r="AG117" s="396"/>
      <c r="AH117" s="361"/>
      <c r="AI117" s="313"/>
      <c r="AJ117" s="330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351" customFormat="1" ht="12.75" customHeight="1" x14ac:dyDescent="0.2">
      <c r="A118" s="423">
        <f t="shared" si="41"/>
        <v>117</v>
      </c>
      <c r="B118" s="543" t="s">
        <v>1308</v>
      </c>
      <c r="C118" s="544">
        <v>520224</v>
      </c>
      <c r="D118" s="545">
        <v>1781</v>
      </c>
      <c r="E118" s="544" t="s">
        <v>690</v>
      </c>
      <c r="F118" s="546">
        <v>2017</v>
      </c>
      <c r="G118" s="547">
        <v>42773</v>
      </c>
      <c r="H118" s="544" t="s">
        <v>764</v>
      </c>
      <c r="I118" s="544" t="s">
        <v>1542</v>
      </c>
      <c r="J118" s="544" t="s">
        <v>724</v>
      </c>
      <c r="K118" s="544" t="s">
        <v>1681</v>
      </c>
      <c r="L118" s="544" t="s">
        <v>1804</v>
      </c>
      <c r="M118" s="548">
        <v>270889.67</v>
      </c>
      <c r="N118" s="548">
        <v>3075.85</v>
      </c>
      <c r="O118" s="548">
        <v>43834.48</v>
      </c>
      <c r="P118" s="548">
        <v>317800</v>
      </c>
      <c r="Q118" s="548"/>
      <c r="R118" s="548">
        <v>238011.5</v>
      </c>
      <c r="S118" s="549">
        <f t="shared" si="34"/>
        <v>79788.5</v>
      </c>
      <c r="T118" s="113" t="s">
        <v>1931</v>
      </c>
      <c r="U118" s="267"/>
      <c r="V118" s="93"/>
      <c r="W118" s="267"/>
      <c r="X118" s="267"/>
      <c r="Y118" s="93"/>
      <c r="Z118" s="618"/>
      <c r="AA118" s="424"/>
      <c r="AB118" s="472"/>
      <c r="AC118" s="424"/>
      <c r="AD118" s="425"/>
      <c r="AE118" s="424"/>
      <c r="AF118" s="424"/>
      <c r="AG118" s="396"/>
      <c r="AH118" s="361"/>
      <c r="AI118" s="313"/>
      <c r="AJ118" s="331"/>
      <c r="AK118" s="331"/>
      <c r="AL118" s="331"/>
      <c r="AM118" s="331"/>
      <c r="AN118" s="352"/>
      <c r="AO118" s="352"/>
      <c r="AP118" s="352"/>
      <c r="AQ118" s="352"/>
      <c r="AR118" s="352"/>
      <c r="AS118" s="352"/>
      <c r="AT118" s="352"/>
      <c r="AU118" s="352"/>
    </row>
    <row r="119" spans="1:47" s="348" customFormat="1" ht="12.75" customHeight="1" x14ac:dyDescent="0.2">
      <c r="A119" s="423">
        <f t="shared" si="41"/>
        <v>118</v>
      </c>
      <c r="B119" s="543" t="s">
        <v>1309</v>
      </c>
      <c r="C119" s="544">
        <v>520224</v>
      </c>
      <c r="D119" s="545">
        <v>1781</v>
      </c>
      <c r="E119" s="544" t="s">
        <v>690</v>
      </c>
      <c r="F119" s="546">
        <v>2017</v>
      </c>
      <c r="G119" s="547">
        <v>42782</v>
      </c>
      <c r="H119" s="544" t="s">
        <v>764</v>
      </c>
      <c r="I119" s="544" t="s">
        <v>1542</v>
      </c>
      <c r="J119" s="544" t="s">
        <v>724</v>
      </c>
      <c r="K119" s="544" t="s">
        <v>1681</v>
      </c>
      <c r="L119" s="544" t="s">
        <v>1804</v>
      </c>
      <c r="M119" s="548">
        <v>-270889.67</v>
      </c>
      <c r="N119" s="548">
        <v>-3075.85</v>
      </c>
      <c r="O119" s="548">
        <v>-43834.48</v>
      </c>
      <c r="P119" s="548">
        <v>-317800</v>
      </c>
      <c r="Q119" s="548"/>
      <c r="R119" s="548">
        <v>-238011.5</v>
      </c>
      <c r="S119" s="549">
        <f t="shared" si="34"/>
        <v>-79788.5</v>
      </c>
      <c r="T119" s="113" t="s">
        <v>1931</v>
      </c>
      <c r="U119" s="267"/>
      <c r="V119" s="93"/>
      <c r="W119" s="267"/>
      <c r="X119" s="267"/>
      <c r="Y119" s="93"/>
      <c r="Z119" s="618"/>
      <c r="AA119" s="424"/>
      <c r="AB119" s="472"/>
      <c r="AC119" s="424"/>
      <c r="AD119" s="425"/>
      <c r="AE119" s="424"/>
      <c r="AF119" s="424"/>
      <c r="AG119" s="396"/>
      <c r="AH119" s="361"/>
      <c r="AI119" s="313"/>
      <c r="AJ119" s="330"/>
      <c r="AK119" s="330"/>
      <c r="AL119" s="330"/>
      <c r="AM119" s="330"/>
      <c r="AN119" s="353"/>
      <c r="AO119" s="353"/>
      <c r="AP119" s="353"/>
      <c r="AQ119" s="353"/>
      <c r="AR119" s="353"/>
      <c r="AS119" s="353"/>
      <c r="AT119" s="353"/>
      <c r="AU119" s="353"/>
    </row>
    <row r="120" spans="1:47" s="351" customFormat="1" ht="12.75" customHeight="1" x14ac:dyDescent="0.2">
      <c r="A120" s="423">
        <f t="shared" si="41"/>
        <v>119</v>
      </c>
      <c r="B120" s="543" t="s">
        <v>1316</v>
      </c>
      <c r="C120" s="544">
        <v>520220</v>
      </c>
      <c r="D120" s="545">
        <v>1794</v>
      </c>
      <c r="E120" s="544" t="s">
        <v>687</v>
      </c>
      <c r="F120" s="546">
        <v>2017</v>
      </c>
      <c r="G120" s="547">
        <v>42780</v>
      </c>
      <c r="H120" s="544" t="s">
        <v>819</v>
      </c>
      <c r="I120" s="544" t="s">
        <v>1546</v>
      </c>
      <c r="J120" s="544" t="s">
        <v>724</v>
      </c>
      <c r="K120" s="544" t="s">
        <v>1684</v>
      </c>
      <c r="L120" s="544" t="s">
        <v>1808</v>
      </c>
      <c r="M120" s="548">
        <v>-262226.93</v>
      </c>
      <c r="N120" s="548">
        <v>-2859.28</v>
      </c>
      <c r="O120" s="548">
        <v>-42413.79</v>
      </c>
      <c r="P120" s="548">
        <v>-307500</v>
      </c>
      <c r="Q120" s="548"/>
      <c r="R120" s="548">
        <v>-230475.74</v>
      </c>
      <c r="S120" s="549">
        <f t="shared" si="34"/>
        <v>-77024.260000000009</v>
      </c>
      <c r="T120" s="113" t="s">
        <v>1931</v>
      </c>
      <c r="U120" s="267"/>
      <c r="V120" s="93"/>
      <c r="W120" s="267"/>
      <c r="X120" s="267"/>
      <c r="Y120" s="93"/>
      <c r="Z120" s="618"/>
      <c r="AA120" s="424"/>
      <c r="AB120" s="472"/>
      <c r="AC120" s="424"/>
      <c r="AD120" s="425"/>
      <c r="AE120" s="424"/>
      <c r="AF120" s="424"/>
      <c r="AG120" s="396"/>
      <c r="AH120" s="361"/>
      <c r="AI120" s="313"/>
      <c r="AJ120" s="374"/>
      <c r="AK120" s="331"/>
      <c r="AL120" s="331"/>
      <c r="AM120" s="331"/>
      <c r="AN120" s="352"/>
      <c r="AO120" s="352"/>
      <c r="AP120" s="352"/>
      <c r="AQ120" s="352"/>
      <c r="AR120" s="352"/>
      <c r="AS120" s="352"/>
      <c r="AT120" s="352"/>
      <c r="AU120" s="352"/>
    </row>
    <row r="121" spans="1:47" s="348" customFormat="1" ht="12.75" customHeight="1" x14ac:dyDescent="0.2">
      <c r="A121" s="423">
        <f t="shared" si="41"/>
        <v>120</v>
      </c>
      <c r="B121" s="543" t="s">
        <v>1317</v>
      </c>
      <c r="C121" s="544">
        <v>520220</v>
      </c>
      <c r="D121" s="545">
        <v>1794</v>
      </c>
      <c r="E121" s="544" t="s">
        <v>687</v>
      </c>
      <c r="F121" s="546">
        <v>2017</v>
      </c>
      <c r="G121" s="547">
        <v>42780</v>
      </c>
      <c r="H121" s="544" t="s">
        <v>819</v>
      </c>
      <c r="I121" s="544" t="s">
        <v>1546</v>
      </c>
      <c r="J121" s="544" t="s">
        <v>724</v>
      </c>
      <c r="K121" s="544" t="s">
        <v>1684</v>
      </c>
      <c r="L121" s="544" t="s">
        <v>1808</v>
      </c>
      <c r="M121" s="548">
        <v>262226.93</v>
      </c>
      <c r="N121" s="548">
        <v>2859.28</v>
      </c>
      <c r="O121" s="548">
        <v>42413.79</v>
      </c>
      <c r="P121" s="548">
        <v>307500</v>
      </c>
      <c r="Q121" s="548"/>
      <c r="R121" s="548">
        <v>230475.74</v>
      </c>
      <c r="S121" s="549">
        <f t="shared" si="34"/>
        <v>77024.260000000009</v>
      </c>
      <c r="T121" s="113" t="s">
        <v>1931</v>
      </c>
      <c r="U121" s="267"/>
      <c r="V121" s="93"/>
      <c r="W121" s="267"/>
      <c r="X121" s="267"/>
      <c r="Y121" s="93"/>
      <c r="Z121" s="618"/>
      <c r="AA121" s="424"/>
      <c r="AB121" s="472"/>
      <c r="AC121" s="424"/>
      <c r="AD121" s="425"/>
      <c r="AE121" s="424"/>
      <c r="AF121" s="424"/>
      <c r="AG121" s="396"/>
      <c r="AH121" s="361"/>
      <c r="AI121" s="313"/>
      <c r="AJ121" s="374"/>
      <c r="AK121" s="330"/>
      <c r="AL121" s="330"/>
      <c r="AM121" s="330"/>
      <c r="AN121" s="353"/>
      <c r="AO121" s="353"/>
      <c r="AP121" s="353"/>
      <c r="AQ121" s="353"/>
      <c r="AR121" s="353"/>
      <c r="AS121" s="353"/>
      <c r="AT121" s="353"/>
      <c r="AU121" s="353"/>
    </row>
    <row r="122" spans="1:47" s="291" customFormat="1" ht="12.75" customHeight="1" x14ac:dyDescent="0.2">
      <c r="A122" s="423">
        <f t="shared" si="41"/>
        <v>121</v>
      </c>
      <c r="B122" s="543" t="s">
        <v>1318</v>
      </c>
      <c r="C122" s="544">
        <v>520220</v>
      </c>
      <c r="D122" s="545">
        <v>1794</v>
      </c>
      <c r="E122" s="544" t="s">
        <v>687</v>
      </c>
      <c r="F122" s="546">
        <v>2017</v>
      </c>
      <c r="G122" s="547">
        <v>42780</v>
      </c>
      <c r="H122" s="544" t="s">
        <v>819</v>
      </c>
      <c r="I122" s="544" t="s">
        <v>1546</v>
      </c>
      <c r="J122" s="544" t="s">
        <v>724</v>
      </c>
      <c r="K122" s="544" t="s">
        <v>830</v>
      </c>
      <c r="L122" s="544" t="s">
        <v>1808</v>
      </c>
      <c r="M122" s="548">
        <v>262226.93</v>
      </c>
      <c r="N122" s="548">
        <v>2859.28</v>
      </c>
      <c r="O122" s="548">
        <v>42413.79</v>
      </c>
      <c r="P122" s="548">
        <v>307500</v>
      </c>
      <c r="Q122" s="548"/>
      <c r="R122" s="548">
        <v>230475.74</v>
      </c>
      <c r="S122" s="549">
        <f t="shared" si="34"/>
        <v>77024.260000000009</v>
      </c>
      <c r="T122" s="267" t="s">
        <v>1931</v>
      </c>
      <c r="U122" s="267"/>
      <c r="V122" s="93"/>
      <c r="W122" s="267"/>
      <c r="X122" s="267"/>
      <c r="Y122" s="93"/>
      <c r="Z122" s="618"/>
      <c r="AA122" s="424"/>
      <c r="AB122" s="472"/>
      <c r="AC122" s="424"/>
      <c r="AD122" s="425"/>
      <c r="AE122" s="424"/>
      <c r="AF122" s="424"/>
      <c r="AG122" s="396"/>
      <c r="AH122" s="361"/>
      <c r="AI122" s="313"/>
      <c r="AJ122" s="331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351" customFormat="1" ht="12.75" customHeight="1" x14ac:dyDescent="0.2">
      <c r="A123" s="423">
        <f t="shared" si="41"/>
        <v>122</v>
      </c>
      <c r="B123" s="543" t="s">
        <v>1323</v>
      </c>
      <c r="C123" s="544">
        <v>520220</v>
      </c>
      <c r="D123" s="545">
        <v>1794</v>
      </c>
      <c r="E123" s="544" t="s">
        <v>687</v>
      </c>
      <c r="F123" s="546">
        <v>2017</v>
      </c>
      <c r="G123" s="547">
        <v>42781</v>
      </c>
      <c r="H123" s="544" t="s">
        <v>819</v>
      </c>
      <c r="I123" s="544" t="s">
        <v>1546</v>
      </c>
      <c r="J123" s="544" t="s">
        <v>724</v>
      </c>
      <c r="K123" s="544" t="s">
        <v>830</v>
      </c>
      <c r="L123" s="544" t="s">
        <v>1808</v>
      </c>
      <c r="M123" s="548">
        <v>-262226.93</v>
      </c>
      <c r="N123" s="548">
        <v>-2859.28</v>
      </c>
      <c r="O123" s="548">
        <v>-42413.79</v>
      </c>
      <c r="P123" s="548">
        <v>-307500</v>
      </c>
      <c r="Q123" s="548"/>
      <c r="R123" s="548">
        <v>-230475.74</v>
      </c>
      <c r="S123" s="549">
        <f t="shared" si="34"/>
        <v>-77024.260000000009</v>
      </c>
      <c r="T123" s="267" t="s">
        <v>1931</v>
      </c>
      <c r="U123" s="267"/>
      <c r="V123" s="93"/>
      <c r="W123" s="267"/>
      <c r="X123" s="267"/>
      <c r="Y123" s="93"/>
      <c r="Z123" s="618"/>
      <c r="AA123" s="424"/>
      <c r="AB123" s="472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352"/>
      <c r="AU123" s="352"/>
    </row>
    <row r="124" spans="1:47" s="348" customFormat="1" ht="12.75" customHeight="1" x14ac:dyDescent="0.2">
      <c r="A124" s="423">
        <f t="shared" si="41"/>
        <v>123</v>
      </c>
      <c r="B124" s="543" t="s">
        <v>1313</v>
      </c>
      <c r="C124" s="544">
        <v>520226</v>
      </c>
      <c r="D124" s="545">
        <v>1783</v>
      </c>
      <c r="E124" s="544" t="s">
        <v>692</v>
      </c>
      <c r="F124" s="546">
        <v>2017</v>
      </c>
      <c r="G124" s="547">
        <v>42794</v>
      </c>
      <c r="H124" s="544" t="s">
        <v>727</v>
      </c>
      <c r="I124" s="544" t="s">
        <v>1545</v>
      </c>
      <c r="J124" s="544" t="s">
        <v>724</v>
      </c>
      <c r="K124" s="544" t="s">
        <v>1683</v>
      </c>
      <c r="L124" s="544" t="s">
        <v>1807</v>
      </c>
      <c r="M124" s="548">
        <v>-301353.12</v>
      </c>
      <c r="N124" s="548">
        <v>-7957.22</v>
      </c>
      <c r="O124" s="548">
        <v>-49489.66</v>
      </c>
      <c r="P124" s="548">
        <v>-358800</v>
      </c>
      <c r="Q124" s="548"/>
      <c r="R124" s="548">
        <v>-264669</v>
      </c>
      <c r="S124" s="549">
        <f t="shared" si="34"/>
        <v>-94131</v>
      </c>
      <c r="T124" s="113" t="s">
        <v>1931</v>
      </c>
      <c r="U124" s="267"/>
      <c r="V124" s="93"/>
      <c r="W124" s="267"/>
      <c r="X124" s="267"/>
      <c r="Y124" s="93"/>
      <c r="Z124" s="618"/>
      <c r="AA124" s="424"/>
      <c r="AB124" s="472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353"/>
      <c r="AU124" s="353"/>
    </row>
    <row r="125" spans="1:47" s="351" customFormat="1" ht="12.75" customHeight="1" x14ac:dyDescent="0.2">
      <c r="A125" s="423">
        <f t="shared" si="41"/>
        <v>124</v>
      </c>
      <c r="B125" s="543" t="s">
        <v>1314</v>
      </c>
      <c r="C125" s="544">
        <v>520226</v>
      </c>
      <c r="D125" s="545">
        <v>1783</v>
      </c>
      <c r="E125" s="544" t="s">
        <v>692</v>
      </c>
      <c r="F125" s="546">
        <v>2017</v>
      </c>
      <c r="G125" s="547">
        <v>42794</v>
      </c>
      <c r="H125" s="544" t="s">
        <v>727</v>
      </c>
      <c r="I125" s="544" t="s">
        <v>1545</v>
      </c>
      <c r="J125" s="544" t="s">
        <v>724</v>
      </c>
      <c r="K125" s="544" t="s">
        <v>1683</v>
      </c>
      <c r="L125" s="544" t="s">
        <v>1807</v>
      </c>
      <c r="M125" s="548">
        <v>301353.12</v>
      </c>
      <c r="N125" s="548">
        <v>7957.22</v>
      </c>
      <c r="O125" s="548">
        <v>49489.66</v>
      </c>
      <c r="P125" s="548">
        <v>358800</v>
      </c>
      <c r="Q125" s="548"/>
      <c r="R125" s="548">
        <v>264669</v>
      </c>
      <c r="S125" s="549">
        <f t="shared" si="34"/>
        <v>94131</v>
      </c>
      <c r="T125" s="113" t="s">
        <v>1931</v>
      </c>
      <c r="U125" s="267"/>
      <c r="V125" s="93"/>
      <c r="W125" s="267"/>
      <c r="X125" s="267"/>
      <c r="Y125" s="93"/>
      <c r="Z125" s="618"/>
      <c r="AA125" s="424"/>
      <c r="AB125" s="472"/>
      <c r="AC125" s="424"/>
      <c r="AD125" s="425"/>
      <c r="AE125" s="424"/>
      <c r="AF125" s="424"/>
      <c r="AG125" s="396"/>
      <c r="AH125" s="361"/>
      <c r="AI125" s="313"/>
      <c r="AJ125" s="331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352"/>
      <c r="AU125" s="352"/>
    </row>
    <row r="126" spans="1:47" s="351" customFormat="1" ht="12.75" customHeight="1" x14ac:dyDescent="0.2">
      <c r="A126" s="423">
        <f t="shared" si="41"/>
        <v>125</v>
      </c>
      <c r="B126" s="543" t="s">
        <v>1320</v>
      </c>
      <c r="C126" s="544">
        <v>520220</v>
      </c>
      <c r="D126" s="545">
        <v>1794</v>
      </c>
      <c r="E126" s="544" t="s">
        <v>687</v>
      </c>
      <c r="F126" s="546">
        <v>2017</v>
      </c>
      <c r="G126" s="547">
        <v>42781</v>
      </c>
      <c r="H126" s="544" t="s">
        <v>817</v>
      </c>
      <c r="I126" s="544" t="s">
        <v>1548</v>
      </c>
      <c r="J126" s="544" t="s">
        <v>724</v>
      </c>
      <c r="K126" s="544" t="s">
        <v>1685</v>
      </c>
      <c r="L126" s="544" t="s">
        <v>1810</v>
      </c>
      <c r="M126" s="548">
        <v>-262226.93</v>
      </c>
      <c r="N126" s="548">
        <v>-2859.28</v>
      </c>
      <c r="O126" s="548">
        <v>-42413.79</v>
      </c>
      <c r="P126" s="548">
        <v>-307500</v>
      </c>
      <c r="Q126" s="548"/>
      <c r="R126" s="548">
        <v>-230475.74</v>
      </c>
      <c r="S126" s="549">
        <f t="shared" si="34"/>
        <v>-77024.260000000009</v>
      </c>
      <c r="T126" s="267" t="s">
        <v>1931</v>
      </c>
      <c r="U126" s="267"/>
      <c r="V126" s="93"/>
      <c r="W126" s="267"/>
      <c r="X126" s="267"/>
      <c r="Y126" s="93"/>
      <c r="Z126" s="618"/>
      <c r="AA126" s="424"/>
      <c r="AB126" s="472"/>
      <c r="AC126" s="424"/>
      <c r="AD126" s="425"/>
      <c r="AE126" s="424"/>
      <c r="AF126" s="424"/>
      <c r="AG126" s="396"/>
      <c r="AH126" s="361"/>
      <c r="AI126" s="313"/>
      <c r="AJ126" s="331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352"/>
      <c r="AU126" s="352"/>
    </row>
    <row r="127" spans="1:47" s="291" customFormat="1" ht="12.75" customHeight="1" x14ac:dyDescent="0.2">
      <c r="A127" s="423">
        <f t="shared" si="41"/>
        <v>126</v>
      </c>
      <c r="B127" s="543" t="s">
        <v>1321</v>
      </c>
      <c r="C127" s="544">
        <v>520220</v>
      </c>
      <c r="D127" s="545">
        <v>1794</v>
      </c>
      <c r="E127" s="544" t="s">
        <v>687</v>
      </c>
      <c r="F127" s="546">
        <v>2017</v>
      </c>
      <c r="G127" s="547">
        <v>42781</v>
      </c>
      <c r="H127" s="544" t="s">
        <v>817</v>
      </c>
      <c r="I127" s="544" t="s">
        <v>1548</v>
      </c>
      <c r="J127" s="544" t="s">
        <v>724</v>
      </c>
      <c r="K127" s="544" t="s">
        <v>1685</v>
      </c>
      <c r="L127" s="544" t="s">
        <v>1810</v>
      </c>
      <c r="M127" s="548">
        <v>262226.93</v>
      </c>
      <c r="N127" s="548">
        <v>2859.28</v>
      </c>
      <c r="O127" s="548">
        <v>42413.79</v>
      </c>
      <c r="P127" s="548">
        <v>307500</v>
      </c>
      <c r="Q127" s="548"/>
      <c r="R127" s="548">
        <v>230475.74</v>
      </c>
      <c r="S127" s="549">
        <f t="shared" si="34"/>
        <v>77024.260000000009</v>
      </c>
      <c r="T127" s="113" t="s">
        <v>1931</v>
      </c>
      <c r="U127" s="267"/>
      <c r="V127" s="93"/>
      <c r="W127" s="267"/>
      <c r="X127" s="267"/>
      <c r="Y127" s="93"/>
      <c r="Z127" s="618"/>
      <c r="AA127" s="424"/>
      <c r="AB127" s="472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351" customFormat="1" ht="12.75" customHeight="1" x14ac:dyDescent="0.2">
      <c r="A128" s="423">
        <f t="shared" si="41"/>
        <v>127</v>
      </c>
      <c r="B128" s="543" t="s">
        <v>1291</v>
      </c>
      <c r="C128" s="544">
        <v>521101</v>
      </c>
      <c r="D128" s="545">
        <v>1253</v>
      </c>
      <c r="E128" s="544" t="s">
        <v>30</v>
      </c>
      <c r="F128" s="546">
        <v>2017</v>
      </c>
      <c r="G128" s="547">
        <v>42781</v>
      </c>
      <c r="H128" s="544" t="s">
        <v>747</v>
      </c>
      <c r="I128" s="544" t="s">
        <v>1535</v>
      </c>
      <c r="J128" s="544" t="s">
        <v>724</v>
      </c>
      <c r="K128" s="544" t="s">
        <v>1676</v>
      </c>
      <c r="L128" s="544" t="s">
        <v>1797</v>
      </c>
      <c r="M128" s="548">
        <v>-367413.79</v>
      </c>
      <c r="N128" s="548">
        <v>0</v>
      </c>
      <c r="O128" s="548">
        <v>-58786.21</v>
      </c>
      <c r="P128" s="548">
        <v>-426200</v>
      </c>
      <c r="Q128" s="548"/>
      <c r="R128" s="548">
        <v>-326020.53000000003</v>
      </c>
      <c r="S128" s="549">
        <f t="shared" si="34"/>
        <v>-100179.46999999997</v>
      </c>
      <c r="T128" s="267" t="s">
        <v>1931</v>
      </c>
      <c r="U128" s="267"/>
      <c r="V128" s="93"/>
      <c r="W128" s="267"/>
      <c r="X128" s="267"/>
      <c r="Y128" s="93"/>
      <c r="Z128" s="618"/>
      <c r="AA128" s="424"/>
      <c r="AB128" s="472"/>
      <c r="AC128" s="424"/>
      <c r="AD128" s="425"/>
      <c r="AE128" s="424"/>
      <c r="AF128" s="424"/>
      <c r="AG128" s="396"/>
      <c r="AH128" s="361"/>
      <c r="AI128" s="313"/>
      <c r="AJ128" s="331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352"/>
      <c r="AU128" s="352"/>
    </row>
    <row r="129" spans="1:47" s="291" customFormat="1" ht="12.75" customHeight="1" x14ac:dyDescent="0.2">
      <c r="A129" s="423">
        <f t="shared" si="41"/>
        <v>128</v>
      </c>
      <c r="B129" s="543" t="s">
        <v>1292</v>
      </c>
      <c r="C129" s="544">
        <v>521101</v>
      </c>
      <c r="D129" s="545">
        <v>1253</v>
      </c>
      <c r="E129" s="544" t="s">
        <v>30</v>
      </c>
      <c r="F129" s="546">
        <v>2017</v>
      </c>
      <c r="G129" s="547">
        <v>42781</v>
      </c>
      <c r="H129" s="544" t="s">
        <v>747</v>
      </c>
      <c r="I129" s="544" t="s">
        <v>1535</v>
      </c>
      <c r="J129" s="544" t="s">
        <v>724</v>
      </c>
      <c r="K129" s="544" t="s">
        <v>1676</v>
      </c>
      <c r="L129" s="544" t="s">
        <v>1797</v>
      </c>
      <c r="M129" s="548">
        <v>367413.79</v>
      </c>
      <c r="N129" s="548">
        <v>0</v>
      </c>
      <c r="O129" s="548">
        <v>58786.21</v>
      </c>
      <c r="P129" s="548">
        <v>426200</v>
      </c>
      <c r="Q129" s="548"/>
      <c r="R129" s="548">
        <v>326020.53000000003</v>
      </c>
      <c r="S129" s="549">
        <f t="shared" si="34"/>
        <v>100179.46999999997</v>
      </c>
      <c r="T129" s="267" t="s">
        <v>1931</v>
      </c>
      <c r="U129" s="267"/>
      <c r="V129" s="93"/>
      <c r="W129" s="267"/>
      <c r="X129" s="267"/>
      <c r="Y129" s="93"/>
      <c r="Z129" s="618"/>
      <c r="AA129" s="424"/>
      <c r="AB129" s="472"/>
      <c r="AC129" s="424"/>
      <c r="AD129" s="425"/>
      <c r="AE129" s="424"/>
      <c r="AF129" s="424"/>
      <c r="AG129" s="396"/>
      <c r="AH129" s="361"/>
      <c r="AI129" s="313"/>
      <c r="AJ129" s="331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351" customFormat="1" ht="12.75" customHeight="1" x14ac:dyDescent="0.2">
      <c r="A130" s="423">
        <f t="shared" si="41"/>
        <v>129</v>
      </c>
      <c r="B130" s="543" t="s">
        <v>1294</v>
      </c>
      <c r="C130" s="544">
        <v>521101</v>
      </c>
      <c r="D130" s="545">
        <v>1253</v>
      </c>
      <c r="E130" s="544" t="s">
        <v>30</v>
      </c>
      <c r="F130" s="546">
        <v>2017</v>
      </c>
      <c r="G130" s="547">
        <v>42782</v>
      </c>
      <c r="H130" s="544" t="s">
        <v>747</v>
      </c>
      <c r="I130" s="544" t="s">
        <v>1535</v>
      </c>
      <c r="J130" s="544" t="s">
        <v>724</v>
      </c>
      <c r="K130" s="544" t="s">
        <v>1676</v>
      </c>
      <c r="L130" s="544" t="s">
        <v>1797</v>
      </c>
      <c r="M130" s="548">
        <v>367413.79</v>
      </c>
      <c r="N130" s="548">
        <v>0</v>
      </c>
      <c r="O130" s="548">
        <v>58786.21</v>
      </c>
      <c r="P130" s="548">
        <v>426200</v>
      </c>
      <c r="Q130" s="548"/>
      <c r="R130" s="548">
        <v>326020.56</v>
      </c>
      <c r="S130" s="549">
        <f t="shared" si="34"/>
        <v>100179.44</v>
      </c>
      <c r="T130" s="267" t="s">
        <v>1931</v>
      </c>
      <c r="U130" s="267"/>
      <c r="V130" s="93"/>
      <c r="W130" s="267"/>
      <c r="X130" s="267"/>
      <c r="Y130" s="93"/>
      <c r="Z130" s="618"/>
      <c r="AA130" s="424"/>
      <c r="AB130" s="472"/>
      <c r="AC130" s="424"/>
      <c r="AD130" s="425"/>
      <c r="AE130" s="424"/>
      <c r="AF130" s="424"/>
      <c r="AG130" s="396"/>
      <c r="AH130" s="361"/>
      <c r="AI130" s="313"/>
      <c r="AJ130" s="330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352"/>
      <c r="AU130" s="352"/>
    </row>
    <row r="131" spans="1:47" s="351" customFormat="1" ht="12.75" customHeight="1" x14ac:dyDescent="0.2">
      <c r="A131" s="423">
        <f t="shared" si="41"/>
        <v>130</v>
      </c>
      <c r="B131" s="543" t="s">
        <v>1295</v>
      </c>
      <c r="C131" s="544">
        <v>521101</v>
      </c>
      <c r="D131" s="545">
        <v>1253</v>
      </c>
      <c r="E131" s="544" t="s">
        <v>30</v>
      </c>
      <c r="F131" s="546">
        <v>2017</v>
      </c>
      <c r="G131" s="547">
        <v>42784</v>
      </c>
      <c r="H131" s="544" t="s">
        <v>747</v>
      </c>
      <c r="I131" s="544" t="s">
        <v>1535</v>
      </c>
      <c r="J131" s="544" t="s">
        <v>724</v>
      </c>
      <c r="K131" s="544" t="s">
        <v>1676</v>
      </c>
      <c r="L131" s="544" t="s">
        <v>1797</v>
      </c>
      <c r="M131" s="548">
        <v>-367413.79</v>
      </c>
      <c r="N131" s="548">
        <v>0</v>
      </c>
      <c r="O131" s="548">
        <v>-58786.21</v>
      </c>
      <c r="P131" s="548">
        <v>-426200</v>
      </c>
      <c r="Q131" s="548"/>
      <c r="R131" s="548">
        <v>-326020.56</v>
      </c>
      <c r="S131" s="549">
        <f t="shared" si="34"/>
        <v>-100179.44</v>
      </c>
      <c r="T131" s="113" t="s">
        <v>1931</v>
      </c>
      <c r="U131" s="267"/>
      <c r="V131" s="93"/>
      <c r="W131" s="267"/>
      <c r="X131" s="267"/>
      <c r="Y131" s="93"/>
      <c r="Z131" s="618"/>
      <c r="AA131" s="424"/>
      <c r="AB131" s="472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352"/>
      <c r="AU131" s="352"/>
    </row>
    <row r="132" spans="1:47" s="291" customFormat="1" ht="12.75" customHeight="1" x14ac:dyDescent="0.2">
      <c r="A132" s="423">
        <f t="shared" si="41"/>
        <v>131</v>
      </c>
      <c r="B132" s="543" t="s">
        <v>1303</v>
      </c>
      <c r="C132" s="544">
        <v>521101</v>
      </c>
      <c r="D132" s="545">
        <v>1253</v>
      </c>
      <c r="E132" s="544" t="s">
        <v>30</v>
      </c>
      <c r="F132" s="546">
        <v>2017</v>
      </c>
      <c r="G132" s="547">
        <v>42793</v>
      </c>
      <c r="H132" s="544" t="s">
        <v>747</v>
      </c>
      <c r="I132" s="544" t="s">
        <v>1541</v>
      </c>
      <c r="J132" s="544" t="s">
        <v>724</v>
      </c>
      <c r="K132" s="544" t="s">
        <v>1680</v>
      </c>
      <c r="L132" s="544" t="s">
        <v>1803</v>
      </c>
      <c r="M132" s="548">
        <v>367413.79</v>
      </c>
      <c r="N132" s="548">
        <v>0</v>
      </c>
      <c r="O132" s="548">
        <v>58786.21</v>
      </c>
      <c r="P132" s="548">
        <v>426200</v>
      </c>
      <c r="Q132" s="548"/>
      <c r="R132" s="548">
        <v>326020.56</v>
      </c>
      <c r="S132" s="549">
        <f t="shared" si="34"/>
        <v>100179.44</v>
      </c>
      <c r="T132" s="113" t="s">
        <v>1931</v>
      </c>
      <c r="U132" s="267"/>
      <c r="V132" s="93"/>
      <c r="W132" s="267"/>
      <c r="X132" s="267"/>
      <c r="Y132" s="93"/>
      <c r="Z132" s="618"/>
      <c r="AA132" s="424"/>
      <c r="AB132" s="472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348" customFormat="1" ht="12.75" customHeight="1" x14ac:dyDescent="0.2">
      <c r="A133" s="423">
        <f t="shared" si="41"/>
        <v>132</v>
      </c>
      <c r="B133" s="543" t="s">
        <v>1306</v>
      </c>
      <c r="C133" s="544">
        <v>521101</v>
      </c>
      <c r="D133" s="545">
        <v>1253</v>
      </c>
      <c r="E133" s="544" t="s">
        <v>30</v>
      </c>
      <c r="F133" s="546">
        <v>2017</v>
      </c>
      <c r="G133" s="547">
        <v>42794</v>
      </c>
      <c r="H133" s="544" t="s">
        <v>747</v>
      </c>
      <c r="I133" s="544" t="s">
        <v>1541</v>
      </c>
      <c r="J133" s="544" t="s">
        <v>724</v>
      </c>
      <c r="K133" s="544" t="s">
        <v>1680</v>
      </c>
      <c r="L133" s="544" t="s">
        <v>1803</v>
      </c>
      <c r="M133" s="548">
        <v>-367413.79</v>
      </c>
      <c r="N133" s="548">
        <v>0</v>
      </c>
      <c r="O133" s="548">
        <v>-58786.21</v>
      </c>
      <c r="P133" s="548">
        <v>-426200</v>
      </c>
      <c r="Q133" s="548"/>
      <c r="R133" s="548">
        <v>-326020.56</v>
      </c>
      <c r="S133" s="549">
        <f t="shared" si="34"/>
        <v>-100179.44</v>
      </c>
      <c r="T133" s="267" t="s">
        <v>1931</v>
      </c>
      <c r="U133" s="267"/>
      <c r="V133" s="93"/>
      <c r="W133" s="267"/>
      <c r="X133" s="267"/>
      <c r="Y133" s="93"/>
      <c r="Z133" s="618"/>
      <c r="AA133" s="424"/>
      <c r="AB133" s="472"/>
      <c r="AC133" s="424"/>
      <c r="AD133" s="425"/>
      <c r="AE133" s="424"/>
      <c r="AF133" s="424"/>
      <c r="AG133" s="396"/>
      <c r="AH133" s="361"/>
      <c r="AI133" s="313"/>
      <c r="AJ133" s="331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353"/>
      <c r="AU133" s="353"/>
    </row>
    <row r="134" spans="1:47" s="351" customFormat="1" ht="12.75" customHeight="1" x14ac:dyDescent="0.2">
      <c r="A134" s="423">
        <f t="shared" si="41"/>
        <v>133</v>
      </c>
      <c r="B134" s="543" t="s">
        <v>1299</v>
      </c>
      <c r="C134" s="544">
        <v>521101</v>
      </c>
      <c r="D134" s="545">
        <v>1253</v>
      </c>
      <c r="E134" s="544" t="s">
        <v>30</v>
      </c>
      <c r="F134" s="546">
        <v>2017</v>
      </c>
      <c r="G134" s="547">
        <v>42789</v>
      </c>
      <c r="H134" s="544" t="s">
        <v>847</v>
      </c>
      <c r="I134" s="544" t="s">
        <v>1539</v>
      </c>
      <c r="J134" s="544" t="s">
        <v>724</v>
      </c>
      <c r="K134" s="544" t="s">
        <v>830</v>
      </c>
      <c r="L134" s="544" t="s">
        <v>1801</v>
      </c>
      <c r="M134" s="548">
        <v>367413.79</v>
      </c>
      <c r="N134" s="548">
        <v>0</v>
      </c>
      <c r="O134" s="548">
        <v>58786.21</v>
      </c>
      <c r="P134" s="548">
        <v>426200</v>
      </c>
      <c r="Q134" s="548"/>
      <c r="R134" s="548">
        <v>325876.03000000003</v>
      </c>
      <c r="S134" s="549">
        <f t="shared" ref="S134:S197" si="50">+P134-R134</f>
        <v>100323.96999999997</v>
      </c>
      <c r="T134" s="113" t="s">
        <v>1931</v>
      </c>
      <c r="U134" s="267"/>
      <c r="V134" s="93"/>
      <c r="W134" s="267"/>
      <c r="X134" s="267"/>
      <c r="Y134" s="93"/>
      <c r="Z134" s="618"/>
      <c r="AA134" s="424"/>
      <c r="AB134" s="472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352"/>
      <c r="AU134" s="352"/>
    </row>
    <row r="135" spans="1:47" s="348" customFormat="1" ht="12.75" customHeight="1" x14ac:dyDescent="0.2">
      <c r="A135" s="423">
        <f t="shared" si="41"/>
        <v>134</v>
      </c>
      <c r="B135" s="543" t="s">
        <v>1300</v>
      </c>
      <c r="C135" s="544">
        <v>521101</v>
      </c>
      <c r="D135" s="545">
        <v>1253</v>
      </c>
      <c r="E135" s="544" t="s">
        <v>30</v>
      </c>
      <c r="F135" s="546">
        <v>2017</v>
      </c>
      <c r="G135" s="547">
        <v>42790</v>
      </c>
      <c r="H135" s="544" t="s">
        <v>847</v>
      </c>
      <c r="I135" s="544" t="s">
        <v>1539</v>
      </c>
      <c r="J135" s="544" t="s">
        <v>724</v>
      </c>
      <c r="K135" s="544" t="s">
        <v>830</v>
      </c>
      <c r="L135" s="544" t="s">
        <v>1801</v>
      </c>
      <c r="M135" s="548">
        <v>-367413.79</v>
      </c>
      <c r="N135" s="548">
        <v>0</v>
      </c>
      <c r="O135" s="548">
        <v>-58786.21</v>
      </c>
      <c r="P135" s="548">
        <v>-426200</v>
      </c>
      <c r="Q135" s="548"/>
      <c r="R135" s="548">
        <v>-325876.03000000003</v>
      </c>
      <c r="S135" s="549">
        <f t="shared" si="50"/>
        <v>-100323.96999999997</v>
      </c>
      <c r="T135" s="267" t="s">
        <v>1931</v>
      </c>
      <c r="U135" s="267"/>
      <c r="V135" s="93"/>
      <c r="W135" s="267"/>
      <c r="X135" s="267"/>
      <c r="Y135" s="93"/>
      <c r="Z135" s="618"/>
      <c r="AA135" s="424"/>
      <c r="AB135" s="472"/>
      <c r="AC135" s="424"/>
      <c r="AD135" s="425"/>
      <c r="AE135" s="424"/>
      <c r="AF135" s="424"/>
      <c r="AG135" s="396"/>
      <c r="AH135" s="361"/>
      <c r="AI135" s="313"/>
      <c r="AJ135" s="330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353"/>
      <c r="AU135" s="353"/>
    </row>
    <row r="136" spans="1:47" s="348" customFormat="1" ht="12.75" customHeight="1" x14ac:dyDescent="0.2">
      <c r="A136" s="423">
        <f t="shared" ref="A136:A199" si="51">+A135+1</f>
        <v>135</v>
      </c>
      <c r="B136" s="543" t="s">
        <v>1301</v>
      </c>
      <c r="C136" s="544">
        <v>521101</v>
      </c>
      <c r="D136" s="545">
        <v>1253</v>
      </c>
      <c r="E136" s="544" t="s">
        <v>30</v>
      </c>
      <c r="F136" s="546">
        <v>2017</v>
      </c>
      <c r="G136" s="547">
        <v>42790</v>
      </c>
      <c r="H136" s="544" t="s">
        <v>1038</v>
      </c>
      <c r="I136" s="544" t="s">
        <v>1539</v>
      </c>
      <c r="J136" s="544" t="s">
        <v>724</v>
      </c>
      <c r="K136" s="544" t="s">
        <v>1679</v>
      </c>
      <c r="L136" s="544" t="s">
        <v>1801</v>
      </c>
      <c r="M136" s="548">
        <v>367413.79</v>
      </c>
      <c r="N136" s="548">
        <v>0</v>
      </c>
      <c r="O136" s="548">
        <v>58786.21</v>
      </c>
      <c r="P136" s="548">
        <v>426200</v>
      </c>
      <c r="Q136" s="548"/>
      <c r="R136" s="548">
        <v>325876.03000000003</v>
      </c>
      <c r="S136" s="549">
        <f t="shared" si="50"/>
        <v>100323.96999999997</v>
      </c>
      <c r="T136" s="267" t="s">
        <v>1931</v>
      </c>
      <c r="U136" s="267"/>
      <c r="V136" s="93"/>
      <c r="W136" s="267"/>
      <c r="X136" s="267"/>
      <c r="Y136" s="93"/>
      <c r="Z136" s="618"/>
      <c r="AA136" s="424"/>
      <c r="AB136" s="472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353"/>
      <c r="AU136" s="353"/>
    </row>
    <row r="137" spans="1:47" s="351" customFormat="1" ht="12.75" customHeight="1" x14ac:dyDescent="0.2">
      <c r="A137" s="423">
        <f t="shared" si="51"/>
        <v>136</v>
      </c>
      <c r="B137" s="543" t="s">
        <v>1304</v>
      </c>
      <c r="C137" s="544">
        <v>521101</v>
      </c>
      <c r="D137" s="545">
        <v>1253</v>
      </c>
      <c r="E137" s="544" t="s">
        <v>30</v>
      </c>
      <c r="F137" s="546">
        <v>2017</v>
      </c>
      <c r="G137" s="547">
        <v>42794</v>
      </c>
      <c r="H137" s="544" t="s">
        <v>1038</v>
      </c>
      <c r="I137" s="544" t="s">
        <v>1539</v>
      </c>
      <c r="J137" s="544" t="s">
        <v>724</v>
      </c>
      <c r="K137" s="544" t="s">
        <v>1679</v>
      </c>
      <c r="L137" s="544" t="s">
        <v>1801</v>
      </c>
      <c r="M137" s="548">
        <v>-367413.79</v>
      </c>
      <c r="N137" s="548">
        <v>0</v>
      </c>
      <c r="O137" s="548">
        <v>-58786.21</v>
      </c>
      <c r="P137" s="548">
        <v>-426200</v>
      </c>
      <c r="Q137" s="548"/>
      <c r="R137" s="548">
        <v>-325876.03000000003</v>
      </c>
      <c r="S137" s="549">
        <f t="shared" si="50"/>
        <v>-100323.96999999997</v>
      </c>
      <c r="T137" s="113" t="s">
        <v>1931</v>
      </c>
      <c r="U137" s="267"/>
      <c r="V137" s="93"/>
      <c r="W137" s="267"/>
      <c r="X137" s="267"/>
      <c r="Y137" s="93"/>
      <c r="Z137" s="618"/>
      <c r="AA137" s="424"/>
      <c r="AB137" s="472"/>
      <c r="AC137" s="424"/>
      <c r="AD137" s="425"/>
      <c r="AE137" s="424"/>
      <c r="AF137" s="424"/>
      <c r="AG137" s="396"/>
      <c r="AH137" s="361"/>
      <c r="AI137" s="313"/>
      <c r="AJ137" s="331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352"/>
      <c r="AU137" s="352"/>
    </row>
    <row r="138" spans="1:47" s="351" customFormat="1" ht="12.75" customHeight="1" x14ac:dyDescent="0.2">
      <c r="A138" s="423">
        <f t="shared" si="51"/>
        <v>137</v>
      </c>
      <c r="B138" s="543" t="s">
        <v>1421</v>
      </c>
      <c r="C138" s="544">
        <v>521502</v>
      </c>
      <c r="D138" s="545">
        <v>5611</v>
      </c>
      <c r="E138" s="544" t="s">
        <v>225</v>
      </c>
      <c r="F138" s="546">
        <v>2017</v>
      </c>
      <c r="G138" s="547">
        <v>42777</v>
      </c>
      <c r="H138" s="544" t="s">
        <v>774</v>
      </c>
      <c r="I138" s="544" t="s">
        <v>1612</v>
      </c>
      <c r="J138" s="544" t="s">
        <v>724</v>
      </c>
      <c r="K138" s="544" t="s">
        <v>1732</v>
      </c>
      <c r="L138" s="544" t="s">
        <v>1874</v>
      </c>
      <c r="M138" s="548">
        <v>379112.61</v>
      </c>
      <c r="N138" s="548">
        <v>17439.11</v>
      </c>
      <c r="O138" s="548">
        <v>63448.28</v>
      </c>
      <c r="P138" s="548">
        <v>460000</v>
      </c>
      <c r="Q138" s="548"/>
      <c r="R138" s="548">
        <v>335727.72</v>
      </c>
      <c r="S138" s="549">
        <f t="shared" si="50"/>
        <v>124272.28000000003</v>
      </c>
      <c r="T138" s="113" t="s">
        <v>1931</v>
      </c>
      <c r="U138" s="267"/>
      <c r="V138" s="93"/>
      <c r="W138" s="267"/>
      <c r="X138" s="267"/>
      <c r="Y138" s="93"/>
      <c r="Z138" s="618"/>
      <c r="AA138" s="424"/>
      <c r="AB138" s="472"/>
      <c r="AC138" s="424"/>
      <c r="AD138" s="425"/>
      <c r="AE138" s="424"/>
      <c r="AF138" s="424"/>
      <c r="AG138" s="396"/>
      <c r="AH138" s="361"/>
      <c r="AI138" s="313"/>
      <c r="AJ138" s="331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352"/>
      <c r="AU138" s="352"/>
    </row>
    <row r="139" spans="1:47" s="351" customFormat="1" ht="12.75" customHeight="1" x14ac:dyDescent="0.2">
      <c r="A139" s="423">
        <f t="shared" si="51"/>
        <v>138</v>
      </c>
      <c r="B139" s="543" t="s">
        <v>1422</v>
      </c>
      <c r="C139" s="544">
        <v>521502</v>
      </c>
      <c r="D139" s="545">
        <v>5611</v>
      </c>
      <c r="E139" s="544" t="s">
        <v>225</v>
      </c>
      <c r="F139" s="546">
        <v>2017</v>
      </c>
      <c r="G139" s="547">
        <v>42780</v>
      </c>
      <c r="H139" s="544" t="s">
        <v>774</v>
      </c>
      <c r="I139" s="544" t="s">
        <v>1612</v>
      </c>
      <c r="J139" s="544" t="s">
        <v>724</v>
      </c>
      <c r="K139" s="544" t="s">
        <v>1732</v>
      </c>
      <c r="L139" s="544" t="s">
        <v>1874</v>
      </c>
      <c r="M139" s="548">
        <v>-379112.61</v>
      </c>
      <c r="N139" s="548">
        <v>-17439.11</v>
      </c>
      <c r="O139" s="548">
        <v>-63448.28</v>
      </c>
      <c r="P139" s="548">
        <v>-460000</v>
      </c>
      <c r="Q139" s="548"/>
      <c r="R139" s="548">
        <v>-335727.72</v>
      </c>
      <c r="S139" s="549">
        <f t="shared" si="50"/>
        <v>-124272.28000000003</v>
      </c>
      <c r="T139" s="113" t="s">
        <v>1931</v>
      </c>
      <c r="AB139" s="641"/>
      <c r="AI139" s="313"/>
      <c r="AJ139" s="331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352"/>
      <c r="AU139" s="352"/>
    </row>
    <row r="140" spans="1:47" s="291" customFormat="1" ht="12.75" customHeight="1" x14ac:dyDescent="0.2">
      <c r="A140" s="423">
        <f t="shared" si="51"/>
        <v>139</v>
      </c>
      <c r="B140" s="543" t="s">
        <v>1425</v>
      </c>
      <c r="C140" s="544">
        <v>521502</v>
      </c>
      <c r="D140" s="545">
        <v>5611</v>
      </c>
      <c r="E140" s="544" t="s">
        <v>225</v>
      </c>
      <c r="F140" s="546">
        <v>2017</v>
      </c>
      <c r="G140" s="547">
        <v>42787</v>
      </c>
      <c r="H140" s="544" t="s">
        <v>747</v>
      </c>
      <c r="I140" s="544" t="s">
        <v>1614</v>
      </c>
      <c r="J140" s="544" t="s">
        <v>724</v>
      </c>
      <c r="K140" s="544" t="s">
        <v>1734</v>
      </c>
      <c r="L140" s="544" t="s">
        <v>1876</v>
      </c>
      <c r="M140" s="548">
        <v>379112.61</v>
      </c>
      <c r="N140" s="548">
        <v>17439.11</v>
      </c>
      <c r="O140" s="548">
        <v>63448.28</v>
      </c>
      <c r="P140" s="548">
        <v>460000</v>
      </c>
      <c r="Q140" s="548"/>
      <c r="R140" s="548">
        <v>335727.72</v>
      </c>
      <c r="S140" s="549">
        <f t="shared" si="50"/>
        <v>124272.28000000003</v>
      </c>
      <c r="T140" s="267" t="s">
        <v>1931</v>
      </c>
      <c r="AB140" s="642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x14ac:dyDescent="0.2">
      <c r="A141" s="423">
        <f t="shared" si="51"/>
        <v>140</v>
      </c>
      <c r="B141" s="543" t="s">
        <v>1430</v>
      </c>
      <c r="C141" s="544">
        <v>521502</v>
      </c>
      <c r="D141" s="545">
        <v>5611</v>
      </c>
      <c r="E141" s="544" t="s">
        <v>225</v>
      </c>
      <c r="F141" s="546">
        <v>2017</v>
      </c>
      <c r="G141" s="547">
        <v>42793</v>
      </c>
      <c r="H141" s="544" t="s">
        <v>747</v>
      </c>
      <c r="I141" s="544" t="s">
        <v>1614</v>
      </c>
      <c r="J141" s="544" t="s">
        <v>724</v>
      </c>
      <c r="K141" s="544" t="s">
        <v>1734</v>
      </c>
      <c r="L141" s="544" t="s">
        <v>1876</v>
      </c>
      <c r="M141" s="548">
        <v>-379112.61</v>
      </c>
      <c r="N141" s="548">
        <v>-17439.11</v>
      </c>
      <c r="O141" s="548">
        <v>-63448.28</v>
      </c>
      <c r="P141" s="548">
        <v>-460000</v>
      </c>
      <c r="Q141" s="548"/>
      <c r="R141" s="548">
        <v>-335727.72</v>
      </c>
      <c r="S141" s="549">
        <f t="shared" si="50"/>
        <v>-124272.28000000003</v>
      </c>
      <c r="T141" s="267" t="s">
        <v>1931</v>
      </c>
      <c r="AB141" s="642"/>
      <c r="AI141" s="313"/>
      <c r="AK141" s="296"/>
      <c r="AL141" s="374"/>
      <c r="AM141" s="374"/>
    </row>
    <row r="142" spans="1:47" s="291" customFormat="1" ht="12.75" customHeight="1" x14ac:dyDescent="0.2">
      <c r="A142" s="423">
        <f t="shared" si="51"/>
        <v>141</v>
      </c>
      <c r="B142" s="543" t="s">
        <v>1424</v>
      </c>
      <c r="C142" s="544">
        <v>521502</v>
      </c>
      <c r="D142" s="545">
        <v>5611</v>
      </c>
      <c r="E142" s="544" t="s">
        <v>225</v>
      </c>
      <c r="F142" s="546">
        <v>2017</v>
      </c>
      <c r="G142" s="547">
        <v>42784</v>
      </c>
      <c r="H142" s="544" t="s">
        <v>819</v>
      </c>
      <c r="I142" s="544" t="s">
        <v>1613</v>
      </c>
      <c r="J142" s="544" t="s">
        <v>724</v>
      </c>
      <c r="K142" s="544" t="s">
        <v>1733</v>
      </c>
      <c r="L142" s="544" t="s">
        <v>1875</v>
      </c>
      <c r="M142" s="548">
        <v>379112.61</v>
      </c>
      <c r="N142" s="548">
        <v>17439.11</v>
      </c>
      <c r="O142" s="548">
        <v>63448.28</v>
      </c>
      <c r="P142" s="548">
        <v>460000</v>
      </c>
      <c r="Q142" s="548"/>
      <c r="R142" s="548">
        <v>335727.72</v>
      </c>
      <c r="S142" s="549">
        <f t="shared" si="50"/>
        <v>124272.28000000003</v>
      </c>
      <c r="T142" s="113" t="s">
        <v>1931</v>
      </c>
      <c r="AB142" s="642"/>
      <c r="AI142" s="313"/>
      <c r="AK142" s="296"/>
      <c r="AL142" s="374"/>
      <c r="AM142" s="374"/>
    </row>
    <row r="143" spans="1:47" s="291" customFormat="1" ht="12.75" customHeight="1" x14ac:dyDescent="0.2">
      <c r="A143" s="423">
        <f>+A95+1</f>
        <v>93</v>
      </c>
      <c r="B143" s="543" t="s">
        <v>1427</v>
      </c>
      <c r="C143" s="544">
        <v>521502</v>
      </c>
      <c r="D143" s="545">
        <v>5611</v>
      </c>
      <c r="E143" s="544" t="s">
        <v>225</v>
      </c>
      <c r="F143" s="546">
        <v>2017</v>
      </c>
      <c r="G143" s="547">
        <v>42789</v>
      </c>
      <c r="H143" s="544" t="s">
        <v>819</v>
      </c>
      <c r="I143" s="544" t="s">
        <v>1613</v>
      </c>
      <c r="J143" s="544" t="s">
        <v>724</v>
      </c>
      <c r="K143" s="544" t="s">
        <v>1733</v>
      </c>
      <c r="L143" s="544" t="s">
        <v>1875</v>
      </c>
      <c r="M143" s="548">
        <v>-379112.61</v>
      </c>
      <c r="N143" s="548">
        <v>-17439.11</v>
      </c>
      <c r="O143" s="548">
        <v>-63448.28</v>
      </c>
      <c r="P143" s="548">
        <v>-460000</v>
      </c>
      <c r="Q143" s="548"/>
      <c r="R143" s="548">
        <v>-335727.72</v>
      </c>
      <c r="S143" s="549">
        <f t="shared" si="50"/>
        <v>-124272.28000000003</v>
      </c>
      <c r="T143" s="113" t="s">
        <v>1931</v>
      </c>
      <c r="AB143" s="642"/>
      <c r="AI143" s="313"/>
      <c r="AJ143" s="374"/>
      <c r="AK143" s="374"/>
      <c r="AL143" s="374"/>
      <c r="AM143" s="374"/>
    </row>
    <row r="144" spans="1:47" s="348" customFormat="1" ht="12.75" customHeight="1" x14ac:dyDescent="0.2">
      <c r="A144" s="423">
        <f>+A98+1</f>
        <v>97</v>
      </c>
      <c r="B144" s="543" t="s">
        <v>1431</v>
      </c>
      <c r="C144" s="544">
        <v>521502</v>
      </c>
      <c r="D144" s="545">
        <v>5611</v>
      </c>
      <c r="E144" s="544" t="s">
        <v>225</v>
      </c>
      <c r="F144" s="546">
        <v>2017</v>
      </c>
      <c r="G144" s="547">
        <v>42793</v>
      </c>
      <c r="H144" s="544" t="s">
        <v>747</v>
      </c>
      <c r="I144" s="544" t="s">
        <v>1617</v>
      </c>
      <c r="J144" s="544" t="s">
        <v>724</v>
      </c>
      <c r="K144" s="544" t="s">
        <v>1734</v>
      </c>
      <c r="L144" s="544" t="s">
        <v>1879</v>
      </c>
      <c r="M144" s="548">
        <v>379112.61</v>
      </c>
      <c r="N144" s="548">
        <v>17439.11</v>
      </c>
      <c r="O144" s="548">
        <v>63448.28</v>
      </c>
      <c r="P144" s="548">
        <v>460000</v>
      </c>
      <c r="Q144" s="548"/>
      <c r="R144" s="548">
        <v>335727.72</v>
      </c>
      <c r="S144" s="549">
        <f t="shared" si="50"/>
        <v>124272.28000000003</v>
      </c>
      <c r="T144" s="113" t="s">
        <v>1931</v>
      </c>
      <c r="AB144" s="647"/>
      <c r="AI144" s="363"/>
      <c r="AJ144" s="330"/>
      <c r="AK144" s="330"/>
      <c r="AL144" s="330"/>
      <c r="AM144" s="330"/>
    </row>
    <row r="145" spans="1:45" s="351" customFormat="1" x14ac:dyDescent="0.2">
      <c r="A145" s="423">
        <f>+A142+1</f>
        <v>142</v>
      </c>
      <c r="B145" s="543" t="s">
        <v>1432</v>
      </c>
      <c r="C145" s="544">
        <v>521502</v>
      </c>
      <c r="D145" s="545">
        <v>5611</v>
      </c>
      <c r="E145" s="544" t="s">
        <v>225</v>
      </c>
      <c r="F145" s="546">
        <v>2017</v>
      </c>
      <c r="G145" s="547">
        <v>42794</v>
      </c>
      <c r="H145" s="544" t="s">
        <v>747</v>
      </c>
      <c r="I145" s="544" t="s">
        <v>1617</v>
      </c>
      <c r="J145" s="544" t="s">
        <v>724</v>
      </c>
      <c r="K145" s="544" t="s">
        <v>1734</v>
      </c>
      <c r="L145" s="544" t="s">
        <v>1879</v>
      </c>
      <c r="M145" s="548">
        <v>-379112.61</v>
      </c>
      <c r="N145" s="548">
        <v>-17439.11</v>
      </c>
      <c r="O145" s="548">
        <v>-63448.28</v>
      </c>
      <c r="P145" s="548">
        <v>-460000</v>
      </c>
      <c r="Q145" s="548"/>
      <c r="R145" s="548">
        <v>-335727.72</v>
      </c>
      <c r="S145" s="549">
        <f t="shared" si="50"/>
        <v>-124272.28000000003</v>
      </c>
      <c r="T145" s="113" t="s">
        <v>1931</v>
      </c>
      <c r="AB145" s="641"/>
      <c r="AI145" s="313"/>
      <c r="AJ145" s="374"/>
      <c r="AK145" s="374"/>
      <c r="AL145" s="374"/>
      <c r="AM145" s="374"/>
      <c r="AN145" s="291"/>
      <c r="AO145" s="291"/>
      <c r="AP145" s="291"/>
      <c r="AQ145" s="291"/>
      <c r="AR145" s="291"/>
      <c r="AS145" s="291"/>
    </row>
    <row r="146" spans="1:45" s="348" customFormat="1" x14ac:dyDescent="0.2">
      <c r="A146" s="423">
        <f t="shared" si="51"/>
        <v>143</v>
      </c>
      <c r="B146" s="543" t="s">
        <v>1376</v>
      </c>
      <c r="C146" s="544">
        <v>521801</v>
      </c>
      <c r="D146" s="545">
        <v>2201</v>
      </c>
      <c r="E146" s="544" t="s">
        <v>704</v>
      </c>
      <c r="F146" s="546">
        <v>2017</v>
      </c>
      <c r="G146" s="547">
        <v>42794</v>
      </c>
      <c r="H146" s="544" t="s">
        <v>760</v>
      </c>
      <c r="I146" s="544" t="s">
        <v>1583</v>
      </c>
      <c r="J146" s="544" t="s">
        <v>724</v>
      </c>
      <c r="K146" s="544" t="s">
        <v>1712</v>
      </c>
      <c r="L146" s="544" t="s">
        <v>1845</v>
      </c>
      <c r="M146" s="548">
        <v>-197586.21</v>
      </c>
      <c r="N146" s="548">
        <v>0</v>
      </c>
      <c r="O146" s="548">
        <v>-31613.79</v>
      </c>
      <c r="P146" s="548">
        <v>-229200</v>
      </c>
      <c r="Q146" s="548"/>
      <c r="R146" s="548">
        <v>-179255.09</v>
      </c>
      <c r="S146" s="549">
        <f t="shared" si="50"/>
        <v>-49944.91</v>
      </c>
      <c r="T146" s="113" t="s">
        <v>1931</v>
      </c>
      <c r="AB146" s="647"/>
      <c r="AI146" s="313"/>
      <c r="AJ146" s="331"/>
      <c r="AK146" s="330"/>
      <c r="AL146" s="330"/>
      <c r="AM146" s="330"/>
    </row>
    <row r="147" spans="1:45" s="291" customFormat="1" x14ac:dyDescent="0.2">
      <c r="A147" s="423">
        <f t="shared" si="51"/>
        <v>144</v>
      </c>
      <c r="B147" s="543" t="s">
        <v>1377</v>
      </c>
      <c r="C147" s="544">
        <v>521801</v>
      </c>
      <c r="D147" s="545">
        <v>2201</v>
      </c>
      <c r="E147" s="544" t="s">
        <v>704</v>
      </c>
      <c r="F147" s="546">
        <v>2017</v>
      </c>
      <c r="G147" s="547">
        <v>42794</v>
      </c>
      <c r="H147" s="544" t="s">
        <v>760</v>
      </c>
      <c r="I147" s="544" t="s">
        <v>1583</v>
      </c>
      <c r="J147" s="544" t="s">
        <v>724</v>
      </c>
      <c r="K147" s="544" t="s">
        <v>1712</v>
      </c>
      <c r="L147" s="544" t="s">
        <v>1845</v>
      </c>
      <c r="M147" s="548">
        <v>197586.21</v>
      </c>
      <c r="N147" s="548">
        <v>0</v>
      </c>
      <c r="O147" s="548">
        <v>31613.79</v>
      </c>
      <c r="P147" s="548">
        <v>229200</v>
      </c>
      <c r="Q147" s="548"/>
      <c r="R147" s="548">
        <v>179255.09</v>
      </c>
      <c r="S147" s="549">
        <f t="shared" si="50"/>
        <v>49944.91</v>
      </c>
      <c r="T147" s="267" t="s">
        <v>1931</v>
      </c>
      <c r="AB147" s="642"/>
      <c r="AI147" s="313"/>
      <c r="AJ147" s="331"/>
      <c r="AK147" s="374"/>
      <c r="AL147" s="374"/>
      <c r="AM147" s="374"/>
    </row>
    <row r="148" spans="1:45" s="351" customFormat="1" x14ac:dyDescent="0.2">
      <c r="A148" s="423">
        <f t="shared" si="51"/>
        <v>145</v>
      </c>
      <c r="B148" s="543" t="s">
        <v>1383</v>
      </c>
      <c r="C148" s="544">
        <v>521802</v>
      </c>
      <c r="D148" s="545">
        <v>2204</v>
      </c>
      <c r="E148" s="544" t="s">
        <v>705</v>
      </c>
      <c r="F148" s="546">
        <v>2017</v>
      </c>
      <c r="G148" s="547">
        <v>42773</v>
      </c>
      <c r="H148" s="544" t="s">
        <v>764</v>
      </c>
      <c r="I148" s="544" t="s">
        <v>1588</v>
      </c>
      <c r="J148" s="544" t="s">
        <v>724</v>
      </c>
      <c r="K148" s="544" t="s">
        <v>1681</v>
      </c>
      <c r="L148" s="544" t="s">
        <v>1850</v>
      </c>
      <c r="M148" s="548">
        <v>226206.9</v>
      </c>
      <c r="N148" s="548">
        <v>0</v>
      </c>
      <c r="O148" s="548">
        <v>36193.1</v>
      </c>
      <c r="P148" s="548">
        <v>262400</v>
      </c>
      <c r="Q148" s="548"/>
      <c r="R148" s="548">
        <v>205013.71</v>
      </c>
      <c r="S148" s="549">
        <f t="shared" si="50"/>
        <v>57386.290000000008</v>
      </c>
      <c r="T148" s="113" t="s">
        <v>1931</v>
      </c>
      <c r="AB148" s="641"/>
      <c r="AI148" s="313"/>
      <c r="AJ148" s="330"/>
      <c r="AK148" s="374"/>
      <c r="AL148" s="374"/>
      <c r="AM148" s="374"/>
      <c r="AN148" s="291"/>
      <c r="AO148" s="291"/>
      <c r="AP148" s="291"/>
      <c r="AQ148" s="291"/>
      <c r="AR148" s="291"/>
      <c r="AS148" s="291"/>
    </row>
    <row r="149" spans="1:45" s="348" customFormat="1" x14ac:dyDescent="0.2">
      <c r="A149" s="423">
        <f t="shared" si="51"/>
        <v>146</v>
      </c>
      <c r="B149" s="543" t="s">
        <v>1385</v>
      </c>
      <c r="C149" s="544">
        <v>521802</v>
      </c>
      <c r="D149" s="545">
        <v>2204</v>
      </c>
      <c r="E149" s="544" t="s">
        <v>705</v>
      </c>
      <c r="F149" s="546">
        <v>2017</v>
      </c>
      <c r="G149" s="547">
        <v>42783</v>
      </c>
      <c r="H149" s="544" t="s">
        <v>764</v>
      </c>
      <c r="I149" s="544" t="s">
        <v>1588</v>
      </c>
      <c r="J149" s="544" t="s">
        <v>724</v>
      </c>
      <c r="K149" s="544" t="s">
        <v>1681</v>
      </c>
      <c r="L149" s="544" t="s">
        <v>1850</v>
      </c>
      <c r="M149" s="548">
        <v>-226206.9</v>
      </c>
      <c r="N149" s="548">
        <v>0</v>
      </c>
      <c r="O149" s="548">
        <v>-36193.1</v>
      </c>
      <c r="P149" s="548">
        <v>-262400</v>
      </c>
      <c r="Q149" s="548"/>
      <c r="R149" s="548">
        <v>-205013.71</v>
      </c>
      <c r="S149" s="549">
        <f t="shared" si="50"/>
        <v>-57386.290000000008</v>
      </c>
      <c r="T149" s="113" t="s">
        <v>1931</v>
      </c>
      <c r="AB149" s="647"/>
      <c r="AI149" s="313"/>
      <c r="AJ149" s="374"/>
      <c r="AK149" s="330"/>
      <c r="AL149" s="330"/>
      <c r="AM149" s="330"/>
    </row>
    <row r="150" spans="1:45" s="291" customFormat="1" x14ac:dyDescent="0.2">
      <c r="A150" s="423">
        <f t="shared" si="51"/>
        <v>147</v>
      </c>
      <c r="B150" s="543" t="s">
        <v>1439</v>
      </c>
      <c r="C150" s="544">
        <v>1520104</v>
      </c>
      <c r="D150" s="545">
        <v>7493</v>
      </c>
      <c r="E150" s="544" t="s">
        <v>711</v>
      </c>
      <c r="F150" s="546">
        <v>2017</v>
      </c>
      <c r="G150" s="547">
        <v>42767</v>
      </c>
      <c r="H150" s="544" t="s">
        <v>727</v>
      </c>
      <c r="I150" s="544" t="s">
        <v>996</v>
      </c>
      <c r="J150" s="544" t="s">
        <v>724</v>
      </c>
      <c r="K150" s="544" t="s">
        <v>997</v>
      </c>
      <c r="L150" s="544" t="s">
        <v>998</v>
      </c>
      <c r="M150" s="548">
        <v>-238095.24</v>
      </c>
      <c r="N150" s="548">
        <v>-11904.76</v>
      </c>
      <c r="O150" s="548">
        <v>-40000</v>
      </c>
      <c r="P150" s="548">
        <v>-290000</v>
      </c>
      <c r="Q150" s="548"/>
      <c r="R150" s="548">
        <v>-214341.95</v>
      </c>
      <c r="S150" s="549">
        <f t="shared" si="50"/>
        <v>-75658.049999999988</v>
      </c>
      <c r="T150" s="267" t="s">
        <v>1931</v>
      </c>
      <c r="AB150" s="642"/>
      <c r="AI150" s="313"/>
      <c r="AJ150" s="331"/>
      <c r="AK150" s="374"/>
      <c r="AL150" s="374"/>
      <c r="AM150" s="374"/>
    </row>
    <row r="151" spans="1:45" s="291" customFormat="1" x14ac:dyDescent="0.2">
      <c r="A151" s="423">
        <f t="shared" si="51"/>
        <v>148</v>
      </c>
      <c r="B151" s="543" t="s">
        <v>1440</v>
      </c>
      <c r="C151" s="544">
        <v>1520104</v>
      </c>
      <c r="D151" s="545">
        <v>7493</v>
      </c>
      <c r="E151" s="544" t="s">
        <v>711</v>
      </c>
      <c r="F151" s="546">
        <v>2017</v>
      </c>
      <c r="G151" s="547">
        <v>42779</v>
      </c>
      <c r="H151" s="544" t="s">
        <v>908</v>
      </c>
      <c r="I151" s="544" t="s">
        <v>996</v>
      </c>
      <c r="J151" s="544" t="s">
        <v>724</v>
      </c>
      <c r="K151" s="544" t="s">
        <v>1741</v>
      </c>
      <c r="L151" s="544" t="s">
        <v>998</v>
      </c>
      <c r="M151" s="548">
        <v>238095.24</v>
      </c>
      <c r="N151" s="548">
        <v>11904.76</v>
      </c>
      <c r="O151" s="548">
        <v>40000</v>
      </c>
      <c r="P151" s="548">
        <v>290000</v>
      </c>
      <c r="Q151" s="548"/>
      <c r="R151" s="548">
        <v>214341.95</v>
      </c>
      <c r="S151" s="549">
        <f t="shared" si="50"/>
        <v>75658.049999999988</v>
      </c>
      <c r="T151" s="267" t="s">
        <v>1931</v>
      </c>
      <c r="AB151" s="642"/>
      <c r="AI151" s="313"/>
      <c r="AJ151" s="374"/>
      <c r="AK151" s="374"/>
      <c r="AL151" s="374"/>
      <c r="AM151" s="374"/>
    </row>
    <row r="152" spans="1:45" s="348" customFormat="1" x14ac:dyDescent="0.2">
      <c r="A152" s="423">
        <f t="shared" si="51"/>
        <v>149</v>
      </c>
      <c r="B152" s="543" t="s">
        <v>1446</v>
      </c>
      <c r="C152" s="544">
        <v>1520105</v>
      </c>
      <c r="D152" s="545">
        <v>7494</v>
      </c>
      <c r="E152" s="544" t="s">
        <v>712</v>
      </c>
      <c r="F152" s="546">
        <v>2017</v>
      </c>
      <c r="G152" s="547">
        <v>42788</v>
      </c>
      <c r="H152" s="544" t="s">
        <v>751</v>
      </c>
      <c r="I152" s="544" t="s">
        <v>1626</v>
      </c>
      <c r="J152" s="544" t="s">
        <v>724</v>
      </c>
      <c r="K152" s="544" t="s">
        <v>830</v>
      </c>
      <c r="L152" s="544" t="s">
        <v>1888</v>
      </c>
      <c r="M152" s="548">
        <v>-223809.52</v>
      </c>
      <c r="N152" s="548">
        <v>-11190.48</v>
      </c>
      <c r="O152" s="548">
        <v>-37600</v>
      </c>
      <c r="P152" s="548">
        <v>-272600</v>
      </c>
      <c r="Q152" s="548"/>
      <c r="R152" s="548">
        <v>-205183</v>
      </c>
      <c r="S152" s="549">
        <f t="shared" si="50"/>
        <v>-67417</v>
      </c>
      <c r="T152" s="267" t="s">
        <v>1931</v>
      </c>
      <c r="AB152" s="647"/>
      <c r="AI152" s="313"/>
      <c r="AJ152" s="331"/>
      <c r="AK152" s="374"/>
      <c r="AL152" s="374"/>
      <c r="AM152" s="374"/>
      <c r="AN152" s="291"/>
      <c r="AO152" s="291"/>
      <c r="AP152" s="291"/>
      <c r="AQ152" s="291"/>
      <c r="AR152" s="291"/>
      <c r="AS152" s="291"/>
    </row>
    <row r="153" spans="1:45" s="348" customFormat="1" x14ac:dyDescent="0.2">
      <c r="A153" s="423">
        <f t="shared" si="51"/>
        <v>150</v>
      </c>
      <c r="B153" s="543" t="s">
        <v>1447</v>
      </c>
      <c r="C153" s="544">
        <v>1520105</v>
      </c>
      <c r="D153" s="545">
        <v>7494</v>
      </c>
      <c r="E153" s="544" t="s">
        <v>712</v>
      </c>
      <c r="F153" s="546">
        <v>2017</v>
      </c>
      <c r="G153" s="547">
        <v>42788</v>
      </c>
      <c r="H153" s="544" t="s">
        <v>751</v>
      </c>
      <c r="I153" s="544" t="s">
        <v>1626</v>
      </c>
      <c r="J153" s="544" t="s">
        <v>724</v>
      </c>
      <c r="K153" s="544" t="s">
        <v>830</v>
      </c>
      <c r="L153" s="544" t="s">
        <v>1888</v>
      </c>
      <c r="M153" s="548">
        <v>223809.52</v>
      </c>
      <c r="N153" s="548">
        <v>11190.48</v>
      </c>
      <c r="O153" s="548">
        <v>37600</v>
      </c>
      <c r="P153" s="548">
        <v>272600</v>
      </c>
      <c r="Q153" s="548"/>
      <c r="R153" s="548">
        <v>205183</v>
      </c>
      <c r="S153" s="549">
        <f t="shared" si="50"/>
        <v>67417</v>
      </c>
      <c r="T153" s="113" t="s">
        <v>1931</v>
      </c>
      <c r="AB153" s="647"/>
      <c r="AI153" s="313"/>
      <c r="AJ153" s="374"/>
      <c r="AK153" s="330"/>
      <c r="AL153" s="330"/>
      <c r="AM153" s="330"/>
    </row>
    <row r="154" spans="1:45" s="348" customFormat="1" x14ac:dyDescent="0.2">
      <c r="A154" s="423">
        <f t="shared" si="51"/>
        <v>151</v>
      </c>
      <c r="B154" s="543" t="s">
        <v>1476</v>
      </c>
      <c r="C154" s="544">
        <v>1520603</v>
      </c>
      <c r="D154" s="545">
        <v>7497</v>
      </c>
      <c r="E154" s="544" t="s">
        <v>717</v>
      </c>
      <c r="F154" s="546">
        <v>2017</v>
      </c>
      <c r="G154" s="547">
        <v>42768</v>
      </c>
      <c r="H154" s="544" t="s">
        <v>847</v>
      </c>
      <c r="I154" s="544" t="s">
        <v>1048</v>
      </c>
      <c r="J154" s="544" t="s">
        <v>724</v>
      </c>
      <c r="K154" s="544" t="s">
        <v>1049</v>
      </c>
      <c r="L154" s="544" t="s">
        <v>1050</v>
      </c>
      <c r="M154" s="548">
        <v>-272988.5</v>
      </c>
      <c r="N154" s="548">
        <v>-13649.43</v>
      </c>
      <c r="O154" s="548">
        <v>-45862.07</v>
      </c>
      <c r="P154" s="548">
        <v>-332500</v>
      </c>
      <c r="Q154" s="548"/>
      <c r="R154" s="548">
        <v>-247285.57</v>
      </c>
      <c r="S154" s="549">
        <f t="shared" si="50"/>
        <v>-85214.43</v>
      </c>
      <c r="T154" s="267" t="s">
        <v>1931</v>
      </c>
      <c r="U154" s="360"/>
      <c r="V154" s="360"/>
      <c r="W154" s="358"/>
      <c r="X154" s="331"/>
      <c r="Y154" s="360"/>
      <c r="Z154" s="334"/>
      <c r="AA154" s="334"/>
      <c r="AB154" s="648"/>
      <c r="AC154" s="349"/>
      <c r="AD154" s="335"/>
      <c r="AE154" s="349"/>
      <c r="AF154" s="349"/>
      <c r="AG154" s="349"/>
      <c r="AH154" s="313"/>
      <c r="AI154" s="313"/>
      <c r="AJ154" s="374"/>
      <c r="AK154" s="330"/>
      <c r="AL154" s="330"/>
      <c r="AM154" s="330"/>
    </row>
    <row r="155" spans="1:45" s="348" customFormat="1" x14ac:dyDescent="0.2">
      <c r="A155" s="423">
        <f t="shared" si="51"/>
        <v>152</v>
      </c>
      <c r="B155" s="543" t="s">
        <v>1477</v>
      </c>
      <c r="C155" s="544">
        <v>1520603</v>
      </c>
      <c r="D155" s="545">
        <v>7497</v>
      </c>
      <c r="E155" s="544" t="s">
        <v>717</v>
      </c>
      <c r="F155" s="546">
        <v>2017</v>
      </c>
      <c r="G155" s="547">
        <v>42768</v>
      </c>
      <c r="H155" s="544" t="s">
        <v>847</v>
      </c>
      <c r="I155" s="544" t="s">
        <v>1048</v>
      </c>
      <c r="J155" s="544" t="s">
        <v>724</v>
      </c>
      <c r="K155" s="544" t="s">
        <v>1763</v>
      </c>
      <c r="L155" s="544" t="s">
        <v>1050</v>
      </c>
      <c r="M155" s="548">
        <v>272988.5</v>
      </c>
      <c r="N155" s="548">
        <v>13649.43</v>
      </c>
      <c r="O155" s="548">
        <v>45862.07</v>
      </c>
      <c r="P155" s="548">
        <v>332500</v>
      </c>
      <c r="Q155" s="548"/>
      <c r="R155" s="548">
        <v>247285.57</v>
      </c>
      <c r="S155" s="549">
        <f t="shared" si="50"/>
        <v>85214.43</v>
      </c>
      <c r="T155" s="267" t="s">
        <v>1931</v>
      </c>
      <c r="U155" s="370"/>
      <c r="V155" s="370"/>
      <c r="W155" s="375"/>
      <c r="X155" s="374"/>
      <c r="Y155" s="370"/>
      <c r="Z155" s="371"/>
      <c r="AA155" s="371"/>
      <c r="AB155" s="649"/>
      <c r="AC155" s="270"/>
      <c r="AD155" s="372"/>
      <c r="AE155" s="270"/>
      <c r="AF155" s="270"/>
      <c r="AG155" s="270"/>
      <c r="AH155" s="313"/>
      <c r="AI155" s="313"/>
      <c r="AJ155" s="374"/>
      <c r="AK155" s="330"/>
      <c r="AL155" s="330"/>
      <c r="AM155" s="330"/>
    </row>
    <row r="156" spans="1:45" s="353" customFormat="1" x14ac:dyDescent="0.2">
      <c r="A156" s="423">
        <f t="shared" si="51"/>
        <v>153</v>
      </c>
      <c r="B156" s="543" t="s">
        <v>1457</v>
      </c>
      <c r="C156" s="544">
        <v>1520604</v>
      </c>
      <c r="D156" s="545">
        <v>7495</v>
      </c>
      <c r="E156" s="544" t="s">
        <v>718</v>
      </c>
      <c r="F156" s="546">
        <v>2017</v>
      </c>
      <c r="G156" s="547">
        <v>42774</v>
      </c>
      <c r="H156" s="544" t="s">
        <v>747</v>
      </c>
      <c r="I156" s="544" t="s">
        <v>1631</v>
      </c>
      <c r="J156" s="544" t="s">
        <v>724</v>
      </c>
      <c r="K156" s="544" t="s">
        <v>1749</v>
      </c>
      <c r="L156" s="544" t="s">
        <v>1893</v>
      </c>
      <c r="M156" s="548">
        <v>-282019.7</v>
      </c>
      <c r="N156" s="548">
        <v>-14100.99</v>
      </c>
      <c r="O156" s="548">
        <v>-47379.31</v>
      </c>
      <c r="P156" s="548">
        <v>-343500</v>
      </c>
      <c r="Q156" s="548"/>
      <c r="R156" s="548">
        <v>-255426.86</v>
      </c>
      <c r="S156" s="549">
        <f t="shared" si="50"/>
        <v>-88073.140000000014</v>
      </c>
      <c r="T156" s="113" t="s">
        <v>1931</v>
      </c>
      <c r="U156" s="370"/>
      <c r="V156" s="370"/>
      <c r="W156" s="375"/>
      <c r="X156" s="374"/>
      <c r="Y156" s="370"/>
      <c r="Z156" s="371"/>
      <c r="AA156" s="371"/>
      <c r="AB156" s="649"/>
      <c r="AC156" s="270"/>
      <c r="AD156" s="372"/>
      <c r="AE156" s="270"/>
      <c r="AF156" s="270"/>
      <c r="AG156" s="270"/>
      <c r="AH156" s="313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</row>
    <row r="157" spans="1:45" s="291" customFormat="1" x14ac:dyDescent="0.2">
      <c r="A157" s="423">
        <f t="shared" si="51"/>
        <v>154</v>
      </c>
      <c r="B157" s="543" t="s">
        <v>1458</v>
      </c>
      <c r="C157" s="544">
        <v>1520604</v>
      </c>
      <c r="D157" s="545">
        <v>7495</v>
      </c>
      <c r="E157" s="544" t="s">
        <v>718</v>
      </c>
      <c r="F157" s="546">
        <v>2017</v>
      </c>
      <c r="G157" s="547">
        <v>42774</v>
      </c>
      <c r="H157" s="544" t="s">
        <v>747</v>
      </c>
      <c r="I157" s="544" t="s">
        <v>1631</v>
      </c>
      <c r="J157" s="544" t="s">
        <v>724</v>
      </c>
      <c r="K157" s="544" t="s">
        <v>1749</v>
      </c>
      <c r="L157" s="544" t="s">
        <v>1893</v>
      </c>
      <c r="M157" s="548">
        <v>282019.7</v>
      </c>
      <c r="N157" s="548">
        <v>14100.99</v>
      </c>
      <c r="O157" s="548">
        <v>47379.31</v>
      </c>
      <c r="P157" s="548">
        <v>343500</v>
      </c>
      <c r="Q157" s="548"/>
      <c r="R157" s="548">
        <v>255426.86</v>
      </c>
      <c r="S157" s="549">
        <f t="shared" si="50"/>
        <v>88073.140000000014</v>
      </c>
      <c r="T157" s="113" t="s">
        <v>1931</v>
      </c>
      <c r="U157" s="354"/>
      <c r="V157" s="354"/>
      <c r="W157" s="355"/>
      <c r="X157" s="330"/>
      <c r="Y157" s="354"/>
      <c r="Z157" s="328"/>
      <c r="AA157" s="328"/>
      <c r="AB157" s="650"/>
      <c r="AC157" s="346"/>
      <c r="AD157" s="333"/>
      <c r="AE157" s="346"/>
      <c r="AF157" s="346"/>
      <c r="AG157" s="346"/>
      <c r="AH157" s="313"/>
      <c r="AI157" s="313"/>
      <c r="AJ157" s="374"/>
      <c r="AK157" s="374"/>
      <c r="AL157" s="374"/>
      <c r="AM157" s="374"/>
    </row>
    <row r="158" spans="1:45" s="291" customFormat="1" x14ac:dyDescent="0.2">
      <c r="A158" s="423">
        <f>+A65+1</f>
        <v>61</v>
      </c>
      <c r="B158" s="543" t="s">
        <v>1478</v>
      </c>
      <c r="C158" s="544">
        <v>1520603</v>
      </c>
      <c r="D158" s="545">
        <v>7497</v>
      </c>
      <c r="E158" s="544" t="s">
        <v>717</v>
      </c>
      <c r="F158" s="546">
        <v>2017</v>
      </c>
      <c r="G158" s="547">
        <v>42788</v>
      </c>
      <c r="H158" s="544" t="s">
        <v>792</v>
      </c>
      <c r="I158" s="544" t="s">
        <v>1646</v>
      </c>
      <c r="J158" s="544" t="s">
        <v>724</v>
      </c>
      <c r="K158" s="544" t="s">
        <v>1746</v>
      </c>
      <c r="L158" s="544" t="s">
        <v>1908</v>
      </c>
      <c r="M158" s="548">
        <v>-272988.5</v>
      </c>
      <c r="N158" s="548">
        <v>-13649.43</v>
      </c>
      <c r="O158" s="548">
        <v>-45862.07</v>
      </c>
      <c r="P158" s="548">
        <v>-332500</v>
      </c>
      <c r="Q158" s="548"/>
      <c r="R158" s="548">
        <v>-247329.71</v>
      </c>
      <c r="S158" s="549">
        <f t="shared" si="50"/>
        <v>-85170.290000000008</v>
      </c>
      <c r="T158" s="113" t="s">
        <v>1931</v>
      </c>
      <c r="U158" s="360"/>
      <c r="V158" s="360"/>
      <c r="W158" s="358"/>
      <c r="X158" s="331"/>
      <c r="Y158" s="360"/>
      <c r="Z158" s="334"/>
      <c r="AA158" s="334"/>
      <c r="AB158" s="648"/>
      <c r="AC158" s="349"/>
      <c r="AD158" s="335"/>
      <c r="AE158" s="349"/>
      <c r="AF158" s="349"/>
      <c r="AG158" s="349"/>
      <c r="AH158" s="313"/>
      <c r="AI158" s="313"/>
      <c r="AJ158" s="374"/>
      <c r="AK158" s="374"/>
      <c r="AL158" s="374"/>
      <c r="AM158" s="374"/>
    </row>
    <row r="159" spans="1:45" s="291" customFormat="1" x14ac:dyDescent="0.2">
      <c r="A159" s="423">
        <f>+A158+1</f>
        <v>62</v>
      </c>
      <c r="B159" s="543" t="s">
        <v>1479</v>
      </c>
      <c r="C159" s="544">
        <v>1520603</v>
      </c>
      <c r="D159" s="545">
        <v>7497</v>
      </c>
      <c r="E159" s="544" t="s">
        <v>717</v>
      </c>
      <c r="F159" s="546">
        <v>2017</v>
      </c>
      <c r="G159" s="547">
        <v>42788</v>
      </c>
      <c r="H159" s="544" t="s">
        <v>792</v>
      </c>
      <c r="I159" s="544" t="s">
        <v>1646</v>
      </c>
      <c r="J159" s="544" t="s">
        <v>724</v>
      </c>
      <c r="K159" s="544" t="s">
        <v>1746</v>
      </c>
      <c r="L159" s="544" t="s">
        <v>1908</v>
      </c>
      <c r="M159" s="548">
        <v>272988.5</v>
      </c>
      <c r="N159" s="548">
        <v>13649.43</v>
      </c>
      <c r="O159" s="548">
        <v>45862.07</v>
      </c>
      <c r="P159" s="548">
        <v>332500</v>
      </c>
      <c r="Q159" s="548"/>
      <c r="R159" s="548">
        <v>247329.71</v>
      </c>
      <c r="S159" s="549">
        <f t="shared" si="50"/>
        <v>85170.290000000008</v>
      </c>
      <c r="T159" s="267" t="s">
        <v>1931</v>
      </c>
      <c r="U159" s="360"/>
      <c r="V159" s="360"/>
      <c r="W159" s="358"/>
      <c r="X159" s="331"/>
      <c r="Y159" s="360"/>
      <c r="Z159" s="334"/>
      <c r="AA159" s="334"/>
      <c r="AB159" s="648"/>
      <c r="AC159" s="349"/>
      <c r="AD159" s="335"/>
      <c r="AE159" s="349"/>
      <c r="AF159" s="349"/>
      <c r="AG159" s="349"/>
      <c r="AH159" s="363"/>
      <c r="AI159" s="363"/>
      <c r="AJ159" s="374"/>
      <c r="AK159" s="374"/>
      <c r="AL159" s="374"/>
      <c r="AM159" s="374"/>
    </row>
    <row r="160" spans="1:45" s="348" customFormat="1" x14ac:dyDescent="0.2">
      <c r="A160" s="423">
        <f>+A157+1</f>
        <v>155</v>
      </c>
      <c r="B160" s="543" t="s">
        <v>1453</v>
      </c>
      <c r="C160" s="544">
        <v>1520604</v>
      </c>
      <c r="D160" s="545">
        <v>7495</v>
      </c>
      <c r="E160" s="544" t="s">
        <v>718</v>
      </c>
      <c r="F160" s="546">
        <v>2017</v>
      </c>
      <c r="G160" s="547">
        <v>42768</v>
      </c>
      <c r="H160" s="544" t="s">
        <v>847</v>
      </c>
      <c r="I160" s="544" t="s">
        <v>1629</v>
      </c>
      <c r="J160" s="544" t="s">
        <v>724</v>
      </c>
      <c r="K160" s="544" t="s">
        <v>1747</v>
      </c>
      <c r="L160" s="544" t="s">
        <v>1891</v>
      </c>
      <c r="M160" s="548">
        <v>282019.7</v>
      </c>
      <c r="N160" s="548">
        <v>14100.99</v>
      </c>
      <c r="O160" s="548">
        <v>47379.31</v>
      </c>
      <c r="P160" s="548">
        <v>343500</v>
      </c>
      <c r="Q160" s="548"/>
      <c r="R160" s="548">
        <v>255426.86</v>
      </c>
      <c r="S160" s="549">
        <f t="shared" si="50"/>
        <v>88073.140000000014</v>
      </c>
      <c r="T160" s="113" t="s">
        <v>1931</v>
      </c>
      <c r="U160" s="360"/>
      <c r="V160" s="360"/>
      <c r="W160" s="358"/>
      <c r="X160" s="331"/>
      <c r="Y160" s="360"/>
      <c r="Z160" s="334"/>
      <c r="AA160" s="334"/>
      <c r="AB160" s="648"/>
      <c r="AC160" s="349"/>
      <c r="AD160" s="335"/>
      <c r="AE160" s="349"/>
      <c r="AF160" s="349"/>
      <c r="AG160" s="349"/>
      <c r="AH160" s="272"/>
      <c r="AI160" s="313"/>
      <c r="AJ160" s="331"/>
      <c r="AK160" s="330"/>
      <c r="AL160" s="330"/>
      <c r="AM160" s="330"/>
    </row>
    <row r="161" spans="1:39" s="291" customFormat="1" x14ac:dyDescent="0.2">
      <c r="A161" s="423">
        <f t="shared" si="51"/>
        <v>156</v>
      </c>
      <c r="B161" s="543" t="s">
        <v>1455</v>
      </c>
      <c r="C161" s="544">
        <v>1520604</v>
      </c>
      <c r="D161" s="545">
        <v>7495</v>
      </c>
      <c r="E161" s="544" t="s">
        <v>718</v>
      </c>
      <c r="F161" s="546">
        <v>2017</v>
      </c>
      <c r="G161" s="547">
        <v>42774</v>
      </c>
      <c r="H161" s="544" t="s">
        <v>847</v>
      </c>
      <c r="I161" s="544" t="s">
        <v>1629</v>
      </c>
      <c r="J161" s="544" t="s">
        <v>724</v>
      </c>
      <c r="K161" s="544" t="s">
        <v>1747</v>
      </c>
      <c r="L161" s="544" t="s">
        <v>1891</v>
      </c>
      <c r="M161" s="548">
        <v>-282019.7</v>
      </c>
      <c r="N161" s="548">
        <v>-14100.99</v>
      </c>
      <c r="O161" s="548">
        <v>-47379.31</v>
      </c>
      <c r="P161" s="548">
        <v>-343500</v>
      </c>
      <c r="Q161" s="548"/>
      <c r="R161" s="548">
        <v>-255426.86</v>
      </c>
      <c r="S161" s="549">
        <f t="shared" si="50"/>
        <v>-88073.140000000014</v>
      </c>
      <c r="T161" s="113" t="s">
        <v>1931</v>
      </c>
      <c r="U161" s="370"/>
      <c r="V161" s="370"/>
      <c r="W161" s="375"/>
      <c r="X161" s="374"/>
      <c r="Y161" s="370"/>
      <c r="Z161" s="371"/>
      <c r="AA161" s="371"/>
      <c r="AB161" s="649"/>
      <c r="AC161" s="270"/>
      <c r="AD161" s="372"/>
      <c r="AE161" s="270"/>
      <c r="AF161" s="270"/>
      <c r="AG161" s="270"/>
      <c r="AH161" s="347"/>
      <c r="AI161" s="363"/>
      <c r="AJ161" s="331"/>
      <c r="AK161" s="374"/>
      <c r="AL161" s="374"/>
      <c r="AM161" s="374"/>
    </row>
    <row r="162" spans="1:39" s="291" customFormat="1" x14ac:dyDescent="0.2">
      <c r="A162" s="423">
        <f t="shared" si="51"/>
        <v>157</v>
      </c>
      <c r="B162" s="543" t="s">
        <v>1456</v>
      </c>
      <c r="C162" s="544">
        <v>1520604</v>
      </c>
      <c r="D162" s="545">
        <v>7495</v>
      </c>
      <c r="E162" s="544" t="s">
        <v>718</v>
      </c>
      <c r="F162" s="546">
        <v>2017</v>
      </c>
      <c r="G162" s="547">
        <v>42774</v>
      </c>
      <c r="H162" s="544" t="s">
        <v>847</v>
      </c>
      <c r="I162" s="544" t="s">
        <v>1629</v>
      </c>
      <c r="J162" s="544" t="s">
        <v>724</v>
      </c>
      <c r="K162" s="544" t="s">
        <v>1747</v>
      </c>
      <c r="L162" s="544" t="s">
        <v>1891</v>
      </c>
      <c r="M162" s="548">
        <v>282019.7</v>
      </c>
      <c r="N162" s="548">
        <v>14100.99</v>
      </c>
      <c r="O162" s="548">
        <v>47379.31</v>
      </c>
      <c r="P162" s="548">
        <v>343500</v>
      </c>
      <c r="Q162" s="548"/>
      <c r="R162" s="548">
        <v>255426.86</v>
      </c>
      <c r="S162" s="549">
        <f t="shared" si="50"/>
        <v>88073.140000000014</v>
      </c>
      <c r="T162" s="113" t="s">
        <v>1931</v>
      </c>
      <c r="U162" s="360"/>
      <c r="V162" s="360"/>
      <c r="W162" s="358"/>
      <c r="X162" s="331"/>
      <c r="Y162" s="360"/>
      <c r="Z162" s="334"/>
      <c r="AA162" s="334"/>
      <c r="AB162" s="648"/>
      <c r="AC162" s="349"/>
      <c r="AD162" s="335"/>
      <c r="AE162" s="349"/>
      <c r="AF162" s="349"/>
      <c r="AG162" s="349"/>
      <c r="AH162" s="350"/>
      <c r="AI162" s="313"/>
      <c r="AJ162" s="331"/>
      <c r="AK162" s="374"/>
      <c r="AL162" s="374"/>
      <c r="AM162" s="374"/>
    </row>
    <row r="163" spans="1:39" s="291" customFormat="1" x14ac:dyDescent="0.2">
      <c r="A163" s="423">
        <f t="shared" si="51"/>
        <v>158</v>
      </c>
      <c r="B163" s="543" t="s">
        <v>1460</v>
      </c>
      <c r="C163" s="544">
        <v>1520604</v>
      </c>
      <c r="D163" s="545">
        <v>7495</v>
      </c>
      <c r="E163" s="544" t="s">
        <v>718</v>
      </c>
      <c r="F163" s="546">
        <v>2017</v>
      </c>
      <c r="G163" s="547">
        <v>42776</v>
      </c>
      <c r="H163" s="544" t="s">
        <v>847</v>
      </c>
      <c r="I163" s="544" t="s">
        <v>1629</v>
      </c>
      <c r="J163" s="544" t="s">
        <v>724</v>
      </c>
      <c r="K163" s="544" t="s">
        <v>1747</v>
      </c>
      <c r="L163" s="544" t="s">
        <v>1891</v>
      </c>
      <c r="M163" s="548">
        <v>-282019.7</v>
      </c>
      <c r="N163" s="548">
        <v>-14100.99</v>
      </c>
      <c r="O163" s="548">
        <v>-47379.31</v>
      </c>
      <c r="P163" s="548">
        <v>-343500</v>
      </c>
      <c r="Q163" s="548"/>
      <c r="R163" s="548">
        <v>-255426.86</v>
      </c>
      <c r="S163" s="549">
        <f t="shared" si="50"/>
        <v>-88073.140000000014</v>
      </c>
      <c r="T163" s="267" t="s">
        <v>1931</v>
      </c>
      <c r="U163" s="370"/>
      <c r="V163" s="370"/>
      <c r="W163" s="375"/>
      <c r="X163" s="374"/>
      <c r="Y163" s="370"/>
      <c r="Z163" s="371"/>
      <c r="AA163" s="371"/>
      <c r="AB163" s="649"/>
      <c r="AC163" s="270"/>
      <c r="AD163" s="372"/>
      <c r="AE163" s="270"/>
      <c r="AF163" s="270"/>
      <c r="AG163" s="270"/>
      <c r="AH163" s="272"/>
      <c r="AI163" s="313"/>
      <c r="AJ163" s="331"/>
      <c r="AK163" s="374"/>
      <c r="AL163" s="374"/>
      <c r="AM163" s="374"/>
    </row>
    <row r="164" spans="1:39" s="291" customFormat="1" x14ac:dyDescent="0.2">
      <c r="A164" s="423">
        <f t="shared" si="51"/>
        <v>159</v>
      </c>
      <c r="B164" s="543" t="s">
        <v>1346</v>
      </c>
      <c r="C164" s="544">
        <v>521707</v>
      </c>
      <c r="D164" s="545">
        <v>2006</v>
      </c>
      <c r="E164" s="544" t="s">
        <v>702</v>
      </c>
      <c r="F164" s="546">
        <v>2017</v>
      </c>
      <c r="G164" s="547">
        <v>42788</v>
      </c>
      <c r="H164" s="544" t="s">
        <v>817</v>
      </c>
      <c r="I164" s="544" t="s">
        <v>1566</v>
      </c>
      <c r="J164" s="544" t="s">
        <v>724</v>
      </c>
      <c r="K164" s="544" t="s">
        <v>1700</v>
      </c>
      <c r="L164" s="544" t="s">
        <v>1828</v>
      </c>
      <c r="M164" s="548">
        <v>195172.41</v>
      </c>
      <c r="N164" s="548">
        <v>0</v>
      </c>
      <c r="O164" s="548">
        <v>31227.59</v>
      </c>
      <c r="P164" s="548">
        <v>226400</v>
      </c>
      <c r="Q164" s="548"/>
      <c r="R164" s="548">
        <v>177270.62</v>
      </c>
      <c r="S164" s="549">
        <f t="shared" si="50"/>
        <v>49129.380000000005</v>
      </c>
      <c r="T164" s="267" t="s">
        <v>1931</v>
      </c>
      <c r="U164" s="370"/>
      <c r="V164" s="370"/>
      <c r="W164" s="375"/>
      <c r="X164" s="374"/>
      <c r="Y164" s="370"/>
      <c r="Z164" s="371"/>
      <c r="AA164" s="371"/>
      <c r="AB164" s="649"/>
      <c r="AC164" s="270"/>
      <c r="AD164" s="372"/>
      <c r="AE164" s="270"/>
      <c r="AF164" s="270"/>
      <c r="AG164" s="270"/>
      <c r="AH164" s="272"/>
      <c r="AI164" s="313"/>
      <c r="AJ164" s="331"/>
      <c r="AK164" s="374"/>
      <c r="AL164" s="374"/>
      <c r="AM164" s="374"/>
    </row>
    <row r="165" spans="1:39" s="291" customFormat="1" x14ac:dyDescent="0.2">
      <c r="A165" s="423">
        <f t="shared" si="51"/>
        <v>160</v>
      </c>
      <c r="B165" s="543" t="s">
        <v>1347</v>
      </c>
      <c r="C165" s="544">
        <v>521707</v>
      </c>
      <c r="D165" s="545">
        <v>2006</v>
      </c>
      <c r="E165" s="544" t="s">
        <v>702</v>
      </c>
      <c r="F165" s="546">
        <v>2017</v>
      </c>
      <c r="G165" s="547">
        <v>42789</v>
      </c>
      <c r="H165" s="544" t="s">
        <v>817</v>
      </c>
      <c r="I165" s="544" t="s">
        <v>1566</v>
      </c>
      <c r="J165" s="544" t="s">
        <v>724</v>
      </c>
      <c r="K165" s="544" t="s">
        <v>1700</v>
      </c>
      <c r="L165" s="544" t="s">
        <v>1828</v>
      </c>
      <c r="M165" s="548">
        <v>-195172.41</v>
      </c>
      <c r="N165" s="548">
        <v>0</v>
      </c>
      <c r="O165" s="548">
        <v>-31227.59</v>
      </c>
      <c r="P165" s="548">
        <v>-226400</v>
      </c>
      <c r="Q165" s="548"/>
      <c r="R165" s="548">
        <v>-177270.62</v>
      </c>
      <c r="S165" s="549">
        <f t="shared" si="50"/>
        <v>-49129.380000000005</v>
      </c>
      <c r="T165" s="267" t="s">
        <v>1931</v>
      </c>
      <c r="U165" s="360"/>
      <c r="V165" s="360"/>
      <c r="W165" s="358"/>
      <c r="X165" s="331"/>
      <c r="Y165" s="360"/>
      <c r="Z165" s="334"/>
      <c r="AA165" s="334"/>
      <c r="AB165" s="648"/>
      <c r="AC165" s="349"/>
      <c r="AD165" s="335"/>
      <c r="AE165" s="349"/>
      <c r="AF165" s="349"/>
      <c r="AG165" s="349"/>
      <c r="AH165" s="350"/>
      <c r="AI165" s="365"/>
      <c r="AJ165" s="331"/>
      <c r="AK165" s="374"/>
      <c r="AL165" s="374"/>
      <c r="AM165" s="374"/>
    </row>
    <row r="166" spans="1:39" s="291" customFormat="1" x14ac:dyDescent="0.2">
      <c r="A166" s="423">
        <f t="shared" si="51"/>
        <v>161</v>
      </c>
      <c r="B166" s="543" t="s">
        <v>1348</v>
      </c>
      <c r="C166" s="544">
        <v>521707</v>
      </c>
      <c r="D166" s="545">
        <v>2006</v>
      </c>
      <c r="E166" s="544" t="s">
        <v>702</v>
      </c>
      <c r="F166" s="546">
        <v>2017</v>
      </c>
      <c r="G166" s="547">
        <v>42789</v>
      </c>
      <c r="H166" s="544" t="s">
        <v>817</v>
      </c>
      <c r="I166" s="544" t="s">
        <v>1566</v>
      </c>
      <c r="J166" s="544" t="s">
        <v>724</v>
      </c>
      <c r="K166" s="544" t="s">
        <v>1700</v>
      </c>
      <c r="L166" s="544" t="s">
        <v>1828</v>
      </c>
      <c r="M166" s="548">
        <v>-195172.41</v>
      </c>
      <c r="N166" s="548">
        <v>0</v>
      </c>
      <c r="O166" s="548">
        <v>-31227.59</v>
      </c>
      <c r="P166" s="548">
        <v>-226400</v>
      </c>
      <c r="Q166" s="548"/>
      <c r="R166" s="548">
        <v>-177270.62</v>
      </c>
      <c r="S166" s="549">
        <f t="shared" si="50"/>
        <v>-49129.380000000005</v>
      </c>
      <c r="T166" s="267" t="s">
        <v>1931</v>
      </c>
      <c r="U166" s="360"/>
      <c r="V166" s="360"/>
      <c r="W166" s="358"/>
      <c r="X166" s="331"/>
      <c r="Y166" s="360"/>
      <c r="Z166" s="334"/>
      <c r="AA166" s="334"/>
      <c r="AB166" s="648"/>
      <c r="AC166" s="349"/>
      <c r="AD166" s="335"/>
      <c r="AE166" s="349"/>
      <c r="AF166" s="349"/>
      <c r="AG166" s="349"/>
      <c r="AH166" s="350"/>
      <c r="AI166" s="365"/>
      <c r="AJ166" s="331"/>
      <c r="AK166" s="374"/>
      <c r="AL166" s="374"/>
      <c r="AM166" s="374"/>
    </row>
    <row r="167" spans="1:39" s="291" customFormat="1" x14ac:dyDescent="0.2">
      <c r="A167" s="423">
        <f t="shared" si="51"/>
        <v>162</v>
      </c>
      <c r="B167" s="543" t="s">
        <v>1349</v>
      </c>
      <c r="C167" s="544">
        <v>521707</v>
      </c>
      <c r="D167" s="545">
        <v>2006</v>
      </c>
      <c r="E167" s="544" t="s">
        <v>702</v>
      </c>
      <c r="F167" s="546">
        <v>2017</v>
      </c>
      <c r="G167" s="547">
        <v>42789</v>
      </c>
      <c r="H167" s="544" t="s">
        <v>817</v>
      </c>
      <c r="I167" s="544" t="s">
        <v>1566</v>
      </c>
      <c r="J167" s="544" t="s">
        <v>724</v>
      </c>
      <c r="K167" s="544" t="s">
        <v>1700</v>
      </c>
      <c r="L167" s="544" t="s">
        <v>1828</v>
      </c>
      <c r="M167" s="548">
        <v>195172.41</v>
      </c>
      <c r="N167" s="548">
        <v>0</v>
      </c>
      <c r="O167" s="548">
        <v>31227.59</v>
      </c>
      <c r="P167" s="548">
        <v>226400</v>
      </c>
      <c r="Q167" s="548"/>
      <c r="R167" s="548">
        <v>177270.62</v>
      </c>
      <c r="S167" s="549">
        <f t="shared" si="50"/>
        <v>49129.380000000005</v>
      </c>
      <c r="T167" s="444" t="s">
        <v>1931</v>
      </c>
      <c r="U167" s="354"/>
      <c r="V167" s="354"/>
      <c r="W167" s="355"/>
      <c r="X167" s="330"/>
      <c r="Y167" s="354"/>
      <c r="Z167" s="328"/>
      <c r="AA167" s="328"/>
      <c r="AB167" s="650"/>
      <c r="AC167" s="346"/>
      <c r="AD167" s="333"/>
      <c r="AE167" s="346"/>
      <c r="AF167" s="346"/>
      <c r="AG167" s="346"/>
      <c r="AH167" s="272"/>
      <c r="AI167" s="313"/>
      <c r="AJ167" s="331"/>
      <c r="AK167" s="374"/>
      <c r="AL167" s="374"/>
      <c r="AM167" s="374"/>
    </row>
    <row r="168" spans="1:39" s="291" customFormat="1" x14ac:dyDescent="0.2">
      <c r="A168" s="423">
        <f t="shared" si="51"/>
        <v>163</v>
      </c>
      <c r="B168" s="543" t="s">
        <v>1511</v>
      </c>
      <c r="C168" s="544">
        <v>520909</v>
      </c>
      <c r="D168" s="545" t="s">
        <v>686</v>
      </c>
      <c r="E168" s="544" t="s">
        <v>252</v>
      </c>
      <c r="F168" s="546">
        <v>2017</v>
      </c>
      <c r="G168" s="547">
        <v>42780</v>
      </c>
      <c r="H168" s="544" t="s">
        <v>1191</v>
      </c>
      <c r="I168" s="544" t="s">
        <v>1666</v>
      </c>
      <c r="J168" s="544" t="s">
        <v>724</v>
      </c>
      <c r="K168" s="544" t="s">
        <v>1782</v>
      </c>
      <c r="L168" s="544" t="s">
        <v>1928</v>
      </c>
      <c r="M168" s="548">
        <v>-204310.34</v>
      </c>
      <c r="N168" s="548">
        <v>0</v>
      </c>
      <c r="O168" s="548">
        <v>-32689.66</v>
      </c>
      <c r="P168" s="548">
        <v>-237000</v>
      </c>
      <c r="Q168" s="548"/>
      <c r="R168" s="548">
        <v>-189260.24</v>
      </c>
      <c r="S168" s="549">
        <f t="shared" si="50"/>
        <v>-47739.760000000009</v>
      </c>
      <c r="T168" s="113" t="s">
        <v>1931</v>
      </c>
      <c r="U168" s="370"/>
      <c r="V168" s="370"/>
      <c r="W168" s="375"/>
      <c r="X168" s="374"/>
      <c r="Y168" s="370"/>
      <c r="Z168" s="371"/>
      <c r="AA168" s="371"/>
      <c r="AB168" s="649"/>
      <c r="AC168" s="270"/>
      <c r="AD168" s="372"/>
      <c r="AE168" s="270"/>
      <c r="AF168" s="270"/>
      <c r="AG168" s="270"/>
      <c r="AH168" s="272"/>
      <c r="AI168" s="313"/>
      <c r="AJ168" s="331"/>
      <c r="AK168" s="374"/>
      <c r="AL168" s="374"/>
      <c r="AM168" s="374"/>
    </row>
    <row r="169" spans="1:39" s="291" customFormat="1" x14ac:dyDescent="0.2">
      <c r="A169" s="423">
        <f t="shared" si="51"/>
        <v>164</v>
      </c>
      <c r="B169" s="543" t="s">
        <v>1512</v>
      </c>
      <c r="C169" s="544">
        <v>520909</v>
      </c>
      <c r="D169" s="545" t="s">
        <v>686</v>
      </c>
      <c r="E169" s="544" t="s">
        <v>252</v>
      </c>
      <c r="F169" s="546">
        <v>2017</v>
      </c>
      <c r="G169" s="547">
        <v>42780</v>
      </c>
      <c r="H169" s="544" t="s">
        <v>1191</v>
      </c>
      <c r="I169" s="544" t="s">
        <v>1666</v>
      </c>
      <c r="J169" s="544" t="s">
        <v>724</v>
      </c>
      <c r="K169" s="544" t="s">
        <v>1782</v>
      </c>
      <c r="L169" s="544" t="s">
        <v>1928</v>
      </c>
      <c r="M169" s="548">
        <v>204310.34</v>
      </c>
      <c r="N169" s="548">
        <v>0</v>
      </c>
      <c r="O169" s="548">
        <v>32689.66</v>
      </c>
      <c r="P169" s="548">
        <v>237000</v>
      </c>
      <c r="Q169" s="548"/>
      <c r="R169" s="548">
        <v>189260.24</v>
      </c>
      <c r="S169" s="549">
        <f t="shared" si="50"/>
        <v>47739.760000000009</v>
      </c>
      <c r="T169" s="267" t="s">
        <v>1931</v>
      </c>
      <c r="U169" s="360"/>
      <c r="V169" s="360"/>
      <c r="W169" s="358"/>
      <c r="X169" s="331"/>
      <c r="Y169" s="360"/>
      <c r="Z169" s="334"/>
      <c r="AA169" s="334"/>
      <c r="AB169" s="648"/>
      <c r="AC169" s="349"/>
      <c r="AD169" s="335"/>
      <c r="AE169" s="349"/>
      <c r="AF169" s="349"/>
      <c r="AG169" s="349"/>
      <c r="AH169" s="350"/>
      <c r="AI169" s="365"/>
      <c r="AJ169" s="331"/>
      <c r="AK169" s="374"/>
      <c r="AL169" s="374"/>
      <c r="AM169" s="374"/>
    </row>
    <row r="170" spans="1:39" s="291" customFormat="1" x14ac:dyDescent="0.2">
      <c r="A170" s="423">
        <f t="shared" si="51"/>
        <v>165</v>
      </c>
      <c r="B170" s="543" t="s">
        <v>1364</v>
      </c>
      <c r="C170" s="544">
        <v>520909</v>
      </c>
      <c r="D170" s="545">
        <v>2009</v>
      </c>
      <c r="E170" s="544" t="s">
        <v>698</v>
      </c>
      <c r="F170" s="546">
        <v>2017</v>
      </c>
      <c r="G170" s="547">
        <v>42780</v>
      </c>
      <c r="H170" s="544" t="s">
        <v>817</v>
      </c>
      <c r="I170" s="544" t="s">
        <v>1576</v>
      </c>
      <c r="J170" s="544" t="s">
        <v>724</v>
      </c>
      <c r="K170" s="544" t="s">
        <v>1685</v>
      </c>
      <c r="L170" s="544" t="s">
        <v>1838</v>
      </c>
      <c r="M170" s="548">
        <v>213965.52</v>
      </c>
      <c r="N170" s="548">
        <v>0</v>
      </c>
      <c r="O170" s="548">
        <v>34234.480000000003</v>
      </c>
      <c r="P170" s="548">
        <v>248200</v>
      </c>
      <c r="Q170" s="548"/>
      <c r="R170" s="548">
        <v>193640.98</v>
      </c>
      <c r="S170" s="549">
        <f t="shared" si="50"/>
        <v>54559.01999999999</v>
      </c>
      <c r="T170" s="113" t="s">
        <v>1931</v>
      </c>
      <c r="U170" s="370"/>
      <c r="V170" s="370"/>
      <c r="W170" s="375"/>
      <c r="X170" s="374"/>
      <c r="Y170" s="370"/>
      <c r="Z170" s="371"/>
      <c r="AA170" s="371"/>
      <c r="AB170" s="649"/>
      <c r="AC170" s="270"/>
      <c r="AD170" s="372"/>
      <c r="AE170" s="270"/>
      <c r="AF170" s="270"/>
      <c r="AG170" s="270"/>
      <c r="AH170" s="272"/>
      <c r="AI170" s="313"/>
      <c r="AJ170" s="331"/>
      <c r="AK170" s="374"/>
      <c r="AL170" s="374"/>
      <c r="AM170" s="374"/>
    </row>
    <row r="171" spans="1:39" s="291" customFormat="1" x14ac:dyDescent="0.2">
      <c r="A171" s="423">
        <f t="shared" si="51"/>
        <v>166</v>
      </c>
      <c r="B171" s="543" t="s">
        <v>1365</v>
      </c>
      <c r="C171" s="544">
        <v>520909</v>
      </c>
      <c r="D171" s="545">
        <v>2009</v>
      </c>
      <c r="E171" s="544" t="s">
        <v>698</v>
      </c>
      <c r="F171" s="546">
        <v>2017</v>
      </c>
      <c r="G171" s="547">
        <v>42781</v>
      </c>
      <c r="H171" s="544" t="s">
        <v>817</v>
      </c>
      <c r="I171" s="544" t="s">
        <v>1576</v>
      </c>
      <c r="J171" s="544" t="s">
        <v>724</v>
      </c>
      <c r="K171" s="544" t="s">
        <v>1685</v>
      </c>
      <c r="L171" s="544" t="s">
        <v>1838</v>
      </c>
      <c r="M171" s="548">
        <v>-213965.52</v>
      </c>
      <c r="N171" s="548">
        <v>0</v>
      </c>
      <c r="O171" s="548">
        <v>-34234.480000000003</v>
      </c>
      <c r="P171" s="548">
        <v>-248200</v>
      </c>
      <c r="Q171" s="548"/>
      <c r="R171" s="548">
        <v>-193640.98</v>
      </c>
      <c r="S171" s="549">
        <f t="shared" si="50"/>
        <v>-54559.01999999999</v>
      </c>
      <c r="T171" s="267" t="s">
        <v>1931</v>
      </c>
      <c r="U171" s="370"/>
      <c r="V171" s="370"/>
      <c r="W171" s="375"/>
      <c r="X171" s="374"/>
      <c r="Y171" s="370"/>
      <c r="Z171" s="371"/>
      <c r="AA171" s="371"/>
      <c r="AB171" s="649"/>
      <c r="AC171" s="270"/>
      <c r="AD171" s="372"/>
      <c r="AE171" s="270"/>
      <c r="AF171" s="270"/>
      <c r="AG171" s="270"/>
      <c r="AH171" s="272"/>
      <c r="AI171" s="313"/>
      <c r="AJ171" s="331"/>
      <c r="AK171" s="374"/>
      <c r="AL171" s="374"/>
      <c r="AM171" s="374"/>
    </row>
    <row r="172" spans="1:39" s="291" customFormat="1" x14ac:dyDescent="0.2">
      <c r="A172" s="423">
        <f t="shared" si="51"/>
        <v>167</v>
      </c>
      <c r="B172" s="543" t="s">
        <v>1366</v>
      </c>
      <c r="C172" s="544">
        <v>520909</v>
      </c>
      <c r="D172" s="545">
        <v>2009</v>
      </c>
      <c r="E172" s="544" t="s">
        <v>698</v>
      </c>
      <c r="F172" s="546">
        <v>2017</v>
      </c>
      <c r="G172" s="547">
        <v>42787</v>
      </c>
      <c r="H172" s="544" t="s">
        <v>764</v>
      </c>
      <c r="I172" s="544" t="s">
        <v>1577</v>
      </c>
      <c r="J172" s="544" t="s">
        <v>724</v>
      </c>
      <c r="K172" s="544" t="s">
        <v>1707</v>
      </c>
      <c r="L172" s="544" t="s">
        <v>1839</v>
      </c>
      <c r="M172" s="548">
        <v>-213965.52</v>
      </c>
      <c r="N172" s="548">
        <v>0</v>
      </c>
      <c r="O172" s="548">
        <v>-34234.480000000003</v>
      </c>
      <c r="P172" s="548">
        <v>-248200</v>
      </c>
      <c r="Q172" s="548"/>
      <c r="R172" s="548">
        <v>-193995.47</v>
      </c>
      <c r="S172" s="549">
        <f t="shared" si="50"/>
        <v>-54204.53</v>
      </c>
      <c r="T172" s="113" t="s">
        <v>1931</v>
      </c>
      <c r="U172" s="370"/>
      <c r="V172" s="370"/>
      <c r="W172" s="375"/>
      <c r="X172" s="374"/>
      <c r="Y172" s="370"/>
      <c r="Z172" s="371"/>
      <c r="AA172" s="371"/>
      <c r="AB172" s="649"/>
      <c r="AC172" s="270"/>
      <c r="AD172" s="372"/>
      <c r="AE172" s="270"/>
      <c r="AF172" s="270"/>
      <c r="AG172" s="270"/>
      <c r="AH172" s="347"/>
      <c r="AI172" s="363"/>
      <c r="AJ172" s="331"/>
      <c r="AK172" s="374"/>
      <c r="AL172" s="374"/>
      <c r="AM172" s="374"/>
    </row>
    <row r="173" spans="1:39" s="291" customFormat="1" x14ac:dyDescent="0.2">
      <c r="A173" s="423">
        <f t="shared" si="51"/>
        <v>168</v>
      </c>
      <c r="B173" s="543" t="s">
        <v>1367</v>
      </c>
      <c r="C173" s="544">
        <v>520909</v>
      </c>
      <c r="D173" s="545">
        <v>2009</v>
      </c>
      <c r="E173" s="544" t="s">
        <v>698</v>
      </c>
      <c r="F173" s="546">
        <v>2017</v>
      </c>
      <c r="G173" s="547">
        <v>42787</v>
      </c>
      <c r="H173" s="544" t="s">
        <v>764</v>
      </c>
      <c r="I173" s="544" t="s">
        <v>1577</v>
      </c>
      <c r="J173" s="544" t="s">
        <v>724</v>
      </c>
      <c r="K173" s="544" t="s">
        <v>1707</v>
      </c>
      <c r="L173" s="544" t="s">
        <v>1839</v>
      </c>
      <c r="M173" s="548">
        <v>213965.52</v>
      </c>
      <c r="N173" s="548">
        <v>0</v>
      </c>
      <c r="O173" s="548">
        <v>34234.480000000003</v>
      </c>
      <c r="P173" s="548">
        <v>248200</v>
      </c>
      <c r="Q173" s="548"/>
      <c r="R173" s="548">
        <v>193995.47</v>
      </c>
      <c r="S173" s="549">
        <f t="shared" si="50"/>
        <v>54204.53</v>
      </c>
      <c r="T173" s="267" t="s">
        <v>1931</v>
      </c>
      <c r="U173" s="370"/>
      <c r="V173" s="370"/>
      <c r="W173" s="375"/>
      <c r="X173" s="374"/>
      <c r="Y173" s="370"/>
      <c r="Z173" s="371"/>
      <c r="AA173" s="371"/>
      <c r="AB173" s="649"/>
      <c r="AC173" s="270"/>
      <c r="AD173" s="372"/>
      <c r="AE173" s="270"/>
      <c r="AF173" s="270"/>
      <c r="AG173" s="270"/>
      <c r="AH173" s="350"/>
      <c r="AI173" s="365"/>
      <c r="AJ173" s="331"/>
      <c r="AK173" s="374"/>
      <c r="AL173" s="374"/>
      <c r="AM173" s="374"/>
    </row>
    <row r="174" spans="1:39" s="291" customFormat="1" x14ac:dyDescent="0.2">
      <c r="A174" s="423">
        <f t="shared" si="51"/>
        <v>169</v>
      </c>
      <c r="B174" s="543" t="s">
        <v>1276</v>
      </c>
      <c r="C174" s="544">
        <v>522401</v>
      </c>
      <c r="D174" s="545">
        <v>1062</v>
      </c>
      <c r="E174" s="544" t="s">
        <v>709</v>
      </c>
      <c r="F174" s="546">
        <v>2017</v>
      </c>
      <c r="G174" s="547">
        <v>42782</v>
      </c>
      <c r="H174" s="544"/>
      <c r="I174" s="544" t="s">
        <v>1524</v>
      </c>
      <c r="J174" s="544" t="s">
        <v>729</v>
      </c>
      <c r="K174" s="544" t="s">
        <v>1670</v>
      </c>
      <c r="L174" s="544" t="s">
        <v>1786</v>
      </c>
      <c r="M174" s="548">
        <v>-203013.6</v>
      </c>
      <c r="N174" s="548">
        <v>0</v>
      </c>
      <c r="O174" s="548">
        <v>-32482.18</v>
      </c>
      <c r="P174" s="548">
        <v>-235495.78</v>
      </c>
      <c r="Q174" s="548"/>
      <c r="R174" s="548">
        <v>-203012.91</v>
      </c>
      <c r="S174" s="549">
        <f t="shared" si="50"/>
        <v>-32482.869999999995</v>
      </c>
      <c r="T174" s="444" t="s">
        <v>283</v>
      </c>
      <c r="U174" s="370"/>
      <c r="V174" s="370"/>
      <c r="W174" s="375"/>
      <c r="X174" s="374"/>
      <c r="Y174" s="370"/>
      <c r="Z174" s="371"/>
      <c r="AA174" s="371"/>
      <c r="AB174" s="649"/>
      <c r="AC174" s="270"/>
      <c r="AD174" s="372"/>
      <c r="AE174" s="270"/>
      <c r="AF174" s="270"/>
      <c r="AG174" s="270"/>
      <c r="AH174" s="350"/>
      <c r="AI174" s="365"/>
      <c r="AJ174" s="331"/>
      <c r="AK174" s="374"/>
      <c r="AL174" s="374"/>
      <c r="AM174" s="374"/>
    </row>
    <row r="175" spans="1:39" s="348" customFormat="1" x14ac:dyDescent="0.2">
      <c r="A175" s="423">
        <f t="shared" si="51"/>
        <v>170</v>
      </c>
      <c r="B175" s="543" t="s">
        <v>1277</v>
      </c>
      <c r="C175" s="544">
        <v>522401</v>
      </c>
      <c r="D175" s="545">
        <v>1062</v>
      </c>
      <c r="E175" s="544" t="s">
        <v>709</v>
      </c>
      <c r="F175" s="546">
        <v>2017</v>
      </c>
      <c r="G175" s="547">
        <v>42782</v>
      </c>
      <c r="H175" s="544"/>
      <c r="I175" s="544" t="s">
        <v>1524</v>
      </c>
      <c r="J175" s="544" t="s">
        <v>729</v>
      </c>
      <c r="K175" s="544" t="s">
        <v>1670</v>
      </c>
      <c r="L175" s="544" t="s">
        <v>1786</v>
      </c>
      <c r="M175" s="548">
        <v>203013.6</v>
      </c>
      <c r="N175" s="548">
        <v>0</v>
      </c>
      <c r="O175" s="548">
        <v>32482.18</v>
      </c>
      <c r="P175" s="548">
        <v>235495.78</v>
      </c>
      <c r="Q175" s="548"/>
      <c r="R175" s="548">
        <v>203012.91</v>
      </c>
      <c r="S175" s="549">
        <f t="shared" si="50"/>
        <v>32482.869999999995</v>
      </c>
      <c r="T175" s="113" t="s">
        <v>283</v>
      </c>
      <c r="U175" s="370"/>
      <c r="V175" s="370"/>
      <c r="W175" s="375"/>
      <c r="X175" s="374"/>
      <c r="Y175" s="370"/>
      <c r="Z175" s="371"/>
      <c r="AA175" s="371"/>
      <c r="AB175" s="649"/>
      <c r="AC175" s="270"/>
      <c r="AD175" s="372"/>
      <c r="AE175" s="270"/>
      <c r="AF175" s="270"/>
      <c r="AG175" s="270"/>
      <c r="AH175" s="350"/>
      <c r="AI175" s="365"/>
      <c r="AJ175" s="330"/>
      <c r="AK175" s="330"/>
      <c r="AL175" s="330"/>
      <c r="AM175" s="330"/>
    </row>
    <row r="176" spans="1:39" s="348" customFormat="1" x14ac:dyDescent="0.2">
      <c r="A176" s="423">
        <f t="shared" si="51"/>
        <v>171</v>
      </c>
      <c r="B176" s="543" t="s">
        <v>1278</v>
      </c>
      <c r="C176" s="544">
        <v>522401</v>
      </c>
      <c r="D176" s="545">
        <v>1062</v>
      </c>
      <c r="E176" s="544" t="s">
        <v>709</v>
      </c>
      <c r="F176" s="546">
        <v>2017</v>
      </c>
      <c r="G176" s="547">
        <v>42782</v>
      </c>
      <c r="H176" s="544"/>
      <c r="I176" s="544" t="s">
        <v>1524</v>
      </c>
      <c r="J176" s="544" t="s">
        <v>729</v>
      </c>
      <c r="K176" s="544" t="s">
        <v>1670</v>
      </c>
      <c r="L176" s="544" t="s">
        <v>1786</v>
      </c>
      <c r="M176" s="548">
        <v>203013.6</v>
      </c>
      <c r="N176" s="548">
        <v>0</v>
      </c>
      <c r="O176" s="548">
        <v>32482.18</v>
      </c>
      <c r="P176" s="548">
        <v>235495.78</v>
      </c>
      <c r="Q176" s="548"/>
      <c r="R176" s="548">
        <v>203012.91</v>
      </c>
      <c r="S176" s="549">
        <f t="shared" si="50"/>
        <v>32482.869999999995</v>
      </c>
      <c r="T176" s="113" t="s">
        <v>283</v>
      </c>
      <c r="U176" s="370"/>
      <c r="V176" s="370"/>
      <c r="W176" s="375"/>
      <c r="X176" s="374"/>
      <c r="Y176" s="370"/>
      <c r="Z176" s="371"/>
      <c r="AA176" s="371"/>
      <c r="AB176" s="649"/>
      <c r="AC176" s="270"/>
      <c r="AD176" s="372"/>
      <c r="AE176" s="270"/>
      <c r="AF176" s="270"/>
      <c r="AG176" s="270"/>
      <c r="AH176" s="350"/>
      <c r="AI176" s="365"/>
      <c r="AJ176" s="331"/>
      <c r="AK176" s="330"/>
      <c r="AL176" s="330"/>
      <c r="AM176" s="330"/>
    </row>
    <row r="177" spans="1:39" s="348" customFormat="1" x14ac:dyDescent="0.2">
      <c r="A177" s="423">
        <f t="shared" si="51"/>
        <v>172</v>
      </c>
      <c r="B177" s="543" t="s">
        <v>1283</v>
      </c>
      <c r="C177" s="544">
        <v>522401</v>
      </c>
      <c r="D177" s="545">
        <v>1062</v>
      </c>
      <c r="E177" s="544" t="s">
        <v>709</v>
      </c>
      <c r="F177" s="546">
        <v>2017</v>
      </c>
      <c r="G177" s="547">
        <v>42794</v>
      </c>
      <c r="H177" s="544"/>
      <c r="I177" s="544" t="s">
        <v>1527</v>
      </c>
      <c r="J177" s="544" t="s">
        <v>729</v>
      </c>
      <c r="K177" s="544" t="s">
        <v>1672</v>
      </c>
      <c r="L177" s="544" t="s">
        <v>1789</v>
      </c>
      <c r="M177" s="548">
        <v>203013.78</v>
      </c>
      <c r="N177" s="548">
        <v>0</v>
      </c>
      <c r="O177" s="548">
        <v>32482.2</v>
      </c>
      <c r="P177" s="548">
        <v>235495.98</v>
      </c>
      <c r="Q177" s="548"/>
      <c r="R177" s="548">
        <v>202658.43</v>
      </c>
      <c r="S177" s="549">
        <f t="shared" si="50"/>
        <v>32837.550000000017</v>
      </c>
      <c r="T177" s="267" t="s">
        <v>283</v>
      </c>
      <c r="U177" s="370"/>
      <c r="V177" s="370"/>
      <c r="W177" s="375"/>
      <c r="X177" s="374"/>
      <c r="Y177" s="370"/>
      <c r="Z177" s="371"/>
      <c r="AA177" s="371"/>
      <c r="AB177" s="649"/>
      <c r="AC177" s="270"/>
      <c r="AD177" s="372"/>
      <c r="AE177" s="270"/>
      <c r="AF177" s="270"/>
      <c r="AG177" s="270"/>
      <c r="AH177" s="347"/>
      <c r="AI177" s="363"/>
      <c r="AJ177" s="330"/>
      <c r="AK177" s="330"/>
      <c r="AL177" s="330"/>
      <c r="AM177" s="330"/>
    </row>
    <row r="178" spans="1:39" s="291" customFormat="1" x14ac:dyDescent="0.2">
      <c r="A178" s="423">
        <f t="shared" si="51"/>
        <v>173</v>
      </c>
      <c r="B178" s="543" t="s">
        <v>1284</v>
      </c>
      <c r="C178" s="544">
        <v>521101</v>
      </c>
      <c r="D178" s="545">
        <v>1251</v>
      </c>
      <c r="E178" s="544" t="s">
        <v>700</v>
      </c>
      <c r="F178" s="546">
        <v>2017</v>
      </c>
      <c r="G178" s="547">
        <v>42774</v>
      </c>
      <c r="H178" s="544"/>
      <c r="I178" s="544" t="s">
        <v>1528</v>
      </c>
      <c r="J178" s="544" t="s">
        <v>724</v>
      </c>
      <c r="K178" s="544" t="s">
        <v>135</v>
      </c>
      <c r="L178" s="544" t="s">
        <v>1790</v>
      </c>
      <c r="M178" s="548">
        <v>284022.18</v>
      </c>
      <c r="N178" s="548">
        <v>0</v>
      </c>
      <c r="O178" s="548">
        <v>45443.55</v>
      </c>
      <c r="P178" s="548">
        <v>329465.73</v>
      </c>
      <c r="Q178" s="548"/>
      <c r="R178" s="548">
        <v>283666.84000000003</v>
      </c>
      <c r="S178" s="549">
        <f t="shared" si="50"/>
        <v>45798.889999999956</v>
      </c>
      <c r="T178" s="113" t="s">
        <v>283</v>
      </c>
      <c r="U178" s="370"/>
      <c r="V178" s="370"/>
      <c r="W178" s="375"/>
      <c r="X178" s="374"/>
      <c r="Y178" s="370"/>
      <c r="Z178" s="371"/>
      <c r="AA178" s="371"/>
      <c r="AB178" s="649"/>
      <c r="AC178" s="270"/>
      <c r="AD178" s="372"/>
      <c r="AE178" s="270"/>
      <c r="AF178" s="270"/>
      <c r="AG178" s="270"/>
      <c r="AH178" s="272"/>
      <c r="AI178" s="313"/>
      <c r="AJ178" s="331"/>
      <c r="AK178" s="374"/>
      <c r="AL178" s="374"/>
      <c r="AM178" s="374"/>
    </row>
    <row r="179" spans="1:39" s="291" customFormat="1" x14ac:dyDescent="0.2">
      <c r="A179" s="423">
        <f t="shared" si="51"/>
        <v>174</v>
      </c>
      <c r="B179" s="543" t="s">
        <v>1288</v>
      </c>
      <c r="C179" s="544">
        <v>521101</v>
      </c>
      <c r="D179" s="545">
        <v>1251</v>
      </c>
      <c r="E179" s="544" t="s">
        <v>700</v>
      </c>
      <c r="F179" s="546">
        <v>2017</v>
      </c>
      <c r="G179" s="547">
        <v>42794</v>
      </c>
      <c r="H179" s="544"/>
      <c r="I179" s="544" t="s">
        <v>1532</v>
      </c>
      <c r="J179" s="544" t="s">
        <v>724</v>
      </c>
      <c r="K179" s="544" t="s">
        <v>1147</v>
      </c>
      <c r="L179" s="544" t="s">
        <v>1794</v>
      </c>
      <c r="M179" s="548">
        <v>284022.18</v>
      </c>
      <c r="N179" s="548">
        <v>0</v>
      </c>
      <c r="O179" s="548">
        <v>45443.55</v>
      </c>
      <c r="P179" s="548">
        <v>329465.73</v>
      </c>
      <c r="Q179" s="548"/>
      <c r="R179" s="548">
        <v>283666.84000000003</v>
      </c>
      <c r="S179" s="549">
        <f t="shared" si="50"/>
        <v>45798.889999999956</v>
      </c>
      <c r="T179" s="113" t="s">
        <v>283</v>
      </c>
      <c r="U179" s="370"/>
      <c r="V179" s="370"/>
      <c r="W179" s="375"/>
      <c r="X179" s="374"/>
      <c r="Y179" s="370"/>
      <c r="Z179" s="371"/>
      <c r="AA179" s="371"/>
      <c r="AB179" s="649"/>
      <c r="AC179" s="270"/>
      <c r="AD179" s="372"/>
      <c r="AE179" s="270"/>
      <c r="AF179" s="270"/>
      <c r="AG179" s="270"/>
      <c r="AH179" s="350"/>
      <c r="AI179" s="365"/>
      <c r="AJ179" s="330"/>
      <c r="AK179" s="374"/>
      <c r="AL179" s="374"/>
      <c r="AM179" s="374"/>
    </row>
    <row r="180" spans="1:39" s="291" customFormat="1" x14ac:dyDescent="0.2">
      <c r="A180" s="423">
        <f t="shared" si="51"/>
        <v>175</v>
      </c>
      <c r="B180" s="543" t="s">
        <v>1289</v>
      </c>
      <c r="C180" s="544">
        <v>521101</v>
      </c>
      <c r="D180" s="545">
        <v>1253</v>
      </c>
      <c r="E180" s="544" t="s">
        <v>30</v>
      </c>
      <c r="F180" s="546">
        <v>2017</v>
      </c>
      <c r="G180" s="547">
        <v>42768</v>
      </c>
      <c r="H180" s="544"/>
      <c r="I180" s="544" t="s">
        <v>1533</v>
      </c>
      <c r="J180" s="544" t="s">
        <v>724</v>
      </c>
      <c r="K180" s="544" t="s">
        <v>1175</v>
      </c>
      <c r="L180" s="544" t="s">
        <v>1795</v>
      </c>
      <c r="M180" s="548">
        <v>316924.87</v>
      </c>
      <c r="N180" s="548">
        <v>0</v>
      </c>
      <c r="O180" s="548">
        <v>50707.98</v>
      </c>
      <c r="P180" s="548">
        <v>367632.85</v>
      </c>
      <c r="Q180" s="548"/>
      <c r="R180" s="548">
        <v>316613.65999999997</v>
      </c>
      <c r="S180" s="549">
        <f t="shared" si="50"/>
        <v>51019.19</v>
      </c>
      <c r="T180" s="267" t="s">
        <v>283</v>
      </c>
      <c r="U180" s="360"/>
      <c r="V180" s="360"/>
      <c r="W180" s="358"/>
      <c r="X180" s="331"/>
      <c r="Y180" s="360"/>
      <c r="Z180" s="334"/>
      <c r="AA180" s="334"/>
      <c r="AB180" s="648"/>
      <c r="AC180" s="349"/>
      <c r="AD180" s="335"/>
      <c r="AE180" s="349"/>
      <c r="AF180" s="349"/>
      <c r="AG180" s="349"/>
      <c r="AH180" s="272"/>
      <c r="AI180" s="313"/>
      <c r="AJ180" s="331"/>
      <c r="AK180" s="374"/>
      <c r="AL180" s="374"/>
      <c r="AM180" s="374"/>
    </row>
    <row r="181" spans="1:39" s="291" customFormat="1" x14ac:dyDescent="0.2">
      <c r="A181" s="423">
        <f t="shared" si="51"/>
        <v>176</v>
      </c>
      <c r="B181" s="543" t="s">
        <v>1290</v>
      </c>
      <c r="C181" s="544">
        <v>521101</v>
      </c>
      <c r="D181" s="545">
        <v>1253</v>
      </c>
      <c r="E181" s="544" t="s">
        <v>30</v>
      </c>
      <c r="F181" s="546">
        <v>2017</v>
      </c>
      <c r="G181" s="547">
        <v>42774</v>
      </c>
      <c r="H181" s="544"/>
      <c r="I181" s="544" t="s">
        <v>1534</v>
      </c>
      <c r="J181" s="544" t="s">
        <v>724</v>
      </c>
      <c r="K181" s="544" t="s">
        <v>59</v>
      </c>
      <c r="L181" s="544" t="s">
        <v>1796</v>
      </c>
      <c r="M181" s="548">
        <v>326375.90999999997</v>
      </c>
      <c r="N181" s="548">
        <v>0</v>
      </c>
      <c r="O181" s="548">
        <v>52220.14</v>
      </c>
      <c r="P181" s="548">
        <v>378596.05</v>
      </c>
      <c r="Q181" s="548"/>
      <c r="R181" s="548">
        <v>326020.56</v>
      </c>
      <c r="S181" s="549">
        <f t="shared" si="50"/>
        <v>52575.489999999991</v>
      </c>
      <c r="T181" s="267" t="s">
        <v>283</v>
      </c>
      <c r="U181" s="360"/>
      <c r="V181" s="360"/>
      <c r="W181" s="358"/>
      <c r="X181" s="331"/>
      <c r="Y181" s="360"/>
      <c r="Z181" s="334"/>
      <c r="AA181" s="334"/>
      <c r="AB181" s="648"/>
      <c r="AC181" s="349"/>
      <c r="AD181" s="335"/>
      <c r="AE181" s="349"/>
      <c r="AF181" s="349"/>
      <c r="AG181" s="349"/>
      <c r="AH181" s="350"/>
      <c r="AI181" s="365"/>
      <c r="AJ181" s="330"/>
      <c r="AK181" s="374"/>
      <c r="AL181" s="374"/>
      <c r="AM181" s="374"/>
    </row>
    <row r="182" spans="1:39" s="291" customFormat="1" x14ac:dyDescent="0.2">
      <c r="A182" s="423">
        <f t="shared" si="51"/>
        <v>177</v>
      </c>
      <c r="B182" s="543" t="s">
        <v>1293</v>
      </c>
      <c r="C182" s="544">
        <v>521101</v>
      </c>
      <c r="D182" s="545">
        <v>1253</v>
      </c>
      <c r="E182" s="544" t="s">
        <v>30</v>
      </c>
      <c r="F182" s="546">
        <v>2017</v>
      </c>
      <c r="G182" s="547">
        <v>42782</v>
      </c>
      <c r="H182" s="544"/>
      <c r="I182" s="544" t="s">
        <v>1536</v>
      </c>
      <c r="J182" s="544" t="s">
        <v>724</v>
      </c>
      <c r="K182" s="544" t="s">
        <v>1147</v>
      </c>
      <c r="L182" s="544" t="s">
        <v>1798</v>
      </c>
      <c r="M182" s="548">
        <v>326375.88</v>
      </c>
      <c r="N182" s="548">
        <v>0</v>
      </c>
      <c r="O182" s="548">
        <v>52220.14</v>
      </c>
      <c r="P182" s="548">
        <v>378596.02</v>
      </c>
      <c r="Q182" s="548"/>
      <c r="R182" s="548">
        <v>316613.65999999997</v>
      </c>
      <c r="S182" s="549">
        <f t="shared" si="50"/>
        <v>61982.360000000044</v>
      </c>
      <c r="T182" s="267" t="s">
        <v>283</v>
      </c>
      <c r="U182" s="370"/>
      <c r="V182" s="370"/>
      <c r="W182" s="375"/>
      <c r="X182" s="374"/>
      <c r="Y182" s="370"/>
      <c r="Z182" s="371"/>
      <c r="AA182" s="371"/>
      <c r="AB182" s="649"/>
      <c r="AC182" s="270"/>
      <c r="AD182" s="372"/>
      <c r="AE182" s="270"/>
      <c r="AF182" s="270"/>
      <c r="AG182" s="270"/>
      <c r="AH182" s="350"/>
      <c r="AI182" s="365"/>
      <c r="AJ182" s="374"/>
      <c r="AK182" s="374"/>
      <c r="AL182" s="374"/>
      <c r="AM182" s="374"/>
    </row>
    <row r="183" spans="1:39" s="348" customFormat="1" x14ac:dyDescent="0.2">
      <c r="A183" s="423">
        <f t="shared" si="51"/>
        <v>178</v>
      </c>
      <c r="B183" s="543" t="s">
        <v>1311</v>
      </c>
      <c r="C183" s="544">
        <v>520226</v>
      </c>
      <c r="D183" s="545">
        <v>1783</v>
      </c>
      <c r="E183" s="544" t="s">
        <v>692</v>
      </c>
      <c r="F183" s="546">
        <v>2017</v>
      </c>
      <c r="G183" s="547">
        <v>42775</v>
      </c>
      <c r="H183" s="544"/>
      <c r="I183" s="544" t="s">
        <v>1543</v>
      </c>
      <c r="J183" s="544" t="s">
        <v>724</v>
      </c>
      <c r="K183" s="544" t="s">
        <v>392</v>
      </c>
      <c r="L183" s="544" t="s">
        <v>1805</v>
      </c>
      <c r="M183" s="548">
        <v>265024.34000000003</v>
      </c>
      <c r="N183" s="548">
        <v>0</v>
      </c>
      <c r="O183" s="548">
        <v>42403.9</v>
      </c>
      <c r="P183" s="548">
        <v>307428.24</v>
      </c>
      <c r="Q183" s="548"/>
      <c r="R183" s="548">
        <v>264713.14</v>
      </c>
      <c r="S183" s="549">
        <f t="shared" si="50"/>
        <v>42715.099999999977</v>
      </c>
      <c r="T183" s="267" t="s">
        <v>283</v>
      </c>
      <c r="U183" s="360"/>
      <c r="V183" s="360"/>
      <c r="W183" s="358"/>
      <c r="X183" s="331"/>
      <c r="Y183" s="360"/>
      <c r="Z183" s="334"/>
      <c r="AA183" s="334"/>
      <c r="AB183" s="648"/>
      <c r="AC183" s="349"/>
      <c r="AD183" s="335"/>
      <c r="AE183" s="349"/>
      <c r="AF183" s="349"/>
      <c r="AG183" s="349"/>
      <c r="AH183" s="272"/>
      <c r="AI183" s="313"/>
      <c r="AJ183" s="374"/>
      <c r="AK183" s="330"/>
      <c r="AL183" s="330"/>
      <c r="AM183" s="330"/>
    </row>
    <row r="184" spans="1:39" s="291" customFormat="1" x14ac:dyDescent="0.2">
      <c r="A184" s="423">
        <f t="shared" si="51"/>
        <v>179</v>
      </c>
      <c r="B184" s="543" t="s">
        <v>1312</v>
      </c>
      <c r="C184" s="544">
        <v>520226</v>
      </c>
      <c r="D184" s="545">
        <v>1783</v>
      </c>
      <c r="E184" s="544" t="s">
        <v>692</v>
      </c>
      <c r="F184" s="546">
        <v>2017</v>
      </c>
      <c r="G184" s="547">
        <v>42784</v>
      </c>
      <c r="H184" s="544"/>
      <c r="I184" s="544" t="s">
        <v>1544</v>
      </c>
      <c r="J184" s="544" t="s">
        <v>724</v>
      </c>
      <c r="K184" s="544" t="s">
        <v>1189</v>
      </c>
      <c r="L184" s="544" t="s">
        <v>1806</v>
      </c>
      <c r="M184" s="548">
        <v>265024.34000000003</v>
      </c>
      <c r="N184" s="548">
        <v>0</v>
      </c>
      <c r="O184" s="548">
        <v>42403.9</v>
      </c>
      <c r="P184" s="548">
        <v>307428.24</v>
      </c>
      <c r="Q184" s="548"/>
      <c r="R184" s="548">
        <v>264669</v>
      </c>
      <c r="S184" s="549">
        <f t="shared" si="50"/>
        <v>42759.239999999991</v>
      </c>
      <c r="T184" s="113" t="s">
        <v>283</v>
      </c>
      <c r="U184" s="360"/>
      <c r="V184" s="360"/>
      <c r="W184" s="358"/>
      <c r="X184" s="331"/>
      <c r="Y184" s="360"/>
      <c r="Z184" s="334"/>
      <c r="AA184" s="334"/>
      <c r="AB184" s="648"/>
      <c r="AC184" s="349"/>
      <c r="AD184" s="335"/>
      <c r="AE184" s="349"/>
      <c r="AF184" s="349"/>
      <c r="AG184" s="349"/>
      <c r="AH184" s="350"/>
      <c r="AI184" s="365"/>
      <c r="AJ184" s="374"/>
      <c r="AK184" s="374"/>
      <c r="AL184" s="374"/>
      <c r="AM184" s="374"/>
    </row>
    <row r="185" spans="1:39" s="291" customFormat="1" x14ac:dyDescent="0.2">
      <c r="A185" s="423">
        <f t="shared" si="51"/>
        <v>180</v>
      </c>
      <c r="B185" s="543" t="s">
        <v>1327</v>
      </c>
      <c r="C185" s="544">
        <v>520223</v>
      </c>
      <c r="D185" s="545">
        <v>1796</v>
      </c>
      <c r="E185" s="544" t="s">
        <v>689</v>
      </c>
      <c r="F185" s="546">
        <v>2017</v>
      </c>
      <c r="G185" s="547">
        <v>42777</v>
      </c>
      <c r="H185" s="544"/>
      <c r="I185" s="544" t="s">
        <v>1551</v>
      </c>
      <c r="J185" s="544" t="s">
        <v>724</v>
      </c>
      <c r="K185" s="544" t="s">
        <v>59</v>
      </c>
      <c r="L185" s="544" t="s">
        <v>1813</v>
      </c>
      <c r="M185" s="548">
        <v>-211926.45</v>
      </c>
      <c r="N185" s="548">
        <v>0</v>
      </c>
      <c r="O185" s="548">
        <v>-33908.230000000003</v>
      </c>
      <c r="P185" s="548">
        <v>-245834.68</v>
      </c>
      <c r="Q185" s="548"/>
      <c r="R185" s="548">
        <v>-211571.1</v>
      </c>
      <c r="S185" s="549">
        <f t="shared" si="50"/>
        <v>-34263.579999999987</v>
      </c>
      <c r="T185" s="445" t="s">
        <v>283</v>
      </c>
      <c r="U185" s="354"/>
      <c r="V185" s="354"/>
      <c r="W185" s="355"/>
      <c r="X185" s="330"/>
      <c r="Y185" s="354"/>
      <c r="Z185" s="328"/>
      <c r="AA185" s="328"/>
      <c r="AB185" s="650"/>
      <c r="AC185" s="346"/>
      <c r="AD185" s="333"/>
      <c r="AE185" s="346"/>
      <c r="AF185" s="346"/>
      <c r="AG185" s="346"/>
      <c r="AH185" s="350"/>
      <c r="AI185" s="365"/>
      <c r="AJ185" s="374"/>
      <c r="AK185" s="374"/>
      <c r="AL185" s="374"/>
      <c r="AM185" s="374"/>
    </row>
    <row r="186" spans="1:39" s="291" customFormat="1" x14ac:dyDescent="0.2">
      <c r="A186" s="423">
        <f t="shared" si="51"/>
        <v>181</v>
      </c>
      <c r="B186" s="543" t="s">
        <v>1328</v>
      </c>
      <c r="C186" s="544">
        <v>520223</v>
      </c>
      <c r="D186" s="545">
        <v>1796</v>
      </c>
      <c r="E186" s="544" t="s">
        <v>689</v>
      </c>
      <c r="F186" s="546">
        <v>2017</v>
      </c>
      <c r="G186" s="547">
        <v>42777</v>
      </c>
      <c r="H186" s="544"/>
      <c r="I186" s="544" t="s">
        <v>1551</v>
      </c>
      <c r="J186" s="544" t="s">
        <v>724</v>
      </c>
      <c r="K186" s="544" t="s">
        <v>59</v>
      </c>
      <c r="L186" s="544" t="s">
        <v>1813</v>
      </c>
      <c r="M186" s="548">
        <v>211926.45</v>
      </c>
      <c r="N186" s="548">
        <v>0</v>
      </c>
      <c r="O186" s="548">
        <v>33908.230000000003</v>
      </c>
      <c r="P186" s="548">
        <v>245834.68</v>
      </c>
      <c r="Q186" s="548"/>
      <c r="R186" s="548">
        <v>211571.1</v>
      </c>
      <c r="S186" s="549">
        <f t="shared" si="50"/>
        <v>34263.579999999987</v>
      </c>
      <c r="T186" s="113" t="s">
        <v>283</v>
      </c>
      <c r="U186" s="370"/>
      <c r="V186" s="370"/>
      <c r="W186" s="375"/>
      <c r="X186" s="374"/>
      <c r="Y186" s="370"/>
      <c r="Z186" s="371"/>
      <c r="AA186" s="371"/>
      <c r="AB186" s="649"/>
      <c r="AC186" s="270"/>
      <c r="AD186" s="372"/>
      <c r="AE186" s="270"/>
      <c r="AF186" s="270"/>
      <c r="AG186" s="270"/>
      <c r="AH186" s="347"/>
      <c r="AI186" s="363"/>
      <c r="AJ186" s="374"/>
      <c r="AK186" s="374"/>
      <c r="AL186" s="374"/>
      <c r="AM186" s="374"/>
    </row>
    <row r="187" spans="1:39" s="291" customFormat="1" x14ac:dyDescent="0.2">
      <c r="A187" s="423">
        <f t="shared" si="51"/>
        <v>182</v>
      </c>
      <c r="B187" s="543" t="s">
        <v>1329</v>
      </c>
      <c r="C187" s="544">
        <v>520223</v>
      </c>
      <c r="D187" s="545">
        <v>1796</v>
      </c>
      <c r="E187" s="544" t="s">
        <v>689</v>
      </c>
      <c r="F187" s="546">
        <v>2017</v>
      </c>
      <c r="G187" s="547">
        <v>42777</v>
      </c>
      <c r="H187" s="544"/>
      <c r="I187" s="544" t="s">
        <v>1551</v>
      </c>
      <c r="J187" s="544" t="s">
        <v>724</v>
      </c>
      <c r="K187" s="544" t="s">
        <v>1688</v>
      </c>
      <c r="L187" s="544" t="s">
        <v>1813</v>
      </c>
      <c r="M187" s="548">
        <v>211926.45</v>
      </c>
      <c r="N187" s="548">
        <v>0</v>
      </c>
      <c r="O187" s="548">
        <v>33908.230000000003</v>
      </c>
      <c r="P187" s="548">
        <v>245834.68</v>
      </c>
      <c r="Q187" s="548"/>
      <c r="R187" s="548">
        <v>211571.1</v>
      </c>
      <c r="S187" s="549">
        <f t="shared" si="50"/>
        <v>34263.579999999987</v>
      </c>
      <c r="T187" s="113" t="s">
        <v>283</v>
      </c>
      <c r="U187" s="370"/>
      <c r="V187" s="370"/>
      <c r="W187" s="375"/>
      <c r="X187" s="374"/>
      <c r="Y187" s="370"/>
      <c r="Z187" s="371"/>
      <c r="AA187" s="371"/>
      <c r="AB187" s="649"/>
      <c r="AC187" s="270"/>
      <c r="AD187" s="372"/>
      <c r="AE187" s="270"/>
      <c r="AF187" s="270"/>
      <c r="AG187" s="270"/>
      <c r="AH187" s="272"/>
      <c r="AI187" s="313"/>
      <c r="AJ187" s="374"/>
      <c r="AK187" s="374"/>
      <c r="AL187" s="374"/>
      <c r="AM187" s="374"/>
    </row>
    <row r="188" spans="1:39" s="291" customFormat="1" x14ac:dyDescent="0.2">
      <c r="A188" s="423">
        <f t="shared" si="51"/>
        <v>183</v>
      </c>
      <c r="B188" s="543" t="s">
        <v>1330</v>
      </c>
      <c r="C188" s="544">
        <v>520223</v>
      </c>
      <c r="D188" s="545">
        <v>1796</v>
      </c>
      <c r="E188" s="544" t="s">
        <v>689</v>
      </c>
      <c r="F188" s="546">
        <v>2017</v>
      </c>
      <c r="G188" s="547">
        <v>42791</v>
      </c>
      <c r="H188" s="544"/>
      <c r="I188" s="544" t="s">
        <v>1552</v>
      </c>
      <c r="J188" s="544" t="s">
        <v>724</v>
      </c>
      <c r="K188" s="544" t="s">
        <v>135</v>
      </c>
      <c r="L188" s="544" t="s">
        <v>1814</v>
      </c>
      <c r="M188" s="548">
        <v>211926.45</v>
      </c>
      <c r="N188" s="548">
        <v>0</v>
      </c>
      <c r="O188" s="548">
        <v>33908.230000000003</v>
      </c>
      <c r="P188" s="548">
        <v>245834.68</v>
      </c>
      <c r="Q188" s="548"/>
      <c r="R188" s="548">
        <v>211571.1</v>
      </c>
      <c r="S188" s="549">
        <f t="shared" si="50"/>
        <v>34263.579999999987</v>
      </c>
      <c r="T188" s="113" t="s">
        <v>283</v>
      </c>
      <c r="U188" s="370"/>
      <c r="V188" s="370"/>
      <c r="W188" s="375"/>
      <c r="X188" s="374"/>
      <c r="Y188" s="370"/>
      <c r="Z188" s="371"/>
      <c r="AA188" s="371"/>
      <c r="AB188" s="649"/>
      <c r="AC188" s="270"/>
      <c r="AD188" s="372"/>
      <c r="AE188" s="270"/>
      <c r="AF188" s="270"/>
      <c r="AG188" s="270"/>
      <c r="AH188" s="350"/>
      <c r="AI188" s="365"/>
      <c r="AJ188" s="374"/>
      <c r="AK188" s="374"/>
      <c r="AL188" s="374"/>
      <c r="AM188" s="374"/>
    </row>
    <row r="189" spans="1:39" s="291" customFormat="1" x14ac:dyDescent="0.2">
      <c r="A189" s="423">
        <f t="shared" si="51"/>
        <v>184</v>
      </c>
      <c r="B189" s="543" t="s">
        <v>1340</v>
      </c>
      <c r="C189" s="544">
        <v>521707</v>
      </c>
      <c r="D189" s="545">
        <v>2006</v>
      </c>
      <c r="E189" s="544" t="s">
        <v>702</v>
      </c>
      <c r="F189" s="546">
        <v>2017</v>
      </c>
      <c r="G189" s="547">
        <v>42774</v>
      </c>
      <c r="H189" s="544"/>
      <c r="I189" s="544" t="s">
        <v>1562</v>
      </c>
      <c r="J189" s="544" t="s">
        <v>724</v>
      </c>
      <c r="K189" s="544" t="s">
        <v>59</v>
      </c>
      <c r="L189" s="544" t="s">
        <v>1824</v>
      </c>
      <c r="M189" s="548">
        <v>177272.48</v>
      </c>
      <c r="N189" s="548">
        <v>0</v>
      </c>
      <c r="O189" s="548">
        <v>28363.599999999999</v>
      </c>
      <c r="P189" s="548">
        <v>205636.08</v>
      </c>
      <c r="Q189" s="548"/>
      <c r="R189" s="548">
        <v>177271.62</v>
      </c>
      <c r="S189" s="549">
        <f t="shared" si="50"/>
        <v>28364.459999999992</v>
      </c>
      <c r="T189" s="267" t="s">
        <v>283</v>
      </c>
      <c r="U189" s="370"/>
      <c r="V189" s="370"/>
      <c r="W189" s="375"/>
      <c r="X189" s="374"/>
      <c r="Y189" s="370"/>
      <c r="Z189" s="371"/>
      <c r="AA189" s="371"/>
      <c r="AB189" s="649"/>
      <c r="AC189" s="270"/>
      <c r="AD189" s="372"/>
      <c r="AE189" s="270"/>
      <c r="AF189" s="270"/>
      <c r="AG189" s="270"/>
      <c r="AH189" s="272"/>
      <c r="AI189" s="313"/>
      <c r="AJ189" s="374"/>
      <c r="AK189" s="374"/>
      <c r="AL189" s="374"/>
      <c r="AM189" s="374"/>
    </row>
    <row r="190" spans="1:39" s="291" customFormat="1" x14ac:dyDescent="0.2">
      <c r="A190" s="423">
        <f t="shared" si="51"/>
        <v>185</v>
      </c>
      <c r="B190" s="543" t="s">
        <v>1342</v>
      </c>
      <c r="C190" s="544">
        <v>521707</v>
      </c>
      <c r="D190" s="545">
        <v>2006</v>
      </c>
      <c r="E190" s="544" t="s">
        <v>702</v>
      </c>
      <c r="F190" s="546">
        <v>2017</v>
      </c>
      <c r="G190" s="547">
        <v>42780</v>
      </c>
      <c r="H190" s="544"/>
      <c r="I190" s="544" t="s">
        <v>1564</v>
      </c>
      <c r="J190" s="544" t="s">
        <v>724</v>
      </c>
      <c r="K190" s="544" t="s">
        <v>1698</v>
      </c>
      <c r="L190" s="544" t="s">
        <v>1826</v>
      </c>
      <c r="M190" s="548">
        <v>177271.48</v>
      </c>
      <c r="N190" s="548">
        <v>0</v>
      </c>
      <c r="O190" s="548">
        <v>28363.439999999999</v>
      </c>
      <c r="P190" s="548">
        <v>205634.92</v>
      </c>
      <c r="Q190" s="548"/>
      <c r="R190" s="548">
        <v>176916.14</v>
      </c>
      <c r="S190" s="549">
        <f t="shared" si="50"/>
        <v>28718.78</v>
      </c>
      <c r="T190" s="113" t="s">
        <v>283</v>
      </c>
      <c r="U190" s="360"/>
      <c r="V190" s="360"/>
      <c r="W190" s="358"/>
      <c r="X190" s="331"/>
      <c r="Y190" s="360"/>
      <c r="Z190" s="334"/>
      <c r="AA190" s="334"/>
      <c r="AB190" s="648"/>
      <c r="AC190" s="349"/>
      <c r="AD190" s="335"/>
      <c r="AE190" s="349"/>
      <c r="AF190" s="349"/>
      <c r="AG190" s="349"/>
      <c r="AH190" s="350"/>
      <c r="AI190" s="365"/>
      <c r="AJ190" s="374"/>
      <c r="AK190" s="374"/>
      <c r="AL190" s="374"/>
      <c r="AM190" s="374"/>
    </row>
    <row r="191" spans="1:39" s="291" customFormat="1" x14ac:dyDescent="0.2">
      <c r="A191" s="423">
        <f t="shared" si="51"/>
        <v>186</v>
      </c>
      <c r="B191" s="543" t="s">
        <v>1343</v>
      </c>
      <c r="C191" s="544">
        <v>521707</v>
      </c>
      <c r="D191" s="545">
        <v>2006</v>
      </c>
      <c r="E191" s="544" t="s">
        <v>702</v>
      </c>
      <c r="F191" s="546">
        <v>2017</v>
      </c>
      <c r="G191" s="547">
        <v>42782</v>
      </c>
      <c r="H191" s="544"/>
      <c r="I191" s="544" t="s">
        <v>1564</v>
      </c>
      <c r="J191" s="544" t="s">
        <v>724</v>
      </c>
      <c r="K191" s="544" t="s">
        <v>1698</v>
      </c>
      <c r="L191" s="544" t="s">
        <v>1826</v>
      </c>
      <c r="M191" s="548">
        <v>-177271.48</v>
      </c>
      <c r="N191" s="548">
        <v>0</v>
      </c>
      <c r="O191" s="548">
        <v>-28363.439999999999</v>
      </c>
      <c r="P191" s="548">
        <v>-205634.92</v>
      </c>
      <c r="Q191" s="548"/>
      <c r="R191" s="548">
        <v>-176916.14</v>
      </c>
      <c r="S191" s="549">
        <f t="shared" si="50"/>
        <v>-28718.78</v>
      </c>
      <c r="T191" s="445" t="s">
        <v>283</v>
      </c>
      <c r="U191" s="360"/>
      <c r="V191" s="360"/>
      <c r="W191" s="358"/>
      <c r="X191" s="331"/>
      <c r="Y191" s="360"/>
      <c r="Z191" s="334"/>
      <c r="AA191" s="334"/>
      <c r="AB191" s="648"/>
      <c r="AC191" s="349"/>
      <c r="AD191" s="335"/>
      <c r="AE191" s="349"/>
      <c r="AF191" s="349"/>
      <c r="AG191" s="349"/>
      <c r="AH191" s="272"/>
      <c r="AI191" s="313"/>
      <c r="AJ191" s="374"/>
      <c r="AK191" s="374"/>
      <c r="AL191" s="374"/>
      <c r="AM191" s="374"/>
    </row>
    <row r="192" spans="1:39" s="291" customFormat="1" x14ac:dyDescent="0.2">
      <c r="A192" s="423">
        <f t="shared" si="51"/>
        <v>187</v>
      </c>
      <c r="B192" s="543" t="s">
        <v>1344</v>
      </c>
      <c r="C192" s="544">
        <v>521707</v>
      </c>
      <c r="D192" s="545">
        <v>2006</v>
      </c>
      <c r="E192" s="544" t="s">
        <v>702</v>
      </c>
      <c r="F192" s="546">
        <v>2017</v>
      </c>
      <c r="G192" s="547">
        <v>42782</v>
      </c>
      <c r="H192" s="544"/>
      <c r="I192" s="544" t="s">
        <v>1564</v>
      </c>
      <c r="J192" s="544" t="s">
        <v>724</v>
      </c>
      <c r="K192" s="544" t="s">
        <v>1698</v>
      </c>
      <c r="L192" s="544" t="s">
        <v>1826</v>
      </c>
      <c r="M192" s="548">
        <v>177271.48</v>
      </c>
      <c r="N192" s="548">
        <v>0</v>
      </c>
      <c r="O192" s="548">
        <v>28363.439999999999</v>
      </c>
      <c r="P192" s="548">
        <v>205634.92</v>
      </c>
      <c r="Q192" s="548"/>
      <c r="R192" s="548">
        <v>176916.14</v>
      </c>
      <c r="S192" s="549">
        <f t="shared" si="50"/>
        <v>28718.78</v>
      </c>
      <c r="T192" s="113" t="s">
        <v>283</v>
      </c>
      <c r="U192" s="370"/>
      <c r="V192" s="370"/>
      <c r="W192" s="375"/>
      <c r="X192" s="374"/>
      <c r="Y192" s="370"/>
      <c r="Z192" s="371"/>
      <c r="AA192" s="371"/>
      <c r="AB192" s="649"/>
      <c r="AC192" s="270"/>
      <c r="AD192" s="372"/>
      <c r="AE192" s="270"/>
      <c r="AF192" s="270"/>
      <c r="AG192" s="270"/>
      <c r="AH192" s="272"/>
      <c r="AI192" s="313"/>
      <c r="AJ192" s="374"/>
      <c r="AK192" s="374"/>
      <c r="AL192" s="374"/>
      <c r="AM192" s="374"/>
    </row>
    <row r="193" spans="1:39" s="291" customFormat="1" x14ac:dyDescent="0.2">
      <c r="A193" s="423">
        <f t="shared" si="51"/>
        <v>188</v>
      </c>
      <c r="B193" s="543" t="s">
        <v>1352</v>
      </c>
      <c r="C193" s="544">
        <v>521707</v>
      </c>
      <c r="D193" s="545">
        <v>2006</v>
      </c>
      <c r="E193" s="544" t="s">
        <v>702</v>
      </c>
      <c r="F193" s="546">
        <v>2017</v>
      </c>
      <c r="G193" s="547">
        <v>42793</v>
      </c>
      <c r="H193" s="544"/>
      <c r="I193" s="544" t="s">
        <v>1568</v>
      </c>
      <c r="J193" s="544" t="s">
        <v>724</v>
      </c>
      <c r="K193" s="544" t="s">
        <v>1152</v>
      </c>
      <c r="L193" s="544" t="s">
        <v>1830</v>
      </c>
      <c r="M193" s="548">
        <v>-177271.48</v>
      </c>
      <c r="N193" s="548">
        <v>0</v>
      </c>
      <c r="O193" s="548">
        <v>-28363.439999999999</v>
      </c>
      <c r="P193" s="548">
        <v>-205634.92</v>
      </c>
      <c r="Q193" s="548"/>
      <c r="R193" s="548">
        <v>-177270.62</v>
      </c>
      <c r="S193" s="549">
        <f t="shared" si="50"/>
        <v>-28364.300000000017</v>
      </c>
      <c r="T193" s="113" t="s">
        <v>283</v>
      </c>
      <c r="U193" s="360"/>
      <c r="V193" s="360"/>
      <c r="W193" s="358"/>
      <c r="X193" s="331"/>
      <c r="Y193" s="360"/>
      <c r="Z193" s="334"/>
      <c r="AA193" s="334"/>
      <c r="AB193" s="648"/>
      <c r="AC193" s="349"/>
      <c r="AD193" s="335"/>
      <c r="AE193" s="349"/>
      <c r="AF193" s="349"/>
      <c r="AG193" s="349"/>
      <c r="AH193" s="272"/>
      <c r="AI193" s="313"/>
      <c r="AJ193" s="374"/>
      <c r="AK193" s="374"/>
      <c r="AL193" s="374"/>
      <c r="AM193" s="374"/>
    </row>
    <row r="194" spans="1:39" s="291" customFormat="1" x14ac:dyDescent="0.2">
      <c r="A194" s="423">
        <f t="shared" si="51"/>
        <v>189</v>
      </c>
      <c r="B194" s="543" t="s">
        <v>1353</v>
      </c>
      <c r="C194" s="544">
        <v>521707</v>
      </c>
      <c r="D194" s="545">
        <v>2006</v>
      </c>
      <c r="E194" s="544" t="s">
        <v>702</v>
      </c>
      <c r="F194" s="546">
        <v>2017</v>
      </c>
      <c r="G194" s="547">
        <v>42793</v>
      </c>
      <c r="H194" s="544"/>
      <c r="I194" s="544" t="s">
        <v>1568</v>
      </c>
      <c r="J194" s="544" t="s">
        <v>724</v>
      </c>
      <c r="K194" s="544" t="s">
        <v>1152</v>
      </c>
      <c r="L194" s="544" t="s">
        <v>1830</v>
      </c>
      <c r="M194" s="548">
        <v>177271.48</v>
      </c>
      <c r="N194" s="548">
        <v>0</v>
      </c>
      <c r="O194" s="548">
        <v>28363.439999999999</v>
      </c>
      <c r="P194" s="548">
        <v>205634.92</v>
      </c>
      <c r="Q194" s="548"/>
      <c r="R194" s="548">
        <v>177270.62</v>
      </c>
      <c r="S194" s="549">
        <f t="shared" si="50"/>
        <v>28364.300000000017</v>
      </c>
      <c r="T194" s="113" t="s">
        <v>283</v>
      </c>
      <c r="U194" s="360"/>
      <c r="V194" s="360"/>
      <c r="W194" s="358"/>
      <c r="X194" s="331"/>
      <c r="Y194" s="360"/>
      <c r="Z194" s="334"/>
      <c r="AA194" s="334"/>
      <c r="AB194" s="648"/>
      <c r="AC194" s="349"/>
      <c r="AD194" s="335"/>
      <c r="AE194" s="349"/>
      <c r="AF194" s="349"/>
      <c r="AG194" s="349"/>
      <c r="AH194" s="272"/>
      <c r="AI194" s="313"/>
      <c r="AJ194" s="374"/>
      <c r="AK194" s="374"/>
      <c r="AL194" s="374"/>
      <c r="AM194" s="374"/>
    </row>
    <row r="195" spans="1:39" s="291" customFormat="1" x14ac:dyDescent="0.2">
      <c r="A195" s="423">
        <f t="shared" si="51"/>
        <v>190</v>
      </c>
      <c r="B195" s="543" t="s">
        <v>1354</v>
      </c>
      <c r="C195" s="544">
        <v>521707</v>
      </c>
      <c r="D195" s="545">
        <v>2006</v>
      </c>
      <c r="E195" s="544" t="s">
        <v>702</v>
      </c>
      <c r="F195" s="546">
        <v>2017</v>
      </c>
      <c r="G195" s="547">
        <v>42793</v>
      </c>
      <c r="H195" s="544"/>
      <c r="I195" s="544" t="s">
        <v>1568</v>
      </c>
      <c r="J195" s="544" t="s">
        <v>724</v>
      </c>
      <c r="K195" s="544" t="s">
        <v>1152</v>
      </c>
      <c r="L195" s="544" t="s">
        <v>1830</v>
      </c>
      <c r="M195" s="548">
        <v>177271.48</v>
      </c>
      <c r="N195" s="548">
        <v>0</v>
      </c>
      <c r="O195" s="548">
        <v>28363.439999999999</v>
      </c>
      <c r="P195" s="548">
        <v>205634.92</v>
      </c>
      <c r="Q195" s="548"/>
      <c r="R195" s="548">
        <v>177270.62</v>
      </c>
      <c r="S195" s="549">
        <f t="shared" si="50"/>
        <v>28364.300000000017</v>
      </c>
      <c r="T195" s="113" t="s">
        <v>283</v>
      </c>
      <c r="U195" s="370"/>
      <c r="V195" s="370"/>
      <c r="W195" s="375"/>
      <c r="X195" s="374"/>
      <c r="Y195" s="370"/>
      <c r="Z195" s="371"/>
      <c r="AA195" s="371"/>
      <c r="AB195" s="649"/>
      <c r="AC195" s="270"/>
      <c r="AD195" s="372"/>
      <c r="AE195" s="270"/>
      <c r="AF195" s="270"/>
      <c r="AG195" s="270"/>
      <c r="AH195" s="272"/>
      <c r="AI195" s="313"/>
      <c r="AJ195" s="374"/>
      <c r="AK195" s="374"/>
      <c r="AL195" s="374"/>
      <c r="AM195" s="374"/>
    </row>
    <row r="196" spans="1:39" s="291" customFormat="1" x14ac:dyDescent="0.2">
      <c r="A196" s="423">
        <f t="shared" si="51"/>
        <v>191</v>
      </c>
      <c r="B196" s="543" t="s">
        <v>1355</v>
      </c>
      <c r="C196" s="544">
        <v>521707</v>
      </c>
      <c r="D196" s="545">
        <v>2006</v>
      </c>
      <c r="E196" s="544" t="s">
        <v>702</v>
      </c>
      <c r="F196" s="546">
        <v>2017</v>
      </c>
      <c r="G196" s="547">
        <v>42794</v>
      </c>
      <c r="H196" s="544"/>
      <c r="I196" s="544" t="s">
        <v>1569</v>
      </c>
      <c r="J196" s="544" t="s">
        <v>724</v>
      </c>
      <c r="K196" s="544" t="s">
        <v>1173</v>
      </c>
      <c r="L196" s="544" t="s">
        <v>1831</v>
      </c>
      <c r="M196" s="548">
        <v>177271.48</v>
      </c>
      <c r="N196" s="548">
        <v>0</v>
      </c>
      <c r="O196" s="548">
        <v>28363.439999999999</v>
      </c>
      <c r="P196" s="548">
        <v>205634.92</v>
      </c>
      <c r="Q196" s="548"/>
      <c r="R196" s="548">
        <v>176916.14</v>
      </c>
      <c r="S196" s="549">
        <f t="shared" si="50"/>
        <v>28718.78</v>
      </c>
      <c r="T196" s="113" t="s">
        <v>283</v>
      </c>
      <c r="U196" s="360"/>
      <c r="V196" s="360"/>
      <c r="W196" s="358"/>
      <c r="X196" s="331"/>
      <c r="Y196" s="360"/>
      <c r="Z196" s="334"/>
      <c r="AA196" s="334"/>
      <c r="AB196" s="648"/>
      <c r="AC196" s="349"/>
      <c r="AD196" s="335"/>
      <c r="AE196" s="349"/>
      <c r="AF196" s="349"/>
      <c r="AG196" s="349"/>
      <c r="AH196" s="350"/>
      <c r="AI196" s="365"/>
      <c r="AJ196" s="374"/>
      <c r="AK196" s="374"/>
      <c r="AL196" s="374"/>
      <c r="AM196" s="374"/>
    </row>
    <row r="197" spans="1:39" s="291" customFormat="1" x14ac:dyDescent="0.2">
      <c r="A197" s="423">
        <f t="shared" si="51"/>
        <v>192</v>
      </c>
      <c r="B197" s="543" t="s">
        <v>1358</v>
      </c>
      <c r="C197" s="544">
        <v>520908</v>
      </c>
      <c r="D197" s="545">
        <v>2008</v>
      </c>
      <c r="E197" s="544" t="s">
        <v>697</v>
      </c>
      <c r="F197" s="546">
        <v>2017</v>
      </c>
      <c r="G197" s="547">
        <v>42780</v>
      </c>
      <c r="H197" s="544"/>
      <c r="I197" s="544" t="s">
        <v>1572</v>
      </c>
      <c r="J197" s="544" t="s">
        <v>724</v>
      </c>
      <c r="K197" s="544" t="s">
        <v>1704</v>
      </c>
      <c r="L197" s="544" t="s">
        <v>1834</v>
      </c>
      <c r="M197" s="548">
        <v>181892.87</v>
      </c>
      <c r="N197" s="548">
        <v>0</v>
      </c>
      <c r="O197" s="548">
        <v>29102.86</v>
      </c>
      <c r="P197" s="548">
        <v>210995.73</v>
      </c>
      <c r="Q197" s="548"/>
      <c r="R197" s="548">
        <v>181537.53</v>
      </c>
      <c r="S197" s="549">
        <f t="shared" si="50"/>
        <v>29458.200000000012</v>
      </c>
      <c r="T197" s="267" t="s">
        <v>283</v>
      </c>
      <c r="U197" s="370"/>
      <c r="V197" s="370"/>
      <c r="W197" s="375"/>
      <c r="X197" s="374"/>
      <c r="Y197" s="313"/>
      <c r="Z197" s="371"/>
      <c r="AA197" s="371"/>
      <c r="AB197" s="649"/>
      <c r="AC197" s="371"/>
      <c r="AD197" s="372"/>
      <c r="AE197" s="371"/>
      <c r="AF197" s="371"/>
      <c r="AG197" s="270"/>
      <c r="AH197" s="350"/>
      <c r="AI197" s="365"/>
      <c r="AJ197" s="374"/>
      <c r="AK197" s="374"/>
      <c r="AL197" s="374"/>
      <c r="AM197" s="374"/>
    </row>
    <row r="198" spans="1:39" s="291" customFormat="1" x14ac:dyDescent="0.2">
      <c r="A198" s="423">
        <f t="shared" si="51"/>
        <v>193</v>
      </c>
      <c r="B198" s="543" t="s">
        <v>1360</v>
      </c>
      <c r="C198" s="544">
        <v>520909</v>
      </c>
      <c r="D198" s="545">
        <v>2009</v>
      </c>
      <c r="E198" s="544" t="s">
        <v>698</v>
      </c>
      <c r="F198" s="546">
        <v>2017</v>
      </c>
      <c r="G198" s="547">
        <v>42777</v>
      </c>
      <c r="H198" s="544"/>
      <c r="I198" s="544" t="s">
        <v>1574</v>
      </c>
      <c r="J198" s="544" t="s">
        <v>724</v>
      </c>
      <c r="K198" s="544" t="s">
        <v>1706</v>
      </c>
      <c r="L198" s="544" t="s">
        <v>1836</v>
      </c>
      <c r="M198" s="548">
        <v>193996.33</v>
      </c>
      <c r="N198" s="548">
        <v>0</v>
      </c>
      <c r="O198" s="548">
        <v>31039.41</v>
      </c>
      <c r="P198" s="548">
        <v>225035.74</v>
      </c>
      <c r="Q198" s="548"/>
      <c r="R198" s="548">
        <v>193640.98</v>
      </c>
      <c r="S198" s="549">
        <f t="shared" ref="S198:S248" si="52">+P198-R198</f>
        <v>31394.75999999998</v>
      </c>
      <c r="T198" s="267" t="s">
        <v>283</v>
      </c>
      <c r="U198" s="370"/>
      <c r="V198" s="370"/>
      <c r="W198" s="375"/>
      <c r="X198" s="374"/>
      <c r="Y198" s="313"/>
      <c r="Z198" s="371"/>
      <c r="AA198" s="371"/>
      <c r="AB198" s="649"/>
      <c r="AC198" s="371"/>
      <c r="AD198" s="372"/>
      <c r="AE198" s="371"/>
      <c r="AF198" s="371"/>
      <c r="AG198" s="270"/>
      <c r="AH198" s="350"/>
      <c r="AI198" s="365"/>
      <c r="AJ198" s="374"/>
      <c r="AK198" s="374"/>
      <c r="AL198" s="374"/>
      <c r="AM198" s="374"/>
    </row>
    <row r="199" spans="1:39" s="291" customFormat="1" x14ac:dyDescent="0.2">
      <c r="A199" s="423">
        <f t="shared" si="51"/>
        <v>194</v>
      </c>
      <c r="B199" s="543" t="s">
        <v>1361</v>
      </c>
      <c r="C199" s="544">
        <v>520909</v>
      </c>
      <c r="D199" s="545">
        <v>2009</v>
      </c>
      <c r="E199" s="544" t="s">
        <v>698</v>
      </c>
      <c r="F199" s="546">
        <v>2017</v>
      </c>
      <c r="G199" s="547">
        <v>42780</v>
      </c>
      <c r="H199" s="544"/>
      <c r="I199" s="544" t="s">
        <v>1575</v>
      </c>
      <c r="J199" s="544" t="s">
        <v>724</v>
      </c>
      <c r="K199" s="544" t="s">
        <v>1670</v>
      </c>
      <c r="L199" s="544" t="s">
        <v>1837</v>
      </c>
      <c r="M199" s="548">
        <v>-194823.91</v>
      </c>
      <c r="N199" s="548">
        <v>0</v>
      </c>
      <c r="O199" s="548">
        <v>-31171.82</v>
      </c>
      <c r="P199" s="548">
        <v>-225995.73</v>
      </c>
      <c r="Q199" s="548"/>
      <c r="R199" s="548">
        <v>-193640.98</v>
      </c>
      <c r="S199" s="549">
        <f t="shared" si="52"/>
        <v>-32354.75</v>
      </c>
      <c r="T199" s="444" t="s">
        <v>283</v>
      </c>
      <c r="U199" s="370"/>
      <c r="V199" s="370"/>
      <c r="W199" s="375"/>
      <c r="X199" s="374"/>
      <c r="Y199" s="313"/>
      <c r="Z199" s="371"/>
      <c r="AA199" s="371"/>
      <c r="AB199" s="649"/>
      <c r="AC199" s="371"/>
      <c r="AD199" s="372"/>
      <c r="AE199" s="371"/>
      <c r="AF199" s="371"/>
      <c r="AG199" s="270"/>
      <c r="AH199" s="350"/>
      <c r="AI199" s="365"/>
      <c r="AJ199" s="374"/>
      <c r="AK199" s="374"/>
      <c r="AL199" s="374"/>
      <c r="AM199" s="374"/>
    </row>
    <row r="200" spans="1:39" s="291" customFormat="1" x14ac:dyDescent="0.2">
      <c r="A200" s="423">
        <f t="shared" ref="A200:A248" si="53">+A199+1</f>
        <v>195</v>
      </c>
      <c r="B200" s="543" t="s">
        <v>1362</v>
      </c>
      <c r="C200" s="544">
        <v>520909</v>
      </c>
      <c r="D200" s="545">
        <v>2009</v>
      </c>
      <c r="E200" s="544" t="s">
        <v>698</v>
      </c>
      <c r="F200" s="546">
        <v>2017</v>
      </c>
      <c r="G200" s="547">
        <v>42780</v>
      </c>
      <c r="H200" s="544"/>
      <c r="I200" s="544" t="s">
        <v>1575</v>
      </c>
      <c r="J200" s="544" t="s">
        <v>724</v>
      </c>
      <c r="K200" s="544" t="s">
        <v>1670</v>
      </c>
      <c r="L200" s="544" t="s">
        <v>1837</v>
      </c>
      <c r="M200" s="548">
        <v>194823.91</v>
      </c>
      <c r="N200" s="548">
        <v>0</v>
      </c>
      <c r="O200" s="548">
        <v>31171.82</v>
      </c>
      <c r="P200" s="548">
        <v>225995.73</v>
      </c>
      <c r="Q200" s="548"/>
      <c r="R200" s="548">
        <v>193640.98</v>
      </c>
      <c r="S200" s="549">
        <f t="shared" si="52"/>
        <v>32354.75</v>
      </c>
      <c r="T200" s="267" t="s">
        <v>283</v>
      </c>
      <c r="U200" s="370"/>
      <c r="V200" s="370"/>
      <c r="W200" s="375"/>
      <c r="X200" s="374"/>
      <c r="Y200" s="313"/>
      <c r="Z200" s="371"/>
      <c r="AA200" s="371"/>
      <c r="AB200" s="649"/>
      <c r="AC200" s="371"/>
      <c r="AD200" s="372"/>
      <c r="AE200" s="371"/>
      <c r="AF200" s="371"/>
      <c r="AG200" s="270"/>
      <c r="AH200" s="350"/>
      <c r="AI200" s="365"/>
      <c r="AJ200" s="374"/>
      <c r="AK200" s="374"/>
      <c r="AL200" s="374"/>
      <c r="AM200" s="374"/>
    </row>
    <row r="201" spans="1:39" s="291" customFormat="1" x14ac:dyDescent="0.2">
      <c r="A201" s="423">
        <f t="shared" si="53"/>
        <v>196</v>
      </c>
      <c r="B201" s="543" t="s">
        <v>1363</v>
      </c>
      <c r="C201" s="544">
        <v>520909</v>
      </c>
      <c r="D201" s="545">
        <v>2009</v>
      </c>
      <c r="E201" s="544" t="s">
        <v>698</v>
      </c>
      <c r="F201" s="546">
        <v>2017</v>
      </c>
      <c r="G201" s="547">
        <v>42780</v>
      </c>
      <c r="H201" s="544"/>
      <c r="I201" s="544" t="s">
        <v>1575</v>
      </c>
      <c r="J201" s="544" t="s">
        <v>724</v>
      </c>
      <c r="K201" s="544" t="s">
        <v>1670</v>
      </c>
      <c r="L201" s="544" t="s">
        <v>1837</v>
      </c>
      <c r="M201" s="548">
        <v>193996.33</v>
      </c>
      <c r="N201" s="548">
        <v>0</v>
      </c>
      <c r="O201" s="548">
        <v>31039.41</v>
      </c>
      <c r="P201" s="548">
        <v>225035.74</v>
      </c>
      <c r="Q201" s="548"/>
      <c r="R201" s="548">
        <v>193640.98</v>
      </c>
      <c r="S201" s="549">
        <f t="shared" si="52"/>
        <v>31394.75999999998</v>
      </c>
      <c r="T201" s="113" t="s">
        <v>283</v>
      </c>
      <c r="U201" s="370"/>
      <c r="V201" s="370"/>
      <c r="W201" s="375"/>
      <c r="X201" s="374"/>
      <c r="Y201" s="313"/>
      <c r="Z201" s="371"/>
      <c r="AA201" s="371"/>
      <c r="AB201" s="649"/>
      <c r="AC201" s="371"/>
      <c r="AD201" s="372"/>
      <c r="AE201" s="371"/>
      <c r="AF201" s="371"/>
      <c r="AG201" s="270"/>
      <c r="AH201" s="350"/>
      <c r="AI201" s="365"/>
      <c r="AJ201" s="374"/>
      <c r="AK201" s="374"/>
      <c r="AL201" s="374"/>
      <c r="AM201" s="374"/>
    </row>
    <row r="202" spans="1:39" s="291" customFormat="1" x14ac:dyDescent="0.2">
      <c r="A202" s="423">
        <f t="shared" si="53"/>
        <v>197</v>
      </c>
      <c r="B202" s="543" t="s">
        <v>1371</v>
      </c>
      <c r="C202" s="544">
        <v>521801</v>
      </c>
      <c r="D202" s="545">
        <v>2201</v>
      </c>
      <c r="E202" s="544" t="s">
        <v>704</v>
      </c>
      <c r="F202" s="546">
        <v>2017</v>
      </c>
      <c r="G202" s="547">
        <v>42775</v>
      </c>
      <c r="H202" s="544"/>
      <c r="I202" s="544" t="s">
        <v>1579</v>
      </c>
      <c r="J202" s="544" t="s">
        <v>724</v>
      </c>
      <c r="K202" s="544" t="s">
        <v>392</v>
      </c>
      <c r="L202" s="544" t="s">
        <v>1841</v>
      </c>
      <c r="M202" s="548">
        <v>179254.95</v>
      </c>
      <c r="N202" s="548">
        <v>0</v>
      </c>
      <c r="O202" s="548">
        <v>28680.79</v>
      </c>
      <c r="P202" s="548">
        <v>207935.74</v>
      </c>
      <c r="Q202" s="548"/>
      <c r="R202" s="548">
        <v>178899.6</v>
      </c>
      <c r="S202" s="549">
        <f t="shared" si="52"/>
        <v>29036.139999999985</v>
      </c>
      <c r="T202" s="267" t="s">
        <v>283</v>
      </c>
      <c r="U202" s="370"/>
      <c r="V202" s="370"/>
      <c r="W202" s="375"/>
      <c r="X202" s="374"/>
      <c r="Y202" s="313"/>
      <c r="Z202" s="371"/>
      <c r="AA202" s="371"/>
      <c r="AB202" s="649"/>
      <c r="AC202" s="371"/>
      <c r="AD202" s="372"/>
      <c r="AE202" s="371"/>
      <c r="AF202" s="371"/>
      <c r="AG202" s="270"/>
      <c r="AH202" s="350"/>
      <c r="AI202" s="365"/>
      <c r="AJ202" s="374"/>
      <c r="AK202" s="374"/>
      <c r="AL202" s="374"/>
      <c r="AM202" s="374"/>
    </row>
    <row r="203" spans="1:39" s="291" customFormat="1" x14ac:dyDescent="0.2">
      <c r="A203" s="423">
        <f t="shared" si="53"/>
        <v>198</v>
      </c>
      <c r="B203" s="543" t="s">
        <v>1373</v>
      </c>
      <c r="C203" s="544">
        <v>521801</v>
      </c>
      <c r="D203" s="545">
        <v>2201</v>
      </c>
      <c r="E203" s="544" t="s">
        <v>704</v>
      </c>
      <c r="F203" s="546">
        <v>2017</v>
      </c>
      <c r="G203" s="547">
        <v>42784</v>
      </c>
      <c r="H203" s="544"/>
      <c r="I203" s="544" t="s">
        <v>1581</v>
      </c>
      <c r="J203" s="544" t="s">
        <v>724</v>
      </c>
      <c r="K203" s="544" t="s">
        <v>1710</v>
      </c>
      <c r="L203" s="544" t="s">
        <v>1843</v>
      </c>
      <c r="M203" s="548">
        <v>179254.95</v>
      </c>
      <c r="N203" s="548">
        <v>0</v>
      </c>
      <c r="O203" s="548">
        <v>28680.79</v>
      </c>
      <c r="P203" s="548">
        <v>207935.74</v>
      </c>
      <c r="Q203" s="548"/>
      <c r="R203" s="548">
        <v>178899.6</v>
      </c>
      <c r="S203" s="549">
        <f t="shared" si="52"/>
        <v>29036.139999999985</v>
      </c>
      <c r="T203" s="267" t="s">
        <v>283</v>
      </c>
      <c r="U203" s="370"/>
      <c r="V203" s="370"/>
      <c r="W203" s="375"/>
      <c r="X203" s="374"/>
      <c r="Y203" s="313"/>
      <c r="Z203" s="371"/>
      <c r="AA203" s="371"/>
      <c r="AB203" s="649"/>
      <c r="AC203" s="371"/>
      <c r="AD203" s="372"/>
      <c r="AE203" s="371"/>
      <c r="AF203" s="371"/>
      <c r="AG203" s="270"/>
      <c r="AH203" s="350"/>
      <c r="AI203" s="365"/>
      <c r="AJ203" s="374"/>
      <c r="AK203" s="374"/>
      <c r="AL203" s="374"/>
      <c r="AM203" s="374"/>
    </row>
    <row r="204" spans="1:39" s="291" customFormat="1" x14ac:dyDescent="0.2">
      <c r="A204" s="423">
        <f t="shared" si="53"/>
        <v>199</v>
      </c>
      <c r="B204" s="543" t="s">
        <v>1375</v>
      </c>
      <c r="C204" s="544">
        <v>521801</v>
      </c>
      <c r="D204" s="545">
        <v>2201</v>
      </c>
      <c r="E204" s="544" t="s">
        <v>704</v>
      </c>
      <c r="F204" s="546">
        <v>2017</v>
      </c>
      <c r="G204" s="547">
        <v>42788</v>
      </c>
      <c r="H204" s="544"/>
      <c r="I204" s="544" t="s">
        <v>1136</v>
      </c>
      <c r="J204" s="544" t="s">
        <v>724</v>
      </c>
      <c r="K204" s="544" t="s">
        <v>1147</v>
      </c>
      <c r="L204" s="544" t="s">
        <v>1138</v>
      </c>
      <c r="M204" s="548">
        <v>179254.95</v>
      </c>
      <c r="N204" s="548">
        <v>0</v>
      </c>
      <c r="O204" s="548">
        <v>28680.79</v>
      </c>
      <c r="P204" s="548">
        <v>207935.74</v>
      </c>
      <c r="Q204" s="548"/>
      <c r="R204" s="548">
        <v>179254.09</v>
      </c>
      <c r="S204" s="549">
        <f t="shared" si="52"/>
        <v>28681.649999999994</v>
      </c>
      <c r="T204" s="113" t="s">
        <v>283</v>
      </c>
      <c r="U204" s="370"/>
      <c r="V204" s="370"/>
      <c r="W204" s="375"/>
      <c r="X204" s="374"/>
      <c r="Y204" s="313"/>
      <c r="Z204" s="371"/>
      <c r="AA204" s="371"/>
      <c r="AB204" s="649"/>
      <c r="AC204" s="371"/>
      <c r="AD204" s="372"/>
      <c r="AE204" s="371"/>
      <c r="AF204" s="371"/>
      <c r="AG204" s="270"/>
      <c r="AH204" s="350"/>
      <c r="AI204" s="365"/>
      <c r="AJ204" s="374"/>
      <c r="AK204" s="374"/>
      <c r="AL204" s="374"/>
      <c r="AM204" s="374"/>
    </row>
    <row r="205" spans="1:39" s="291" customFormat="1" x14ac:dyDescent="0.2">
      <c r="A205" s="423">
        <f t="shared" si="53"/>
        <v>200</v>
      </c>
      <c r="B205" s="543" t="s">
        <v>1379</v>
      </c>
      <c r="C205" s="544">
        <v>521802</v>
      </c>
      <c r="D205" s="545">
        <v>2202</v>
      </c>
      <c r="E205" s="544" t="s">
        <v>703</v>
      </c>
      <c r="F205" s="546">
        <v>2017</v>
      </c>
      <c r="G205" s="547">
        <v>42784</v>
      </c>
      <c r="H205" s="544"/>
      <c r="I205" s="544" t="s">
        <v>1584</v>
      </c>
      <c r="J205" s="544" t="s">
        <v>724</v>
      </c>
      <c r="K205" s="544" t="s">
        <v>1144</v>
      </c>
      <c r="L205" s="544" t="s">
        <v>1846</v>
      </c>
      <c r="M205" s="548">
        <v>183211.84</v>
      </c>
      <c r="N205" s="548">
        <v>0</v>
      </c>
      <c r="O205" s="548">
        <v>29313.9</v>
      </c>
      <c r="P205" s="548">
        <v>212525.74</v>
      </c>
      <c r="Q205" s="548"/>
      <c r="R205" s="548">
        <v>182856.5</v>
      </c>
      <c r="S205" s="549">
        <f t="shared" si="52"/>
        <v>29669.239999999991</v>
      </c>
      <c r="T205" s="267" t="s">
        <v>283</v>
      </c>
      <c r="U205" s="370"/>
      <c r="V205" s="370"/>
      <c r="W205" s="375"/>
      <c r="X205" s="374"/>
      <c r="Y205" s="313"/>
      <c r="Z205" s="371"/>
      <c r="AA205" s="371"/>
      <c r="AB205" s="649"/>
      <c r="AC205" s="371"/>
      <c r="AD205" s="372"/>
      <c r="AE205" s="371"/>
      <c r="AF205" s="371"/>
      <c r="AG205" s="270"/>
      <c r="AH205" s="350"/>
      <c r="AI205" s="365"/>
      <c r="AJ205" s="374"/>
      <c r="AK205" s="374"/>
      <c r="AL205" s="374"/>
      <c r="AM205" s="374"/>
    </row>
    <row r="206" spans="1:39" s="291" customFormat="1" x14ac:dyDescent="0.2">
      <c r="A206" s="423">
        <f t="shared" si="53"/>
        <v>201</v>
      </c>
      <c r="B206" s="543" t="s">
        <v>1380</v>
      </c>
      <c r="C206" s="544">
        <v>521802</v>
      </c>
      <c r="D206" s="545">
        <v>2202</v>
      </c>
      <c r="E206" s="544" t="s">
        <v>703</v>
      </c>
      <c r="F206" s="546">
        <v>2017</v>
      </c>
      <c r="G206" s="547">
        <v>42788</v>
      </c>
      <c r="H206" s="544"/>
      <c r="I206" s="544" t="s">
        <v>1585</v>
      </c>
      <c r="J206" s="544" t="s">
        <v>724</v>
      </c>
      <c r="K206" s="544" t="s">
        <v>1175</v>
      </c>
      <c r="L206" s="544" t="s">
        <v>1847</v>
      </c>
      <c r="M206" s="548">
        <v>183211.84</v>
      </c>
      <c r="N206" s="548">
        <v>0</v>
      </c>
      <c r="O206" s="548">
        <v>29313.9</v>
      </c>
      <c r="P206" s="548">
        <v>212525.74</v>
      </c>
      <c r="Q206" s="548"/>
      <c r="R206" s="548">
        <v>182856.5</v>
      </c>
      <c r="S206" s="549">
        <f t="shared" si="52"/>
        <v>29669.239999999991</v>
      </c>
      <c r="T206" s="113" t="s">
        <v>283</v>
      </c>
      <c r="U206" s="370"/>
      <c r="V206" s="370"/>
      <c r="W206" s="375"/>
      <c r="X206" s="374"/>
      <c r="Y206" s="313"/>
      <c r="Z206" s="371"/>
      <c r="AA206" s="371"/>
      <c r="AB206" s="649"/>
      <c r="AC206" s="371"/>
      <c r="AD206" s="372"/>
      <c r="AE206" s="371"/>
      <c r="AF206" s="371"/>
      <c r="AG206" s="270"/>
      <c r="AH206" s="350"/>
      <c r="AI206" s="365"/>
      <c r="AJ206" s="374"/>
      <c r="AK206" s="374"/>
      <c r="AL206" s="374"/>
      <c r="AM206" s="374"/>
    </row>
    <row r="207" spans="1:39" s="291" customFormat="1" x14ac:dyDescent="0.2">
      <c r="A207" s="423">
        <f t="shared" si="53"/>
        <v>202</v>
      </c>
      <c r="B207" s="543" t="s">
        <v>1392</v>
      </c>
      <c r="C207" s="544">
        <v>520815</v>
      </c>
      <c r="D207" s="545">
        <v>4492</v>
      </c>
      <c r="E207" s="544" t="s">
        <v>694</v>
      </c>
      <c r="F207" s="546">
        <v>2017</v>
      </c>
      <c r="G207" s="547">
        <v>42794</v>
      </c>
      <c r="H207" s="544"/>
      <c r="I207" s="544" t="s">
        <v>1593</v>
      </c>
      <c r="J207" s="544" t="s">
        <v>724</v>
      </c>
      <c r="K207" s="544" t="s">
        <v>1706</v>
      </c>
      <c r="L207" s="544" t="s">
        <v>1855</v>
      </c>
      <c r="M207" s="548">
        <v>303721.53999999998</v>
      </c>
      <c r="N207" s="548">
        <v>0</v>
      </c>
      <c r="O207" s="548">
        <v>48595.45</v>
      </c>
      <c r="P207" s="548">
        <v>352316.99</v>
      </c>
      <c r="Q207" s="548"/>
      <c r="R207" s="548">
        <v>296567.37</v>
      </c>
      <c r="S207" s="549">
        <f t="shared" si="52"/>
        <v>55749.619999999995</v>
      </c>
      <c r="T207" s="267" t="s">
        <v>283</v>
      </c>
      <c r="U207" s="370"/>
      <c r="V207" s="370"/>
      <c r="W207" s="375"/>
      <c r="X207" s="374"/>
      <c r="Y207" s="313"/>
      <c r="Z207" s="371"/>
      <c r="AA207" s="371"/>
      <c r="AB207" s="649"/>
      <c r="AC207" s="371"/>
      <c r="AD207" s="372"/>
      <c r="AE207" s="371"/>
      <c r="AF207" s="371"/>
      <c r="AG207" s="270"/>
      <c r="AH207" s="350"/>
      <c r="AI207" s="365"/>
      <c r="AJ207" s="374"/>
      <c r="AK207" s="374"/>
      <c r="AL207" s="374"/>
      <c r="AM207" s="374"/>
    </row>
    <row r="208" spans="1:39" s="291" customFormat="1" x14ac:dyDescent="0.2">
      <c r="A208" s="423">
        <f t="shared" si="53"/>
        <v>203</v>
      </c>
      <c r="B208" s="543" t="s">
        <v>1394</v>
      </c>
      <c r="C208" s="544">
        <v>520814</v>
      </c>
      <c r="D208" s="545">
        <v>4493</v>
      </c>
      <c r="E208" s="544" t="s">
        <v>693</v>
      </c>
      <c r="F208" s="546">
        <v>2017</v>
      </c>
      <c r="G208" s="547">
        <v>42790</v>
      </c>
      <c r="H208" s="544"/>
      <c r="I208" s="544" t="s">
        <v>1595</v>
      </c>
      <c r="J208" s="544" t="s">
        <v>724</v>
      </c>
      <c r="K208" s="544" t="s">
        <v>1147</v>
      </c>
      <c r="L208" s="544" t="s">
        <v>1857</v>
      </c>
      <c r="M208" s="548">
        <v>269450.42</v>
      </c>
      <c r="N208" s="548">
        <v>0</v>
      </c>
      <c r="O208" s="548">
        <v>43112.07</v>
      </c>
      <c r="P208" s="548">
        <v>312562.49</v>
      </c>
      <c r="Q208" s="548"/>
      <c r="R208" s="548">
        <v>269095.08</v>
      </c>
      <c r="S208" s="549">
        <f t="shared" si="52"/>
        <v>43467.409999999974</v>
      </c>
      <c r="T208" s="444" t="s">
        <v>283</v>
      </c>
      <c r="U208" s="370"/>
      <c r="V208" s="370"/>
      <c r="W208" s="375"/>
      <c r="X208" s="374"/>
      <c r="Y208" s="313"/>
      <c r="Z208" s="371"/>
      <c r="AA208" s="371"/>
      <c r="AB208" s="649"/>
      <c r="AC208" s="371"/>
      <c r="AD208" s="372"/>
      <c r="AE208" s="371"/>
      <c r="AF208" s="371"/>
      <c r="AG208" s="270"/>
      <c r="AH208" s="350"/>
      <c r="AI208" s="365"/>
      <c r="AJ208" s="374"/>
      <c r="AK208" s="374"/>
      <c r="AL208" s="374"/>
      <c r="AM208" s="374"/>
    </row>
    <row r="209" spans="1:39" s="291" customFormat="1" x14ac:dyDescent="0.2">
      <c r="A209" s="423">
        <f t="shared" si="53"/>
        <v>204</v>
      </c>
      <c r="B209" s="543" t="s">
        <v>1397</v>
      </c>
      <c r="C209" s="544">
        <v>520814</v>
      </c>
      <c r="D209" s="545">
        <v>4493</v>
      </c>
      <c r="E209" s="544" t="s">
        <v>693</v>
      </c>
      <c r="F209" s="546">
        <v>2017</v>
      </c>
      <c r="G209" s="547">
        <v>42794</v>
      </c>
      <c r="H209" s="544"/>
      <c r="I209" s="544" t="s">
        <v>1598</v>
      </c>
      <c r="J209" s="544" t="s">
        <v>724</v>
      </c>
      <c r="K209" s="544" t="s">
        <v>1173</v>
      </c>
      <c r="L209" s="544" t="s">
        <v>1860</v>
      </c>
      <c r="M209" s="548">
        <v>269450.42</v>
      </c>
      <c r="N209" s="548">
        <v>0</v>
      </c>
      <c r="O209" s="548">
        <v>43112.07</v>
      </c>
      <c r="P209" s="548">
        <v>312562.49</v>
      </c>
      <c r="Q209" s="548"/>
      <c r="R209" s="548">
        <v>269095.08</v>
      </c>
      <c r="S209" s="549">
        <f t="shared" si="52"/>
        <v>43467.409999999974</v>
      </c>
      <c r="T209" s="113" t="s">
        <v>283</v>
      </c>
      <c r="U209" s="370"/>
      <c r="V209" s="370"/>
      <c r="W209" s="375"/>
      <c r="X209" s="374"/>
      <c r="Y209" s="313"/>
      <c r="Z209" s="371"/>
      <c r="AA209" s="371"/>
      <c r="AB209" s="649"/>
      <c r="AC209" s="371"/>
      <c r="AD209" s="372"/>
      <c r="AE209" s="371"/>
      <c r="AF209" s="371"/>
      <c r="AG209" s="270"/>
      <c r="AH209" s="350"/>
      <c r="AI209" s="365"/>
      <c r="AJ209" s="374"/>
      <c r="AK209" s="374"/>
      <c r="AL209" s="374"/>
      <c r="AM209" s="374"/>
    </row>
    <row r="210" spans="1:39" s="291" customFormat="1" x14ac:dyDescent="0.2">
      <c r="A210" s="423">
        <f t="shared" si="53"/>
        <v>205</v>
      </c>
      <c r="B210" s="543" t="s">
        <v>1402</v>
      </c>
      <c r="C210" s="544">
        <v>520819</v>
      </c>
      <c r="D210" s="545">
        <v>4498</v>
      </c>
      <c r="E210" s="544" t="s">
        <v>696</v>
      </c>
      <c r="F210" s="546">
        <v>2017</v>
      </c>
      <c r="G210" s="547">
        <v>42777</v>
      </c>
      <c r="H210" s="544"/>
      <c r="I210" s="544" t="s">
        <v>841</v>
      </c>
      <c r="J210" s="544" t="s">
        <v>724</v>
      </c>
      <c r="K210" s="544" t="s">
        <v>1710</v>
      </c>
      <c r="L210" s="544" t="s">
        <v>843</v>
      </c>
      <c r="M210" s="548">
        <v>320161.18</v>
      </c>
      <c r="N210" s="548">
        <v>0</v>
      </c>
      <c r="O210" s="548">
        <v>51225.79</v>
      </c>
      <c r="P210" s="548">
        <v>371386.97</v>
      </c>
      <c r="Q210" s="548"/>
      <c r="R210" s="548">
        <v>319849.96999999997</v>
      </c>
      <c r="S210" s="549">
        <f t="shared" si="52"/>
        <v>51537</v>
      </c>
      <c r="T210" s="113" t="s">
        <v>283</v>
      </c>
      <c r="U210" s="370"/>
      <c r="V210" s="370"/>
      <c r="W210" s="375"/>
      <c r="X210" s="374"/>
      <c r="Y210" s="313"/>
      <c r="Z210" s="371"/>
      <c r="AA210" s="371"/>
      <c r="AB210" s="649"/>
      <c r="AC210" s="371"/>
      <c r="AD210" s="372"/>
      <c r="AE210" s="371"/>
      <c r="AF210" s="371"/>
      <c r="AG210" s="270"/>
      <c r="AH210" s="350"/>
      <c r="AI210" s="365"/>
      <c r="AJ210" s="374"/>
      <c r="AK210" s="374"/>
      <c r="AL210" s="374"/>
      <c r="AM210" s="374"/>
    </row>
    <row r="211" spans="1:39" s="291" customFormat="1" x14ac:dyDescent="0.2">
      <c r="A211" s="423">
        <f t="shared" si="53"/>
        <v>206</v>
      </c>
      <c r="B211" s="543" t="s">
        <v>1419</v>
      </c>
      <c r="C211" s="544">
        <v>1520202</v>
      </c>
      <c r="D211" s="545">
        <v>5601</v>
      </c>
      <c r="E211" s="544" t="s">
        <v>221</v>
      </c>
      <c r="F211" s="546">
        <v>2017</v>
      </c>
      <c r="G211" s="547">
        <v>42794</v>
      </c>
      <c r="H211" s="544"/>
      <c r="I211" s="544" t="s">
        <v>1610</v>
      </c>
      <c r="J211" s="544" t="s">
        <v>724</v>
      </c>
      <c r="K211" s="544" t="s">
        <v>1730</v>
      </c>
      <c r="L211" s="544" t="s">
        <v>1872</v>
      </c>
      <c r="M211" s="548">
        <v>279990.18</v>
      </c>
      <c r="N211" s="548">
        <v>0</v>
      </c>
      <c r="O211" s="548">
        <v>44798.43</v>
      </c>
      <c r="P211" s="548">
        <v>324788.61</v>
      </c>
      <c r="Q211" s="548"/>
      <c r="R211" s="548">
        <v>279634.84000000003</v>
      </c>
      <c r="S211" s="549">
        <f t="shared" si="52"/>
        <v>45153.76999999996</v>
      </c>
      <c r="T211" s="113" t="s">
        <v>283</v>
      </c>
      <c r="U211" s="320"/>
      <c r="V211" s="354"/>
      <c r="W211" s="355"/>
      <c r="X211" s="355"/>
      <c r="Y211" s="355"/>
      <c r="Z211" s="328"/>
      <c r="AA211" s="328"/>
      <c r="AB211" s="650"/>
      <c r="AC211" s="328"/>
      <c r="AD211" s="333"/>
      <c r="AE211" s="328"/>
      <c r="AF211" s="328"/>
      <c r="AG211" s="346"/>
      <c r="AH211" s="347"/>
      <c r="AI211" s="363"/>
      <c r="AJ211" s="374"/>
      <c r="AK211" s="374"/>
      <c r="AL211" s="374"/>
      <c r="AM211" s="374"/>
    </row>
    <row r="212" spans="1:39" s="291" customFormat="1" x14ac:dyDescent="0.2">
      <c r="A212" s="423">
        <f t="shared" si="53"/>
        <v>207</v>
      </c>
      <c r="B212" s="543" t="s">
        <v>1445</v>
      </c>
      <c r="C212" s="544">
        <v>1520105</v>
      </c>
      <c r="D212" s="545">
        <v>7494</v>
      </c>
      <c r="E212" s="544" t="s">
        <v>712</v>
      </c>
      <c r="F212" s="546">
        <v>2017</v>
      </c>
      <c r="G212" s="547">
        <v>42784</v>
      </c>
      <c r="H212" s="544"/>
      <c r="I212" s="544" t="s">
        <v>1625</v>
      </c>
      <c r="J212" s="544" t="s">
        <v>724</v>
      </c>
      <c r="K212" s="544" t="s">
        <v>1745</v>
      </c>
      <c r="L212" s="544" t="s">
        <v>1887</v>
      </c>
      <c r="M212" s="548">
        <v>205538.34</v>
      </c>
      <c r="N212" s="548">
        <v>0</v>
      </c>
      <c r="O212" s="548">
        <v>32886.14</v>
      </c>
      <c r="P212" s="548">
        <v>238424.48</v>
      </c>
      <c r="Q212" s="548"/>
      <c r="R212" s="548">
        <v>205183</v>
      </c>
      <c r="S212" s="549">
        <f t="shared" si="52"/>
        <v>33241.48000000001</v>
      </c>
      <c r="T212" s="267" t="s">
        <v>283</v>
      </c>
      <c r="U212" s="370"/>
      <c r="V212" s="370"/>
      <c r="W212" s="375"/>
      <c r="X212" s="374"/>
      <c r="Y212" s="313"/>
      <c r="Z212" s="371"/>
      <c r="AA212" s="371"/>
      <c r="AB212" s="649"/>
      <c r="AC212" s="371"/>
      <c r="AD212" s="372"/>
      <c r="AE212" s="371"/>
      <c r="AF212" s="371"/>
      <c r="AG212" s="270"/>
      <c r="AH212" s="350"/>
      <c r="AI212" s="365"/>
      <c r="AJ212" s="374"/>
      <c r="AK212" s="374"/>
      <c r="AL212" s="374"/>
      <c r="AM212" s="374"/>
    </row>
    <row r="213" spans="1:39" s="291" customFormat="1" x14ac:dyDescent="0.2">
      <c r="A213" s="423">
        <f t="shared" si="53"/>
        <v>208</v>
      </c>
      <c r="B213" s="543" t="s">
        <v>1449</v>
      </c>
      <c r="C213" s="544">
        <v>1520105</v>
      </c>
      <c r="D213" s="545">
        <v>7494</v>
      </c>
      <c r="E213" s="544" t="s">
        <v>712</v>
      </c>
      <c r="F213" s="546">
        <v>2017</v>
      </c>
      <c r="G213" s="547">
        <v>42789</v>
      </c>
      <c r="H213" s="544"/>
      <c r="I213" s="544" t="s">
        <v>1627</v>
      </c>
      <c r="J213" s="544" t="s">
        <v>724</v>
      </c>
      <c r="K213" s="544" t="s">
        <v>1155</v>
      </c>
      <c r="L213" s="544" t="s">
        <v>1889</v>
      </c>
      <c r="M213" s="548">
        <v>205538.34</v>
      </c>
      <c r="N213" s="548">
        <v>0</v>
      </c>
      <c r="O213" s="548">
        <v>32886.14</v>
      </c>
      <c r="P213" s="548">
        <v>238424.48</v>
      </c>
      <c r="Q213" s="548"/>
      <c r="R213" s="548">
        <v>205183</v>
      </c>
      <c r="S213" s="549">
        <f t="shared" si="52"/>
        <v>33241.48000000001</v>
      </c>
      <c r="T213" s="113" t="s">
        <v>283</v>
      </c>
      <c r="U213" s="369"/>
      <c r="V213" s="370"/>
      <c r="W213" s="375"/>
      <c r="X213" s="375"/>
      <c r="Y213" s="375"/>
      <c r="Z213" s="371"/>
      <c r="AA213" s="371"/>
      <c r="AB213" s="649"/>
      <c r="AC213" s="371"/>
      <c r="AD213" s="372"/>
      <c r="AE213" s="371"/>
      <c r="AF213" s="371"/>
      <c r="AG213" s="270"/>
      <c r="AH213" s="347"/>
      <c r="AI213" s="363"/>
      <c r="AJ213" s="374"/>
      <c r="AK213" s="374"/>
      <c r="AL213" s="374"/>
      <c r="AM213" s="374"/>
    </row>
    <row r="214" spans="1:39" s="291" customFormat="1" x14ac:dyDescent="0.2">
      <c r="A214" s="423">
        <f t="shared" si="53"/>
        <v>209</v>
      </c>
      <c r="B214" s="543" t="s">
        <v>1450</v>
      </c>
      <c r="C214" s="544">
        <v>1520105</v>
      </c>
      <c r="D214" s="545">
        <v>7494</v>
      </c>
      <c r="E214" s="544" t="s">
        <v>712</v>
      </c>
      <c r="F214" s="546">
        <v>2017</v>
      </c>
      <c r="G214" s="547">
        <v>42790</v>
      </c>
      <c r="H214" s="544"/>
      <c r="I214" s="544" t="s">
        <v>1627</v>
      </c>
      <c r="J214" s="544" t="s">
        <v>724</v>
      </c>
      <c r="K214" s="544" t="s">
        <v>1155</v>
      </c>
      <c r="L214" s="544" t="s">
        <v>1889</v>
      </c>
      <c r="M214" s="548">
        <v>-205538.34</v>
      </c>
      <c r="N214" s="548">
        <v>0</v>
      </c>
      <c r="O214" s="548">
        <v>-32886.14</v>
      </c>
      <c r="P214" s="548">
        <v>-238424.48</v>
      </c>
      <c r="Q214" s="548"/>
      <c r="R214" s="548">
        <v>-205183</v>
      </c>
      <c r="S214" s="549">
        <f t="shared" si="52"/>
        <v>-33241.48000000001</v>
      </c>
      <c r="T214" s="113" t="s">
        <v>283</v>
      </c>
      <c r="U214" s="370"/>
      <c r="V214" s="370"/>
      <c r="W214" s="375"/>
      <c r="X214" s="374"/>
      <c r="Y214" s="313"/>
      <c r="Z214" s="371"/>
      <c r="AA214" s="371"/>
      <c r="AB214" s="649"/>
      <c r="AC214" s="371"/>
      <c r="AD214" s="372"/>
      <c r="AE214" s="371"/>
      <c r="AF214" s="371"/>
      <c r="AG214" s="270"/>
      <c r="AH214" s="350"/>
      <c r="AI214" s="365"/>
      <c r="AJ214" s="374"/>
      <c r="AK214" s="374"/>
      <c r="AL214" s="374"/>
      <c r="AM214" s="374"/>
    </row>
    <row r="215" spans="1:39" s="291" customFormat="1" x14ac:dyDescent="0.2">
      <c r="A215" s="423">
        <f t="shared" si="53"/>
        <v>210</v>
      </c>
      <c r="B215" s="543" t="s">
        <v>1451</v>
      </c>
      <c r="C215" s="544">
        <v>1520105</v>
      </c>
      <c r="D215" s="545">
        <v>7494</v>
      </c>
      <c r="E215" s="544" t="s">
        <v>712</v>
      </c>
      <c r="F215" s="546">
        <v>2017</v>
      </c>
      <c r="G215" s="547">
        <v>42790</v>
      </c>
      <c r="H215" s="544"/>
      <c r="I215" s="544" t="s">
        <v>1627</v>
      </c>
      <c r="J215" s="544" t="s">
        <v>724</v>
      </c>
      <c r="K215" s="544" t="s">
        <v>1155</v>
      </c>
      <c r="L215" s="544" t="s">
        <v>1889</v>
      </c>
      <c r="M215" s="548">
        <v>205538.34</v>
      </c>
      <c r="N215" s="548">
        <v>0</v>
      </c>
      <c r="O215" s="548">
        <v>32886.14</v>
      </c>
      <c r="P215" s="548">
        <v>238424.48</v>
      </c>
      <c r="Q215" s="548"/>
      <c r="R215" s="548">
        <v>205183</v>
      </c>
      <c r="S215" s="549">
        <f t="shared" si="52"/>
        <v>33241.48000000001</v>
      </c>
      <c r="T215" s="113" t="s">
        <v>283</v>
      </c>
      <c r="U215" s="369"/>
      <c r="V215" s="370"/>
      <c r="W215" s="375"/>
      <c r="X215" s="375"/>
      <c r="Y215" s="375"/>
      <c r="Z215" s="371"/>
      <c r="AA215" s="371"/>
      <c r="AB215" s="649"/>
      <c r="AC215" s="371"/>
      <c r="AD215" s="372"/>
      <c r="AE215" s="371"/>
      <c r="AF215" s="371"/>
      <c r="AG215" s="270"/>
      <c r="AH215" s="347"/>
      <c r="AI215" s="363"/>
      <c r="AJ215" s="374"/>
      <c r="AK215" s="374"/>
      <c r="AL215" s="374"/>
      <c r="AM215" s="374"/>
    </row>
    <row r="216" spans="1:39" s="291" customFormat="1" x14ac:dyDescent="0.2">
      <c r="A216" s="423">
        <f t="shared" si="53"/>
        <v>211</v>
      </c>
      <c r="B216" s="543" t="s">
        <v>1452</v>
      </c>
      <c r="C216" s="544">
        <v>1520105</v>
      </c>
      <c r="D216" s="545">
        <v>7494</v>
      </c>
      <c r="E216" s="544" t="s">
        <v>712</v>
      </c>
      <c r="F216" s="546">
        <v>2017</v>
      </c>
      <c r="G216" s="547">
        <v>42794</v>
      </c>
      <c r="H216" s="544"/>
      <c r="I216" s="544" t="s">
        <v>1628</v>
      </c>
      <c r="J216" s="544" t="s">
        <v>724</v>
      </c>
      <c r="K216" s="544" t="s">
        <v>99</v>
      </c>
      <c r="L216" s="544" t="s">
        <v>1890</v>
      </c>
      <c r="M216" s="548">
        <v>205538.69</v>
      </c>
      <c r="N216" s="548">
        <v>0</v>
      </c>
      <c r="O216" s="548">
        <v>32886.19</v>
      </c>
      <c r="P216" s="548">
        <v>238424.88</v>
      </c>
      <c r="Q216" s="548"/>
      <c r="R216" s="548">
        <v>205183</v>
      </c>
      <c r="S216" s="549">
        <f t="shared" si="52"/>
        <v>33241.880000000005</v>
      </c>
      <c r="T216" s="267" t="s">
        <v>283</v>
      </c>
      <c r="U216" s="370"/>
      <c r="V216" s="370"/>
      <c r="W216" s="375"/>
      <c r="X216" s="374"/>
      <c r="Y216" s="313"/>
      <c r="Z216" s="371"/>
      <c r="AA216" s="371"/>
      <c r="AB216" s="649"/>
      <c r="AC216" s="371"/>
      <c r="AD216" s="372"/>
      <c r="AE216" s="371"/>
      <c r="AF216" s="371"/>
      <c r="AG216" s="270"/>
      <c r="AH216" s="350"/>
      <c r="AI216" s="365"/>
      <c r="AJ216" s="374"/>
      <c r="AK216" s="374"/>
      <c r="AL216" s="374"/>
      <c r="AM216" s="374"/>
    </row>
    <row r="217" spans="1:39" s="291" customFormat="1" x14ac:dyDescent="0.2">
      <c r="A217" s="423">
        <f t="shared" si="53"/>
        <v>212</v>
      </c>
      <c r="B217" s="543" t="s">
        <v>1465</v>
      </c>
      <c r="C217" s="544">
        <v>1520604</v>
      </c>
      <c r="D217" s="545">
        <v>7495</v>
      </c>
      <c r="E217" s="544" t="s">
        <v>718</v>
      </c>
      <c r="F217" s="546">
        <v>2017</v>
      </c>
      <c r="G217" s="547">
        <v>42784</v>
      </c>
      <c r="H217" s="544"/>
      <c r="I217" s="544" t="s">
        <v>1637</v>
      </c>
      <c r="J217" s="544" t="s">
        <v>724</v>
      </c>
      <c r="K217" s="544" t="s">
        <v>1754</v>
      </c>
      <c r="L217" s="544" t="s">
        <v>1899</v>
      </c>
      <c r="M217" s="548">
        <v>255780.14</v>
      </c>
      <c r="N217" s="548">
        <v>0</v>
      </c>
      <c r="O217" s="548">
        <v>40924.82</v>
      </c>
      <c r="P217" s="548">
        <v>296704.96000000002</v>
      </c>
      <c r="Q217" s="548"/>
      <c r="R217" s="548">
        <v>255471</v>
      </c>
      <c r="S217" s="549">
        <f t="shared" si="52"/>
        <v>41233.960000000021</v>
      </c>
      <c r="T217" s="267" t="s">
        <v>283</v>
      </c>
      <c r="U217" s="369"/>
      <c r="V217" s="370"/>
      <c r="W217" s="375"/>
      <c r="X217" s="375"/>
      <c r="Y217" s="375"/>
      <c r="Z217" s="371"/>
      <c r="AA217" s="371"/>
      <c r="AB217" s="649"/>
      <c r="AC217" s="371"/>
      <c r="AD217" s="372"/>
      <c r="AE217" s="371"/>
      <c r="AF217" s="371"/>
      <c r="AG217" s="270"/>
      <c r="AH217" s="347"/>
      <c r="AI217" s="363"/>
      <c r="AJ217" s="374"/>
      <c r="AK217" s="374"/>
      <c r="AL217" s="374"/>
      <c r="AM217" s="374"/>
    </row>
    <row r="218" spans="1:39" s="296" customFormat="1" x14ac:dyDescent="0.2">
      <c r="A218" s="423">
        <f t="shared" si="53"/>
        <v>213</v>
      </c>
      <c r="B218" s="543" t="s">
        <v>1469</v>
      </c>
      <c r="C218" s="544">
        <v>1520604</v>
      </c>
      <c r="D218" s="545">
        <v>7495</v>
      </c>
      <c r="E218" s="544" t="s">
        <v>718</v>
      </c>
      <c r="F218" s="546">
        <v>2017</v>
      </c>
      <c r="G218" s="547">
        <v>42788</v>
      </c>
      <c r="H218" s="544"/>
      <c r="I218" s="544" t="s">
        <v>1640</v>
      </c>
      <c r="J218" s="544" t="s">
        <v>724</v>
      </c>
      <c r="K218" s="544" t="s">
        <v>59</v>
      </c>
      <c r="L218" s="544" t="s">
        <v>1902</v>
      </c>
      <c r="M218" s="548">
        <v>255782.21</v>
      </c>
      <c r="N218" s="548">
        <v>0</v>
      </c>
      <c r="O218" s="548">
        <v>40925.15</v>
      </c>
      <c r="P218" s="548">
        <v>296707.36</v>
      </c>
      <c r="Q218" s="548"/>
      <c r="R218" s="548">
        <v>255426.86</v>
      </c>
      <c r="S218" s="549">
        <f t="shared" si="52"/>
        <v>41280.5</v>
      </c>
      <c r="T218" s="445" t="s">
        <v>283</v>
      </c>
      <c r="U218" s="370"/>
      <c r="V218" s="370"/>
      <c r="W218" s="375"/>
      <c r="X218" s="374"/>
      <c r="Y218" s="313"/>
      <c r="Z218" s="371"/>
      <c r="AA218" s="371"/>
      <c r="AB218" s="649"/>
      <c r="AC218" s="371"/>
      <c r="AD218" s="372"/>
      <c r="AE218" s="371"/>
      <c r="AF218" s="371"/>
      <c r="AG218" s="270"/>
      <c r="AH218" s="272"/>
      <c r="AI218" s="313"/>
      <c r="AJ218" s="374"/>
      <c r="AK218" s="374"/>
      <c r="AL218" s="374"/>
      <c r="AM218" s="374"/>
    </row>
    <row r="219" spans="1:39" s="291" customFormat="1" x14ac:dyDescent="0.2">
      <c r="A219" s="423">
        <f t="shared" si="53"/>
        <v>214</v>
      </c>
      <c r="B219" s="543" t="s">
        <v>1474</v>
      </c>
      <c r="C219" s="544">
        <v>1520604</v>
      </c>
      <c r="D219" s="545">
        <v>7495</v>
      </c>
      <c r="E219" s="544" t="s">
        <v>718</v>
      </c>
      <c r="F219" s="546">
        <v>2017</v>
      </c>
      <c r="G219" s="547">
        <v>42794</v>
      </c>
      <c r="H219" s="544"/>
      <c r="I219" s="544" t="s">
        <v>1644</v>
      </c>
      <c r="J219" s="544" t="s">
        <v>724</v>
      </c>
      <c r="K219" s="544" t="s">
        <v>365</v>
      </c>
      <c r="L219" s="544" t="s">
        <v>1906</v>
      </c>
      <c r="M219" s="548">
        <v>255782.21</v>
      </c>
      <c r="N219" s="548">
        <v>0</v>
      </c>
      <c r="O219" s="548">
        <v>40925.15</v>
      </c>
      <c r="P219" s="548">
        <v>296707.36</v>
      </c>
      <c r="Q219" s="548"/>
      <c r="R219" s="548">
        <v>255426.86</v>
      </c>
      <c r="S219" s="549">
        <f t="shared" si="52"/>
        <v>41280.5</v>
      </c>
      <c r="T219" s="267" t="s">
        <v>283</v>
      </c>
      <c r="U219" s="369"/>
      <c r="V219" s="370"/>
      <c r="W219" s="375"/>
      <c r="X219" s="375"/>
      <c r="Y219" s="375"/>
      <c r="Z219" s="371"/>
      <c r="AA219" s="371"/>
      <c r="AB219" s="649"/>
      <c r="AC219" s="371"/>
      <c r="AD219" s="372"/>
      <c r="AE219" s="371"/>
      <c r="AF219" s="371"/>
      <c r="AG219" s="270"/>
      <c r="AH219" s="272"/>
      <c r="AI219" s="313"/>
      <c r="AJ219" s="374"/>
      <c r="AK219" s="374"/>
      <c r="AL219" s="374"/>
      <c r="AM219" s="374"/>
    </row>
    <row r="220" spans="1:39" s="291" customFormat="1" x14ac:dyDescent="0.2">
      <c r="A220" s="423">
        <f t="shared" si="53"/>
        <v>215</v>
      </c>
      <c r="B220" s="543" t="s">
        <v>1486</v>
      </c>
      <c r="C220" s="544">
        <v>72402</v>
      </c>
      <c r="D220" s="545" t="s">
        <v>721</v>
      </c>
      <c r="E220" s="544" t="s">
        <v>1521</v>
      </c>
      <c r="F220" s="546">
        <v>2017</v>
      </c>
      <c r="G220" s="547">
        <v>42768</v>
      </c>
      <c r="H220" s="544" t="s">
        <v>751</v>
      </c>
      <c r="I220" s="544" t="s">
        <v>1649</v>
      </c>
      <c r="J220" s="544" t="s">
        <v>724</v>
      </c>
      <c r="K220" s="544" t="s">
        <v>1765</v>
      </c>
      <c r="L220" s="544" t="s">
        <v>1911</v>
      </c>
      <c r="M220" s="548">
        <v>125862.07</v>
      </c>
      <c r="N220" s="548">
        <v>0</v>
      </c>
      <c r="O220" s="548">
        <v>20137.93</v>
      </c>
      <c r="P220" s="548">
        <v>146000</v>
      </c>
      <c r="Q220" s="548"/>
      <c r="R220" s="548">
        <v>104913.79</v>
      </c>
      <c r="S220" s="549">
        <f t="shared" si="52"/>
        <v>41086.210000000006</v>
      </c>
      <c r="T220" s="113" t="s">
        <v>263</v>
      </c>
      <c r="U220" s="370"/>
      <c r="V220" s="370"/>
      <c r="W220" s="375"/>
      <c r="X220" s="374"/>
      <c r="Y220" s="313"/>
      <c r="Z220" s="371"/>
      <c r="AA220" s="371"/>
      <c r="AB220" s="649"/>
      <c r="AC220" s="371"/>
      <c r="AD220" s="372"/>
      <c r="AE220" s="371"/>
      <c r="AF220" s="371"/>
      <c r="AG220" s="270"/>
      <c r="AH220" s="272"/>
      <c r="AI220" s="313"/>
      <c r="AJ220" s="374"/>
      <c r="AK220" s="374"/>
      <c r="AL220" s="374"/>
      <c r="AM220" s="374"/>
    </row>
    <row r="221" spans="1:39" s="291" customFormat="1" x14ac:dyDescent="0.2">
      <c r="A221" s="423">
        <f t="shared" si="53"/>
        <v>216</v>
      </c>
      <c r="B221" s="543" t="s">
        <v>1487</v>
      </c>
      <c r="C221" s="544">
        <v>38503</v>
      </c>
      <c r="D221" s="545" t="s">
        <v>721</v>
      </c>
      <c r="E221" s="544" t="s">
        <v>1521</v>
      </c>
      <c r="F221" s="546">
        <v>2016</v>
      </c>
      <c r="G221" s="547">
        <v>42773</v>
      </c>
      <c r="H221" s="544" t="s">
        <v>1191</v>
      </c>
      <c r="I221" s="544" t="s">
        <v>1650</v>
      </c>
      <c r="J221" s="544" t="s">
        <v>724</v>
      </c>
      <c r="K221" s="544" t="s">
        <v>1766</v>
      </c>
      <c r="L221" s="544" t="s">
        <v>1912</v>
      </c>
      <c r="M221" s="548">
        <v>114137.93</v>
      </c>
      <c r="N221" s="548">
        <v>0</v>
      </c>
      <c r="O221" s="548">
        <v>3862.07</v>
      </c>
      <c r="P221" s="548">
        <v>118000</v>
      </c>
      <c r="Q221" s="548"/>
      <c r="R221" s="548">
        <v>90000</v>
      </c>
      <c r="S221" s="549">
        <f t="shared" si="52"/>
        <v>28000</v>
      </c>
      <c r="T221" s="267" t="s">
        <v>263</v>
      </c>
      <c r="U221" s="369"/>
      <c r="V221" s="370"/>
      <c r="W221" s="375"/>
      <c r="X221" s="375"/>
      <c r="Y221" s="375"/>
      <c r="Z221" s="371"/>
      <c r="AA221" s="371"/>
      <c r="AB221" s="649"/>
      <c r="AC221" s="371"/>
      <c r="AD221" s="372"/>
      <c r="AE221" s="371"/>
      <c r="AF221" s="371"/>
      <c r="AG221" s="270"/>
      <c r="AH221" s="272"/>
      <c r="AI221" s="313"/>
      <c r="AJ221" s="374"/>
      <c r="AK221" s="374"/>
      <c r="AL221" s="374"/>
      <c r="AM221" s="374"/>
    </row>
    <row r="222" spans="1:39" s="291" customFormat="1" x14ac:dyDescent="0.2">
      <c r="A222" s="423">
        <f t="shared" si="53"/>
        <v>217</v>
      </c>
      <c r="B222" s="543" t="s">
        <v>1488</v>
      </c>
      <c r="C222" s="544">
        <v>44603</v>
      </c>
      <c r="D222" s="545" t="s">
        <v>721</v>
      </c>
      <c r="E222" s="544" t="s">
        <v>1521</v>
      </c>
      <c r="F222" s="546">
        <v>2016</v>
      </c>
      <c r="G222" s="547">
        <v>42773</v>
      </c>
      <c r="H222" s="544" t="s">
        <v>912</v>
      </c>
      <c r="I222" s="544" t="s">
        <v>1651</v>
      </c>
      <c r="J222" s="544" t="s">
        <v>729</v>
      </c>
      <c r="K222" s="544" t="s">
        <v>1767</v>
      </c>
      <c r="L222" s="544" t="s">
        <v>1913</v>
      </c>
      <c r="M222" s="548">
        <v>-119137.93</v>
      </c>
      <c r="N222" s="548">
        <v>0</v>
      </c>
      <c r="O222" s="548">
        <v>-3862.07</v>
      </c>
      <c r="P222" s="548">
        <v>-123000</v>
      </c>
      <c r="Q222" s="548"/>
      <c r="R222" s="548">
        <v>-95000</v>
      </c>
      <c r="S222" s="549">
        <f t="shared" si="52"/>
        <v>-28000</v>
      </c>
      <c r="T222" s="267" t="s">
        <v>263</v>
      </c>
      <c r="U222" s="369"/>
      <c r="V222" s="370"/>
      <c r="W222" s="375"/>
      <c r="X222" s="375"/>
      <c r="Y222" s="375"/>
      <c r="Z222" s="371"/>
      <c r="AA222" s="371"/>
      <c r="AB222" s="649"/>
      <c r="AC222" s="371"/>
      <c r="AD222" s="372"/>
      <c r="AE222" s="371"/>
      <c r="AF222" s="371"/>
      <c r="AG222" s="270"/>
      <c r="AH222" s="350"/>
      <c r="AI222" s="365"/>
      <c r="AJ222" s="374"/>
      <c r="AK222" s="374"/>
      <c r="AL222" s="374"/>
      <c r="AM222" s="374"/>
    </row>
    <row r="223" spans="1:39" s="291" customFormat="1" x14ac:dyDescent="0.2">
      <c r="A223" s="423">
        <f t="shared" si="53"/>
        <v>218</v>
      </c>
      <c r="B223" s="543" t="s">
        <v>1489</v>
      </c>
      <c r="C223" s="544">
        <v>44603</v>
      </c>
      <c r="D223" s="545" t="s">
        <v>721</v>
      </c>
      <c r="E223" s="544" t="s">
        <v>1521</v>
      </c>
      <c r="F223" s="546">
        <v>2016</v>
      </c>
      <c r="G223" s="547">
        <v>42773</v>
      </c>
      <c r="H223" s="544" t="s">
        <v>912</v>
      </c>
      <c r="I223" s="544" t="s">
        <v>1651</v>
      </c>
      <c r="J223" s="544" t="s">
        <v>729</v>
      </c>
      <c r="K223" s="544" t="s">
        <v>1767</v>
      </c>
      <c r="L223" s="544" t="s">
        <v>1913</v>
      </c>
      <c r="M223" s="548">
        <v>119137.93</v>
      </c>
      <c r="N223" s="548">
        <v>0</v>
      </c>
      <c r="O223" s="548">
        <v>3862.07</v>
      </c>
      <c r="P223" s="548">
        <v>123000</v>
      </c>
      <c r="Q223" s="548"/>
      <c r="R223" s="548">
        <v>95000</v>
      </c>
      <c r="S223" s="549">
        <f t="shared" si="52"/>
        <v>28000</v>
      </c>
      <c r="T223" s="113" t="s">
        <v>263</v>
      </c>
      <c r="U223" s="369"/>
      <c r="V223" s="370"/>
      <c r="W223" s="375"/>
      <c r="X223" s="375"/>
      <c r="Y223" s="375"/>
      <c r="Z223" s="371"/>
      <c r="AA223" s="371"/>
      <c r="AB223" s="649"/>
      <c r="AC223" s="371"/>
      <c r="AD223" s="372"/>
      <c r="AE223" s="371"/>
      <c r="AF223" s="371"/>
      <c r="AG223" s="270"/>
      <c r="AH223" s="350"/>
      <c r="AI223" s="365"/>
      <c r="AJ223" s="374"/>
      <c r="AK223" s="374"/>
      <c r="AL223" s="374"/>
      <c r="AM223" s="374"/>
    </row>
    <row r="224" spans="1:39" s="291" customFormat="1" x14ac:dyDescent="0.2">
      <c r="A224" s="423">
        <f t="shared" si="53"/>
        <v>219</v>
      </c>
      <c r="B224" s="543" t="s">
        <v>1490</v>
      </c>
      <c r="C224" s="544">
        <v>44603</v>
      </c>
      <c r="D224" s="545" t="s">
        <v>721</v>
      </c>
      <c r="E224" s="544" t="s">
        <v>1521</v>
      </c>
      <c r="F224" s="546">
        <v>2016</v>
      </c>
      <c r="G224" s="547">
        <v>42773</v>
      </c>
      <c r="H224" s="544" t="s">
        <v>912</v>
      </c>
      <c r="I224" s="544" t="s">
        <v>1651</v>
      </c>
      <c r="J224" s="544" t="s">
        <v>729</v>
      </c>
      <c r="K224" s="544" t="s">
        <v>1767</v>
      </c>
      <c r="L224" s="544" t="s">
        <v>1913</v>
      </c>
      <c r="M224" s="548">
        <v>119137.93</v>
      </c>
      <c r="N224" s="548">
        <v>0</v>
      </c>
      <c r="O224" s="548">
        <v>3862.07</v>
      </c>
      <c r="P224" s="548">
        <v>123000</v>
      </c>
      <c r="Q224" s="548"/>
      <c r="R224" s="548">
        <v>95000</v>
      </c>
      <c r="S224" s="549">
        <f t="shared" si="52"/>
        <v>28000</v>
      </c>
      <c r="T224" s="267" t="s">
        <v>263</v>
      </c>
      <c r="U224" s="370"/>
      <c r="V224" s="370"/>
      <c r="W224" s="375"/>
      <c r="X224" s="374"/>
      <c r="Y224" s="313"/>
      <c r="Z224" s="371"/>
      <c r="AA224" s="371"/>
      <c r="AB224" s="649"/>
      <c r="AC224" s="371"/>
      <c r="AD224" s="372"/>
      <c r="AE224" s="371"/>
      <c r="AF224" s="371"/>
      <c r="AG224" s="270"/>
      <c r="AH224" s="272"/>
      <c r="AI224" s="313"/>
      <c r="AJ224" s="374"/>
      <c r="AK224" s="374"/>
      <c r="AL224" s="374"/>
      <c r="AM224" s="374"/>
    </row>
    <row r="225" spans="1:39" s="291" customFormat="1" x14ac:dyDescent="0.2">
      <c r="A225" s="423">
        <f t="shared" si="53"/>
        <v>220</v>
      </c>
      <c r="B225" s="543" t="s">
        <v>1491</v>
      </c>
      <c r="C225" s="544">
        <v>1013102</v>
      </c>
      <c r="D225" s="545" t="s">
        <v>721</v>
      </c>
      <c r="E225" s="544" t="s">
        <v>1521</v>
      </c>
      <c r="F225" s="546">
        <v>2017</v>
      </c>
      <c r="G225" s="547">
        <v>42775</v>
      </c>
      <c r="H225" s="544" t="s">
        <v>1207</v>
      </c>
      <c r="I225" s="544" t="s">
        <v>1652</v>
      </c>
      <c r="J225" s="544" t="s">
        <v>729</v>
      </c>
      <c r="K225" s="544" t="s">
        <v>1768</v>
      </c>
      <c r="L225" s="544" t="s">
        <v>1914</v>
      </c>
      <c r="M225" s="548">
        <v>168103.45</v>
      </c>
      <c r="N225" s="548">
        <v>0</v>
      </c>
      <c r="O225" s="548">
        <v>26896.55</v>
      </c>
      <c r="P225" s="548">
        <v>195000</v>
      </c>
      <c r="Q225" s="548"/>
      <c r="R225" s="548">
        <v>140181.04</v>
      </c>
      <c r="S225" s="549">
        <f t="shared" si="52"/>
        <v>54818.959999999992</v>
      </c>
      <c r="T225" s="267" t="s">
        <v>263</v>
      </c>
      <c r="U225" s="369"/>
      <c r="V225" s="370"/>
      <c r="W225" s="375"/>
      <c r="X225" s="375"/>
      <c r="Y225" s="375"/>
      <c r="Z225" s="371"/>
      <c r="AA225" s="371"/>
      <c r="AB225" s="649"/>
      <c r="AC225" s="371"/>
      <c r="AD225" s="372"/>
      <c r="AE225" s="371"/>
      <c r="AF225" s="371"/>
      <c r="AG225" s="270"/>
      <c r="AH225" s="350"/>
      <c r="AI225" s="365"/>
      <c r="AJ225" s="374"/>
      <c r="AK225" s="374"/>
      <c r="AL225" s="374"/>
      <c r="AM225" s="374"/>
    </row>
    <row r="226" spans="1:39" s="296" customFormat="1" x14ac:dyDescent="0.2">
      <c r="A226" s="423">
        <f t="shared" si="53"/>
        <v>221</v>
      </c>
      <c r="B226" s="543" t="s">
        <v>1492</v>
      </c>
      <c r="C226" s="544">
        <v>750602</v>
      </c>
      <c r="D226" s="545" t="s">
        <v>721</v>
      </c>
      <c r="E226" s="544" t="s">
        <v>1521</v>
      </c>
      <c r="F226" s="546">
        <v>2017</v>
      </c>
      <c r="G226" s="547">
        <v>42777</v>
      </c>
      <c r="H226" s="544" t="s">
        <v>1211</v>
      </c>
      <c r="I226" s="544" t="s">
        <v>1653</v>
      </c>
      <c r="J226" s="544" t="s">
        <v>724</v>
      </c>
      <c r="K226" s="544" t="s">
        <v>1769</v>
      </c>
      <c r="L226" s="544" t="s">
        <v>1915</v>
      </c>
      <c r="M226" s="548">
        <v>211551.72</v>
      </c>
      <c r="N226" s="548">
        <v>0</v>
      </c>
      <c r="O226" s="548">
        <v>3448.28</v>
      </c>
      <c r="P226" s="548">
        <v>215000</v>
      </c>
      <c r="Q226" s="548"/>
      <c r="R226" s="548">
        <v>190000</v>
      </c>
      <c r="S226" s="549">
        <f t="shared" si="52"/>
        <v>25000</v>
      </c>
      <c r="T226" s="113" t="s">
        <v>263</v>
      </c>
      <c r="U226" s="369"/>
      <c r="V226" s="370"/>
      <c r="W226" s="375"/>
      <c r="X226" s="375"/>
      <c r="Y226" s="375"/>
      <c r="Z226" s="371"/>
      <c r="AA226" s="371"/>
      <c r="AB226" s="649"/>
      <c r="AC226" s="371"/>
      <c r="AD226" s="372"/>
      <c r="AE226" s="371"/>
      <c r="AF226" s="371"/>
      <c r="AG226" s="270"/>
      <c r="AH226" s="350"/>
      <c r="AI226" s="365"/>
      <c r="AJ226" s="374"/>
      <c r="AK226" s="374"/>
      <c r="AL226" s="374"/>
      <c r="AM226" s="374"/>
    </row>
    <row r="227" spans="1:39" s="291" customFormat="1" x14ac:dyDescent="0.2">
      <c r="A227" s="423">
        <f t="shared" si="53"/>
        <v>222</v>
      </c>
      <c r="B227" s="543" t="s">
        <v>1493</v>
      </c>
      <c r="C227" s="544">
        <v>521704</v>
      </c>
      <c r="D227" s="545" t="s">
        <v>721</v>
      </c>
      <c r="E227" s="544" t="s">
        <v>1521</v>
      </c>
      <c r="F227" s="546">
        <v>2017</v>
      </c>
      <c r="G227" s="547">
        <v>42781</v>
      </c>
      <c r="H227" s="544" t="s">
        <v>912</v>
      </c>
      <c r="I227" s="544" t="s">
        <v>1654</v>
      </c>
      <c r="J227" s="544" t="s">
        <v>724</v>
      </c>
      <c r="K227" s="544" t="s">
        <v>1770</v>
      </c>
      <c r="L227" s="544" t="s">
        <v>1916</v>
      </c>
      <c r="M227" s="548">
        <v>138448.28</v>
      </c>
      <c r="N227" s="548">
        <v>0</v>
      </c>
      <c r="O227" s="548">
        <v>4551.72</v>
      </c>
      <c r="P227" s="548">
        <v>143000</v>
      </c>
      <c r="Q227" s="548"/>
      <c r="R227" s="548">
        <v>110000</v>
      </c>
      <c r="S227" s="549">
        <f t="shared" si="52"/>
        <v>33000</v>
      </c>
      <c r="T227" s="267" t="s">
        <v>263</v>
      </c>
      <c r="U227" s="369"/>
      <c r="V227" s="370"/>
      <c r="W227" s="375"/>
      <c r="X227" s="375"/>
      <c r="Y227" s="375"/>
      <c r="Z227" s="371"/>
      <c r="AA227" s="371"/>
      <c r="AB227" s="649"/>
      <c r="AC227" s="371"/>
      <c r="AD227" s="372"/>
      <c r="AE227" s="371"/>
      <c r="AF227" s="371"/>
      <c r="AG227" s="270"/>
      <c r="AH227" s="350"/>
      <c r="AI227" s="365"/>
      <c r="AJ227" s="374"/>
      <c r="AK227" s="374"/>
      <c r="AL227" s="374"/>
      <c r="AM227" s="374"/>
    </row>
    <row r="228" spans="1:39" s="348" customFormat="1" x14ac:dyDescent="0.2">
      <c r="A228" s="423">
        <f t="shared" si="53"/>
        <v>223</v>
      </c>
      <c r="B228" s="543" t="s">
        <v>1494</v>
      </c>
      <c r="C228" s="544">
        <v>250713</v>
      </c>
      <c r="D228" s="545" t="s">
        <v>721</v>
      </c>
      <c r="E228" s="544" t="s">
        <v>1521</v>
      </c>
      <c r="F228" s="546">
        <v>2017</v>
      </c>
      <c r="G228" s="547">
        <v>42784</v>
      </c>
      <c r="H228" s="544" t="s">
        <v>751</v>
      </c>
      <c r="I228" s="544" t="s">
        <v>1655</v>
      </c>
      <c r="J228" s="544" t="s">
        <v>729</v>
      </c>
      <c r="K228" s="544" t="s">
        <v>1771</v>
      </c>
      <c r="L228" s="544" t="s">
        <v>1917</v>
      </c>
      <c r="M228" s="548">
        <v>139655.17000000001</v>
      </c>
      <c r="N228" s="548">
        <v>0</v>
      </c>
      <c r="O228" s="548">
        <v>2344.83</v>
      </c>
      <c r="P228" s="548">
        <v>142000</v>
      </c>
      <c r="Q228" s="548"/>
      <c r="R228" s="548">
        <v>125000</v>
      </c>
      <c r="S228" s="549">
        <f t="shared" si="52"/>
        <v>17000</v>
      </c>
      <c r="T228" s="267" t="s">
        <v>263</v>
      </c>
      <c r="U228" s="369"/>
      <c r="V228" s="370"/>
      <c r="W228" s="375"/>
      <c r="X228" s="375"/>
      <c r="Y228" s="375"/>
      <c r="Z228" s="371"/>
      <c r="AA228" s="371"/>
      <c r="AB228" s="649"/>
      <c r="AC228" s="371"/>
      <c r="AD228" s="372"/>
      <c r="AE228" s="371"/>
      <c r="AF228" s="371"/>
      <c r="AG228" s="270"/>
      <c r="AH228" s="350"/>
      <c r="AI228" s="365"/>
      <c r="AJ228" s="374"/>
      <c r="AK228" s="330"/>
      <c r="AL228" s="330"/>
      <c r="AM228" s="330"/>
    </row>
    <row r="229" spans="1:39" s="291" customFormat="1" x14ac:dyDescent="0.2">
      <c r="A229" s="423">
        <f t="shared" si="53"/>
        <v>224</v>
      </c>
      <c r="B229" s="543" t="s">
        <v>1495</v>
      </c>
      <c r="C229" s="544">
        <v>72506</v>
      </c>
      <c r="D229" s="545" t="s">
        <v>721</v>
      </c>
      <c r="E229" s="544" t="s">
        <v>1521</v>
      </c>
      <c r="F229" s="546">
        <v>2017</v>
      </c>
      <c r="G229" s="547">
        <v>42787</v>
      </c>
      <c r="H229" s="544" t="s">
        <v>912</v>
      </c>
      <c r="I229" s="544" t="s">
        <v>1656</v>
      </c>
      <c r="J229" s="544" t="s">
        <v>724</v>
      </c>
      <c r="K229" s="544" t="s">
        <v>1772</v>
      </c>
      <c r="L229" s="544" t="s">
        <v>1918</v>
      </c>
      <c r="M229" s="548">
        <v>230172.41</v>
      </c>
      <c r="N229" s="548">
        <v>0</v>
      </c>
      <c r="O229" s="548">
        <v>4827.59</v>
      </c>
      <c r="P229" s="548">
        <v>235000</v>
      </c>
      <c r="Q229" s="548"/>
      <c r="R229" s="548">
        <v>200000</v>
      </c>
      <c r="S229" s="549">
        <f t="shared" si="52"/>
        <v>35000</v>
      </c>
      <c r="T229" s="113" t="s">
        <v>263</v>
      </c>
      <c r="U229" s="369"/>
      <c r="V229" s="370"/>
      <c r="W229" s="375"/>
      <c r="X229" s="375"/>
      <c r="Y229" s="375"/>
      <c r="Z229" s="371"/>
      <c r="AA229" s="371"/>
      <c r="AB229" s="649"/>
      <c r="AC229" s="371"/>
      <c r="AD229" s="372"/>
      <c r="AE229" s="371"/>
      <c r="AF229" s="371"/>
      <c r="AG229" s="270"/>
      <c r="AH229" s="350"/>
      <c r="AI229" s="365"/>
      <c r="AJ229" s="374"/>
      <c r="AK229" s="374"/>
      <c r="AL229" s="374"/>
      <c r="AM229" s="374"/>
    </row>
    <row r="230" spans="1:39" s="348" customFormat="1" x14ac:dyDescent="0.2">
      <c r="A230" s="423">
        <f t="shared" si="53"/>
        <v>225</v>
      </c>
      <c r="B230" s="543" t="s">
        <v>1496</v>
      </c>
      <c r="C230" s="544">
        <v>521704</v>
      </c>
      <c r="D230" s="545" t="s">
        <v>721</v>
      </c>
      <c r="E230" s="544" t="s">
        <v>1521</v>
      </c>
      <c r="F230" s="546">
        <v>2017</v>
      </c>
      <c r="G230" s="547">
        <v>42788</v>
      </c>
      <c r="H230" s="544" t="s">
        <v>912</v>
      </c>
      <c r="I230" s="544" t="s">
        <v>1654</v>
      </c>
      <c r="J230" s="544" t="s">
        <v>724</v>
      </c>
      <c r="K230" s="544" t="s">
        <v>1770</v>
      </c>
      <c r="L230" s="544" t="s">
        <v>1916</v>
      </c>
      <c r="M230" s="548">
        <v>-138448.28</v>
      </c>
      <c r="N230" s="548">
        <v>0</v>
      </c>
      <c r="O230" s="548">
        <v>-4551.72</v>
      </c>
      <c r="P230" s="548">
        <v>-143000</v>
      </c>
      <c r="Q230" s="548"/>
      <c r="R230" s="548">
        <v>-110000</v>
      </c>
      <c r="S230" s="549">
        <f t="shared" si="52"/>
        <v>-33000</v>
      </c>
      <c r="T230" s="113" t="s">
        <v>263</v>
      </c>
      <c r="U230" s="369"/>
      <c r="V230" s="370"/>
      <c r="W230" s="375"/>
      <c r="X230" s="375"/>
      <c r="Y230" s="375"/>
      <c r="Z230" s="371"/>
      <c r="AA230" s="371"/>
      <c r="AB230" s="649"/>
      <c r="AC230" s="371"/>
      <c r="AD230" s="372"/>
      <c r="AE230" s="371"/>
      <c r="AF230" s="371"/>
      <c r="AG230" s="270"/>
      <c r="AH230" s="350"/>
      <c r="AI230" s="365"/>
      <c r="AJ230" s="330"/>
      <c r="AK230" s="330"/>
      <c r="AL230" s="330"/>
      <c r="AM230" s="330"/>
    </row>
    <row r="231" spans="1:39" s="291" customFormat="1" x14ac:dyDescent="0.2">
      <c r="A231" s="423">
        <f t="shared" si="53"/>
        <v>226</v>
      </c>
      <c r="B231" s="543" t="s">
        <v>1497</v>
      </c>
      <c r="C231" s="544">
        <v>43918</v>
      </c>
      <c r="D231" s="545" t="s">
        <v>721</v>
      </c>
      <c r="E231" s="544" t="s">
        <v>1521</v>
      </c>
      <c r="F231" s="546">
        <v>2017</v>
      </c>
      <c r="G231" s="547">
        <v>42788</v>
      </c>
      <c r="H231" s="544" t="s">
        <v>1191</v>
      </c>
      <c r="I231" s="544" t="s">
        <v>1657</v>
      </c>
      <c r="J231" s="544" t="s">
        <v>729</v>
      </c>
      <c r="K231" s="544" t="s">
        <v>1773</v>
      </c>
      <c r="L231" s="544" t="s">
        <v>1919</v>
      </c>
      <c r="M231" s="548">
        <v>107758.62</v>
      </c>
      <c r="N231" s="548">
        <v>0</v>
      </c>
      <c r="O231" s="548">
        <v>17241.38</v>
      </c>
      <c r="P231" s="548">
        <v>125000</v>
      </c>
      <c r="Q231" s="548"/>
      <c r="R231" s="548">
        <v>89956.9</v>
      </c>
      <c r="S231" s="549">
        <f t="shared" si="52"/>
        <v>35043.100000000006</v>
      </c>
      <c r="T231" s="267" t="s">
        <v>263</v>
      </c>
      <c r="U231" s="369"/>
      <c r="V231" s="370"/>
      <c r="W231" s="375"/>
      <c r="X231" s="375"/>
      <c r="Y231" s="375"/>
      <c r="Z231" s="371"/>
      <c r="AA231" s="371"/>
      <c r="AB231" s="649"/>
      <c r="AC231" s="371"/>
      <c r="AD231" s="372"/>
      <c r="AE231" s="371"/>
      <c r="AF231" s="371"/>
      <c r="AG231" s="270"/>
      <c r="AH231" s="350"/>
      <c r="AI231" s="365"/>
      <c r="AJ231" s="374"/>
      <c r="AK231" s="374"/>
      <c r="AL231" s="374"/>
      <c r="AM231" s="374"/>
    </row>
    <row r="232" spans="1:39" s="291" customFormat="1" x14ac:dyDescent="0.2">
      <c r="A232" s="423">
        <f t="shared" si="53"/>
        <v>227</v>
      </c>
      <c r="B232" s="543" t="s">
        <v>1498</v>
      </c>
      <c r="C232" s="544">
        <v>521704</v>
      </c>
      <c r="D232" s="545" t="s">
        <v>721</v>
      </c>
      <c r="E232" s="544" t="s">
        <v>1521</v>
      </c>
      <c r="F232" s="546">
        <v>2017</v>
      </c>
      <c r="G232" s="547">
        <v>42788</v>
      </c>
      <c r="H232" s="544" t="s">
        <v>912</v>
      </c>
      <c r="I232" s="544" t="s">
        <v>1658</v>
      </c>
      <c r="J232" s="544" t="s">
        <v>724</v>
      </c>
      <c r="K232" s="544" t="s">
        <v>1770</v>
      </c>
      <c r="L232" s="544" t="s">
        <v>1920</v>
      </c>
      <c r="M232" s="548">
        <v>138448.28</v>
      </c>
      <c r="N232" s="548">
        <v>0</v>
      </c>
      <c r="O232" s="548">
        <v>4551.72</v>
      </c>
      <c r="P232" s="548">
        <v>143000</v>
      </c>
      <c r="Q232" s="548"/>
      <c r="R232" s="548">
        <v>110000</v>
      </c>
      <c r="S232" s="549">
        <f t="shared" si="52"/>
        <v>33000</v>
      </c>
      <c r="T232" s="267" t="s">
        <v>263</v>
      </c>
      <c r="U232" s="369"/>
      <c r="V232" s="370"/>
      <c r="W232" s="375"/>
      <c r="X232" s="375"/>
      <c r="Y232" s="375"/>
      <c r="Z232" s="371"/>
      <c r="AA232" s="371"/>
      <c r="AB232" s="649"/>
      <c r="AC232" s="371"/>
      <c r="AD232" s="372"/>
      <c r="AE232" s="371"/>
      <c r="AF232" s="371"/>
      <c r="AG232" s="270"/>
      <c r="AH232" s="350"/>
      <c r="AI232" s="365"/>
      <c r="AJ232" s="374"/>
      <c r="AK232" s="374"/>
      <c r="AL232" s="374"/>
      <c r="AM232" s="374"/>
    </row>
    <row r="233" spans="1:39" s="291" customFormat="1" x14ac:dyDescent="0.2">
      <c r="A233" s="423">
        <f t="shared" si="53"/>
        <v>228</v>
      </c>
      <c r="B233" s="543" t="s">
        <v>1499</v>
      </c>
      <c r="C233" s="544">
        <v>261717</v>
      </c>
      <c r="D233" s="545" t="s">
        <v>721</v>
      </c>
      <c r="E233" s="544" t="s">
        <v>1521</v>
      </c>
      <c r="F233" s="546">
        <v>2017</v>
      </c>
      <c r="G233" s="547">
        <v>42789</v>
      </c>
      <c r="H233" s="544" t="s">
        <v>751</v>
      </c>
      <c r="I233" s="544" t="s">
        <v>1659</v>
      </c>
      <c r="J233" s="544" t="s">
        <v>724</v>
      </c>
      <c r="K233" s="544" t="s">
        <v>1774</v>
      </c>
      <c r="L233" s="544" t="s">
        <v>1921</v>
      </c>
      <c r="M233" s="548">
        <v>167241.38</v>
      </c>
      <c r="N233" s="548">
        <v>0</v>
      </c>
      <c r="O233" s="548">
        <v>2758.62</v>
      </c>
      <c r="P233" s="548">
        <v>170000</v>
      </c>
      <c r="Q233" s="548"/>
      <c r="R233" s="548">
        <v>150000</v>
      </c>
      <c r="S233" s="549">
        <f t="shared" si="52"/>
        <v>20000</v>
      </c>
      <c r="T233" s="267" t="s">
        <v>263</v>
      </c>
      <c r="U233" s="369"/>
      <c r="V233" s="370"/>
      <c r="W233" s="375"/>
      <c r="X233" s="375"/>
      <c r="Y233" s="375"/>
      <c r="Z233" s="371"/>
      <c r="AA233" s="371"/>
      <c r="AB233" s="649"/>
      <c r="AC233" s="371"/>
      <c r="AD233" s="372"/>
      <c r="AE233" s="371"/>
      <c r="AF233" s="371"/>
      <c r="AG233" s="270"/>
      <c r="AH233" s="350"/>
      <c r="AI233" s="365"/>
      <c r="AJ233" s="374"/>
      <c r="AK233" s="374"/>
      <c r="AL233" s="374"/>
      <c r="AM233" s="374"/>
    </row>
    <row r="234" spans="1:39" s="291" customFormat="1" x14ac:dyDescent="0.2">
      <c r="A234" s="423">
        <f t="shared" si="53"/>
        <v>229</v>
      </c>
      <c r="B234" s="543" t="s">
        <v>1500</v>
      </c>
      <c r="C234" s="544">
        <v>750602</v>
      </c>
      <c r="D234" s="545" t="s">
        <v>721</v>
      </c>
      <c r="E234" s="544" t="s">
        <v>1521</v>
      </c>
      <c r="F234" s="546">
        <v>2017</v>
      </c>
      <c r="G234" s="547">
        <v>42790</v>
      </c>
      <c r="H234" s="544" t="s">
        <v>1211</v>
      </c>
      <c r="I234" s="544" t="s">
        <v>1653</v>
      </c>
      <c r="J234" s="544" t="s">
        <v>724</v>
      </c>
      <c r="K234" s="544" t="s">
        <v>1769</v>
      </c>
      <c r="L234" s="544" t="s">
        <v>1915</v>
      </c>
      <c r="M234" s="548">
        <v>-211551.72</v>
      </c>
      <c r="N234" s="548">
        <v>0</v>
      </c>
      <c r="O234" s="548">
        <v>-3448.28</v>
      </c>
      <c r="P234" s="548">
        <v>-215000</v>
      </c>
      <c r="Q234" s="548"/>
      <c r="R234" s="548">
        <v>-190000</v>
      </c>
      <c r="S234" s="549">
        <f t="shared" si="52"/>
        <v>-25000</v>
      </c>
      <c r="T234" s="267" t="s">
        <v>263</v>
      </c>
      <c r="U234" s="369"/>
      <c r="V234" s="370"/>
      <c r="W234" s="375"/>
      <c r="X234" s="375"/>
      <c r="Y234" s="375"/>
      <c r="Z234" s="371"/>
      <c r="AA234" s="371"/>
      <c r="AB234" s="649"/>
      <c r="AC234" s="371"/>
      <c r="AD234" s="372"/>
      <c r="AE234" s="371"/>
      <c r="AF234" s="371"/>
      <c r="AG234" s="270"/>
      <c r="AH234" s="350"/>
      <c r="AI234" s="365"/>
      <c r="AJ234" s="374"/>
      <c r="AK234" s="374"/>
      <c r="AL234" s="374"/>
      <c r="AM234" s="374"/>
    </row>
    <row r="235" spans="1:39" s="291" customFormat="1" x14ac:dyDescent="0.2">
      <c r="A235" s="423">
        <f t="shared" si="53"/>
        <v>230</v>
      </c>
      <c r="B235" s="543" t="s">
        <v>1501</v>
      </c>
      <c r="C235" s="544">
        <v>750602</v>
      </c>
      <c r="D235" s="545" t="s">
        <v>721</v>
      </c>
      <c r="E235" s="544" t="s">
        <v>1521</v>
      </c>
      <c r="F235" s="546">
        <v>2017</v>
      </c>
      <c r="G235" s="547">
        <v>42790</v>
      </c>
      <c r="H235" s="544" t="s">
        <v>1211</v>
      </c>
      <c r="I235" s="544" t="s">
        <v>1653</v>
      </c>
      <c r="J235" s="544" t="s">
        <v>724</v>
      </c>
      <c r="K235" s="544" t="s">
        <v>1769</v>
      </c>
      <c r="L235" s="544" t="s">
        <v>1915</v>
      </c>
      <c r="M235" s="548">
        <v>211551.72</v>
      </c>
      <c r="N235" s="548">
        <v>0</v>
      </c>
      <c r="O235" s="548">
        <v>3448.28</v>
      </c>
      <c r="P235" s="548">
        <v>215000</v>
      </c>
      <c r="Q235" s="548"/>
      <c r="R235" s="548">
        <v>190000</v>
      </c>
      <c r="S235" s="549">
        <f t="shared" si="52"/>
        <v>25000</v>
      </c>
      <c r="T235" s="113" t="s">
        <v>263</v>
      </c>
      <c r="U235" s="369"/>
      <c r="V235" s="370"/>
      <c r="W235" s="375"/>
      <c r="X235" s="375"/>
      <c r="Y235" s="375"/>
      <c r="Z235" s="371"/>
      <c r="AA235" s="371"/>
      <c r="AB235" s="649"/>
      <c r="AC235" s="371"/>
      <c r="AD235" s="372"/>
      <c r="AE235" s="371"/>
      <c r="AF235" s="371"/>
      <c r="AG235" s="270"/>
      <c r="AH235" s="350"/>
      <c r="AI235" s="365"/>
      <c r="AJ235" s="374"/>
      <c r="AK235" s="374"/>
      <c r="AL235" s="374"/>
      <c r="AM235" s="374"/>
    </row>
    <row r="236" spans="1:39" s="291" customFormat="1" x14ac:dyDescent="0.2">
      <c r="A236" s="423">
        <f t="shared" si="53"/>
        <v>231</v>
      </c>
      <c r="B236" s="543" t="s">
        <v>1502</v>
      </c>
      <c r="C236" s="544">
        <v>72402</v>
      </c>
      <c r="D236" s="545" t="s">
        <v>721</v>
      </c>
      <c r="E236" s="544" t="s">
        <v>1521</v>
      </c>
      <c r="F236" s="546">
        <v>2017</v>
      </c>
      <c r="G236" s="547">
        <v>42790</v>
      </c>
      <c r="H236" s="544" t="s">
        <v>751</v>
      </c>
      <c r="I236" s="544" t="s">
        <v>1649</v>
      </c>
      <c r="J236" s="544" t="s">
        <v>724</v>
      </c>
      <c r="K236" s="544" t="s">
        <v>1765</v>
      </c>
      <c r="L236" s="544" t="s">
        <v>1911</v>
      </c>
      <c r="M236" s="548">
        <v>-125862.07</v>
      </c>
      <c r="N236" s="548">
        <v>0</v>
      </c>
      <c r="O236" s="548">
        <v>-20137.93</v>
      </c>
      <c r="P236" s="548">
        <v>-146000</v>
      </c>
      <c r="Q236" s="548"/>
      <c r="R236" s="548">
        <v>-104913.79</v>
      </c>
      <c r="S236" s="549">
        <f t="shared" si="52"/>
        <v>-41086.210000000006</v>
      </c>
      <c r="T236" s="267" t="s">
        <v>263</v>
      </c>
      <c r="U236" s="369"/>
      <c r="V236" s="370"/>
      <c r="W236" s="375"/>
      <c r="X236" s="375"/>
      <c r="Y236" s="375"/>
      <c r="Z236" s="371"/>
      <c r="AA236" s="371"/>
      <c r="AB236" s="649"/>
      <c r="AC236" s="371"/>
      <c r="AD236" s="372"/>
      <c r="AE236" s="371"/>
      <c r="AF236" s="371"/>
      <c r="AG236" s="270"/>
      <c r="AH236" s="350"/>
      <c r="AI236" s="365"/>
      <c r="AJ236" s="374"/>
      <c r="AK236" s="374"/>
      <c r="AL236" s="374"/>
      <c r="AM236" s="374"/>
    </row>
    <row r="237" spans="1:39" s="291" customFormat="1" x14ac:dyDescent="0.2">
      <c r="A237" s="423">
        <f t="shared" si="53"/>
        <v>232</v>
      </c>
      <c r="B237" s="543" t="s">
        <v>1503</v>
      </c>
      <c r="C237" s="544">
        <v>1520302</v>
      </c>
      <c r="D237" s="545" t="s">
        <v>721</v>
      </c>
      <c r="E237" s="544" t="s">
        <v>1521</v>
      </c>
      <c r="F237" s="546">
        <v>2017</v>
      </c>
      <c r="G237" s="547">
        <v>42794</v>
      </c>
      <c r="H237" s="544" t="s">
        <v>1207</v>
      </c>
      <c r="I237" s="544" t="s">
        <v>1660</v>
      </c>
      <c r="J237" s="544" t="s">
        <v>724</v>
      </c>
      <c r="K237" s="544" t="s">
        <v>1775</v>
      </c>
      <c r="L237" s="544" t="s">
        <v>1922</v>
      </c>
      <c r="M237" s="548">
        <v>332137.93</v>
      </c>
      <c r="N237" s="548">
        <v>0</v>
      </c>
      <c r="O237" s="548">
        <v>7862.07</v>
      </c>
      <c r="P237" s="548">
        <v>340000</v>
      </c>
      <c r="Q237" s="548"/>
      <c r="R237" s="548">
        <v>283000</v>
      </c>
      <c r="S237" s="549">
        <f t="shared" si="52"/>
        <v>57000</v>
      </c>
      <c r="T237" s="267" t="s">
        <v>263</v>
      </c>
      <c r="U237" s="369"/>
      <c r="V237" s="370"/>
      <c r="W237" s="375"/>
      <c r="X237" s="375"/>
      <c r="Y237" s="375"/>
      <c r="Z237" s="371"/>
      <c r="AA237" s="371"/>
      <c r="AB237" s="649"/>
      <c r="AC237" s="371"/>
      <c r="AD237" s="372"/>
      <c r="AE237" s="371"/>
      <c r="AF237" s="371"/>
      <c r="AG237" s="270"/>
      <c r="AH237" s="350"/>
      <c r="AI237" s="365"/>
      <c r="AJ237" s="374"/>
      <c r="AK237" s="374"/>
      <c r="AL237" s="374"/>
      <c r="AM237" s="374"/>
    </row>
    <row r="238" spans="1:39" s="348" customFormat="1" x14ac:dyDescent="0.2">
      <c r="A238" s="423">
        <f t="shared" si="53"/>
        <v>233</v>
      </c>
      <c r="B238" s="543" t="s">
        <v>1504</v>
      </c>
      <c r="C238" s="544">
        <v>1032005</v>
      </c>
      <c r="D238" s="545" t="s">
        <v>721</v>
      </c>
      <c r="E238" s="544" t="s">
        <v>1521</v>
      </c>
      <c r="F238" s="546">
        <v>2017</v>
      </c>
      <c r="G238" s="547">
        <v>42794</v>
      </c>
      <c r="H238" s="544" t="s">
        <v>1211</v>
      </c>
      <c r="I238" s="544" t="s">
        <v>1661</v>
      </c>
      <c r="J238" s="544" t="s">
        <v>724</v>
      </c>
      <c r="K238" s="544" t="s">
        <v>1776</v>
      </c>
      <c r="L238" s="544" t="s">
        <v>1923</v>
      </c>
      <c r="M238" s="548">
        <v>-163793.1</v>
      </c>
      <c r="N238" s="548">
        <v>0</v>
      </c>
      <c r="O238" s="548">
        <v>-26206.9</v>
      </c>
      <c r="P238" s="548">
        <v>-190000</v>
      </c>
      <c r="Q238" s="548"/>
      <c r="R238" s="548">
        <v>-126896.55</v>
      </c>
      <c r="S238" s="549">
        <f t="shared" si="52"/>
        <v>-63103.45</v>
      </c>
      <c r="T238" s="113" t="s">
        <v>263</v>
      </c>
      <c r="U238" s="369"/>
      <c r="V238" s="370"/>
      <c r="W238" s="375"/>
      <c r="X238" s="375"/>
      <c r="Y238" s="375"/>
      <c r="Z238" s="371"/>
      <c r="AA238" s="371"/>
      <c r="AB238" s="649"/>
      <c r="AC238" s="371"/>
      <c r="AD238" s="372"/>
      <c r="AE238" s="371"/>
      <c r="AF238" s="371"/>
      <c r="AG238" s="270"/>
      <c r="AH238" s="350"/>
      <c r="AI238" s="365"/>
      <c r="AJ238" s="374"/>
      <c r="AK238" s="330"/>
      <c r="AL238" s="330"/>
      <c r="AM238" s="330"/>
    </row>
    <row r="239" spans="1:39" s="348" customFormat="1" x14ac:dyDescent="0.2">
      <c r="A239" s="423">
        <f t="shared" si="53"/>
        <v>234</v>
      </c>
      <c r="B239" s="543" t="s">
        <v>1505</v>
      </c>
      <c r="C239" s="544">
        <v>1032005</v>
      </c>
      <c r="D239" s="545" t="s">
        <v>721</v>
      </c>
      <c r="E239" s="544" t="s">
        <v>1521</v>
      </c>
      <c r="F239" s="546">
        <v>2017</v>
      </c>
      <c r="G239" s="547">
        <v>42794</v>
      </c>
      <c r="H239" s="544" t="s">
        <v>1211</v>
      </c>
      <c r="I239" s="544" t="s">
        <v>1661</v>
      </c>
      <c r="J239" s="544" t="s">
        <v>724</v>
      </c>
      <c r="K239" s="544" t="s">
        <v>1776</v>
      </c>
      <c r="L239" s="544" t="s">
        <v>1923</v>
      </c>
      <c r="M239" s="548">
        <v>163793.1</v>
      </c>
      <c r="N239" s="548">
        <v>0</v>
      </c>
      <c r="O239" s="548">
        <v>26206.9</v>
      </c>
      <c r="P239" s="548">
        <v>190000</v>
      </c>
      <c r="Q239" s="548"/>
      <c r="R239" s="548">
        <v>126896.55</v>
      </c>
      <c r="S239" s="549">
        <f t="shared" si="52"/>
        <v>63103.45</v>
      </c>
      <c r="T239" s="267" t="s">
        <v>263</v>
      </c>
      <c r="U239" s="369"/>
      <c r="V239" s="370"/>
      <c r="W239" s="375"/>
      <c r="X239" s="375"/>
      <c r="Y239" s="375"/>
      <c r="Z239" s="371"/>
      <c r="AA239" s="371"/>
      <c r="AB239" s="649"/>
      <c r="AC239" s="371"/>
      <c r="AD239" s="372"/>
      <c r="AE239" s="371"/>
      <c r="AF239" s="371"/>
      <c r="AG239" s="270"/>
      <c r="AH239" s="350"/>
      <c r="AI239" s="365"/>
      <c r="AJ239" s="330"/>
      <c r="AK239" s="330"/>
      <c r="AL239" s="330"/>
      <c r="AM239" s="330"/>
    </row>
    <row r="240" spans="1:39" s="291" customFormat="1" x14ac:dyDescent="0.2">
      <c r="A240" s="423">
        <f t="shared" si="53"/>
        <v>235</v>
      </c>
      <c r="B240" s="543" t="s">
        <v>1506</v>
      </c>
      <c r="C240" s="544">
        <v>1032005</v>
      </c>
      <c r="D240" s="545" t="s">
        <v>721</v>
      </c>
      <c r="E240" s="544" t="s">
        <v>1521</v>
      </c>
      <c r="F240" s="546">
        <v>2017</v>
      </c>
      <c r="G240" s="547">
        <v>42794</v>
      </c>
      <c r="H240" s="544" t="s">
        <v>1191</v>
      </c>
      <c r="I240" s="544" t="s">
        <v>1661</v>
      </c>
      <c r="J240" s="544" t="s">
        <v>724</v>
      </c>
      <c r="K240" s="544" t="s">
        <v>1777</v>
      </c>
      <c r="L240" s="544" t="s">
        <v>1923</v>
      </c>
      <c r="M240" s="548">
        <v>163793.1</v>
      </c>
      <c r="N240" s="548">
        <v>0</v>
      </c>
      <c r="O240" s="548">
        <v>26206.9</v>
      </c>
      <c r="P240" s="548">
        <v>190000</v>
      </c>
      <c r="Q240" s="548"/>
      <c r="R240" s="548">
        <v>126896.55</v>
      </c>
      <c r="S240" s="549">
        <f t="shared" si="52"/>
        <v>63103.45</v>
      </c>
      <c r="T240" s="267" t="s">
        <v>263</v>
      </c>
      <c r="U240" s="369"/>
      <c r="V240" s="370"/>
      <c r="W240" s="375"/>
      <c r="X240" s="375"/>
      <c r="Y240" s="375"/>
      <c r="Z240" s="371"/>
      <c r="AA240" s="371"/>
      <c r="AB240" s="649"/>
      <c r="AC240" s="371"/>
      <c r="AD240" s="372"/>
      <c r="AE240" s="371"/>
      <c r="AF240" s="371"/>
      <c r="AG240" s="270"/>
      <c r="AH240" s="350"/>
      <c r="AI240" s="365"/>
      <c r="AJ240" s="374"/>
      <c r="AK240" s="374"/>
      <c r="AL240" s="374"/>
      <c r="AM240" s="374"/>
    </row>
    <row r="241" spans="1:41" s="291" customFormat="1" x14ac:dyDescent="0.2">
      <c r="A241" s="423">
        <f t="shared" si="53"/>
        <v>236</v>
      </c>
      <c r="B241" s="543" t="s">
        <v>1507</v>
      </c>
      <c r="C241" s="544">
        <v>520226</v>
      </c>
      <c r="D241" s="545" t="s">
        <v>686</v>
      </c>
      <c r="E241" s="544" t="s">
        <v>252</v>
      </c>
      <c r="F241" s="546">
        <v>2017</v>
      </c>
      <c r="G241" s="547">
        <v>42773</v>
      </c>
      <c r="H241" s="544" t="s">
        <v>735</v>
      </c>
      <c r="I241" s="544" t="s">
        <v>1662</v>
      </c>
      <c r="J241" s="544" t="s">
        <v>724</v>
      </c>
      <c r="K241" s="544" t="s">
        <v>1778</v>
      </c>
      <c r="L241" s="544" t="s">
        <v>1924</v>
      </c>
      <c r="M241" s="548">
        <v>278793.09999999998</v>
      </c>
      <c r="N241" s="548">
        <v>0</v>
      </c>
      <c r="O241" s="548">
        <v>6206.9</v>
      </c>
      <c r="P241" s="548">
        <v>285000</v>
      </c>
      <c r="Q241" s="548"/>
      <c r="R241" s="548">
        <v>240000</v>
      </c>
      <c r="S241" s="549">
        <f t="shared" si="52"/>
        <v>45000</v>
      </c>
      <c r="T241" s="267" t="s">
        <v>263</v>
      </c>
      <c r="U241" s="369"/>
      <c r="V241" s="370"/>
      <c r="W241" s="375"/>
      <c r="X241" s="375"/>
      <c r="Y241" s="375"/>
      <c r="Z241" s="371"/>
      <c r="AA241" s="371"/>
      <c r="AB241" s="649"/>
      <c r="AC241" s="371"/>
      <c r="AD241" s="372"/>
      <c r="AE241" s="371"/>
      <c r="AF241" s="371"/>
      <c r="AG241" s="270"/>
      <c r="AH241" s="350"/>
      <c r="AI241" s="365"/>
      <c r="AJ241" s="330"/>
      <c r="AK241" s="374"/>
      <c r="AL241" s="374"/>
      <c r="AM241" s="374"/>
    </row>
    <row r="242" spans="1:41" s="291" customFormat="1" x14ac:dyDescent="0.2">
      <c r="A242" s="423">
        <f t="shared" si="53"/>
        <v>237</v>
      </c>
      <c r="B242" s="543" t="s">
        <v>1508</v>
      </c>
      <c r="C242" s="544">
        <v>520513</v>
      </c>
      <c r="D242" s="545" t="s">
        <v>686</v>
      </c>
      <c r="E242" s="544" t="s">
        <v>252</v>
      </c>
      <c r="F242" s="546">
        <v>2017</v>
      </c>
      <c r="G242" s="547">
        <v>42774</v>
      </c>
      <c r="H242" s="544" t="s">
        <v>1191</v>
      </c>
      <c r="I242" s="544" t="s">
        <v>1663</v>
      </c>
      <c r="J242" s="544" t="s">
        <v>724</v>
      </c>
      <c r="K242" s="544" t="s">
        <v>1779</v>
      </c>
      <c r="L242" s="544" t="s">
        <v>1925</v>
      </c>
      <c r="M242" s="548">
        <v>315344.83</v>
      </c>
      <c r="N242" s="548">
        <v>0</v>
      </c>
      <c r="O242" s="548">
        <v>9655.17</v>
      </c>
      <c r="P242" s="548">
        <v>325000</v>
      </c>
      <c r="Q242" s="548"/>
      <c r="R242" s="548">
        <v>255000</v>
      </c>
      <c r="S242" s="549">
        <f t="shared" si="52"/>
        <v>70000</v>
      </c>
      <c r="T242" s="113" t="s">
        <v>263</v>
      </c>
      <c r="U242" s="369"/>
      <c r="V242" s="370"/>
      <c r="W242" s="375"/>
      <c r="X242" s="375"/>
      <c r="Y242" s="375"/>
      <c r="Z242" s="371"/>
      <c r="AA242" s="371"/>
      <c r="AB242" s="649"/>
      <c r="AC242" s="371"/>
      <c r="AD242" s="372"/>
      <c r="AE242" s="371"/>
      <c r="AF242" s="371"/>
      <c r="AG242" s="270"/>
      <c r="AH242" s="350"/>
      <c r="AI242" s="365"/>
      <c r="AJ242" s="374"/>
      <c r="AK242" s="374"/>
      <c r="AL242" s="374"/>
      <c r="AM242" s="374"/>
    </row>
    <row r="243" spans="1:41" s="348" customFormat="1" x14ac:dyDescent="0.2">
      <c r="A243" s="423">
        <f t="shared" si="53"/>
        <v>238</v>
      </c>
      <c r="B243" s="543" t="s">
        <v>1509</v>
      </c>
      <c r="C243" s="544">
        <v>520509</v>
      </c>
      <c r="D243" s="545" t="s">
        <v>686</v>
      </c>
      <c r="E243" s="544" t="s">
        <v>252</v>
      </c>
      <c r="F243" s="546">
        <v>2016</v>
      </c>
      <c r="G243" s="547">
        <v>42776</v>
      </c>
      <c r="H243" s="544" t="s">
        <v>1207</v>
      </c>
      <c r="I243" s="544" t="s">
        <v>1664</v>
      </c>
      <c r="J243" s="544" t="s">
        <v>724</v>
      </c>
      <c r="K243" s="544" t="s">
        <v>1780</v>
      </c>
      <c r="L243" s="544" t="s">
        <v>1926</v>
      </c>
      <c r="M243" s="548">
        <v>345172.41</v>
      </c>
      <c r="N243" s="548">
        <v>0</v>
      </c>
      <c r="O243" s="548">
        <v>4827.59</v>
      </c>
      <c r="P243" s="548">
        <v>350000</v>
      </c>
      <c r="Q243" s="548"/>
      <c r="R243" s="548">
        <v>315000</v>
      </c>
      <c r="S243" s="549">
        <f t="shared" si="52"/>
        <v>35000</v>
      </c>
      <c r="T243" s="267" t="s">
        <v>263</v>
      </c>
      <c r="U243" s="369"/>
      <c r="V243" s="370"/>
      <c r="W243" s="375"/>
      <c r="X243" s="375"/>
      <c r="Y243" s="375"/>
      <c r="Z243" s="371"/>
      <c r="AA243" s="371"/>
      <c r="AB243" s="649"/>
      <c r="AC243" s="371"/>
      <c r="AD243" s="372"/>
      <c r="AE243" s="371"/>
      <c r="AF243" s="371"/>
      <c r="AG243" s="270"/>
      <c r="AH243" s="350"/>
      <c r="AI243" s="365"/>
      <c r="AJ243" s="330"/>
      <c r="AK243" s="330"/>
      <c r="AL243" s="330"/>
      <c r="AM243" s="330"/>
    </row>
    <row r="244" spans="1:41" s="291" customFormat="1" x14ac:dyDescent="0.2">
      <c r="A244" s="423">
        <f t="shared" si="53"/>
        <v>239</v>
      </c>
      <c r="B244" s="543" t="s">
        <v>1510</v>
      </c>
      <c r="C244" s="544">
        <v>520816</v>
      </c>
      <c r="D244" s="545" t="s">
        <v>686</v>
      </c>
      <c r="E244" s="544" t="s">
        <v>252</v>
      </c>
      <c r="F244" s="546">
        <v>2016</v>
      </c>
      <c r="G244" s="547">
        <v>42777</v>
      </c>
      <c r="H244" s="544" t="s">
        <v>1191</v>
      </c>
      <c r="I244" s="544" t="s">
        <v>1665</v>
      </c>
      <c r="J244" s="544" t="s">
        <v>724</v>
      </c>
      <c r="K244" s="544" t="s">
        <v>1781</v>
      </c>
      <c r="L244" s="544" t="s">
        <v>1927</v>
      </c>
      <c r="M244" s="548">
        <v>322931.03000000003</v>
      </c>
      <c r="N244" s="548">
        <v>0</v>
      </c>
      <c r="O244" s="548">
        <v>10068.969999999999</v>
      </c>
      <c r="P244" s="548">
        <v>333000</v>
      </c>
      <c r="Q244" s="548"/>
      <c r="R244" s="548">
        <v>260000</v>
      </c>
      <c r="S244" s="549">
        <f t="shared" si="52"/>
        <v>73000</v>
      </c>
      <c r="T244" s="113" t="s">
        <v>263</v>
      </c>
      <c r="U244" s="369"/>
      <c r="V244" s="370"/>
      <c r="W244" s="375"/>
      <c r="X244" s="375"/>
      <c r="Y244" s="375"/>
      <c r="Z244" s="371"/>
      <c r="AA244" s="371"/>
      <c r="AB244" s="649"/>
      <c r="AC244" s="371"/>
      <c r="AD244" s="372"/>
      <c r="AE244" s="371"/>
      <c r="AF244" s="371"/>
      <c r="AG244" s="270"/>
      <c r="AH244" s="350"/>
      <c r="AI244" s="365"/>
      <c r="AJ244" s="374"/>
      <c r="AK244" s="374"/>
      <c r="AL244" s="374"/>
      <c r="AM244" s="374"/>
    </row>
    <row r="245" spans="1:41" s="291" customFormat="1" x14ac:dyDescent="0.2">
      <c r="A245" s="423">
        <f t="shared" si="53"/>
        <v>240</v>
      </c>
      <c r="B245" s="543" t="s">
        <v>1514</v>
      </c>
      <c r="C245" s="544">
        <v>520816</v>
      </c>
      <c r="D245" s="545" t="s">
        <v>686</v>
      </c>
      <c r="E245" s="544" t="s">
        <v>252</v>
      </c>
      <c r="F245" s="546">
        <v>2016</v>
      </c>
      <c r="G245" s="547">
        <v>42781</v>
      </c>
      <c r="H245" s="544" t="s">
        <v>1191</v>
      </c>
      <c r="I245" s="544" t="s">
        <v>1665</v>
      </c>
      <c r="J245" s="544" t="s">
        <v>724</v>
      </c>
      <c r="K245" s="544" t="s">
        <v>1781</v>
      </c>
      <c r="L245" s="544" t="s">
        <v>1927</v>
      </c>
      <c r="M245" s="548">
        <v>-322931.03000000003</v>
      </c>
      <c r="N245" s="548">
        <v>0</v>
      </c>
      <c r="O245" s="548">
        <v>-10068.969999999999</v>
      </c>
      <c r="P245" s="548">
        <v>-333000</v>
      </c>
      <c r="Q245" s="548"/>
      <c r="R245" s="548">
        <v>-260000</v>
      </c>
      <c r="S245" s="549">
        <f t="shared" si="52"/>
        <v>-73000</v>
      </c>
      <c r="T245" s="267" t="s">
        <v>263</v>
      </c>
      <c r="U245" s="369"/>
      <c r="V245" s="370"/>
      <c r="W245" s="375"/>
      <c r="X245" s="375"/>
      <c r="Y245" s="375"/>
      <c r="Z245" s="371"/>
      <c r="AA245" s="371"/>
      <c r="AB245" s="649"/>
      <c r="AC245" s="371"/>
      <c r="AD245" s="372"/>
      <c r="AE245" s="371"/>
      <c r="AF245" s="371"/>
      <c r="AG245" s="270"/>
      <c r="AH245" s="350"/>
      <c r="AI245" s="365"/>
      <c r="AJ245" s="374"/>
      <c r="AK245" s="374"/>
      <c r="AL245" s="374"/>
      <c r="AM245" s="374"/>
    </row>
    <row r="246" spans="1:41" s="291" customFormat="1" x14ac:dyDescent="0.2">
      <c r="A246" s="423">
        <f t="shared" si="53"/>
        <v>241</v>
      </c>
      <c r="B246" s="543" t="s">
        <v>1515</v>
      </c>
      <c r="C246" s="544">
        <v>520816</v>
      </c>
      <c r="D246" s="545" t="s">
        <v>686</v>
      </c>
      <c r="E246" s="544" t="s">
        <v>252</v>
      </c>
      <c r="F246" s="546">
        <v>2016</v>
      </c>
      <c r="G246" s="547">
        <v>42781</v>
      </c>
      <c r="H246" s="544" t="s">
        <v>1191</v>
      </c>
      <c r="I246" s="544" t="s">
        <v>1665</v>
      </c>
      <c r="J246" s="544" t="s">
        <v>724</v>
      </c>
      <c r="K246" s="544" t="s">
        <v>1781</v>
      </c>
      <c r="L246" s="544" t="s">
        <v>1927</v>
      </c>
      <c r="M246" s="548">
        <v>322931.03000000003</v>
      </c>
      <c r="N246" s="548">
        <v>0</v>
      </c>
      <c r="O246" s="548">
        <v>10068.969999999999</v>
      </c>
      <c r="P246" s="548">
        <v>333000</v>
      </c>
      <c r="Q246" s="548"/>
      <c r="R246" s="548">
        <v>260000</v>
      </c>
      <c r="S246" s="549">
        <f t="shared" si="52"/>
        <v>73000</v>
      </c>
      <c r="T246" s="113" t="s">
        <v>263</v>
      </c>
      <c r="U246" s="369"/>
      <c r="V246" s="370"/>
      <c r="W246" s="375"/>
      <c r="X246" s="375"/>
      <c r="Y246" s="375"/>
      <c r="Z246" s="371"/>
      <c r="AA246" s="371"/>
      <c r="AB246" s="649"/>
      <c r="AC246" s="371"/>
      <c r="AD246" s="372"/>
      <c r="AE246" s="371"/>
      <c r="AF246" s="371"/>
      <c r="AG246" s="270"/>
      <c r="AH246" s="350"/>
      <c r="AI246" s="365"/>
      <c r="AJ246" s="330"/>
      <c r="AK246" s="374"/>
      <c r="AL246" s="374"/>
      <c r="AM246" s="374"/>
    </row>
    <row r="247" spans="1:41" s="348" customFormat="1" x14ac:dyDescent="0.2">
      <c r="A247" s="423">
        <f t="shared" si="53"/>
        <v>242</v>
      </c>
      <c r="B247" s="543" t="s">
        <v>1516</v>
      </c>
      <c r="C247" s="544">
        <v>520227</v>
      </c>
      <c r="D247" s="545" t="s">
        <v>686</v>
      </c>
      <c r="E247" s="544" t="s">
        <v>252</v>
      </c>
      <c r="F247" s="546">
        <v>2017</v>
      </c>
      <c r="G247" s="547">
        <v>42786</v>
      </c>
      <c r="H247" s="544" t="s">
        <v>1211</v>
      </c>
      <c r="I247" s="544" t="s">
        <v>1667</v>
      </c>
      <c r="J247" s="544" t="s">
        <v>724</v>
      </c>
      <c r="K247" s="544" t="s">
        <v>1783</v>
      </c>
      <c r="L247" s="544" t="s">
        <v>1929</v>
      </c>
      <c r="M247" s="548">
        <v>208103.45</v>
      </c>
      <c r="N247" s="548">
        <v>0</v>
      </c>
      <c r="O247" s="548">
        <v>6896.55</v>
      </c>
      <c r="P247" s="548">
        <v>215000</v>
      </c>
      <c r="Q247" s="548"/>
      <c r="R247" s="548">
        <v>165000</v>
      </c>
      <c r="S247" s="549">
        <f t="shared" si="52"/>
        <v>50000</v>
      </c>
      <c r="T247" s="113" t="s">
        <v>263</v>
      </c>
      <c r="U247" s="369"/>
      <c r="V247" s="370"/>
      <c r="W247" s="375"/>
      <c r="X247" s="375"/>
      <c r="Y247" s="375"/>
      <c r="Z247" s="371"/>
      <c r="AA247" s="371"/>
      <c r="AB247" s="649"/>
      <c r="AC247" s="371"/>
      <c r="AD247" s="372"/>
      <c r="AE247" s="371"/>
      <c r="AF247" s="371"/>
      <c r="AG247" s="270"/>
      <c r="AH247" s="350"/>
      <c r="AI247" s="365"/>
      <c r="AJ247" s="374"/>
      <c r="AK247" s="330"/>
      <c r="AL247" s="330"/>
      <c r="AM247" s="330"/>
    </row>
    <row r="248" spans="1:41" s="291" customFormat="1" x14ac:dyDescent="0.2">
      <c r="A248" s="423">
        <f t="shared" si="53"/>
        <v>243</v>
      </c>
      <c r="B248" s="543" t="s">
        <v>1517</v>
      </c>
      <c r="C248" s="544">
        <v>521802</v>
      </c>
      <c r="D248" s="545" t="s">
        <v>686</v>
      </c>
      <c r="E248" s="544" t="s">
        <v>252</v>
      </c>
      <c r="F248" s="546">
        <v>2017</v>
      </c>
      <c r="G248" s="547">
        <v>42790</v>
      </c>
      <c r="H248" s="544" t="s">
        <v>1191</v>
      </c>
      <c r="I248" s="544" t="s">
        <v>1668</v>
      </c>
      <c r="J248" s="544" t="s">
        <v>724</v>
      </c>
      <c r="K248" s="544" t="s">
        <v>1784</v>
      </c>
      <c r="L248" s="544" t="s">
        <v>1930</v>
      </c>
      <c r="M248" s="548">
        <v>158793.1</v>
      </c>
      <c r="N248" s="548">
        <v>0</v>
      </c>
      <c r="O248" s="548">
        <v>6206.9</v>
      </c>
      <c r="P248" s="548">
        <v>165000</v>
      </c>
      <c r="Q248" s="548"/>
      <c r="R248" s="548">
        <v>120000</v>
      </c>
      <c r="S248" s="549">
        <f t="shared" si="52"/>
        <v>45000</v>
      </c>
      <c r="T248" s="267" t="s">
        <v>263</v>
      </c>
      <c r="U248" s="369"/>
      <c r="V248" s="370"/>
      <c r="W248" s="375"/>
      <c r="X248" s="375"/>
      <c r="Y248" s="375"/>
      <c r="Z248" s="371"/>
      <c r="AA248" s="371"/>
      <c r="AB248" s="649"/>
      <c r="AC248" s="371"/>
      <c r="AD248" s="372"/>
      <c r="AE248" s="371"/>
      <c r="AF248" s="371"/>
      <c r="AG248" s="270"/>
      <c r="AH248" s="350"/>
      <c r="AI248" s="365"/>
      <c r="AJ248" s="374"/>
      <c r="AK248" s="374"/>
      <c r="AL248" s="374"/>
      <c r="AM248" s="374"/>
    </row>
    <row r="249" spans="1:41" s="53" customFormat="1" x14ac:dyDescent="0.2">
      <c r="A249" s="48"/>
      <c r="B249" s="550"/>
      <c r="C249" s="551"/>
      <c r="D249" s="551"/>
      <c r="E249" s="552"/>
      <c r="F249" s="553"/>
      <c r="G249" s="554"/>
      <c r="H249" s="552"/>
      <c r="I249" s="552"/>
      <c r="J249" s="552"/>
      <c r="K249" s="552"/>
      <c r="L249" s="552"/>
      <c r="M249" s="555"/>
      <c r="N249" s="555"/>
      <c r="O249" s="555"/>
      <c r="P249" s="555"/>
      <c r="Q249" s="555"/>
      <c r="R249" s="555"/>
      <c r="S249" s="549"/>
      <c r="T249" s="398"/>
      <c r="U249" s="320"/>
      <c r="V249" s="354"/>
      <c r="W249" s="355"/>
      <c r="X249" s="355"/>
      <c r="Y249" s="355"/>
      <c r="Z249" s="356"/>
      <c r="AA249" s="328"/>
      <c r="AB249" s="650"/>
      <c r="AC249" s="328"/>
      <c r="AD249" s="333"/>
      <c r="AE249" s="328"/>
      <c r="AF249" s="328"/>
      <c r="AG249" s="346"/>
      <c r="AH249" s="272"/>
      <c r="AI249" s="313"/>
      <c r="AJ249" s="21"/>
      <c r="AK249" s="21"/>
      <c r="AL249" s="21"/>
      <c r="AM249" s="21"/>
      <c r="AN249" s="21"/>
      <c r="AO249" s="21"/>
    </row>
    <row r="250" spans="1:41" s="53" customFormat="1" x14ac:dyDescent="0.2">
      <c r="A250" s="48"/>
      <c r="B250" s="550"/>
      <c r="C250" s="551"/>
      <c r="D250" s="551"/>
      <c r="E250" s="552"/>
      <c r="F250" s="553"/>
      <c r="G250" s="556"/>
      <c r="H250" s="552"/>
      <c r="I250" s="552"/>
      <c r="J250" s="552"/>
      <c r="K250" s="552"/>
      <c r="L250" s="552"/>
      <c r="M250" s="555"/>
      <c r="N250" s="555"/>
      <c r="O250" s="555"/>
      <c r="P250" s="555"/>
      <c r="Q250" s="555"/>
      <c r="R250" s="555"/>
      <c r="S250" s="549"/>
      <c r="T250" s="13"/>
      <c r="U250" s="369"/>
      <c r="V250" s="370"/>
      <c r="W250" s="375"/>
      <c r="X250" s="375"/>
      <c r="Y250" s="375"/>
      <c r="Z250" s="376"/>
      <c r="AA250" s="371"/>
      <c r="AB250" s="649"/>
      <c r="AC250" s="371"/>
      <c r="AD250" s="372"/>
      <c r="AE250" s="371"/>
      <c r="AF250" s="371"/>
      <c r="AG250" s="270"/>
      <c r="AH250" s="272"/>
      <c r="AI250" s="313"/>
      <c r="AJ250" s="21"/>
      <c r="AK250" s="21"/>
      <c r="AL250" s="21"/>
      <c r="AM250" s="21"/>
      <c r="AN250" s="21"/>
      <c r="AO250" s="21"/>
    </row>
    <row r="251" spans="1:41" s="53" customFormat="1" ht="13.5" thickBot="1" x14ac:dyDescent="0.25">
      <c r="A251" s="48"/>
      <c r="B251" s="557"/>
      <c r="C251" s="558"/>
      <c r="D251" s="558"/>
      <c r="E251" s="559"/>
      <c r="F251" s="559"/>
      <c r="G251" s="560"/>
      <c r="H251" s="559"/>
      <c r="I251" s="559"/>
      <c r="J251" s="559"/>
      <c r="K251" s="559"/>
      <c r="L251" s="559"/>
      <c r="M251" s="561"/>
      <c r="N251" s="561"/>
      <c r="O251" s="561"/>
      <c r="P251" s="561"/>
      <c r="Q251" s="561"/>
      <c r="R251" s="561"/>
      <c r="S251" s="562"/>
      <c r="T251" s="13"/>
      <c r="U251" s="320"/>
      <c r="V251" s="354"/>
      <c r="W251" s="355"/>
      <c r="X251" s="355"/>
      <c r="Y251" s="355"/>
      <c r="Z251" s="356"/>
      <c r="AA251" s="328"/>
      <c r="AB251" s="650"/>
      <c r="AC251" s="328"/>
      <c r="AD251" s="333"/>
      <c r="AE251" s="328"/>
      <c r="AF251" s="328"/>
      <c r="AG251" s="346"/>
      <c r="AH251" s="272"/>
      <c r="AI251" s="313"/>
      <c r="AJ251" s="21"/>
      <c r="AK251" s="21"/>
      <c r="AL251" s="21"/>
      <c r="AM251" s="21"/>
      <c r="AN251" s="21"/>
      <c r="AO251" s="21"/>
    </row>
    <row r="252" spans="1:41" s="53" customFormat="1" x14ac:dyDescent="0.2">
      <c r="A252" s="48"/>
      <c r="B252" s="592"/>
      <c r="C252" s="593"/>
      <c r="D252" s="593"/>
      <c r="E252" s="593"/>
      <c r="F252" s="594"/>
      <c r="G252" s="595"/>
      <c r="H252" s="596"/>
      <c r="I252" s="597"/>
      <c r="J252" s="598"/>
      <c r="K252" s="598"/>
      <c r="L252" s="594"/>
      <c r="M252" s="599"/>
      <c r="N252" s="600"/>
      <c r="O252" s="601"/>
      <c r="P252" s="601"/>
      <c r="Q252" s="601"/>
      <c r="R252" s="602"/>
      <c r="S252" s="603"/>
      <c r="T252" s="13"/>
      <c r="U252" s="369"/>
      <c r="V252" s="370"/>
      <c r="W252" s="375"/>
      <c r="X252" s="375"/>
      <c r="Y252" s="375"/>
      <c r="Z252" s="376"/>
      <c r="AA252" s="371"/>
      <c r="AB252" s="649"/>
      <c r="AC252" s="371"/>
      <c r="AD252" s="372"/>
      <c r="AE252" s="371"/>
      <c r="AF252" s="371"/>
      <c r="AG252" s="270"/>
      <c r="AH252" s="272"/>
      <c r="AI252" s="313"/>
      <c r="AJ252" s="21"/>
      <c r="AK252" s="21"/>
      <c r="AL252" s="21"/>
      <c r="AM252" s="21"/>
      <c r="AN252" s="21"/>
      <c r="AO252" s="21"/>
    </row>
    <row r="253" spans="1:41" s="53" customFormat="1" x14ac:dyDescent="0.2">
      <c r="A253" s="48"/>
      <c r="B253" s="604"/>
      <c r="C253" s="262"/>
      <c r="D253" s="262"/>
      <c r="E253" s="129"/>
      <c r="F253" s="40"/>
      <c r="G253" s="81"/>
      <c r="H253" s="254"/>
      <c r="I253" s="90"/>
      <c r="J253" s="90"/>
      <c r="K253" s="90"/>
      <c r="L253" s="40"/>
      <c r="M253" s="209">
        <f>SUM(M6:M251)</f>
        <v>38074460.599999972</v>
      </c>
      <c r="N253" s="209">
        <f>SUM(N6:N251)</f>
        <v>896574.32999999973</v>
      </c>
      <c r="O253" s="209">
        <f>SUM(O6:O251)</f>
        <v>5819685.6800000025</v>
      </c>
      <c r="P253" s="209">
        <f>SUM(P6:P251)</f>
        <v>44790720.610000022</v>
      </c>
      <c r="Q253" s="209">
        <f t="shared" ref="Q253" si="54">SUM(Q6:Q251)</f>
        <v>0</v>
      </c>
      <c r="R253" s="209">
        <f>SUM(R6:R251)</f>
        <v>34736318.039999992</v>
      </c>
      <c r="S253" s="605">
        <f>SUM(S6:S251)</f>
        <v>10054402.570000004</v>
      </c>
      <c r="T253" s="13"/>
      <c r="U253" s="369"/>
      <c r="V253" s="370"/>
      <c r="W253" s="375"/>
      <c r="X253" s="375"/>
      <c r="Y253" s="375"/>
      <c r="Z253" s="376"/>
      <c r="AA253" s="371"/>
      <c r="AB253" s="649"/>
      <c r="AC253" s="371"/>
      <c r="AD253" s="372"/>
      <c r="AE253" s="371"/>
      <c r="AF253" s="371"/>
      <c r="AG253" s="270"/>
      <c r="AH253" s="272"/>
      <c r="AI253" s="313"/>
      <c r="AJ253" s="21"/>
      <c r="AK253" s="21"/>
      <c r="AL253" s="21"/>
      <c r="AM253" s="21"/>
      <c r="AN253" s="21"/>
      <c r="AO253" s="21"/>
    </row>
    <row r="254" spans="1:41" s="53" customFormat="1" ht="13.5" thickBot="1" x14ac:dyDescent="0.25">
      <c r="A254" s="48"/>
      <c r="B254" s="606"/>
      <c r="C254" s="607"/>
      <c r="D254" s="607"/>
      <c r="E254" s="607"/>
      <c r="F254" s="608"/>
      <c r="G254" s="609"/>
      <c r="H254" s="610"/>
      <c r="I254" s="611"/>
      <c r="J254" s="612"/>
      <c r="K254" s="612"/>
      <c r="L254" s="608"/>
      <c r="M254" s="613"/>
      <c r="N254" s="614"/>
      <c r="O254" s="615"/>
      <c r="P254" s="615"/>
      <c r="Q254" s="615"/>
      <c r="R254" s="616"/>
      <c r="S254" s="617"/>
      <c r="T254" s="13"/>
      <c r="U254" s="369"/>
      <c r="V254" s="370"/>
      <c r="W254" s="375"/>
      <c r="X254" s="375"/>
      <c r="Y254" s="375"/>
      <c r="Z254" s="376"/>
      <c r="AA254" s="371"/>
      <c r="AB254" s="649"/>
      <c r="AC254" s="371"/>
      <c r="AD254" s="372"/>
      <c r="AE254" s="371"/>
      <c r="AF254" s="371"/>
      <c r="AG254" s="270"/>
      <c r="AH254" s="272"/>
      <c r="AI254" s="313"/>
      <c r="AJ254" s="21"/>
      <c r="AK254" s="21"/>
      <c r="AL254" s="21"/>
      <c r="AM254" s="21"/>
      <c r="AN254" s="21"/>
      <c r="AO254" s="21"/>
    </row>
    <row r="255" spans="1:41" s="53" customFormat="1" x14ac:dyDescent="0.2">
      <c r="A255" s="48"/>
      <c r="B255" s="305"/>
      <c r="C255" s="233"/>
      <c r="D255" s="233"/>
      <c r="E255" s="113"/>
      <c r="F255" s="48"/>
      <c r="G255" s="49"/>
      <c r="H255" s="256"/>
      <c r="I255" s="133" t="s">
        <v>37</v>
      </c>
      <c r="J255" s="117"/>
      <c r="K255" s="133" t="s">
        <v>37</v>
      </c>
      <c r="L255" s="8" t="s">
        <v>75</v>
      </c>
      <c r="M255" s="410">
        <v>26645640.129999999</v>
      </c>
      <c r="N255" s="326">
        <f>+N253</f>
        <v>896574.32999999973</v>
      </c>
      <c r="O255" s="201"/>
      <c r="P255" s="279"/>
      <c r="Q255" s="201"/>
      <c r="R255" s="326">
        <v>27364079.710000001</v>
      </c>
      <c r="S255" s="201">
        <f>SUM(R6:R157)+SUM(Q266:Q267)-R256+Q1</f>
        <v>16403403.629999988</v>
      </c>
      <c r="T255" s="13"/>
      <c r="U255" s="369"/>
      <c r="V255" s="370"/>
      <c r="W255" s="375"/>
      <c r="X255" s="375"/>
      <c r="Y255" s="375"/>
      <c r="Z255" s="376"/>
      <c r="AA255" s="371"/>
      <c r="AB255" s="649"/>
      <c r="AC255" s="371"/>
      <c r="AD255" s="372"/>
      <c r="AE255" s="371"/>
      <c r="AF255" s="371"/>
      <c r="AG255" s="270"/>
      <c r="AH255" s="272"/>
      <c r="AI255" s="313"/>
      <c r="AJ255" s="21"/>
      <c r="AK255" s="21"/>
      <c r="AL255" s="21"/>
      <c r="AM255" s="21"/>
      <c r="AN255" s="21"/>
      <c r="AO255" s="21"/>
    </row>
    <row r="256" spans="1:41" s="53" customFormat="1" x14ac:dyDescent="0.2">
      <c r="A256" s="48"/>
      <c r="B256" s="305"/>
      <c r="C256" s="233"/>
      <c r="D256" s="233"/>
      <c r="E256" s="113"/>
      <c r="F256" s="48"/>
      <c r="G256" s="49"/>
      <c r="H256" s="256"/>
      <c r="I256" s="133" t="s">
        <v>404</v>
      </c>
      <c r="J256" s="117"/>
      <c r="K256" s="133" t="s">
        <v>74</v>
      </c>
      <c r="L256" s="8" t="s">
        <v>75</v>
      </c>
      <c r="M256" s="410">
        <v>7907544.6299999999</v>
      </c>
      <c r="N256" s="326"/>
      <c r="O256" s="201"/>
      <c r="P256" s="279"/>
      <c r="Q256" s="201"/>
      <c r="R256" s="326">
        <v>7522946.3200000003</v>
      </c>
      <c r="S256" s="285"/>
      <c r="T256" s="13"/>
      <c r="U256" s="320"/>
      <c r="V256" s="354"/>
      <c r="W256" s="355"/>
      <c r="X256" s="355"/>
      <c r="Y256" s="355"/>
      <c r="Z256" s="356"/>
      <c r="AA256" s="328"/>
      <c r="AB256" s="650"/>
      <c r="AC256" s="328"/>
      <c r="AD256" s="333"/>
      <c r="AE256" s="328"/>
      <c r="AF256" s="328"/>
      <c r="AG256" s="346"/>
      <c r="AH256" s="347"/>
      <c r="AI256" s="363"/>
      <c r="AJ256" s="21"/>
      <c r="AK256" s="21"/>
      <c r="AL256" s="21"/>
      <c r="AM256" s="21"/>
      <c r="AN256" s="21"/>
      <c r="AO256" s="21"/>
    </row>
    <row r="257" spans="1:41" s="53" customFormat="1" x14ac:dyDescent="0.2">
      <c r="A257" s="48"/>
      <c r="B257" s="306"/>
      <c r="C257" s="233"/>
      <c r="D257" s="233"/>
      <c r="E257" s="113"/>
      <c r="F257" s="48"/>
      <c r="G257" s="49"/>
      <c r="H257" s="256"/>
      <c r="I257" s="133" t="s">
        <v>74</v>
      </c>
      <c r="J257" s="117"/>
      <c r="K257" s="133" t="s">
        <v>38</v>
      </c>
      <c r="L257" s="8" t="s">
        <v>75</v>
      </c>
      <c r="M257" s="410">
        <v>3521275.84</v>
      </c>
      <c r="N257" s="201"/>
      <c r="O257" s="201"/>
      <c r="P257" s="279"/>
      <c r="Q257" s="332">
        <f>72*360</f>
        <v>25920</v>
      </c>
      <c r="R257" s="326">
        <v>5857317.5899999999</v>
      </c>
      <c r="S257" s="201">
        <f>SUM(R219:R248)</f>
        <v>3210461.3499999996</v>
      </c>
      <c r="T257" s="13"/>
      <c r="U257" s="369"/>
      <c r="V257" s="370"/>
      <c r="W257" s="375"/>
      <c r="X257" s="375"/>
      <c r="Y257" s="375"/>
      <c r="Z257" s="376"/>
      <c r="AA257" s="371"/>
      <c r="AB257" s="649"/>
      <c r="AC257" s="371"/>
      <c r="AD257" s="372"/>
      <c r="AE257" s="371"/>
      <c r="AF257" s="371"/>
      <c r="AG257" s="270"/>
      <c r="AH257" s="272"/>
      <c r="AI257" s="313"/>
      <c r="AJ257" s="21"/>
      <c r="AK257" s="21"/>
      <c r="AL257" s="21"/>
      <c r="AM257" s="21"/>
      <c r="AN257" s="21"/>
      <c r="AO257" s="21"/>
    </row>
    <row r="258" spans="1:41" s="53" customFormat="1" x14ac:dyDescent="0.2">
      <c r="A258" s="48"/>
      <c r="B258" s="306"/>
      <c r="C258" s="233"/>
      <c r="D258" s="233"/>
      <c r="E258" s="113"/>
      <c r="F258" s="48"/>
      <c r="G258" s="49"/>
      <c r="H258" s="256"/>
      <c r="I258" s="133" t="s">
        <v>38</v>
      </c>
      <c r="J258" s="117"/>
      <c r="K258" s="117"/>
      <c r="L258" s="8"/>
      <c r="M258" s="326"/>
      <c r="N258" s="326"/>
      <c r="O258" s="326"/>
      <c r="P258" s="327"/>
      <c r="Q258" s="327"/>
      <c r="R258" s="400">
        <v>8200735.7800000003</v>
      </c>
      <c r="S258" s="401" t="e">
        <f>SUM(#REF!)+SUM(Q316:Q407)-R259</f>
        <v>#REF!</v>
      </c>
      <c r="T258" s="380" t="e">
        <f>+R258-S258</f>
        <v>#REF!</v>
      </c>
      <c r="U258" s="369"/>
      <c r="V258" s="370"/>
      <c r="W258" s="375"/>
      <c r="X258" s="375"/>
      <c r="Y258" s="375"/>
      <c r="Z258" s="376"/>
      <c r="AA258" s="371"/>
      <c r="AB258" s="649"/>
      <c r="AC258" s="371"/>
      <c r="AD258" s="372"/>
      <c r="AE258" s="371"/>
      <c r="AF258" s="371"/>
      <c r="AG258" s="270"/>
      <c r="AH258" s="272"/>
      <c r="AI258" s="313"/>
      <c r="AJ258" s="21"/>
      <c r="AK258" s="21"/>
      <c r="AL258" s="21"/>
      <c r="AM258" s="21"/>
      <c r="AN258" s="21"/>
      <c r="AO258" s="21"/>
    </row>
    <row r="259" spans="1:41" s="53" customFormat="1" x14ac:dyDescent="0.2">
      <c r="A259" s="48"/>
      <c r="B259" s="306"/>
      <c r="C259" s="233"/>
      <c r="D259" s="233"/>
      <c r="E259" s="113"/>
      <c r="F259" s="48"/>
      <c r="G259" s="49"/>
      <c r="H259" s="256"/>
      <c r="I259" s="133" t="s">
        <v>405</v>
      </c>
      <c r="J259" s="117"/>
      <c r="K259" s="117"/>
      <c r="L259" s="8"/>
      <c r="M259" s="258">
        <v>0</v>
      </c>
      <c r="N259" s="258"/>
      <c r="O259" s="258"/>
      <c r="P259" s="280"/>
      <c r="Q259" s="280"/>
      <c r="R259" s="400">
        <v>604</v>
      </c>
      <c r="S259" s="401">
        <v>0</v>
      </c>
      <c r="T259" s="13"/>
      <c r="U259" s="320"/>
      <c r="V259" s="354"/>
      <c r="W259" s="355"/>
      <c r="X259" s="355"/>
      <c r="Y259" s="355"/>
      <c r="Z259" s="356"/>
      <c r="AA259" s="328"/>
      <c r="AB259" s="650"/>
      <c r="AC259" s="328"/>
      <c r="AD259" s="333"/>
      <c r="AE259" s="328"/>
      <c r="AF259" s="328"/>
      <c r="AG259" s="346"/>
      <c r="AH259" s="347"/>
      <c r="AI259" s="363"/>
      <c r="AJ259" s="21"/>
      <c r="AK259" s="21"/>
      <c r="AL259" s="21"/>
      <c r="AM259" s="21"/>
      <c r="AN259" s="21"/>
      <c r="AO259" s="21"/>
    </row>
    <row r="260" spans="1:41" s="53" customFormat="1" x14ac:dyDescent="0.2">
      <c r="A260" s="48"/>
      <c r="B260" s="306"/>
      <c r="C260" s="233"/>
      <c r="D260" s="233"/>
      <c r="E260" s="113"/>
      <c r="F260" s="48"/>
      <c r="G260" s="51"/>
      <c r="H260" s="257"/>
      <c r="I260" s="133" t="s">
        <v>39</v>
      </c>
      <c r="J260" s="117"/>
      <c r="K260" s="117"/>
      <c r="L260" s="8"/>
      <c r="M260" s="204">
        <f>SUM(M255:M259)</f>
        <v>38074460.599999994</v>
      </c>
      <c r="N260" s="204">
        <f>SUM(N255:N259)</f>
        <v>896574.32999999973</v>
      </c>
      <c r="O260" s="204"/>
      <c r="P260" s="204"/>
      <c r="Q260" s="204">
        <f>+Q253-Q255</f>
        <v>0</v>
      </c>
      <c r="R260" s="402">
        <f>+SUM(R255:R259)</f>
        <v>48945683.400000006</v>
      </c>
      <c r="S260" s="285"/>
      <c r="T260" s="13"/>
      <c r="U260" s="369"/>
      <c r="V260" s="370"/>
      <c r="W260" s="375"/>
      <c r="X260" s="375"/>
      <c r="Y260" s="375"/>
      <c r="Z260" s="376"/>
      <c r="AA260" s="371"/>
      <c r="AB260" s="649"/>
      <c r="AC260" s="371"/>
      <c r="AD260" s="372"/>
      <c r="AE260" s="371"/>
      <c r="AF260" s="371"/>
      <c r="AG260" s="270"/>
      <c r="AH260" s="272"/>
      <c r="AI260" s="313"/>
      <c r="AJ260" s="21"/>
      <c r="AK260" s="21"/>
      <c r="AL260" s="21"/>
      <c r="AM260" s="21"/>
      <c r="AN260" s="21"/>
      <c r="AO260" s="21"/>
    </row>
    <row r="261" spans="1:41" s="53" customFormat="1" x14ac:dyDescent="0.2">
      <c r="A261" s="48"/>
      <c r="B261" s="306"/>
      <c r="C261" s="233"/>
      <c r="D261" s="233"/>
      <c r="E261" s="113"/>
      <c r="F261" s="48"/>
      <c r="G261" s="49"/>
      <c r="H261" s="256"/>
      <c r="I261" s="116"/>
      <c r="J261" s="117"/>
      <c r="K261" s="117"/>
      <c r="L261" s="8"/>
      <c r="M261" s="403"/>
      <c r="N261" s="201"/>
      <c r="O261" s="202"/>
      <c r="P261" s="200"/>
      <c r="Q261" s="200"/>
      <c r="R261" s="52"/>
      <c r="S261" s="285"/>
      <c r="T261" s="13"/>
      <c r="U261" s="369"/>
      <c r="V261" s="370"/>
      <c r="W261" s="375"/>
      <c r="X261" s="375"/>
      <c r="Y261" s="375"/>
      <c r="Z261" s="376"/>
      <c r="AA261" s="371"/>
      <c r="AB261" s="649"/>
      <c r="AC261" s="371"/>
      <c r="AD261" s="372"/>
      <c r="AE261" s="371"/>
      <c r="AF261" s="371"/>
      <c r="AG261" s="270"/>
      <c r="AH261" s="272"/>
      <c r="AI261" s="313"/>
      <c r="AJ261" s="21"/>
      <c r="AK261" s="21"/>
      <c r="AL261" s="21"/>
      <c r="AM261" s="21"/>
      <c r="AN261" s="21"/>
      <c r="AO261" s="21"/>
    </row>
    <row r="262" spans="1:41" s="53" customFormat="1" x14ac:dyDescent="0.2">
      <c r="A262" s="48"/>
      <c r="B262" s="306"/>
      <c r="C262" s="233"/>
      <c r="D262" s="233"/>
      <c r="E262" s="113"/>
      <c r="F262" s="48"/>
      <c r="G262" s="49"/>
      <c r="H262" s="256"/>
      <c r="I262" s="116"/>
      <c r="J262" s="117"/>
      <c r="K262" s="117"/>
      <c r="L262" s="8" t="s">
        <v>40</v>
      </c>
      <c r="M262" s="404">
        <f>+M253-M260</f>
        <v>0</v>
      </c>
      <c r="N262" s="404"/>
      <c r="O262" s="202"/>
      <c r="P262" s="200"/>
      <c r="Q262" s="200"/>
      <c r="R262" s="52"/>
      <c r="S262" s="285"/>
      <c r="T262" s="13"/>
      <c r="U262" s="369"/>
      <c r="V262" s="370"/>
      <c r="W262" s="375"/>
      <c r="X262" s="375"/>
      <c r="Y262" s="375"/>
      <c r="Z262" s="376"/>
      <c r="AA262" s="371"/>
      <c r="AB262" s="649"/>
      <c r="AC262" s="371"/>
      <c r="AD262" s="372"/>
      <c r="AE262" s="371"/>
      <c r="AF262" s="371"/>
      <c r="AG262" s="270"/>
      <c r="AH262" s="272"/>
      <c r="AI262" s="313"/>
      <c r="AJ262" s="21"/>
      <c r="AK262" s="21"/>
      <c r="AL262" s="21"/>
      <c r="AM262" s="21"/>
      <c r="AN262" s="21"/>
      <c r="AO262" s="21"/>
    </row>
    <row r="263" spans="1:41" s="53" customFormat="1" x14ac:dyDescent="0.2">
      <c r="A263" s="48"/>
      <c r="B263" s="369"/>
      <c r="C263" s="375"/>
      <c r="D263" s="374"/>
      <c r="E263" s="374"/>
      <c r="F263" s="374"/>
      <c r="G263" s="414"/>
      <c r="H263" s="415"/>
      <c r="I263" s="374"/>
      <c r="J263" s="374"/>
      <c r="K263" s="374"/>
      <c r="L263" s="374"/>
      <c r="M263" s="396"/>
      <c r="N263" s="396"/>
      <c r="O263" s="396"/>
      <c r="P263" s="396"/>
      <c r="Q263" s="401"/>
      <c r="R263" s="405"/>
      <c r="S263" s="406"/>
      <c r="T263" s="13"/>
      <c r="U263" s="369"/>
      <c r="V263" s="370"/>
      <c r="W263" s="375"/>
      <c r="X263" s="375"/>
      <c r="Y263" s="375"/>
      <c r="Z263" s="376"/>
      <c r="AA263" s="371"/>
      <c r="AB263" s="649"/>
      <c r="AC263" s="371"/>
      <c r="AD263" s="372"/>
      <c r="AE263" s="371"/>
      <c r="AF263" s="371"/>
      <c r="AG263" s="270"/>
      <c r="AH263" s="272"/>
      <c r="AI263" s="313"/>
      <c r="AJ263" s="21"/>
      <c r="AK263" s="21"/>
      <c r="AL263" s="21"/>
      <c r="AM263" s="21"/>
      <c r="AN263" s="21"/>
      <c r="AO263" s="21"/>
    </row>
    <row r="264" spans="1:41" s="53" customFormat="1" x14ac:dyDescent="0.2">
      <c r="A264" s="48"/>
      <c r="B264" s="369"/>
      <c r="C264" s="375"/>
      <c r="D264" s="374"/>
      <c r="E264" s="374"/>
      <c r="F264" s="374"/>
      <c r="G264" s="414"/>
      <c r="H264" s="318"/>
      <c r="I264" s="374"/>
      <c r="J264" s="374"/>
      <c r="K264" s="374"/>
      <c r="L264" s="374"/>
      <c r="M264" s="396"/>
      <c r="N264" s="396"/>
      <c r="O264" s="396">
        <f>+O269-R266</f>
        <v>0</v>
      </c>
      <c r="P264" s="396"/>
      <c r="Q264" s="97"/>
      <c r="R264" s="407">
        <f>+R261-O264</f>
        <v>0</v>
      </c>
      <c r="S264" s="94"/>
      <c r="T264" s="13"/>
      <c r="U264" s="320"/>
      <c r="V264" s="354"/>
      <c r="W264" s="355"/>
      <c r="X264" s="355"/>
      <c r="Y264" s="355"/>
      <c r="Z264" s="356"/>
      <c r="AA264" s="328"/>
      <c r="AB264" s="650"/>
      <c r="AC264" s="328"/>
      <c r="AD264" s="333"/>
      <c r="AE264" s="328"/>
      <c r="AF264" s="328"/>
      <c r="AG264" s="346"/>
      <c r="AH264" s="272"/>
      <c r="AI264" s="313"/>
      <c r="AJ264" s="21"/>
      <c r="AK264" s="21"/>
      <c r="AL264" s="21"/>
      <c r="AM264" s="21"/>
      <c r="AN264" s="21"/>
      <c r="AO264" s="21"/>
    </row>
    <row r="265" spans="1:41" s="53" customFormat="1" x14ac:dyDescent="0.2">
      <c r="A265" s="48"/>
      <c r="B265" s="369"/>
      <c r="C265" s="375"/>
      <c r="D265" s="374"/>
      <c r="E265" s="374"/>
      <c r="F265" s="374"/>
      <c r="G265" s="414"/>
      <c r="H265" s="318"/>
      <c r="I265" s="374"/>
      <c r="J265" s="374"/>
      <c r="K265" s="374"/>
      <c r="L265" s="297"/>
      <c r="M265" s="396"/>
      <c r="N265" s="396"/>
      <c r="O265" s="396"/>
      <c r="P265" s="396"/>
      <c r="Q265" s="21"/>
      <c r="R265" s="408"/>
      <c r="S265" s="94"/>
      <c r="T265" s="13"/>
      <c r="U265" s="320"/>
      <c r="V265" s="354"/>
      <c r="W265" s="355"/>
      <c r="X265" s="355"/>
      <c r="Y265" s="355"/>
      <c r="Z265" s="356"/>
      <c r="AA265" s="328"/>
      <c r="AB265" s="650"/>
      <c r="AC265" s="328"/>
      <c r="AD265" s="333"/>
      <c r="AE265" s="328"/>
      <c r="AF265" s="328"/>
      <c r="AG265" s="346"/>
      <c r="AH265" s="347"/>
      <c r="AI265" s="363"/>
      <c r="AJ265" s="21"/>
      <c r="AK265" s="21"/>
      <c r="AL265" s="21"/>
      <c r="AM265" s="21"/>
      <c r="AN265" s="21"/>
      <c r="AO265" s="21"/>
    </row>
    <row r="266" spans="1:41" s="53" customFormat="1" x14ac:dyDescent="0.2">
      <c r="A266" s="48"/>
      <c r="B266" s="369"/>
      <c r="C266" s="375"/>
      <c r="D266" s="374"/>
      <c r="E266" s="374"/>
      <c r="F266" s="374"/>
      <c r="G266" s="414"/>
      <c r="H266" s="415"/>
      <c r="I266" s="291"/>
      <c r="J266" s="291"/>
      <c r="K266" s="374"/>
      <c r="L266" s="416"/>
      <c r="M266" s="403"/>
      <c r="N266" s="396"/>
      <c r="O266" s="396"/>
      <c r="P266" s="409"/>
      <c r="Q266" s="50"/>
      <c r="R266" s="407">
        <f>SUM(Q266:Q391)</f>
        <v>0</v>
      </c>
      <c r="S266" s="97">
        <f>+R266+R329</f>
        <v>0</v>
      </c>
      <c r="T266" s="13"/>
      <c r="U266" s="369"/>
      <c r="V266" s="370"/>
      <c r="W266" s="375"/>
      <c r="X266" s="375"/>
      <c r="Y266" s="375"/>
      <c r="Z266" s="376"/>
      <c r="AA266" s="371"/>
      <c r="AB266" s="649"/>
      <c r="AC266" s="371"/>
      <c r="AD266" s="372"/>
      <c r="AE266" s="371"/>
      <c r="AF266" s="371"/>
      <c r="AG266" s="270"/>
      <c r="AH266" s="347"/>
      <c r="AI266" s="363"/>
      <c r="AJ266" s="21"/>
      <c r="AK266" s="21"/>
      <c r="AL266" s="21"/>
      <c r="AM266" s="21"/>
      <c r="AN266" s="21"/>
      <c r="AO266" s="21"/>
    </row>
    <row r="267" spans="1:41" s="53" customFormat="1" x14ac:dyDescent="0.2">
      <c r="A267" s="48"/>
      <c r="B267" s="369"/>
      <c r="C267" s="375"/>
      <c r="D267" s="374"/>
      <c r="E267" s="374"/>
      <c r="F267" s="374"/>
      <c r="G267" s="414"/>
      <c r="H267" s="415"/>
      <c r="I267" s="291"/>
      <c r="J267" s="291"/>
      <c r="K267" s="374"/>
      <c r="L267" s="377"/>
      <c r="M267" s="416"/>
      <c r="N267" s="270"/>
      <c r="O267" s="270"/>
      <c r="P267" s="296"/>
      <c r="Q267" s="78"/>
      <c r="S267" s="319"/>
      <c r="T267" s="13"/>
      <c r="U267" s="369"/>
      <c r="V267" s="370"/>
      <c r="W267" s="375"/>
      <c r="X267" s="375"/>
      <c r="Y267" s="375"/>
      <c r="Z267" s="376"/>
      <c r="AA267" s="371"/>
      <c r="AB267" s="649"/>
      <c r="AC267" s="371"/>
      <c r="AD267" s="372"/>
      <c r="AE267" s="371"/>
      <c r="AF267" s="371"/>
      <c r="AG267" s="270"/>
      <c r="AH267" s="272"/>
      <c r="AI267" s="313"/>
      <c r="AJ267" s="21"/>
      <c r="AK267" s="21"/>
      <c r="AL267" s="21"/>
      <c r="AM267" s="21"/>
      <c r="AN267" s="21"/>
      <c r="AO267" s="21"/>
    </row>
    <row r="268" spans="1:41" s="53" customFormat="1" ht="14.25" x14ac:dyDescent="0.2">
      <c r="A268" s="48"/>
      <c r="B268" s="369"/>
      <c r="C268" s="375"/>
      <c r="D268" s="374"/>
      <c r="E268" s="374"/>
      <c r="F268" s="374"/>
      <c r="G268" s="414"/>
      <c r="H268" s="415"/>
      <c r="I268" s="291"/>
      <c r="J268" s="291"/>
      <c r="K268" s="374"/>
      <c r="L268" s="291"/>
      <c r="M268" s="291"/>
      <c r="N268" s="270"/>
      <c r="O268" s="270"/>
      <c r="P268" s="387"/>
      <c r="Q268" s="417"/>
      <c r="T268" s="13"/>
      <c r="U268" s="369"/>
      <c r="V268" s="370"/>
      <c r="W268" s="375"/>
      <c r="X268" s="375"/>
      <c r="Y268" s="375"/>
      <c r="Z268" s="376"/>
      <c r="AA268" s="371"/>
      <c r="AB268" s="649"/>
      <c r="AC268" s="371"/>
      <c r="AD268" s="372"/>
      <c r="AE268" s="371"/>
      <c r="AF268" s="371"/>
      <c r="AG268" s="270"/>
      <c r="AH268" s="272"/>
      <c r="AI268" s="313"/>
      <c r="AJ268" s="21"/>
      <c r="AK268" s="21"/>
      <c r="AL268" s="21"/>
      <c r="AM268" s="21"/>
      <c r="AN268" s="21"/>
      <c r="AO268" s="21"/>
    </row>
    <row r="269" spans="1:41" s="53" customFormat="1" ht="14.25" x14ac:dyDescent="0.2">
      <c r="A269" s="48"/>
      <c r="B269" s="369"/>
      <c r="C269" s="375"/>
      <c r="D269" s="374"/>
      <c r="E269" s="374"/>
      <c r="F269" s="374"/>
      <c r="G269" s="414"/>
      <c r="H269" s="415"/>
      <c r="I269" s="291"/>
      <c r="J269" s="291"/>
      <c r="L269" s="374"/>
      <c r="M269" s="296"/>
      <c r="N269" s="316"/>
      <c r="O269" s="367"/>
      <c r="P269" s="387"/>
      <c r="Q269" s="417"/>
      <c r="T269" s="13"/>
      <c r="U269" s="369"/>
      <c r="V269" s="370"/>
      <c r="W269" s="375"/>
      <c r="X269" s="375"/>
      <c r="Y269" s="375"/>
      <c r="Z269" s="376"/>
      <c r="AA269" s="371"/>
      <c r="AB269" s="649"/>
      <c r="AC269" s="371"/>
      <c r="AD269" s="372"/>
      <c r="AE269" s="371"/>
      <c r="AF269" s="371"/>
      <c r="AG269" s="270"/>
      <c r="AH269" s="347"/>
      <c r="AI269" s="363"/>
      <c r="AJ269" s="21"/>
      <c r="AK269" s="21"/>
      <c r="AL269" s="21"/>
      <c r="AM269" s="21"/>
      <c r="AN269" s="21"/>
      <c r="AO269" s="21"/>
    </row>
    <row r="270" spans="1:41" s="53" customFormat="1" ht="14.25" x14ac:dyDescent="0.2">
      <c r="A270" s="48"/>
      <c r="B270" s="369"/>
      <c r="C270" s="375"/>
      <c r="D270" s="374"/>
      <c r="E270" s="374"/>
      <c r="F270" s="374"/>
      <c r="G270" s="414"/>
      <c r="H270" s="415"/>
      <c r="I270" s="291"/>
      <c r="J270" s="291"/>
      <c r="L270" s="384"/>
      <c r="M270" s="296"/>
      <c r="N270" s="316"/>
      <c r="O270" s="270"/>
      <c r="P270" s="387"/>
      <c r="Q270" s="417"/>
      <c r="T270" s="13"/>
      <c r="U270" s="369"/>
      <c r="V270" s="370"/>
      <c r="W270" s="375"/>
      <c r="X270" s="375"/>
      <c r="Y270" s="375"/>
      <c r="Z270" s="376"/>
      <c r="AA270" s="371"/>
      <c r="AB270" s="649"/>
      <c r="AC270" s="371"/>
      <c r="AD270" s="372"/>
      <c r="AE270" s="371"/>
      <c r="AF270" s="371"/>
      <c r="AG270" s="270"/>
      <c r="AH270" s="272"/>
      <c r="AI270" s="313"/>
      <c r="AJ270" s="21"/>
      <c r="AK270" s="21"/>
      <c r="AL270" s="21"/>
      <c r="AM270" s="21"/>
      <c r="AN270" s="21"/>
      <c r="AO270" s="21"/>
    </row>
    <row r="271" spans="1:41" s="53" customFormat="1" ht="14.25" x14ac:dyDescent="0.2">
      <c r="A271" s="48"/>
      <c r="B271" s="369"/>
      <c r="C271" s="375"/>
      <c r="D271" s="374"/>
      <c r="E271" s="374"/>
      <c r="F271" s="374"/>
      <c r="G271" s="414"/>
      <c r="H271" s="415"/>
      <c r="I271" s="291"/>
      <c r="J271" s="291"/>
      <c r="L271" s="374"/>
      <c r="M271" s="296"/>
      <c r="N271" s="316"/>
      <c r="O271" s="270"/>
      <c r="P271" s="387"/>
      <c r="Q271" s="417"/>
      <c r="T271" s="13"/>
      <c r="U271" s="369"/>
      <c r="V271" s="370"/>
      <c r="W271" s="375"/>
      <c r="X271" s="375"/>
      <c r="Y271" s="375"/>
      <c r="Z271" s="376"/>
      <c r="AA271" s="371"/>
      <c r="AB271" s="649"/>
      <c r="AC271" s="371"/>
      <c r="AD271" s="372"/>
      <c r="AE271" s="371"/>
      <c r="AF271" s="371"/>
      <c r="AG271" s="270"/>
      <c r="AH271" s="347"/>
      <c r="AI271" s="363"/>
      <c r="AJ271" s="21"/>
      <c r="AK271" s="21"/>
      <c r="AL271" s="21"/>
      <c r="AM271" s="21"/>
      <c r="AN271" s="21"/>
      <c r="AO271" s="21"/>
    </row>
    <row r="272" spans="1:41" s="53" customFormat="1" ht="14.25" x14ac:dyDescent="0.2">
      <c r="A272" s="48"/>
      <c r="B272" s="369"/>
      <c r="C272" s="375"/>
      <c r="D272" s="374"/>
      <c r="E272" s="374"/>
      <c r="F272" s="374"/>
      <c r="G272" s="414"/>
      <c r="H272" s="415"/>
      <c r="I272" s="291"/>
      <c r="J272" s="291"/>
      <c r="L272" s="374"/>
      <c r="M272" s="296"/>
      <c r="N272" s="316"/>
      <c r="O272" s="270"/>
      <c r="P272" s="387"/>
      <c r="Q272" s="417"/>
      <c r="T272" s="13"/>
      <c r="U272" s="369"/>
      <c r="V272" s="370"/>
      <c r="W272" s="375"/>
      <c r="X272" s="375"/>
      <c r="Y272" s="375"/>
      <c r="Z272" s="376"/>
      <c r="AA272" s="371"/>
      <c r="AB272" s="649"/>
      <c r="AC272" s="371"/>
      <c r="AD272" s="372"/>
      <c r="AE272" s="371"/>
      <c r="AF272" s="371"/>
      <c r="AG272" s="270"/>
      <c r="AH272" s="347"/>
      <c r="AI272" s="363"/>
      <c r="AJ272" s="21"/>
      <c r="AK272" s="21"/>
      <c r="AL272" s="21"/>
      <c r="AM272" s="21"/>
      <c r="AN272" s="21"/>
      <c r="AO272" s="21"/>
    </row>
    <row r="273" spans="1:41" s="53" customFormat="1" ht="14.25" x14ac:dyDescent="0.2">
      <c r="A273" s="48"/>
      <c r="B273" s="369"/>
      <c r="C273" s="375"/>
      <c r="D273" s="374"/>
      <c r="E273" s="374"/>
      <c r="F273" s="374"/>
      <c r="G273" s="414"/>
      <c r="H273" s="415"/>
      <c r="I273" s="78"/>
      <c r="J273" s="291"/>
      <c r="L273" s="374"/>
      <c r="M273" s="296"/>
      <c r="N273" s="316"/>
      <c r="O273" s="270"/>
      <c r="P273" s="418"/>
      <c r="Q273" s="417"/>
      <c r="T273" s="13"/>
      <c r="U273" s="366"/>
      <c r="V273" s="354"/>
      <c r="W273" s="355"/>
      <c r="X273" s="355"/>
      <c r="Y273" s="355"/>
      <c r="Z273" s="356"/>
      <c r="AA273" s="328"/>
      <c r="AB273" s="650"/>
      <c r="AC273" s="328"/>
      <c r="AD273" s="333"/>
      <c r="AE273" s="328"/>
      <c r="AF273" s="328"/>
      <c r="AG273" s="346"/>
      <c r="AH273" s="347"/>
      <c r="AI273" s="363"/>
      <c r="AJ273" s="21"/>
      <c r="AK273" s="21"/>
      <c r="AL273" s="21"/>
      <c r="AM273" s="21"/>
      <c r="AN273" s="21"/>
      <c r="AO273" s="21"/>
    </row>
    <row r="274" spans="1:41" s="53" customFormat="1" ht="14.25" x14ac:dyDescent="0.2">
      <c r="A274" s="48"/>
      <c r="B274" s="369"/>
      <c r="C274" s="375"/>
      <c r="D274" s="374"/>
      <c r="E274" s="374"/>
      <c r="F274" s="374"/>
      <c r="G274" s="414"/>
      <c r="H274" s="415"/>
      <c r="I274" s="78"/>
      <c r="J274" s="291"/>
      <c r="L274" s="374"/>
      <c r="M274" s="296"/>
      <c r="N274" s="316"/>
      <c r="O274" s="270"/>
      <c r="P274" s="387"/>
      <c r="Q274" s="417"/>
      <c r="T274" s="13"/>
      <c r="U274" s="320"/>
      <c r="V274" s="354"/>
      <c r="W274" s="355"/>
      <c r="X274" s="355"/>
      <c r="Y274" s="355"/>
      <c r="Z274" s="356"/>
      <c r="AA274" s="328"/>
      <c r="AB274" s="650"/>
      <c r="AC274" s="328"/>
      <c r="AD274" s="333"/>
      <c r="AE274" s="328"/>
      <c r="AF274" s="328"/>
      <c r="AG274" s="346"/>
      <c r="AH274" s="272"/>
      <c r="AI274" s="313"/>
      <c r="AJ274" s="21"/>
      <c r="AK274" s="21"/>
      <c r="AL274" s="21"/>
      <c r="AM274" s="21"/>
      <c r="AN274" s="21"/>
      <c r="AO274" s="21"/>
    </row>
    <row r="275" spans="1:41" s="53" customFormat="1" ht="14.25" x14ac:dyDescent="0.2">
      <c r="A275" s="48"/>
      <c r="B275" s="369"/>
      <c r="C275" s="375"/>
      <c r="D275" s="374"/>
      <c r="E275" s="374"/>
      <c r="F275" s="374"/>
      <c r="G275" s="414"/>
      <c r="H275" s="415"/>
      <c r="I275" s="78"/>
      <c r="J275" s="291"/>
      <c r="L275" s="374"/>
      <c r="M275" s="296"/>
      <c r="N275" s="316"/>
      <c r="O275" s="270"/>
      <c r="P275" s="387"/>
      <c r="Q275" s="417"/>
      <c r="T275" s="13"/>
      <c r="U275" s="320"/>
      <c r="V275" s="354"/>
      <c r="W275" s="355"/>
      <c r="X275" s="355"/>
      <c r="Y275" s="355"/>
      <c r="Z275" s="356"/>
      <c r="AA275" s="328"/>
      <c r="AB275" s="650"/>
      <c r="AC275" s="328"/>
      <c r="AD275" s="333"/>
      <c r="AE275" s="328"/>
      <c r="AF275" s="328"/>
      <c r="AG275" s="346"/>
      <c r="AH275" s="347"/>
      <c r="AI275" s="363"/>
      <c r="AJ275" s="21"/>
      <c r="AK275" s="21"/>
      <c r="AL275" s="21"/>
      <c r="AM275" s="21"/>
      <c r="AN275" s="21"/>
      <c r="AO275" s="21"/>
    </row>
    <row r="276" spans="1:41" s="53" customFormat="1" ht="14.25" x14ac:dyDescent="0.2">
      <c r="A276" s="48"/>
      <c r="B276" s="369"/>
      <c r="C276" s="375"/>
      <c r="D276" s="374"/>
      <c r="E276" s="374"/>
      <c r="F276" s="374"/>
      <c r="G276" s="414"/>
      <c r="H276" s="415"/>
      <c r="I276" s="78"/>
      <c r="J276" s="291"/>
      <c r="L276" s="374"/>
      <c r="M276" s="296"/>
      <c r="N276" s="316"/>
      <c r="O276" s="377"/>
      <c r="P276" s="388"/>
      <c r="Q276" s="417"/>
      <c r="T276" s="13"/>
      <c r="U276" s="366"/>
      <c r="V276" s="354"/>
      <c r="W276" s="359"/>
      <c r="X276" s="355"/>
      <c r="Y276" s="355"/>
      <c r="Z276" s="356"/>
      <c r="AA276" s="328"/>
      <c r="AB276" s="650"/>
      <c r="AC276" s="328"/>
      <c r="AD276" s="333"/>
      <c r="AE276" s="328"/>
      <c r="AF276" s="328"/>
      <c r="AG276" s="346"/>
      <c r="AH276" s="272"/>
      <c r="AI276" s="313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07"/>
      <c r="C277" s="375"/>
      <c r="D277" s="266"/>
      <c r="E277" s="267"/>
      <c r="F277" s="93"/>
      <c r="G277" s="268"/>
      <c r="H277" s="269"/>
      <c r="I277" s="78"/>
      <c r="J277" s="271"/>
      <c r="L277" s="382"/>
      <c r="M277" s="296"/>
      <c r="N277" s="316"/>
      <c r="O277" s="419"/>
      <c r="P277" s="387"/>
      <c r="Q277" s="417"/>
      <c r="T277" s="13"/>
      <c r="U277" s="366"/>
      <c r="V277" s="354"/>
      <c r="W277" s="355"/>
      <c r="X277" s="355"/>
      <c r="Y277" s="355"/>
      <c r="Z277" s="356"/>
      <c r="AA277" s="328"/>
      <c r="AB277" s="650"/>
      <c r="AC277" s="328"/>
      <c r="AD277" s="333"/>
      <c r="AE277" s="328"/>
      <c r="AF277" s="328"/>
      <c r="AG277" s="346"/>
      <c r="AH277" s="272"/>
      <c r="AI277" s="313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07"/>
      <c r="C278" s="375"/>
      <c r="D278" s="266"/>
      <c r="E278" s="267"/>
      <c r="F278" s="93"/>
      <c r="G278" s="268"/>
      <c r="H278" s="269"/>
      <c r="I278" s="78"/>
      <c r="J278" s="271"/>
      <c r="L278" s="271"/>
      <c r="M278" s="296"/>
      <c r="N278" s="316"/>
      <c r="O278" s="419"/>
      <c r="P278" s="387"/>
      <c r="Q278" s="417"/>
      <c r="T278" s="13"/>
      <c r="U278" s="320"/>
      <c r="V278" s="354"/>
      <c r="W278" s="355"/>
      <c r="X278" s="355"/>
      <c r="Y278" s="355"/>
      <c r="Z278" s="356"/>
      <c r="AA278" s="328"/>
      <c r="AB278" s="650"/>
      <c r="AC278" s="328"/>
      <c r="AD278" s="333"/>
      <c r="AE278" s="328"/>
      <c r="AF278" s="328"/>
      <c r="AG278" s="346"/>
      <c r="AH278" s="272"/>
      <c r="AI278" s="313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07"/>
      <c r="C279" s="375"/>
      <c r="D279" s="266"/>
      <c r="E279" s="267"/>
      <c r="F279" s="93"/>
      <c r="G279" s="268"/>
      <c r="H279" s="269"/>
      <c r="I279" s="78"/>
      <c r="J279" s="271"/>
      <c r="L279" s="271"/>
      <c r="M279" s="296"/>
      <c r="N279" s="316"/>
      <c r="O279" s="419"/>
      <c r="P279" s="387"/>
      <c r="Q279" s="417"/>
      <c r="T279" s="13"/>
      <c r="U279" s="357"/>
      <c r="V279" s="354"/>
      <c r="W279" s="355"/>
      <c r="X279" s="330"/>
      <c r="Y279" s="354"/>
      <c r="Z279" s="356"/>
      <c r="AA279" s="328"/>
      <c r="AB279" s="650"/>
      <c r="AC279" s="346"/>
      <c r="AD279" s="333"/>
      <c r="AE279" s="346"/>
      <c r="AF279" s="346"/>
      <c r="AG279" s="346"/>
      <c r="AH279" s="272"/>
      <c r="AI279" s="313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07"/>
      <c r="C280" s="375"/>
      <c r="D280" s="266"/>
      <c r="E280" s="267"/>
      <c r="F280" s="93"/>
      <c r="G280" s="268"/>
      <c r="H280" s="269"/>
      <c r="I280" s="78"/>
      <c r="J280" s="271"/>
      <c r="L280" s="382"/>
      <c r="M280" s="296"/>
      <c r="N280" s="316"/>
      <c r="O280" s="377"/>
      <c r="P280" s="387"/>
      <c r="Q280" s="417"/>
      <c r="T280" s="13"/>
      <c r="U280" s="370"/>
      <c r="V280" s="370"/>
      <c r="W280" s="375"/>
      <c r="X280" s="374"/>
      <c r="Y280" s="370"/>
      <c r="Z280" s="376"/>
      <c r="AA280" s="371"/>
      <c r="AB280" s="649"/>
      <c r="AC280" s="270"/>
      <c r="AD280" s="372"/>
      <c r="AE280" s="270"/>
      <c r="AF280" s="270"/>
      <c r="AG280" s="270"/>
      <c r="AH280" s="272"/>
      <c r="AI280" s="313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69"/>
      <c r="C281" s="375"/>
      <c r="D281" s="374"/>
      <c r="E281" s="374"/>
      <c r="F281" s="374"/>
      <c r="G281" s="414"/>
      <c r="H281" s="415"/>
      <c r="I281" s="78"/>
      <c r="J281" s="291"/>
      <c r="L281" s="271"/>
      <c r="M281" s="296"/>
      <c r="N281" s="316"/>
      <c r="O281" s="377"/>
      <c r="P281" s="388"/>
      <c r="Q281" s="417"/>
      <c r="T281" s="13"/>
      <c r="U281" s="370"/>
      <c r="V281" s="370"/>
      <c r="W281" s="375"/>
      <c r="X281" s="374"/>
      <c r="Y281" s="370"/>
      <c r="Z281" s="376"/>
      <c r="AA281" s="371"/>
      <c r="AB281" s="649"/>
      <c r="AC281" s="270"/>
      <c r="AD281" s="372"/>
      <c r="AE281" s="270"/>
      <c r="AF281" s="270"/>
      <c r="AG281" s="270"/>
      <c r="AH281" s="272"/>
      <c r="AI281" s="313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06"/>
      <c r="C282" s="233"/>
      <c r="D282" s="233"/>
      <c r="F282" s="13"/>
      <c r="G282" s="13"/>
      <c r="I282" s="298"/>
      <c r="J282" s="21"/>
      <c r="L282" s="94"/>
      <c r="M282" s="296"/>
      <c r="N282" s="316"/>
      <c r="O282" s="377"/>
      <c r="P282" s="388"/>
      <c r="Q282" s="417"/>
      <c r="T282" s="13"/>
      <c r="U282" s="370"/>
      <c r="V282" s="370"/>
      <c r="W282" s="375"/>
      <c r="X282" s="374"/>
      <c r="Y282" s="370"/>
      <c r="Z282" s="376"/>
      <c r="AA282" s="371"/>
      <c r="AB282" s="649"/>
      <c r="AC282" s="270"/>
      <c r="AD282" s="372"/>
      <c r="AE282" s="270"/>
      <c r="AF282" s="270"/>
      <c r="AG282" s="270"/>
      <c r="AH282" s="272"/>
      <c r="AI282" s="313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06"/>
      <c r="C283" s="233"/>
      <c r="D283" s="233"/>
      <c r="F283" s="13"/>
      <c r="G283" s="13"/>
      <c r="I283" s="298"/>
      <c r="J283" s="21"/>
      <c r="L283" s="94"/>
      <c r="M283" s="296"/>
      <c r="N283" s="316"/>
      <c r="O283" s="377"/>
      <c r="P283" s="387"/>
      <c r="Q283" s="417"/>
      <c r="T283" s="13"/>
      <c r="U283" s="370"/>
      <c r="V283" s="370"/>
      <c r="W283" s="375"/>
      <c r="X283" s="374"/>
      <c r="Y283" s="370"/>
      <c r="Z283" s="376"/>
      <c r="AA283" s="371"/>
      <c r="AB283" s="649"/>
      <c r="AC283" s="270"/>
      <c r="AD283" s="372"/>
      <c r="AE283" s="270"/>
      <c r="AF283" s="270"/>
      <c r="AG283" s="270"/>
      <c r="AH283" s="272"/>
      <c r="AI283" s="313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06"/>
      <c r="C284" s="233"/>
      <c r="D284" s="233"/>
      <c r="F284" s="13"/>
      <c r="G284" s="13"/>
      <c r="I284" s="298"/>
      <c r="J284" s="21"/>
      <c r="L284" s="117"/>
      <c r="M284" s="296"/>
      <c r="N284" s="316"/>
      <c r="O284" s="377"/>
      <c r="P284" s="387"/>
      <c r="Q284" s="417"/>
      <c r="T284" s="13"/>
      <c r="U284" s="370"/>
      <c r="V284" s="370"/>
      <c r="W284" s="375"/>
      <c r="X284" s="374"/>
      <c r="Y284" s="370"/>
      <c r="Z284" s="376"/>
      <c r="AA284" s="371"/>
      <c r="AB284" s="649"/>
      <c r="AC284" s="270"/>
      <c r="AD284" s="372"/>
      <c r="AE284" s="270"/>
      <c r="AF284" s="270"/>
      <c r="AG284" s="270"/>
      <c r="AH284" s="272"/>
      <c r="AI284" s="313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06"/>
      <c r="C285" s="233"/>
      <c r="D285" s="233"/>
      <c r="F285" s="13"/>
      <c r="G285" s="13"/>
      <c r="I285" s="298"/>
      <c r="J285" s="21"/>
      <c r="L285" s="94"/>
      <c r="M285" s="296"/>
      <c r="N285" s="316"/>
      <c r="O285" s="377"/>
      <c r="P285" s="388"/>
      <c r="Q285" s="417"/>
      <c r="T285" s="13"/>
      <c r="U285" s="370"/>
      <c r="V285" s="370"/>
      <c r="W285" s="375"/>
      <c r="X285" s="374"/>
      <c r="Y285" s="370"/>
      <c r="Z285" s="376"/>
      <c r="AA285" s="371"/>
      <c r="AB285" s="649"/>
      <c r="AC285" s="270"/>
      <c r="AD285" s="372"/>
      <c r="AE285" s="270"/>
      <c r="AF285" s="270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06"/>
      <c r="C286" s="233"/>
      <c r="D286" s="233"/>
      <c r="F286" s="13"/>
      <c r="G286" s="13"/>
      <c r="I286" s="298"/>
      <c r="J286" s="21"/>
      <c r="L286" s="94"/>
      <c r="M286" s="296"/>
      <c r="N286" s="316"/>
      <c r="O286" s="296"/>
      <c r="P286" s="387"/>
      <c r="Q286" s="417"/>
      <c r="T286" s="13"/>
      <c r="U286" s="370"/>
      <c r="V286" s="370"/>
      <c r="W286" s="375"/>
      <c r="X286" s="374"/>
      <c r="Y286" s="370"/>
      <c r="Z286" s="376"/>
      <c r="AA286" s="371"/>
      <c r="AB286" s="649"/>
      <c r="AC286" s="270"/>
      <c r="AD286" s="372"/>
      <c r="AE286" s="270"/>
      <c r="AF286" s="270"/>
      <c r="AG286" s="270"/>
      <c r="AH286" s="272"/>
      <c r="AI286" s="313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6"/>
      <c r="C287" s="233"/>
      <c r="D287" s="233"/>
      <c r="F287" s="13"/>
      <c r="G287" s="13"/>
      <c r="I287" s="298"/>
      <c r="J287" s="21"/>
      <c r="L287" s="94"/>
      <c r="M287" s="296"/>
      <c r="N287" s="316"/>
      <c r="O287" s="296"/>
      <c r="P287" s="388"/>
      <c r="Q287" s="417"/>
      <c r="T287" s="13"/>
      <c r="U287" s="370"/>
      <c r="V287" s="370"/>
      <c r="W287" s="375"/>
      <c r="X287" s="374"/>
      <c r="Y287" s="370"/>
      <c r="Z287" s="376"/>
      <c r="AA287" s="371"/>
      <c r="AB287" s="649"/>
      <c r="AC287" s="270"/>
      <c r="AD287" s="372"/>
      <c r="AE287" s="270"/>
      <c r="AF287" s="270"/>
      <c r="AG287" s="270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6"/>
      <c r="C288" s="233"/>
      <c r="D288" s="233"/>
      <c r="F288" s="13"/>
      <c r="G288" s="13"/>
      <c r="I288" s="298"/>
      <c r="J288" s="21"/>
      <c r="L288" s="94"/>
      <c r="M288" s="296"/>
      <c r="N288" s="316"/>
      <c r="O288" s="377"/>
      <c r="P288" s="387"/>
      <c r="Q288" s="417"/>
      <c r="T288" s="13"/>
      <c r="U288" s="370"/>
      <c r="V288" s="370"/>
      <c r="W288" s="375"/>
      <c r="X288" s="374"/>
      <c r="Y288" s="370"/>
      <c r="Z288" s="376"/>
      <c r="AA288" s="371"/>
      <c r="AB288" s="649"/>
      <c r="AC288" s="270"/>
      <c r="AD288" s="372"/>
      <c r="AE288" s="270"/>
      <c r="AF288" s="270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6"/>
      <c r="C289" s="233"/>
      <c r="D289" s="233"/>
      <c r="F289" s="13"/>
      <c r="G289" s="13"/>
      <c r="I289" s="298"/>
      <c r="J289" s="21"/>
      <c r="L289" s="385"/>
      <c r="M289" s="296"/>
      <c r="N289" s="316"/>
      <c r="O289" s="377"/>
      <c r="P289" s="387"/>
      <c r="Q289" s="417"/>
      <c r="T289" s="13"/>
      <c r="U289" s="370"/>
      <c r="V289" s="370"/>
      <c r="W289" s="375"/>
      <c r="X289" s="374"/>
      <c r="Y289" s="370"/>
      <c r="Z289" s="376"/>
      <c r="AA289" s="371"/>
      <c r="AB289" s="649"/>
      <c r="AC289" s="270"/>
      <c r="AD289" s="372"/>
      <c r="AE289" s="270"/>
      <c r="AF289" s="270"/>
      <c r="AG289" s="270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06"/>
      <c r="C290" s="233"/>
      <c r="D290" s="233"/>
      <c r="F290" s="13"/>
      <c r="G290" s="13"/>
      <c r="I290" s="298"/>
      <c r="J290" s="21"/>
      <c r="L290" s="94"/>
      <c r="M290" s="296"/>
      <c r="N290" s="316"/>
      <c r="O290" s="377"/>
      <c r="P290" s="387"/>
      <c r="Q290" s="417"/>
      <c r="T290" s="13"/>
      <c r="U290" s="370"/>
      <c r="V290" s="370"/>
      <c r="W290" s="375"/>
      <c r="X290" s="374"/>
      <c r="Y290" s="370"/>
      <c r="Z290" s="376"/>
      <c r="AA290" s="371"/>
      <c r="AB290" s="649"/>
      <c r="AC290" s="270"/>
      <c r="AD290" s="372"/>
      <c r="AE290" s="270"/>
      <c r="AF290" s="270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L291" s="94"/>
      <c r="M291" s="296"/>
      <c r="N291" s="316"/>
      <c r="O291" s="377"/>
      <c r="P291" s="387"/>
      <c r="Q291" s="417"/>
      <c r="T291" s="13"/>
      <c r="U291" s="370"/>
      <c r="V291" s="370"/>
      <c r="W291" s="375"/>
      <c r="X291" s="374"/>
      <c r="Y291" s="370"/>
      <c r="Z291" s="376"/>
      <c r="AA291" s="371"/>
      <c r="AB291" s="649"/>
      <c r="AC291" s="270"/>
      <c r="AD291" s="372"/>
      <c r="AE291" s="270"/>
      <c r="AF291" s="270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L292" s="94"/>
      <c r="M292" s="296"/>
      <c r="N292" s="316"/>
      <c r="O292" s="377"/>
      <c r="P292" s="387"/>
      <c r="Q292" s="417"/>
      <c r="T292" s="13"/>
      <c r="U292" s="370"/>
      <c r="V292" s="370"/>
      <c r="W292" s="375"/>
      <c r="X292" s="374"/>
      <c r="Y292" s="370"/>
      <c r="Z292" s="376"/>
      <c r="AA292" s="371"/>
      <c r="AB292" s="649"/>
      <c r="AC292" s="270"/>
      <c r="AD292" s="372"/>
      <c r="AE292" s="270"/>
      <c r="AF292" s="270"/>
      <c r="AG292" s="270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K293" s="21"/>
      <c r="L293" s="13"/>
      <c r="M293" s="50"/>
      <c r="O293" s="296"/>
      <c r="P293" s="387"/>
      <c r="Q293" s="417"/>
      <c r="T293" s="13"/>
      <c r="U293" s="370"/>
      <c r="V293" s="370"/>
      <c r="W293" s="375"/>
      <c r="X293" s="374"/>
      <c r="Y293" s="370"/>
      <c r="Z293" s="376"/>
      <c r="AA293" s="371"/>
      <c r="AB293" s="649"/>
      <c r="AC293" s="270"/>
      <c r="AD293" s="372"/>
      <c r="AE293" s="270"/>
      <c r="AF293" s="270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K294" s="21"/>
      <c r="L294" s="13"/>
      <c r="M294" s="50"/>
      <c r="O294" s="296"/>
      <c r="P294" s="387"/>
      <c r="Q294" s="417"/>
      <c r="T294" s="13"/>
      <c r="U294" s="370"/>
      <c r="V294" s="370"/>
      <c r="W294" s="375"/>
      <c r="X294" s="374"/>
      <c r="Y294" s="370"/>
      <c r="Z294" s="376"/>
      <c r="AA294" s="371"/>
      <c r="AB294" s="649"/>
      <c r="AC294" s="270"/>
      <c r="AD294" s="372"/>
      <c r="AE294" s="270"/>
      <c r="AF294" s="270"/>
      <c r="AG294" s="270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K295" s="21"/>
      <c r="L295" s="13"/>
      <c r="M295" s="50"/>
      <c r="O295" s="296"/>
      <c r="P295" s="387"/>
      <c r="Q295" s="417"/>
      <c r="T295" s="13"/>
      <c r="U295" s="370"/>
      <c r="V295" s="370"/>
      <c r="W295" s="375"/>
      <c r="X295" s="374"/>
      <c r="Y295" s="370"/>
      <c r="Z295" s="376"/>
      <c r="AA295" s="371"/>
      <c r="AB295" s="649"/>
      <c r="AC295" s="270"/>
      <c r="AD295" s="372"/>
      <c r="AE295" s="270"/>
      <c r="AF295" s="270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06"/>
      <c r="C296" s="233"/>
      <c r="D296" s="233"/>
      <c r="F296" s="13"/>
      <c r="G296" s="13"/>
      <c r="I296" s="298"/>
      <c r="J296" s="21"/>
      <c r="K296" s="21"/>
      <c r="L296" s="13"/>
      <c r="M296" s="50"/>
      <c r="N296" s="97"/>
      <c r="O296" s="296"/>
      <c r="P296" s="387"/>
      <c r="Q296" s="417"/>
      <c r="T296" s="13"/>
      <c r="U296" s="370"/>
      <c r="V296" s="370"/>
      <c r="W296" s="375"/>
      <c r="X296" s="374"/>
      <c r="Y296" s="370"/>
      <c r="Z296" s="376"/>
      <c r="AA296" s="371"/>
      <c r="AB296" s="649"/>
      <c r="AC296" s="270"/>
      <c r="AD296" s="372"/>
      <c r="AE296" s="270"/>
      <c r="AF296" s="270"/>
      <c r="AG296" s="270"/>
      <c r="AH296" s="272"/>
      <c r="AI296" s="313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06"/>
      <c r="C297" s="233"/>
      <c r="D297" s="233"/>
      <c r="F297" s="13"/>
      <c r="G297" s="13"/>
      <c r="I297" s="298"/>
      <c r="J297" s="21"/>
      <c r="K297" s="21"/>
      <c r="L297" s="13"/>
      <c r="M297" s="50"/>
      <c r="N297" s="97"/>
      <c r="O297" s="362"/>
      <c r="P297" s="387"/>
      <c r="Q297" s="417"/>
      <c r="T297" s="13"/>
      <c r="U297" s="370"/>
      <c r="V297" s="370"/>
      <c r="W297" s="375"/>
      <c r="X297" s="374"/>
      <c r="Y297" s="370"/>
      <c r="Z297" s="376"/>
      <c r="AA297" s="371"/>
      <c r="AB297" s="649"/>
      <c r="AC297" s="270"/>
      <c r="AD297" s="372"/>
      <c r="AE297" s="270"/>
      <c r="AF297" s="270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06"/>
      <c r="C298" s="233"/>
      <c r="D298" s="233"/>
      <c r="F298" s="13"/>
      <c r="G298" s="13"/>
      <c r="I298" s="298"/>
      <c r="J298" s="21"/>
      <c r="K298" s="21"/>
      <c r="L298" s="13"/>
      <c r="M298" s="50"/>
      <c r="N298" s="97"/>
      <c r="O298" s="296"/>
      <c r="P298" s="387"/>
      <c r="Q298" s="417"/>
      <c r="T298" s="13"/>
      <c r="U298" s="370"/>
      <c r="V298" s="370"/>
      <c r="W298" s="375"/>
      <c r="X298" s="374"/>
      <c r="Y298" s="370"/>
      <c r="Z298" s="376"/>
      <c r="AA298" s="371"/>
      <c r="AB298" s="649"/>
      <c r="AC298" s="270"/>
      <c r="AD298" s="372"/>
      <c r="AE298" s="270"/>
      <c r="AF298" s="270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06"/>
      <c r="C299" s="233"/>
      <c r="D299" s="233"/>
      <c r="F299" s="13"/>
      <c r="G299" s="13"/>
      <c r="I299" s="298"/>
      <c r="J299" s="21"/>
      <c r="K299" s="21"/>
      <c r="L299" s="13"/>
      <c r="M299" s="50"/>
      <c r="N299" s="97"/>
      <c r="O299" s="296"/>
      <c r="P299" s="387"/>
      <c r="Q299" s="417"/>
      <c r="T299" s="13"/>
      <c r="U299" s="370"/>
      <c r="V299" s="370"/>
      <c r="W299" s="375"/>
      <c r="X299" s="374"/>
      <c r="Y299" s="370"/>
      <c r="Z299" s="376"/>
      <c r="AA299" s="371"/>
      <c r="AB299" s="649"/>
      <c r="AC299" s="270"/>
      <c r="AD299" s="372"/>
      <c r="AE299" s="270"/>
      <c r="AF299" s="270"/>
      <c r="AG299" s="270"/>
      <c r="AH299" s="272"/>
      <c r="AI299" s="31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06"/>
      <c r="C300" s="233"/>
      <c r="D300" s="233"/>
      <c r="F300" s="13"/>
      <c r="G300" s="13"/>
      <c r="I300" s="298"/>
      <c r="J300" s="21"/>
      <c r="K300" s="21"/>
      <c r="L300" s="13"/>
      <c r="M300" s="50"/>
      <c r="N300" s="97"/>
      <c r="O300" s="296"/>
      <c r="P300" s="387"/>
      <c r="Q300" s="417"/>
      <c r="T300" s="13"/>
      <c r="U300" s="370"/>
      <c r="V300" s="370"/>
      <c r="W300" s="375"/>
      <c r="X300" s="374"/>
      <c r="Y300" s="370"/>
      <c r="Z300" s="376"/>
      <c r="AA300" s="371"/>
      <c r="AB300" s="649"/>
      <c r="AC300" s="270"/>
      <c r="AD300" s="372"/>
      <c r="AE300" s="270"/>
      <c r="AF300" s="270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06"/>
      <c r="C301" s="233"/>
      <c r="D301" s="233"/>
      <c r="F301" s="13"/>
      <c r="G301" s="13"/>
      <c r="I301" s="298"/>
      <c r="J301" s="21"/>
      <c r="K301" s="21"/>
      <c r="L301" s="13"/>
      <c r="M301" s="50"/>
      <c r="N301" s="97"/>
      <c r="O301" s="296"/>
      <c r="P301" s="388"/>
      <c r="Q301" s="417"/>
      <c r="T301" s="13"/>
      <c r="U301" s="370"/>
      <c r="V301" s="370"/>
      <c r="W301" s="375"/>
      <c r="X301" s="374"/>
      <c r="Y301" s="370"/>
      <c r="Z301" s="376"/>
      <c r="AA301" s="371"/>
      <c r="AB301" s="649"/>
      <c r="AC301" s="270"/>
      <c r="AD301" s="372"/>
      <c r="AE301" s="270"/>
      <c r="AF301" s="270"/>
      <c r="AG301" s="270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N302" s="97"/>
      <c r="O302" s="296"/>
      <c r="P302" s="386"/>
      <c r="Q302" s="420"/>
      <c r="T302" s="13"/>
      <c r="U302" s="370"/>
      <c r="V302" s="370"/>
      <c r="W302" s="375"/>
      <c r="X302" s="374"/>
      <c r="Y302" s="370"/>
      <c r="Z302" s="376"/>
      <c r="AA302" s="371"/>
      <c r="AB302" s="649"/>
      <c r="AC302" s="270"/>
      <c r="AD302" s="372"/>
      <c r="AE302" s="270"/>
      <c r="AF302" s="270"/>
      <c r="AG302" s="270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N303" s="97"/>
      <c r="O303" s="296"/>
      <c r="P303" s="387"/>
      <c r="Q303" s="417"/>
      <c r="T303" s="13"/>
      <c r="U303" s="370"/>
      <c r="V303" s="370"/>
      <c r="W303" s="375"/>
      <c r="X303" s="374"/>
      <c r="Y303" s="370"/>
      <c r="Z303" s="376"/>
      <c r="AA303" s="371"/>
      <c r="AB303" s="649"/>
      <c r="AC303" s="270"/>
      <c r="AD303" s="372"/>
      <c r="AE303" s="270"/>
      <c r="AF303" s="270"/>
      <c r="AG303" s="270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N304" s="97"/>
      <c r="O304" s="296"/>
      <c r="P304" s="387"/>
      <c r="Q304" s="417"/>
      <c r="T304" s="13"/>
      <c r="U304" s="370"/>
      <c r="V304" s="370"/>
      <c r="W304" s="375"/>
      <c r="X304" s="374"/>
      <c r="Y304" s="370"/>
      <c r="Z304" s="376"/>
      <c r="AA304" s="371"/>
      <c r="AB304" s="649"/>
      <c r="AC304" s="270"/>
      <c r="AD304" s="372"/>
      <c r="AE304" s="270"/>
      <c r="AF304" s="270"/>
      <c r="AG304" s="270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296"/>
      <c r="P305" s="387"/>
      <c r="Q305" s="417"/>
      <c r="T305" s="13"/>
      <c r="U305" s="370"/>
      <c r="V305" s="370"/>
      <c r="W305" s="375"/>
      <c r="X305" s="374"/>
      <c r="Y305" s="370"/>
      <c r="Z305" s="376"/>
      <c r="AA305" s="371"/>
      <c r="AB305" s="649"/>
      <c r="AC305" s="270"/>
      <c r="AD305" s="372"/>
      <c r="AE305" s="270"/>
      <c r="AF305" s="270"/>
      <c r="AG305" s="270"/>
      <c r="AH305" s="272"/>
      <c r="AI305" s="31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296"/>
      <c r="P306" s="387"/>
      <c r="Q306" s="417"/>
      <c r="T306" s="13"/>
      <c r="U306" s="370"/>
      <c r="V306" s="370"/>
      <c r="W306" s="375"/>
      <c r="X306" s="374"/>
      <c r="Y306" s="370"/>
      <c r="Z306" s="376"/>
      <c r="AA306" s="371"/>
      <c r="AB306" s="649"/>
      <c r="AC306" s="270"/>
      <c r="AD306" s="372"/>
      <c r="AE306" s="270"/>
      <c r="AF306" s="270"/>
      <c r="AG306" s="270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296"/>
      <c r="P307" s="387"/>
      <c r="Q307" s="417"/>
      <c r="T307" s="13"/>
      <c r="U307" s="370"/>
      <c r="V307" s="370"/>
      <c r="W307" s="375"/>
      <c r="X307" s="374"/>
      <c r="Y307" s="370"/>
      <c r="Z307" s="376"/>
      <c r="AA307" s="371"/>
      <c r="AB307" s="649"/>
      <c r="AC307" s="270"/>
      <c r="AD307" s="372"/>
      <c r="AE307" s="270"/>
      <c r="AF307" s="270"/>
      <c r="AG307" s="270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N308" s="97"/>
      <c r="O308" s="296"/>
      <c r="P308" s="388"/>
      <c r="Q308" s="417"/>
      <c r="T308" s="13"/>
      <c r="U308" s="370"/>
      <c r="V308" s="370"/>
      <c r="W308" s="375"/>
      <c r="X308" s="374"/>
      <c r="Y308" s="370"/>
      <c r="Z308" s="376"/>
      <c r="AA308" s="371"/>
      <c r="AB308" s="649"/>
      <c r="AC308" s="270"/>
      <c r="AD308" s="372"/>
      <c r="AE308" s="270"/>
      <c r="AF308" s="270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296"/>
      <c r="P309" s="387"/>
      <c r="Q309" s="417"/>
      <c r="T309" s="13"/>
      <c r="U309" s="370"/>
      <c r="V309" s="370"/>
      <c r="W309" s="375"/>
      <c r="X309" s="374"/>
      <c r="Y309" s="370"/>
      <c r="Z309" s="376"/>
      <c r="AA309" s="371"/>
      <c r="AB309" s="649"/>
      <c r="AC309" s="270"/>
      <c r="AD309" s="372"/>
      <c r="AE309" s="270"/>
      <c r="AF309" s="270"/>
      <c r="AG309" s="270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296"/>
      <c r="P310" s="387"/>
      <c r="Q310" s="417"/>
      <c r="T310" s="13"/>
      <c r="U310" s="370"/>
      <c r="V310" s="370"/>
      <c r="W310" s="375"/>
      <c r="X310" s="374"/>
      <c r="Y310" s="370"/>
      <c r="Z310" s="376"/>
      <c r="AA310" s="371"/>
      <c r="AB310" s="649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296"/>
      <c r="P311" s="387"/>
      <c r="Q311" s="417"/>
      <c r="T311" s="13"/>
      <c r="U311" s="370"/>
      <c r="V311" s="370"/>
      <c r="W311" s="375"/>
      <c r="X311" s="374"/>
      <c r="Y311" s="370"/>
      <c r="Z311" s="376"/>
      <c r="AA311" s="371"/>
      <c r="AB311" s="649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296"/>
      <c r="P312" s="387"/>
      <c r="Q312" s="417"/>
      <c r="T312" s="13"/>
      <c r="U312" s="370"/>
      <c r="V312" s="370"/>
      <c r="W312" s="375"/>
      <c r="X312" s="374"/>
      <c r="Y312" s="370"/>
      <c r="Z312" s="376"/>
      <c r="AA312" s="371"/>
      <c r="AB312" s="649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97"/>
      <c r="P313" s="387"/>
      <c r="Q313" s="417"/>
      <c r="T313" s="13"/>
      <c r="U313" s="370"/>
      <c r="V313" s="370"/>
      <c r="W313" s="375"/>
      <c r="X313" s="374"/>
      <c r="Y313" s="370"/>
      <c r="Z313" s="376"/>
      <c r="AA313" s="371"/>
      <c r="AB313" s="649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97"/>
      <c r="P314" s="387"/>
      <c r="Q314" s="417"/>
      <c r="T314" s="13"/>
      <c r="U314" s="370"/>
      <c r="V314" s="370"/>
      <c r="W314" s="375"/>
      <c r="X314" s="374"/>
      <c r="Y314" s="370"/>
      <c r="Z314" s="376"/>
      <c r="AA314" s="371"/>
      <c r="AB314" s="649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97"/>
      <c r="P315" s="388"/>
      <c r="Q315" s="417"/>
      <c r="T315" s="13"/>
      <c r="U315" s="370"/>
      <c r="V315" s="370"/>
      <c r="W315" s="375"/>
      <c r="X315" s="374"/>
      <c r="Y315" s="370"/>
      <c r="Z315" s="376"/>
      <c r="AA315" s="371"/>
      <c r="AB315" s="649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97"/>
      <c r="P316" s="296"/>
      <c r="Q316" s="316"/>
      <c r="R316" s="362"/>
      <c r="S316" s="291"/>
      <c r="T316" s="13"/>
      <c r="U316" s="370"/>
      <c r="V316" s="370"/>
      <c r="W316" s="375"/>
      <c r="X316" s="374"/>
      <c r="Y316" s="370"/>
      <c r="Z316" s="376"/>
      <c r="AA316" s="371"/>
      <c r="AB316" s="649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97"/>
      <c r="P317" s="296"/>
      <c r="Q317" s="421"/>
      <c r="R317" s="362"/>
      <c r="S317" s="291"/>
      <c r="T317" s="13"/>
      <c r="U317" s="370"/>
      <c r="V317" s="370"/>
      <c r="W317" s="375"/>
      <c r="X317" s="374"/>
      <c r="Y317" s="370"/>
      <c r="Z317" s="376"/>
      <c r="AA317" s="371"/>
      <c r="AB317" s="649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97"/>
      <c r="P318" s="296"/>
      <c r="Q318" s="421"/>
      <c r="R318" s="362"/>
      <c r="S318" s="291"/>
      <c r="T318" s="13"/>
      <c r="U318" s="370"/>
      <c r="V318" s="370"/>
      <c r="W318" s="375"/>
      <c r="X318" s="374"/>
      <c r="Y318" s="370"/>
      <c r="Z318" s="376"/>
      <c r="AA318" s="371"/>
      <c r="AB318" s="649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97"/>
      <c r="P319" s="296"/>
      <c r="Q319" s="421"/>
      <c r="R319" s="362"/>
      <c r="S319" s="291"/>
      <c r="T319" s="13"/>
      <c r="U319" s="370"/>
      <c r="V319" s="370"/>
      <c r="W319" s="375"/>
      <c r="X319" s="374"/>
      <c r="Y319" s="370"/>
      <c r="Z319" s="376"/>
      <c r="AA319" s="371"/>
      <c r="AB319" s="649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97"/>
      <c r="P320" s="296"/>
      <c r="Q320" s="421"/>
      <c r="R320" s="383"/>
      <c r="S320" s="21"/>
      <c r="T320" s="13"/>
      <c r="U320" s="370"/>
      <c r="V320" s="370"/>
      <c r="W320" s="375"/>
      <c r="X320" s="374"/>
      <c r="Y320" s="370"/>
      <c r="Z320" s="376"/>
      <c r="AA320" s="371"/>
      <c r="AB320" s="649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97"/>
      <c r="P321" s="296"/>
      <c r="Q321" s="421"/>
      <c r="R321" s="383"/>
      <c r="S321" s="21"/>
      <c r="T321" s="13"/>
      <c r="U321" s="354"/>
      <c r="V321" s="354"/>
      <c r="W321" s="355"/>
      <c r="X321" s="330"/>
      <c r="Y321" s="354"/>
      <c r="Z321" s="356"/>
      <c r="AA321" s="328"/>
      <c r="AB321" s="650"/>
      <c r="AC321" s="346"/>
      <c r="AD321" s="333"/>
      <c r="AE321" s="346"/>
      <c r="AF321" s="346"/>
      <c r="AG321" s="346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O322" s="97"/>
      <c r="P322" s="296"/>
      <c r="Q322" s="421"/>
      <c r="R322" s="383"/>
      <c r="S322" s="21"/>
      <c r="T322" s="13"/>
      <c r="U322" s="354"/>
      <c r="V322" s="354"/>
      <c r="W322" s="355"/>
      <c r="X322" s="330"/>
      <c r="Y322" s="354"/>
      <c r="Z322" s="356"/>
      <c r="AA322" s="328"/>
      <c r="AB322" s="650"/>
      <c r="AC322" s="346"/>
      <c r="AD322" s="333"/>
      <c r="AE322" s="346"/>
      <c r="AF322" s="346"/>
      <c r="AG322" s="346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O323" s="97"/>
      <c r="P323" s="296"/>
      <c r="Q323" s="421"/>
      <c r="R323" s="383"/>
      <c r="S323" s="21"/>
      <c r="T323" s="13"/>
      <c r="U323" s="381"/>
      <c r="V323" s="381"/>
      <c r="W323" s="375"/>
      <c r="X323" s="374"/>
      <c r="Y323" s="370"/>
      <c r="Z323" s="376"/>
      <c r="AA323" s="371"/>
      <c r="AB323" s="649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296"/>
      <c r="Q324" s="421"/>
      <c r="R324" s="383"/>
      <c r="S324" s="21"/>
      <c r="T324" s="13"/>
      <c r="U324" s="381"/>
      <c r="V324" s="381"/>
      <c r="W324" s="375"/>
      <c r="X324" s="374"/>
      <c r="Y324" s="370"/>
      <c r="Z324" s="376"/>
      <c r="AA324" s="371"/>
      <c r="AB324" s="649"/>
      <c r="AC324" s="270"/>
      <c r="AD324" s="372"/>
      <c r="AE324" s="270"/>
      <c r="AF324" s="270"/>
      <c r="AG324" s="270"/>
      <c r="AH324" s="272"/>
      <c r="AI324" s="389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421"/>
      <c r="R325" s="383"/>
      <c r="S325" s="21"/>
      <c r="T325" s="13"/>
      <c r="U325" s="381"/>
      <c r="V325" s="381"/>
      <c r="W325" s="375"/>
      <c r="X325" s="374"/>
      <c r="Y325" s="370"/>
      <c r="Z325" s="376"/>
      <c r="AA325" s="371"/>
      <c r="AB325" s="649"/>
      <c r="AC325" s="270"/>
      <c r="AD325" s="372"/>
      <c r="AE325" s="270"/>
      <c r="AF325" s="270"/>
      <c r="AG325" s="270"/>
      <c r="AH325" s="272"/>
      <c r="AI325" s="1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21"/>
      <c r="R326" s="383"/>
      <c r="S326" s="21"/>
      <c r="T326" s="13"/>
      <c r="U326" s="381"/>
      <c r="V326" s="381"/>
      <c r="W326" s="375"/>
      <c r="X326" s="374"/>
      <c r="Y326" s="370"/>
      <c r="Z326" s="376"/>
      <c r="AA326" s="371"/>
      <c r="AB326" s="649"/>
      <c r="AC326" s="270"/>
      <c r="AD326" s="372"/>
      <c r="AE326" s="270"/>
      <c r="AF326" s="270"/>
      <c r="AG326" s="270"/>
      <c r="AH326" s="272"/>
      <c r="AI326" s="1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97"/>
      <c r="P327" s="296"/>
      <c r="Q327" s="421"/>
      <c r="R327" s="383"/>
      <c r="S327" s="21"/>
      <c r="T327" s="13"/>
      <c r="U327" s="381"/>
      <c r="V327" s="381"/>
      <c r="W327" s="375"/>
      <c r="X327" s="374"/>
      <c r="Y327" s="370"/>
      <c r="Z327" s="376"/>
      <c r="AA327" s="371"/>
      <c r="AB327" s="649"/>
      <c r="AC327" s="270"/>
      <c r="AD327" s="372"/>
      <c r="AE327" s="270"/>
      <c r="AF327" s="270"/>
      <c r="AG327" s="270"/>
      <c r="AH327" s="272"/>
      <c r="AI327" s="1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O328" s="97"/>
      <c r="P328" s="296"/>
      <c r="Q328" s="421"/>
      <c r="R328" s="383"/>
      <c r="S328" s="21"/>
      <c r="T328" s="13"/>
      <c r="U328" s="381"/>
      <c r="V328" s="381"/>
      <c r="W328" s="375"/>
      <c r="X328" s="374"/>
      <c r="Y328" s="370"/>
      <c r="Z328" s="376"/>
      <c r="AA328" s="371"/>
      <c r="AB328" s="649"/>
      <c r="AC328" s="270"/>
      <c r="AD328" s="372"/>
      <c r="AE328" s="270"/>
      <c r="AF328" s="270"/>
      <c r="AG328" s="270"/>
      <c r="AH328" s="272"/>
      <c r="AI328" s="1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97"/>
      <c r="P329" s="296"/>
      <c r="Q329" s="421"/>
      <c r="R329" s="383"/>
      <c r="S329" s="21"/>
      <c r="T329" s="13"/>
      <c r="U329" s="381"/>
      <c r="V329" s="381"/>
      <c r="W329" s="375"/>
      <c r="X329" s="374"/>
      <c r="Y329" s="370"/>
      <c r="Z329" s="376"/>
      <c r="AA329" s="371"/>
      <c r="AB329" s="649"/>
      <c r="AC329" s="270"/>
      <c r="AD329" s="372"/>
      <c r="AE329" s="270"/>
      <c r="AF329" s="270"/>
      <c r="AG329" s="270"/>
      <c r="AH329" s="272"/>
      <c r="AI329" s="1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97"/>
      <c r="P330" s="296"/>
      <c r="Q330" s="421"/>
      <c r="R330" s="383"/>
      <c r="S330" s="21"/>
      <c r="T330" s="13"/>
      <c r="U330" s="381"/>
      <c r="V330" s="381"/>
      <c r="W330" s="375"/>
      <c r="X330" s="374"/>
      <c r="Y330" s="370"/>
      <c r="Z330" s="376"/>
      <c r="AA330" s="371"/>
      <c r="AB330" s="649"/>
      <c r="AC330" s="270"/>
      <c r="AD330" s="372"/>
      <c r="AE330" s="270"/>
      <c r="AF330" s="270"/>
      <c r="AG330" s="270"/>
      <c r="AH330" s="272"/>
      <c r="AI330" s="1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97"/>
      <c r="P331" s="296"/>
      <c r="Q331" s="421"/>
      <c r="R331" s="383"/>
      <c r="S331" s="21"/>
      <c r="T331" s="13"/>
      <c r="U331" s="381"/>
      <c r="V331" s="381"/>
      <c r="W331" s="375"/>
      <c r="X331" s="374"/>
      <c r="Y331" s="370"/>
      <c r="Z331" s="376"/>
      <c r="AA331" s="371"/>
      <c r="AB331" s="649"/>
      <c r="AC331" s="270"/>
      <c r="AD331" s="372"/>
      <c r="AE331" s="270"/>
      <c r="AF331" s="270"/>
      <c r="AG331" s="270"/>
      <c r="AH331" s="272"/>
      <c r="AI331" s="1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97"/>
      <c r="P332" s="296"/>
      <c r="Q332" s="421"/>
      <c r="R332" s="383"/>
      <c r="S332" s="21"/>
      <c r="T332" s="13"/>
      <c r="U332" s="381"/>
      <c r="V332" s="381"/>
      <c r="W332" s="375"/>
      <c r="X332" s="374"/>
      <c r="Y332" s="370"/>
      <c r="Z332" s="376"/>
      <c r="AA332" s="371"/>
      <c r="AB332" s="649"/>
      <c r="AC332" s="270"/>
      <c r="AD332" s="372"/>
      <c r="AE332" s="270"/>
      <c r="AF332" s="270"/>
      <c r="AG332" s="270"/>
      <c r="AH332" s="272"/>
      <c r="AI332" s="1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97"/>
      <c r="P333" s="296"/>
      <c r="Q333" s="421"/>
      <c r="R333" s="383"/>
      <c r="S333" s="1"/>
      <c r="T333" s="13"/>
      <c r="U333" s="381"/>
      <c r="V333" s="381"/>
      <c r="W333" s="375"/>
      <c r="X333" s="374"/>
      <c r="Y333" s="370"/>
      <c r="Z333" s="376"/>
      <c r="AA333" s="371"/>
      <c r="AB333" s="649"/>
      <c r="AC333" s="270"/>
      <c r="AD333" s="372"/>
      <c r="AE333" s="270"/>
      <c r="AF333" s="270"/>
      <c r="AG333" s="270"/>
      <c r="AH333" s="272"/>
      <c r="AI333" s="1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97"/>
      <c r="P334" s="296"/>
      <c r="Q334" s="421"/>
      <c r="R334" s="383"/>
      <c r="S334" s="21"/>
      <c r="T334" s="13"/>
      <c r="U334" s="381"/>
      <c r="V334" s="381"/>
      <c r="W334" s="375"/>
      <c r="X334" s="374"/>
      <c r="Y334" s="370"/>
      <c r="Z334" s="376"/>
      <c r="AA334" s="371"/>
      <c r="AB334" s="649"/>
      <c r="AC334" s="270"/>
      <c r="AD334" s="372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97"/>
      <c r="P335" s="296"/>
      <c r="Q335" s="421"/>
      <c r="R335" s="383"/>
      <c r="S335" s="21"/>
      <c r="T335" s="13"/>
      <c r="U335" s="381"/>
      <c r="V335" s="381"/>
      <c r="W335" s="375"/>
      <c r="X335" s="374"/>
      <c r="Y335" s="370"/>
      <c r="Z335" s="376"/>
      <c r="AA335" s="371"/>
      <c r="AB335" s="649"/>
      <c r="AC335" s="270"/>
      <c r="AD335" s="372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97"/>
      <c r="P336" s="296"/>
      <c r="Q336" s="421"/>
      <c r="R336" s="383"/>
      <c r="S336" s="21"/>
      <c r="T336" s="13"/>
      <c r="U336" s="381"/>
      <c r="V336" s="381"/>
      <c r="W336" s="375"/>
      <c r="X336" s="374"/>
      <c r="Y336" s="370"/>
      <c r="Z336" s="376"/>
      <c r="AA336" s="371"/>
      <c r="AB336" s="649"/>
      <c r="AC336" s="270"/>
      <c r="AD336" s="372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1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97"/>
      <c r="P337" s="296"/>
      <c r="Q337" s="421"/>
      <c r="R337" s="383"/>
      <c r="S337" s="21"/>
      <c r="T337" s="13"/>
      <c r="U337" s="381"/>
      <c r="V337" s="381"/>
      <c r="W337" s="375"/>
      <c r="X337" s="374"/>
      <c r="Y337" s="370"/>
      <c r="Z337" s="376"/>
      <c r="AA337" s="371"/>
      <c r="AB337" s="649"/>
      <c r="AC337" s="270"/>
      <c r="AD337" s="372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1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296"/>
      <c r="Q338" s="421"/>
      <c r="R338" s="383"/>
      <c r="S338" s="21"/>
      <c r="T338" s="13"/>
      <c r="U338" s="381"/>
      <c r="V338" s="381"/>
      <c r="W338" s="375"/>
      <c r="X338" s="374"/>
      <c r="Y338" s="370"/>
      <c r="Z338" s="376"/>
      <c r="AA338" s="371"/>
      <c r="AB338" s="649"/>
      <c r="AC338" s="270"/>
      <c r="AD338" s="372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1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296"/>
      <c r="Q339" s="421"/>
      <c r="R339" s="383"/>
      <c r="S339" s="21"/>
      <c r="T339" s="13"/>
      <c r="U339" s="381"/>
      <c r="V339" s="381"/>
      <c r="W339" s="375"/>
      <c r="X339" s="374"/>
      <c r="Y339" s="370"/>
      <c r="Z339" s="376"/>
      <c r="AA339" s="371"/>
      <c r="AB339" s="649"/>
      <c r="AC339" s="270"/>
      <c r="AD339" s="372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1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296"/>
      <c r="Q340" s="421"/>
      <c r="R340" s="383"/>
      <c r="S340" s="21"/>
      <c r="T340" s="13"/>
      <c r="U340" s="381"/>
      <c r="V340" s="381"/>
      <c r="W340" s="375"/>
      <c r="X340" s="374"/>
      <c r="Y340" s="370"/>
      <c r="Z340" s="376"/>
      <c r="AA340" s="371"/>
      <c r="AB340" s="649"/>
      <c r="AC340" s="270"/>
      <c r="AD340" s="372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421"/>
      <c r="R341" s="383"/>
      <c r="S341" s="21"/>
      <c r="T341" s="13"/>
      <c r="U341" s="381"/>
      <c r="V341" s="381"/>
      <c r="W341" s="375"/>
      <c r="X341" s="374"/>
      <c r="Y341" s="370"/>
      <c r="Z341" s="376"/>
      <c r="AA341" s="371"/>
      <c r="AB341" s="649"/>
      <c r="AC341" s="270"/>
      <c r="AD341" s="372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21"/>
      <c r="R342" s="383"/>
      <c r="S342" s="21"/>
      <c r="T342" s="13"/>
      <c r="U342" s="381"/>
      <c r="V342" s="381"/>
      <c r="W342" s="375"/>
      <c r="X342" s="374"/>
      <c r="Y342" s="370"/>
      <c r="Z342" s="376"/>
      <c r="AA342" s="371"/>
      <c r="AB342" s="649"/>
      <c r="AC342" s="270"/>
      <c r="AD342" s="372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21"/>
      <c r="R343" s="383"/>
      <c r="S343" s="21"/>
      <c r="T343" s="13"/>
      <c r="U343" s="381"/>
      <c r="V343" s="381"/>
      <c r="W343" s="375"/>
      <c r="X343" s="374"/>
      <c r="Y343" s="370"/>
      <c r="Z343" s="376"/>
      <c r="AA343" s="371"/>
      <c r="AB343" s="649"/>
      <c r="AC343" s="270"/>
      <c r="AD343" s="372"/>
      <c r="AE343" s="270"/>
      <c r="AF343" s="2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21"/>
      <c r="R344" s="383"/>
      <c r="S344" s="21"/>
      <c r="T344" s="13"/>
      <c r="U344" s="381"/>
      <c r="V344" s="381"/>
      <c r="W344" s="375"/>
      <c r="X344" s="374"/>
      <c r="Y344" s="370"/>
      <c r="Z344" s="376"/>
      <c r="AA344" s="371"/>
      <c r="AB344" s="649"/>
      <c r="AC344" s="270"/>
      <c r="AD344" s="372"/>
      <c r="AE344" s="270"/>
      <c r="AF344" s="270"/>
      <c r="AG344" s="270"/>
      <c r="AH344" s="272"/>
      <c r="AI344" s="1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21"/>
      <c r="R345" s="383"/>
      <c r="S345" s="21"/>
      <c r="T345" s="13"/>
      <c r="U345" s="381"/>
      <c r="V345" s="381"/>
      <c r="W345" s="375"/>
      <c r="X345" s="374"/>
      <c r="Y345" s="370"/>
      <c r="Z345" s="376"/>
      <c r="AA345" s="371"/>
      <c r="AB345" s="649"/>
      <c r="AC345" s="270"/>
      <c r="AD345" s="372"/>
      <c r="AE345" s="270"/>
      <c r="AF345" s="270"/>
      <c r="AG345" s="270"/>
      <c r="AH345" s="272"/>
      <c r="AI345" s="1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21"/>
      <c r="R346" s="383"/>
      <c r="S346" s="21"/>
      <c r="T346" s="13"/>
      <c r="U346" s="381"/>
      <c r="V346" s="381"/>
      <c r="W346" s="375"/>
      <c r="X346" s="374"/>
      <c r="Y346" s="370"/>
      <c r="Z346" s="376"/>
      <c r="AA346" s="371"/>
      <c r="AB346" s="649"/>
      <c r="AC346" s="270"/>
      <c r="AD346" s="372"/>
      <c r="AE346" s="270"/>
      <c r="AF346" s="270"/>
      <c r="AG346" s="270"/>
      <c r="AH346" s="272"/>
      <c r="AI346" s="1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21"/>
      <c r="R347" s="383"/>
      <c r="S347" s="21"/>
      <c r="T347" s="13"/>
      <c r="U347" s="381"/>
      <c r="V347" s="381"/>
      <c r="W347" s="375"/>
      <c r="X347" s="374"/>
      <c r="Y347" s="370"/>
      <c r="Z347" s="376"/>
      <c r="AA347" s="371"/>
      <c r="AB347" s="649"/>
      <c r="AC347" s="270"/>
      <c r="AD347" s="372"/>
      <c r="AE347" s="270"/>
      <c r="AF347" s="270"/>
      <c r="AG347" s="270"/>
      <c r="AH347" s="272"/>
      <c r="AI347" s="1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21"/>
      <c r="R348" s="383"/>
      <c r="S348" s="21"/>
      <c r="T348" s="13"/>
      <c r="U348" s="381"/>
      <c r="V348" s="381"/>
      <c r="W348" s="375"/>
      <c r="X348" s="374"/>
      <c r="Y348" s="370"/>
      <c r="Z348" s="376"/>
      <c r="AA348" s="371"/>
      <c r="AB348" s="649"/>
      <c r="AC348" s="270"/>
      <c r="AD348" s="372"/>
      <c r="AE348" s="270"/>
      <c r="AF348" s="270"/>
      <c r="AG348" s="270"/>
      <c r="AH348" s="272"/>
      <c r="AI348" s="1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50"/>
      <c r="P349" s="296"/>
      <c r="Q349" s="421"/>
      <c r="R349" s="383"/>
      <c r="S349" s="21"/>
      <c r="T349" s="13"/>
      <c r="U349" s="381"/>
      <c r="V349" s="381"/>
      <c r="W349" s="375"/>
      <c r="X349" s="374"/>
      <c r="Y349" s="370"/>
      <c r="Z349" s="376"/>
      <c r="AA349" s="371"/>
      <c r="AB349" s="649"/>
      <c r="AC349" s="270"/>
      <c r="AD349" s="372"/>
      <c r="AE349" s="270"/>
      <c r="AF349" s="270"/>
      <c r="AG349" s="270"/>
      <c r="AH349" s="272"/>
      <c r="AI349" s="1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50"/>
      <c r="P350" s="296"/>
      <c r="Q350" s="421"/>
      <c r="R350" s="383"/>
      <c r="S350" s="21"/>
      <c r="T350" s="13"/>
      <c r="U350" s="381"/>
      <c r="V350" s="381"/>
      <c r="W350" s="375"/>
      <c r="X350" s="374"/>
      <c r="Y350" s="370"/>
      <c r="Z350" s="376"/>
      <c r="AA350" s="371"/>
      <c r="AB350" s="649"/>
      <c r="AC350" s="270"/>
      <c r="AD350" s="372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50"/>
      <c r="P351" s="296"/>
      <c r="Q351" s="421"/>
      <c r="R351" s="383"/>
      <c r="S351" s="21"/>
      <c r="T351" s="13"/>
      <c r="U351" s="381"/>
      <c r="V351" s="381"/>
      <c r="W351" s="375"/>
      <c r="X351" s="374"/>
      <c r="Y351" s="370"/>
      <c r="Z351" s="376"/>
      <c r="AA351" s="371"/>
      <c r="AB351" s="649"/>
      <c r="AC351" s="270"/>
      <c r="AD351" s="372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50"/>
      <c r="P352" s="296"/>
      <c r="Q352" s="421"/>
      <c r="R352" s="383"/>
      <c r="S352" s="21"/>
      <c r="T352" s="13"/>
      <c r="U352" s="381"/>
      <c r="V352" s="381"/>
      <c r="W352" s="375"/>
      <c r="X352" s="374"/>
      <c r="Y352" s="370"/>
      <c r="Z352" s="376"/>
      <c r="AA352" s="371"/>
      <c r="AB352" s="649"/>
      <c r="AC352" s="270"/>
      <c r="AD352" s="372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4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50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649"/>
      <c r="AC353" s="270"/>
      <c r="AD353" s="372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4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50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649"/>
      <c r="AC354" s="270"/>
      <c r="AD354" s="372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4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50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649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4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50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649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4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50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649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4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649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4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649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4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649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4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649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4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649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4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21"/>
      <c r="R363" s="383"/>
      <c r="S363" s="21"/>
      <c r="T363" s="13"/>
      <c r="U363" s="381"/>
      <c r="V363" s="321"/>
      <c r="W363" s="322"/>
      <c r="X363" s="322"/>
      <c r="Y363" s="322"/>
      <c r="Z363" s="323"/>
      <c r="AA363" s="371"/>
      <c r="AB363" s="649"/>
      <c r="AC363" s="371"/>
      <c r="AD363" s="372"/>
      <c r="AE363" s="371"/>
      <c r="AF363" s="371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4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21"/>
      <c r="R364" s="383"/>
      <c r="S364" s="21"/>
      <c r="T364" s="13"/>
      <c r="U364" s="381"/>
      <c r="V364" s="321"/>
      <c r="W364" s="322"/>
      <c r="X364" s="322"/>
      <c r="Y364" s="322"/>
      <c r="Z364" s="323"/>
      <c r="AA364" s="371"/>
      <c r="AB364" s="649"/>
      <c r="AC364" s="371"/>
      <c r="AD364" s="372"/>
      <c r="AE364" s="371"/>
      <c r="AF364" s="371"/>
      <c r="AG364" s="270"/>
      <c r="AH364" s="272"/>
      <c r="AI364" s="1"/>
      <c r="AJ364" s="21"/>
      <c r="AK364" s="21"/>
      <c r="AL364" s="21"/>
      <c r="AM364" s="21"/>
      <c r="AN364" s="21"/>
      <c r="AO364" s="21"/>
      <c r="AQ364" s="21"/>
      <c r="AR364" s="21"/>
    </row>
    <row r="365" spans="1:44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21"/>
      <c r="R365" s="383"/>
      <c r="S365" s="21"/>
      <c r="T365" s="13"/>
      <c r="U365" s="381"/>
      <c r="V365" s="321"/>
      <c r="W365" s="322"/>
      <c r="X365" s="322"/>
      <c r="Y365" s="322"/>
      <c r="Z365" s="323"/>
      <c r="AA365" s="371"/>
      <c r="AB365" s="649"/>
      <c r="AC365" s="371"/>
      <c r="AD365" s="372"/>
      <c r="AE365" s="371"/>
      <c r="AF365" s="371"/>
      <c r="AG365" s="270"/>
      <c r="AH365" s="272"/>
      <c r="AI365" s="1"/>
      <c r="AJ365" s="21"/>
      <c r="AK365" s="21"/>
      <c r="AL365" s="21"/>
      <c r="AM365" s="21"/>
      <c r="AN365" s="21"/>
      <c r="AO365" s="21"/>
      <c r="AQ365" s="21"/>
      <c r="AR365" s="21"/>
    </row>
    <row r="366" spans="1:44" x14ac:dyDescent="0.2">
      <c r="A366" s="48"/>
      <c r="B366" s="306"/>
      <c r="C366" s="233"/>
      <c r="D366" s="233"/>
      <c r="P366" s="296"/>
      <c r="Q366" s="421"/>
      <c r="R366" s="383"/>
      <c r="U366" s="381"/>
      <c r="V366" s="321"/>
      <c r="W366" s="322"/>
      <c r="X366" s="322"/>
      <c r="Y366" s="322"/>
      <c r="Z366" s="323"/>
      <c r="AA366" s="371"/>
      <c r="AB366" s="649"/>
      <c r="AC366" s="371"/>
      <c r="AD366" s="372"/>
      <c r="AE366" s="371"/>
      <c r="AF366" s="371"/>
      <c r="AG366" s="270"/>
      <c r="AH366" s="272"/>
      <c r="AP366" s="53"/>
    </row>
    <row r="367" spans="1:44" x14ac:dyDescent="0.2">
      <c r="A367" s="48"/>
      <c r="B367" s="306"/>
      <c r="C367" s="233"/>
      <c r="D367" s="233"/>
      <c r="P367" s="296"/>
      <c r="Q367" s="421"/>
      <c r="R367" s="383"/>
      <c r="U367" s="381"/>
      <c r="V367" s="321"/>
      <c r="W367" s="322"/>
      <c r="X367" s="322"/>
      <c r="Y367" s="322"/>
      <c r="Z367" s="323"/>
      <c r="AA367" s="371"/>
      <c r="AB367" s="649"/>
      <c r="AC367" s="371"/>
      <c r="AD367" s="372"/>
      <c r="AE367" s="371"/>
      <c r="AF367" s="371"/>
      <c r="AG367" s="270"/>
      <c r="AH367" s="272"/>
      <c r="AP367" s="53"/>
    </row>
    <row r="368" spans="1:44" x14ac:dyDescent="0.2">
      <c r="A368" s="48"/>
      <c r="B368" s="306"/>
      <c r="C368" s="233"/>
      <c r="D368" s="233"/>
      <c r="P368" s="296"/>
      <c r="Q368" s="421"/>
      <c r="R368" s="383"/>
      <c r="U368" s="381"/>
      <c r="V368" s="370"/>
      <c r="W368" s="375"/>
      <c r="X368" s="375"/>
      <c r="Y368" s="375"/>
      <c r="Z368" s="376"/>
      <c r="AA368" s="371"/>
      <c r="AB368" s="649"/>
      <c r="AC368" s="371"/>
      <c r="AD368" s="372"/>
      <c r="AE368" s="371"/>
      <c r="AF368" s="371"/>
      <c r="AG368" s="270"/>
      <c r="AH368" s="272"/>
      <c r="AP368" s="53"/>
    </row>
    <row r="369" spans="1:44" x14ac:dyDescent="0.2">
      <c r="A369" s="48"/>
      <c r="B369" s="306"/>
      <c r="C369" s="233"/>
      <c r="D369" s="233"/>
      <c r="P369" s="296"/>
      <c r="Q369" s="421"/>
      <c r="R369" s="383"/>
      <c r="U369" s="381"/>
      <c r="V369" s="370"/>
      <c r="W369" s="375"/>
      <c r="X369" s="374"/>
      <c r="Y369" s="370"/>
      <c r="Z369" s="376"/>
      <c r="AA369" s="371"/>
      <c r="AB369" s="649"/>
      <c r="AC369" s="270"/>
      <c r="AD369" s="372"/>
      <c r="AE369" s="270"/>
      <c r="AF369" s="270"/>
      <c r="AG369" s="270"/>
      <c r="AH369" s="272"/>
      <c r="AP369" s="53"/>
    </row>
    <row r="370" spans="1:44" x14ac:dyDescent="0.2">
      <c r="A370" s="48"/>
      <c r="B370" s="306"/>
      <c r="C370" s="233"/>
      <c r="D370" s="233"/>
      <c r="P370" s="296"/>
      <c r="Q370" s="421"/>
      <c r="R370" s="383"/>
      <c r="U370" s="381"/>
      <c r="V370" s="370"/>
      <c r="W370" s="375"/>
      <c r="X370" s="374"/>
      <c r="Y370" s="370"/>
      <c r="Z370" s="376"/>
      <c r="AA370" s="371"/>
      <c r="AB370" s="649"/>
      <c r="AC370" s="270"/>
      <c r="AD370" s="372"/>
      <c r="AE370" s="270"/>
      <c r="AF370" s="270"/>
      <c r="AG370" s="270"/>
      <c r="AH370" s="272"/>
      <c r="AP370" s="53"/>
    </row>
    <row r="371" spans="1:44" x14ac:dyDescent="0.2">
      <c r="A371" s="48"/>
      <c r="B371" s="306"/>
      <c r="C371" s="233"/>
      <c r="D371" s="233"/>
      <c r="P371" s="296"/>
      <c r="Q371" s="421"/>
      <c r="R371" s="383"/>
      <c r="U371" s="381"/>
      <c r="V371" s="370"/>
      <c r="W371" s="375"/>
      <c r="X371" s="374"/>
      <c r="Y371" s="370"/>
      <c r="Z371" s="376"/>
      <c r="AA371" s="371"/>
      <c r="AB371" s="649"/>
      <c r="AC371" s="270"/>
      <c r="AD371" s="372"/>
      <c r="AE371" s="270"/>
      <c r="AF371" s="270"/>
      <c r="AG371" s="270"/>
      <c r="AH371" s="272"/>
      <c r="AP371" s="53"/>
    </row>
    <row r="372" spans="1:44" x14ac:dyDescent="0.2">
      <c r="A372" s="48"/>
      <c r="B372" s="306"/>
      <c r="C372" s="233"/>
      <c r="D372" s="233"/>
      <c r="P372" s="296"/>
      <c r="Q372" s="421"/>
      <c r="R372" s="383"/>
      <c r="U372" s="381"/>
      <c r="V372" s="370"/>
      <c r="W372" s="375"/>
      <c r="X372" s="374"/>
      <c r="Y372" s="370"/>
      <c r="Z372" s="376"/>
      <c r="AA372" s="371"/>
      <c r="AB372" s="649"/>
      <c r="AC372" s="270"/>
      <c r="AD372" s="372"/>
      <c r="AE372" s="270"/>
      <c r="AF372" s="270"/>
      <c r="AG372" s="270"/>
      <c r="AH372" s="272"/>
      <c r="AP372" s="53"/>
    </row>
    <row r="373" spans="1:44" x14ac:dyDescent="0.2">
      <c r="A373" s="48"/>
      <c r="B373" s="306"/>
      <c r="C373" s="233"/>
      <c r="D373" s="233"/>
      <c r="P373" s="296"/>
      <c r="Q373" s="421"/>
      <c r="R373" s="383"/>
      <c r="U373" s="381"/>
      <c r="V373" s="370"/>
      <c r="W373" s="375"/>
      <c r="X373" s="374"/>
      <c r="Y373" s="370"/>
      <c r="Z373" s="376"/>
      <c r="AA373" s="371"/>
      <c r="AB373" s="649"/>
      <c r="AC373" s="270"/>
      <c r="AD373" s="372"/>
      <c r="AE373" s="270"/>
      <c r="AF373" s="270"/>
      <c r="AG373" s="270"/>
      <c r="AH373" s="272"/>
      <c r="AP373" s="53"/>
    </row>
    <row r="374" spans="1:44" x14ac:dyDescent="0.2">
      <c r="A374" s="48"/>
      <c r="B374" s="306"/>
      <c r="C374" s="233"/>
      <c r="D374" s="233"/>
      <c r="P374" s="296"/>
      <c r="Q374" s="421"/>
      <c r="R374" s="383"/>
      <c r="U374" s="381"/>
      <c r="V374" s="370"/>
      <c r="W374" s="375"/>
      <c r="X374" s="374"/>
      <c r="Y374" s="370"/>
      <c r="Z374" s="376"/>
      <c r="AA374" s="371"/>
      <c r="AB374" s="649"/>
      <c r="AC374" s="270"/>
      <c r="AD374" s="372"/>
      <c r="AE374" s="270"/>
      <c r="AF374" s="270"/>
      <c r="AG374" s="270"/>
      <c r="AH374" s="272"/>
      <c r="AP374" s="53"/>
      <c r="AQ374" s="53"/>
      <c r="AR374" s="53"/>
    </row>
    <row r="375" spans="1:44" x14ac:dyDescent="0.2">
      <c r="A375" s="48"/>
      <c r="B375" s="306"/>
      <c r="C375" s="233"/>
      <c r="D375" s="233"/>
      <c r="P375" s="296"/>
      <c r="Q375" s="421"/>
      <c r="R375" s="383"/>
      <c r="U375" s="381"/>
      <c r="V375" s="370"/>
      <c r="W375" s="375"/>
      <c r="X375" s="374"/>
      <c r="Y375" s="370"/>
      <c r="Z375" s="376"/>
      <c r="AA375" s="371"/>
      <c r="AB375" s="649"/>
      <c r="AC375" s="270"/>
      <c r="AD375" s="372"/>
      <c r="AE375" s="270"/>
      <c r="AF375" s="270"/>
      <c r="AG375" s="270"/>
      <c r="AH375" s="272"/>
      <c r="AP375" s="53"/>
      <c r="AQ375" s="53"/>
      <c r="AR375" s="53"/>
    </row>
    <row r="376" spans="1:44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296"/>
      <c r="Q376" s="421"/>
      <c r="R376" s="383"/>
      <c r="S376" s="21"/>
      <c r="T376" s="13"/>
      <c r="U376" s="381"/>
      <c r="V376" s="370"/>
      <c r="W376" s="375"/>
      <c r="X376" s="374"/>
      <c r="Y376" s="370"/>
      <c r="Z376" s="376"/>
      <c r="AA376" s="371"/>
      <c r="AB376" s="649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4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21"/>
      <c r="R377" s="383"/>
      <c r="S377" s="21"/>
      <c r="T377" s="13"/>
      <c r="U377" s="381"/>
      <c r="V377" s="370"/>
      <c r="W377" s="375"/>
      <c r="X377" s="374"/>
      <c r="Y377" s="370"/>
      <c r="Z377" s="376"/>
      <c r="AA377" s="371"/>
      <c r="AB377" s="649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4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21"/>
      <c r="R378" s="383"/>
      <c r="S378" s="21"/>
      <c r="T378" s="13"/>
      <c r="U378" s="381"/>
      <c r="V378" s="370"/>
      <c r="W378" s="375"/>
      <c r="X378" s="374"/>
      <c r="Y378" s="370"/>
      <c r="Z378" s="376"/>
      <c r="AA378" s="371"/>
      <c r="AB378" s="649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4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21"/>
      <c r="R379" s="383"/>
      <c r="S379" s="21"/>
      <c r="T379" s="13"/>
      <c r="U379" s="381"/>
      <c r="V379" s="370"/>
      <c r="W379" s="375"/>
      <c r="X379" s="374"/>
      <c r="Y379" s="370"/>
      <c r="Z379" s="376"/>
      <c r="AA379" s="371"/>
      <c r="AB379" s="649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4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21"/>
      <c r="R380" s="383"/>
      <c r="S380" s="21"/>
      <c r="T380" s="13"/>
      <c r="U380" s="381"/>
      <c r="V380" s="370"/>
      <c r="W380" s="375"/>
      <c r="X380" s="374"/>
      <c r="Y380" s="370"/>
      <c r="Z380" s="376"/>
      <c r="AA380" s="371"/>
      <c r="AB380" s="649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4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21"/>
      <c r="R381" s="383"/>
      <c r="S381" s="21"/>
      <c r="T381" s="13"/>
      <c r="U381" s="381"/>
      <c r="V381" s="370"/>
      <c r="W381" s="375"/>
      <c r="X381" s="374"/>
      <c r="Y381" s="370"/>
      <c r="Z381" s="376"/>
      <c r="AA381" s="371"/>
      <c r="AB381" s="649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4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70"/>
      <c r="W382" s="375"/>
      <c r="X382" s="374"/>
      <c r="Y382" s="370"/>
      <c r="Z382" s="376"/>
      <c r="AA382" s="371"/>
      <c r="AB382" s="649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4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70"/>
      <c r="W383" s="375"/>
      <c r="X383" s="374"/>
      <c r="Y383" s="370"/>
      <c r="Z383" s="376"/>
      <c r="AA383" s="371"/>
      <c r="AB383" s="649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4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70"/>
      <c r="W384" s="375"/>
      <c r="X384" s="374"/>
      <c r="Y384" s="370"/>
      <c r="Z384" s="376"/>
      <c r="AA384" s="371"/>
      <c r="AB384" s="649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70"/>
      <c r="W385" s="375"/>
      <c r="X385" s="374"/>
      <c r="Y385" s="370"/>
      <c r="Z385" s="376"/>
      <c r="AA385" s="371"/>
      <c r="AB385" s="649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70"/>
      <c r="W386" s="375"/>
      <c r="X386" s="374"/>
      <c r="Y386" s="370"/>
      <c r="Z386" s="376"/>
      <c r="AA386" s="371"/>
      <c r="AB386" s="649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70"/>
      <c r="W387" s="375"/>
      <c r="X387" s="374"/>
      <c r="Y387" s="370"/>
      <c r="Z387" s="376"/>
      <c r="AA387" s="371"/>
      <c r="AB387" s="649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70"/>
      <c r="W388" s="375"/>
      <c r="X388" s="374"/>
      <c r="Y388" s="370"/>
      <c r="Z388" s="376"/>
      <c r="AA388" s="371"/>
      <c r="AB388" s="649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70"/>
      <c r="W389" s="375"/>
      <c r="X389" s="374"/>
      <c r="Y389" s="370"/>
      <c r="Z389" s="376"/>
      <c r="AA389" s="371"/>
      <c r="AB389" s="649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70"/>
      <c r="W390" s="375"/>
      <c r="X390" s="374"/>
      <c r="Y390" s="370"/>
      <c r="Z390" s="376"/>
      <c r="AA390" s="371"/>
      <c r="AB390" s="649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70"/>
      <c r="W391" s="375"/>
      <c r="X391" s="374"/>
      <c r="Y391" s="370"/>
      <c r="Z391" s="376"/>
      <c r="AA391" s="371"/>
      <c r="AB391" s="649"/>
      <c r="AC391" s="270"/>
      <c r="AD391" s="372"/>
      <c r="AE391" s="270"/>
      <c r="AF391" s="270"/>
      <c r="AG391" s="270"/>
      <c r="AH391" s="315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316"/>
      <c r="R392" s="383"/>
      <c r="S392" s="21"/>
      <c r="T392" s="13"/>
      <c r="U392" s="381"/>
      <c r="V392" s="370"/>
      <c r="W392" s="375"/>
      <c r="X392" s="374"/>
      <c r="Y392" s="370"/>
      <c r="Z392" s="376"/>
      <c r="AA392" s="371"/>
      <c r="AB392" s="649"/>
      <c r="AC392" s="270"/>
      <c r="AD392" s="372"/>
      <c r="AE392" s="270"/>
      <c r="AF392" s="270"/>
      <c r="AG392" s="270"/>
      <c r="AH392" s="315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316"/>
      <c r="R393" s="383"/>
      <c r="S393" s="21"/>
      <c r="T393" s="13"/>
      <c r="U393" s="381"/>
      <c r="V393" s="370"/>
      <c r="W393" s="375"/>
      <c r="X393" s="374"/>
      <c r="Y393" s="370"/>
      <c r="Z393" s="376"/>
      <c r="AA393" s="371"/>
      <c r="AB393" s="649"/>
      <c r="AC393" s="270"/>
      <c r="AD393" s="372"/>
      <c r="AE393" s="270"/>
      <c r="AF393" s="270"/>
      <c r="AG393" s="270"/>
      <c r="AH393" s="315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316"/>
      <c r="R394" s="383"/>
      <c r="S394" s="21"/>
      <c r="T394" s="13"/>
      <c r="U394" s="381"/>
      <c r="V394" s="370"/>
      <c r="W394" s="375"/>
      <c r="X394" s="374"/>
      <c r="Y394" s="370"/>
      <c r="Z394" s="376"/>
      <c r="AA394" s="371"/>
      <c r="AB394" s="649"/>
      <c r="AC394" s="270"/>
      <c r="AD394" s="372"/>
      <c r="AE394" s="270"/>
      <c r="AF394" s="270"/>
      <c r="AG394" s="270"/>
      <c r="AH394" s="315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316"/>
      <c r="R395" s="383"/>
      <c r="S395" s="21"/>
      <c r="T395" s="13"/>
      <c r="U395" s="381"/>
      <c r="V395" s="370"/>
      <c r="W395" s="375"/>
      <c r="X395" s="374"/>
      <c r="Y395" s="370"/>
      <c r="Z395" s="376"/>
      <c r="AA395" s="371"/>
      <c r="AB395" s="649"/>
      <c r="AC395" s="270"/>
      <c r="AD395" s="372"/>
      <c r="AE395" s="270"/>
      <c r="AF395" s="270"/>
      <c r="AG395" s="270"/>
      <c r="AH395" s="315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97"/>
      <c r="Q396" s="316"/>
      <c r="R396" s="383"/>
      <c r="S396" s="21"/>
      <c r="T396" s="13"/>
      <c r="U396" s="381"/>
      <c r="V396" s="370"/>
      <c r="W396" s="375"/>
      <c r="X396" s="374"/>
      <c r="Y396" s="370"/>
      <c r="Z396" s="376"/>
      <c r="AA396" s="371"/>
      <c r="AB396" s="649"/>
      <c r="AC396" s="270"/>
      <c r="AD396" s="372"/>
      <c r="AE396" s="270"/>
      <c r="AF396" s="270"/>
      <c r="AG396" s="270"/>
      <c r="AH396" s="315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97"/>
      <c r="Q397" s="316"/>
      <c r="R397" s="383"/>
      <c r="S397" s="21"/>
      <c r="T397" s="13"/>
      <c r="U397" s="381"/>
      <c r="V397" s="370"/>
      <c r="W397" s="375"/>
      <c r="X397" s="374"/>
      <c r="Y397" s="370"/>
      <c r="Z397" s="376"/>
      <c r="AA397" s="371"/>
      <c r="AB397" s="649"/>
      <c r="AC397" s="270"/>
      <c r="AD397" s="372"/>
      <c r="AE397" s="270"/>
      <c r="AF397" s="270"/>
      <c r="AG397" s="270"/>
      <c r="AH397" s="315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97"/>
      <c r="Q398" s="316"/>
      <c r="R398" s="383"/>
      <c r="S398" s="21"/>
      <c r="T398" s="13"/>
      <c r="U398" s="381"/>
      <c r="V398" s="370"/>
      <c r="W398" s="375"/>
      <c r="X398" s="374"/>
      <c r="Y398" s="370"/>
      <c r="Z398" s="376"/>
      <c r="AA398" s="371"/>
      <c r="AB398" s="649"/>
      <c r="AC398" s="270"/>
      <c r="AD398" s="372"/>
      <c r="AE398" s="270"/>
      <c r="AF398" s="270"/>
      <c r="AG398" s="270"/>
      <c r="AH398" s="272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97"/>
      <c r="Q399" s="316"/>
      <c r="R399" s="383"/>
      <c r="S399" s="21"/>
      <c r="T399" s="13"/>
      <c r="U399" s="381"/>
      <c r="V399" s="370"/>
      <c r="W399" s="375"/>
      <c r="X399" s="374"/>
      <c r="Y399" s="370"/>
      <c r="Z399" s="376"/>
      <c r="AA399" s="371"/>
      <c r="AB399" s="649"/>
      <c r="AC399" s="270"/>
      <c r="AD399" s="372"/>
      <c r="AE399" s="270"/>
      <c r="AF399" s="270"/>
      <c r="AG399" s="270"/>
      <c r="AH399" s="272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97"/>
      <c r="Q400" s="316"/>
      <c r="R400" s="383"/>
      <c r="S400" s="21"/>
      <c r="T400" s="13"/>
      <c r="U400" s="381"/>
      <c r="V400" s="370"/>
      <c r="W400" s="375"/>
      <c r="X400" s="374"/>
      <c r="Y400" s="370"/>
      <c r="Z400" s="376"/>
      <c r="AA400" s="371"/>
      <c r="AB400" s="649"/>
      <c r="AC400" s="270"/>
      <c r="AD400" s="372"/>
      <c r="AE400" s="270"/>
      <c r="AF400" s="270"/>
      <c r="AG400" s="270"/>
      <c r="AH400" s="272"/>
      <c r="AI400" s="1"/>
      <c r="AJ400" s="21"/>
      <c r="AK400" s="21"/>
      <c r="AL400" s="21"/>
      <c r="AM400" s="21"/>
      <c r="AN400" s="21"/>
      <c r="AO400" s="21"/>
    </row>
    <row r="401" spans="1:42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97"/>
      <c r="Q401" s="316"/>
      <c r="R401" s="383"/>
      <c r="S401" s="21"/>
      <c r="T401" s="13"/>
      <c r="U401" s="381"/>
      <c r="V401" s="370"/>
      <c r="W401" s="375"/>
      <c r="X401" s="374"/>
      <c r="Y401" s="370"/>
      <c r="Z401" s="376"/>
      <c r="AA401" s="371"/>
      <c r="AB401" s="649"/>
      <c r="AC401" s="270"/>
      <c r="AD401" s="372"/>
      <c r="AE401" s="270"/>
      <c r="AF401" s="270"/>
      <c r="AG401" s="270"/>
      <c r="AH401" s="272"/>
      <c r="AI401" s="1"/>
      <c r="AJ401" s="21"/>
      <c r="AK401" s="21"/>
      <c r="AL401" s="21"/>
      <c r="AM401" s="21"/>
      <c r="AN401" s="21"/>
      <c r="AO401" s="21"/>
    </row>
    <row r="402" spans="1:42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97"/>
      <c r="Q402" s="316"/>
      <c r="R402" s="383"/>
      <c r="S402" s="21"/>
      <c r="T402" s="13"/>
      <c r="U402" s="381"/>
      <c r="V402" s="370"/>
      <c r="W402" s="375"/>
      <c r="X402" s="374"/>
      <c r="Y402" s="370"/>
      <c r="Z402" s="376"/>
      <c r="AA402" s="371"/>
      <c r="AB402" s="649"/>
      <c r="AC402" s="270"/>
      <c r="AD402" s="372"/>
      <c r="AE402" s="270"/>
      <c r="AF402" s="270"/>
      <c r="AG402" s="270"/>
      <c r="AH402" s="272"/>
      <c r="AI402" s="1"/>
      <c r="AJ402" s="21"/>
      <c r="AK402" s="21"/>
      <c r="AL402" s="21"/>
      <c r="AM402" s="21"/>
      <c r="AN402" s="21"/>
      <c r="AO402" s="21"/>
    </row>
    <row r="403" spans="1:42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97"/>
      <c r="Q403" s="316"/>
      <c r="R403" s="383"/>
      <c r="S403" s="21"/>
      <c r="T403" s="13"/>
      <c r="U403" s="381"/>
      <c r="V403" s="370"/>
      <c r="W403" s="375"/>
      <c r="X403" s="374"/>
      <c r="Y403" s="370"/>
      <c r="Z403" s="376"/>
      <c r="AA403" s="371"/>
      <c r="AB403" s="649"/>
      <c r="AC403" s="270"/>
      <c r="AD403" s="372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2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97"/>
      <c r="Q404" s="316"/>
      <c r="R404" s="383"/>
      <c r="S404" s="21"/>
      <c r="T404" s="13"/>
      <c r="U404" s="381"/>
      <c r="V404" s="370"/>
      <c r="W404" s="375"/>
      <c r="X404" s="374"/>
      <c r="Y404" s="370"/>
      <c r="Z404" s="376"/>
      <c r="AA404" s="371"/>
      <c r="AB404" s="649"/>
      <c r="AC404" s="270"/>
      <c r="AD404" s="372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2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Q405" s="316"/>
      <c r="R405" s="383"/>
      <c r="S405" s="21"/>
      <c r="T405" s="13"/>
      <c r="U405" s="381"/>
      <c r="V405" s="370"/>
      <c r="W405" s="375"/>
      <c r="X405" s="374"/>
      <c r="Y405" s="370"/>
      <c r="Z405" s="376"/>
      <c r="AA405" s="371"/>
      <c r="AB405" s="649"/>
      <c r="AC405" s="270"/>
      <c r="AD405" s="372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2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Q406" s="316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649"/>
      <c r="AC406" s="270"/>
      <c r="AD406" s="372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2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Q407" s="316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649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2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Q408" s="316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649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2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Q409" s="316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649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2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97"/>
      <c r="Q410" s="316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649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2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97"/>
      <c r="Q411" s="316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649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2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97"/>
      <c r="Q412" s="316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649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  <c r="AP412" s="21"/>
    </row>
    <row r="413" spans="1:42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97"/>
      <c r="Q413" s="316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649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  <c r="AP413" s="21"/>
    </row>
    <row r="414" spans="1:42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97"/>
      <c r="Q414" s="316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649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  <c r="AP414" s="21"/>
    </row>
    <row r="415" spans="1:42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97"/>
      <c r="Q415" s="316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649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  <c r="AP415" s="21"/>
    </row>
    <row r="416" spans="1:42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97"/>
      <c r="Q416" s="316"/>
      <c r="R416" s="383"/>
      <c r="S416" s="21"/>
      <c r="T416" s="13"/>
      <c r="U416" s="381"/>
      <c r="V416" s="375"/>
      <c r="W416" s="374"/>
      <c r="X416" s="370"/>
      <c r="Y416" s="376"/>
      <c r="Z416" s="371"/>
      <c r="AA416" s="371"/>
      <c r="AB416" s="651"/>
      <c r="AC416" s="372"/>
      <c r="AD416" s="270"/>
      <c r="AE416" s="270"/>
      <c r="AF416" s="270"/>
      <c r="AG416" s="376"/>
      <c r="AH416" s="272"/>
      <c r="AI416" s="1"/>
      <c r="AJ416" s="21"/>
      <c r="AK416" s="21"/>
      <c r="AL416" s="21"/>
      <c r="AM416" s="21"/>
      <c r="AN416" s="21"/>
      <c r="AO416" s="21"/>
      <c r="AP416" s="21"/>
    </row>
    <row r="417" spans="1:42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97"/>
      <c r="Q417" s="316"/>
      <c r="R417" s="383"/>
      <c r="S417" s="21"/>
      <c r="T417" s="13"/>
      <c r="U417" s="381"/>
      <c r="V417" s="375"/>
      <c r="W417" s="374"/>
      <c r="X417" s="370"/>
      <c r="Y417" s="376"/>
      <c r="Z417" s="371"/>
      <c r="AA417" s="371"/>
      <c r="AB417" s="651"/>
      <c r="AC417" s="372"/>
      <c r="AD417" s="270"/>
      <c r="AE417" s="270"/>
      <c r="AF417" s="270"/>
      <c r="AG417" s="376"/>
      <c r="AH417" s="272"/>
      <c r="AI417" s="1"/>
      <c r="AJ417" s="21"/>
      <c r="AK417" s="21"/>
      <c r="AL417" s="21"/>
      <c r="AM417" s="21"/>
      <c r="AN417" s="21"/>
      <c r="AO417" s="21"/>
      <c r="AP417" s="21"/>
    </row>
    <row r="418" spans="1:42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97"/>
      <c r="Q418" s="316"/>
      <c r="R418" s="383"/>
      <c r="S418" s="21"/>
      <c r="T418" s="13"/>
      <c r="U418" s="381"/>
      <c r="V418" s="375"/>
      <c r="W418" s="374"/>
      <c r="X418" s="370"/>
      <c r="Y418" s="376"/>
      <c r="Z418" s="371"/>
      <c r="AA418" s="371"/>
      <c r="AB418" s="651"/>
      <c r="AC418" s="372"/>
      <c r="AD418" s="270"/>
      <c r="AE418" s="270"/>
      <c r="AF418" s="270"/>
      <c r="AG418" s="376"/>
      <c r="AH418" s="272"/>
      <c r="AI418" s="1"/>
      <c r="AJ418" s="21"/>
      <c r="AK418" s="21"/>
      <c r="AL418" s="21"/>
      <c r="AM418" s="21"/>
      <c r="AN418" s="21"/>
      <c r="AO418" s="21"/>
      <c r="AP418" s="21"/>
    </row>
    <row r="419" spans="1:42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97"/>
      <c r="Q419" s="316"/>
      <c r="R419" s="383"/>
      <c r="S419" s="21"/>
      <c r="T419" s="13"/>
      <c r="U419" s="381"/>
      <c r="V419" s="375"/>
      <c r="W419" s="374"/>
      <c r="X419" s="370"/>
      <c r="Y419" s="376"/>
      <c r="Z419" s="371"/>
      <c r="AA419" s="371"/>
      <c r="AB419" s="651"/>
      <c r="AC419" s="372"/>
      <c r="AD419" s="270"/>
      <c r="AE419" s="270"/>
      <c r="AF419" s="270"/>
      <c r="AG419" s="376"/>
      <c r="AH419" s="272"/>
      <c r="AI419" s="1"/>
      <c r="AJ419" s="21"/>
      <c r="AK419" s="21"/>
      <c r="AL419" s="21"/>
      <c r="AM419" s="21"/>
      <c r="AN419" s="21"/>
      <c r="AO419" s="21"/>
      <c r="AP419" s="21"/>
    </row>
    <row r="420" spans="1:42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97"/>
      <c r="Q420" s="316"/>
      <c r="R420" s="383"/>
      <c r="S420" s="21"/>
      <c r="T420" s="13"/>
      <c r="U420" s="381"/>
      <c r="V420" s="375"/>
      <c r="W420" s="374"/>
      <c r="X420" s="370"/>
      <c r="Y420" s="376"/>
      <c r="Z420" s="371"/>
      <c r="AA420" s="371"/>
      <c r="AB420" s="651"/>
      <c r="AC420" s="372"/>
      <c r="AD420" s="270"/>
      <c r="AE420" s="270"/>
      <c r="AF420" s="270"/>
      <c r="AG420" s="376"/>
      <c r="AH420" s="272"/>
      <c r="AI420" s="1"/>
      <c r="AJ420" s="21"/>
      <c r="AK420" s="21"/>
      <c r="AL420" s="21"/>
      <c r="AM420" s="21"/>
      <c r="AN420" s="21"/>
      <c r="AO420" s="21"/>
      <c r="AP420" s="21"/>
    </row>
    <row r="421" spans="1:42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6"/>
      <c r="R421" s="383"/>
      <c r="S421" s="21"/>
      <c r="T421" s="13"/>
      <c r="U421" s="381"/>
      <c r="V421" s="375"/>
      <c r="W421" s="374"/>
      <c r="X421" s="370"/>
      <c r="Y421" s="376"/>
      <c r="Z421" s="371"/>
      <c r="AA421" s="371"/>
      <c r="AB421" s="651"/>
      <c r="AC421" s="372"/>
      <c r="AD421" s="270"/>
      <c r="AE421" s="270"/>
      <c r="AF421" s="270"/>
      <c r="AG421" s="376"/>
      <c r="AH421" s="272"/>
      <c r="AI421" s="1"/>
      <c r="AJ421" s="21"/>
      <c r="AK421" s="21"/>
      <c r="AL421" s="21"/>
      <c r="AM421" s="21"/>
      <c r="AN421" s="21"/>
      <c r="AO421" s="21"/>
      <c r="AP421" s="21"/>
    </row>
    <row r="422" spans="1:42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62"/>
      <c r="R422" s="383"/>
      <c r="S422" s="21"/>
      <c r="T422" s="13"/>
      <c r="U422" s="381"/>
      <c r="V422" s="375"/>
      <c r="W422" s="374"/>
      <c r="X422" s="370"/>
      <c r="Y422" s="376"/>
      <c r="Z422" s="371"/>
      <c r="AA422" s="371"/>
      <c r="AB422" s="651"/>
      <c r="AC422" s="372"/>
      <c r="AD422" s="270"/>
      <c r="AE422" s="270"/>
      <c r="AF422" s="270"/>
      <c r="AG422" s="376"/>
      <c r="AH422" s="272"/>
      <c r="AI422" s="1"/>
      <c r="AJ422" s="21"/>
      <c r="AK422" s="21"/>
      <c r="AL422" s="21"/>
      <c r="AM422" s="21"/>
      <c r="AN422" s="21"/>
      <c r="AO422" s="21"/>
    </row>
    <row r="423" spans="1:42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R423" s="285"/>
      <c r="S423" s="21"/>
      <c r="T423" s="13"/>
      <c r="U423" s="381"/>
      <c r="V423" s="375"/>
      <c r="W423" s="374"/>
      <c r="X423" s="370"/>
      <c r="Y423" s="376"/>
      <c r="Z423" s="371"/>
      <c r="AA423" s="371"/>
      <c r="AB423" s="651"/>
      <c r="AC423" s="372"/>
      <c r="AD423" s="270"/>
      <c r="AE423" s="270"/>
      <c r="AF423" s="270"/>
      <c r="AG423" s="376"/>
      <c r="AH423" s="272"/>
      <c r="AI423" s="1"/>
      <c r="AJ423" s="21"/>
      <c r="AK423" s="21"/>
      <c r="AL423" s="21"/>
      <c r="AM423" s="21"/>
      <c r="AN423" s="21"/>
      <c r="AO423" s="21"/>
    </row>
    <row r="424" spans="1:42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R424" s="285"/>
      <c r="S424" s="21"/>
      <c r="T424" s="13"/>
      <c r="U424" s="381"/>
      <c r="V424" s="375"/>
      <c r="W424" s="374"/>
      <c r="X424" s="370"/>
      <c r="Y424" s="376"/>
      <c r="Z424" s="371"/>
      <c r="AA424" s="371"/>
      <c r="AB424" s="651"/>
      <c r="AC424" s="372"/>
      <c r="AD424" s="270"/>
      <c r="AE424" s="270"/>
      <c r="AF424" s="270"/>
      <c r="AG424" s="376"/>
      <c r="AH424" s="272"/>
      <c r="AI424" s="1"/>
      <c r="AJ424" s="21"/>
      <c r="AK424" s="21"/>
      <c r="AL424" s="21"/>
      <c r="AM424" s="21"/>
      <c r="AN424" s="21"/>
      <c r="AO424" s="21"/>
    </row>
    <row r="425" spans="1:42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R425" s="285"/>
      <c r="S425" s="21"/>
      <c r="T425" s="13"/>
      <c r="U425" s="381"/>
      <c r="V425" s="375"/>
      <c r="W425" s="374"/>
      <c r="X425" s="370"/>
      <c r="Y425" s="376"/>
      <c r="Z425" s="371"/>
      <c r="AA425" s="371"/>
      <c r="AB425" s="651"/>
      <c r="AC425" s="372"/>
      <c r="AD425" s="270"/>
      <c r="AE425" s="270"/>
      <c r="AF425" s="270"/>
      <c r="AG425" s="376"/>
      <c r="AH425" s="272"/>
      <c r="AI425" s="1"/>
      <c r="AJ425" s="21"/>
      <c r="AK425" s="21"/>
      <c r="AL425" s="21"/>
      <c r="AM425" s="21"/>
      <c r="AN425" s="21"/>
      <c r="AO425" s="21"/>
    </row>
    <row r="426" spans="1:42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R426" s="285"/>
      <c r="S426" s="21"/>
      <c r="T426" s="13"/>
      <c r="U426" s="381"/>
      <c r="V426" s="375"/>
      <c r="W426" s="374"/>
      <c r="X426" s="370"/>
      <c r="Y426" s="376"/>
      <c r="Z426" s="371"/>
      <c r="AA426" s="371"/>
      <c r="AB426" s="651"/>
      <c r="AC426" s="372"/>
      <c r="AD426" s="270"/>
      <c r="AE426" s="270"/>
      <c r="AF426" s="270"/>
      <c r="AG426" s="376"/>
      <c r="AH426" s="272"/>
      <c r="AI426" s="1"/>
      <c r="AJ426" s="21"/>
      <c r="AK426" s="21"/>
      <c r="AL426" s="21"/>
      <c r="AM426" s="21"/>
      <c r="AN426" s="21"/>
      <c r="AO426" s="21"/>
    </row>
    <row r="427" spans="1:42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R427" s="285"/>
      <c r="S427" s="21"/>
      <c r="T427" s="13"/>
      <c r="U427" s="381"/>
      <c r="V427" s="375"/>
      <c r="W427" s="374"/>
      <c r="X427" s="370"/>
      <c r="Y427" s="376"/>
      <c r="Z427" s="371"/>
      <c r="AA427" s="371"/>
      <c r="AB427" s="651"/>
      <c r="AC427" s="372"/>
      <c r="AD427" s="270"/>
      <c r="AE427" s="270"/>
      <c r="AF427" s="270"/>
      <c r="AG427" s="376"/>
      <c r="AH427" s="272"/>
      <c r="AI427" s="1"/>
      <c r="AJ427" s="21"/>
      <c r="AK427" s="21"/>
      <c r="AL427" s="21"/>
      <c r="AM427" s="21"/>
      <c r="AN427" s="21"/>
      <c r="AO427" s="21"/>
    </row>
    <row r="428" spans="1:42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R428" s="285"/>
      <c r="S428" s="21"/>
      <c r="T428" s="13"/>
      <c r="U428" s="381"/>
      <c r="V428" s="375"/>
      <c r="W428" s="374"/>
      <c r="X428" s="370"/>
      <c r="Y428" s="376"/>
      <c r="Z428" s="371"/>
      <c r="AA428" s="371"/>
      <c r="AB428" s="651"/>
      <c r="AC428" s="372"/>
      <c r="AD428" s="270"/>
      <c r="AE428" s="270"/>
      <c r="AF428" s="270"/>
      <c r="AG428" s="376"/>
      <c r="AH428" s="272"/>
      <c r="AI428" s="1"/>
      <c r="AJ428" s="21"/>
      <c r="AK428" s="21"/>
      <c r="AL428" s="21"/>
      <c r="AM428" s="21"/>
      <c r="AN428" s="21"/>
      <c r="AO428" s="21"/>
    </row>
    <row r="429" spans="1:42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R429" s="285"/>
      <c r="S429" s="21"/>
      <c r="T429" s="13"/>
      <c r="U429" s="381"/>
      <c r="V429" s="375"/>
      <c r="W429" s="374"/>
      <c r="X429" s="370"/>
      <c r="Y429" s="376"/>
      <c r="Z429" s="371"/>
      <c r="AA429" s="371"/>
      <c r="AB429" s="651"/>
      <c r="AC429" s="372"/>
      <c r="AD429" s="270"/>
      <c r="AE429" s="270"/>
      <c r="AF429" s="270"/>
      <c r="AG429" s="376"/>
      <c r="AH429" s="272"/>
      <c r="AI429" s="1"/>
      <c r="AJ429" s="21"/>
      <c r="AK429" s="21"/>
      <c r="AL429" s="21"/>
      <c r="AM429" s="21"/>
      <c r="AN429" s="21"/>
      <c r="AO429" s="21"/>
    </row>
    <row r="430" spans="1:42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50"/>
      <c r="Q430" s="316"/>
      <c r="R430" s="285"/>
      <c r="S430" s="21"/>
      <c r="T430" s="13"/>
      <c r="U430" s="381"/>
      <c r="V430" s="375"/>
      <c r="W430" s="374"/>
      <c r="X430" s="370"/>
      <c r="Y430" s="376"/>
      <c r="Z430" s="371"/>
      <c r="AA430" s="371"/>
      <c r="AB430" s="651"/>
      <c r="AC430" s="372"/>
      <c r="AD430" s="270"/>
      <c r="AE430" s="270"/>
      <c r="AF430" s="270"/>
      <c r="AG430" s="376"/>
      <c r="AH430" s="272"/>
      <c r="AI430" s="1"/>
      <c r="AJ430" s="21"/>
      <c r="AK430" s="21"/>
      <c r="AL430" s="21"/>
      <c r="AM430" s="21"/>
      <c r="AN430" s="21"/>
      <c r="AO430" s="21"/>
    </row>
    <row r="431" spans="1:42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50"/>
      <c r="Q431" s="316"/>
      <c r="R431" s="285"/>
      <c r="S431" s="21"/>
      <c r="T431" s="13"/>
      <c r="U431" s="381"/>
      <c r="V431" s="375"/>
      <c r="W431" s="374"/>
      <c r="X431" s="370"/>
      <c r="Y431" s="376"/>
      <c r="Z431" s="371"/>
      <c r="AA431" s="371"/>
      <c r="AB431" s="651"/>
      <c r="AC431" s="372"/>
      <c r="AD431" s="270"/>
      <c r="AE431" s="270"/>
      <c r="AF431" s="270"/>
      <c r="AG431" s="376"/>
      <c r="AH431" s="272"/>
      <c r="AI431" s="1"/>
      <c r="AJ431" s="21"/>
      <c r="AK431" s="21"/>
      <c r="AL431" s="21"/>
      <c r="AM431" s="21"/>
      <c r="AN431" s="21"/>
      <c r="AO431" s="21"/>
    </row>
    <row r="432" spans="1:42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50"/>
      <c r="Q432" s="316"/>
      <c r="R432" s="285"/>
      <c r="S432" s="21"/>
      <c r="T432" s="13"/>
      <c r="U432" s="381"/>
      <c r="V432" s="375"/>
      <c r="W432" s="374"/>
      <c r="X432" s="370"/>
      <c r="Y432" s="376"/>
      <c r="Z432" s="371"/>
      <c r="AA432" s="371"/>
      <c r="AB432" s="651"/>
      <c r="AC432" s="372"/>
      <c r="AD432" s="270"/>
      <c r="AE432" s="270"/>
      <c r="AF432" s="270"/>
      <c r="AG432" s="376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50"/>
      <c r="Q433" s="316"/>
      <c r="R433" s="285"/>
      <c r="S433" s="21"/>
      <c r="T433" s="13"/>
      <c r="U433" s="381"/>
      <c r="V433" s="375"/>
      <c r="W433" s="374"/>
      <c r="X433" s="370"/>
      <c r="Y433" s="376"/>
      <c r="Z433" s="371"/>
      <c r="AA433" s="371"/>
      <c r="AB433" s="651"/>
      <c r="AC433" s="372"/>
      <c r="AD433" s="270"/>
      <c r="AE433" s="270"/>
      <c r="AF433" s="270"/>
      <c r="AG433" s="376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50"/>
      <c r="Q434" s="316"/>
      <c r="R434" s="285"/>
      <c r="S434" s="21"/>
      <c r="T434" s="13"/>
      <c r="U434" s="381"/>
      <c r="V434" s="375"/>
      <c r="W434" s="374"/>
      <c r="X434" s="370"/>
      <c r="Y434" s="376"/>
      <c r="Z434" s="371"/>
      <c r="AA434" s="371"/>
      <c r="AB434" s="651"/>
      <c r="AC434" s="372"/>
      <c r="AD434" s="270"/>
      <c r="AE434" s="270"/>
      <c r="AF434" s="270"/>
      <c r="AG434" s="376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50"/>
      <c r="Q435" s="316"/>
      <c r="R435" s="285"/>
      <c r="S435" s="21"/>
      <c r="T435" s="13"/>
      <c r="U435" s="370"/>
      <c r="V435" s="375"/>
      <c r="W435" s="374"/>
      <c r="X435" s="370"/>
      <c r="Y435" s="376"/>
      <c r="Z435" s="371"/>
      <c r="AA435" s="371"/>
      <c r="AB435" s="651"/>
      <c r="AC435" s="372"/>
      <c r="AD435" s="270"/>
      <c r="AE435" s="270"/>
      <c r="AF435" s="270"/>
      <c r="AG435" s="376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50"/>
      <c r="Q436" s="316"/>
      <c r="R436" s="285"/>
      <c r="S436" s="21"/>
      <c r="T436" s="13"/>
      <c r="U436" s="370"/>
      <c r="V436" s="375"/>
      <c r="W436" s="374"/>
      <c r="X436" s="370"/>
      <c r="Y436" s="376"/>
      <c r="Z436" s="371"/>
      <c r="AA436" s="371"/>
      <c r="AB436" s="651"/>
      <c r="AC436" s="372"/>
      <c r="AD436" s="270"/>
      <c r="AE436" s="270"/>
      <c r="AF436" s="270"/>
      <c r="AG436" s="376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50"/>
      <c r="Q437" s="316"/>
      <c r="R437" s="285"/>
      <c r="S437" s="21"/>
      <c r="T437" s="13"/>
      <c r="U437" s="370"/>
      <c r="V437" s="375"/>
      <c r="W437" s="374"/>
      <c r="X437" s="370"/>
      <c r="Y437" s="376"/>
      <c r="Z437" s="371"/>
      <c r="AA437" s="371"/>
      <c r="AB437" s="651"/>
      <c r="AC437" s="372"/>
      <c r="AD437" s="270"/>
      <c r="AE437" s="270"/>
      <c r="AF437" s="270"/>
      <c r="AG437" s="376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50"/>
      <c r="Q438" s="316"/>
      <c r="R438" s="285"/>
      <c r="S438" s="21"/>
      <c r="T438" s="13"/>
      <c r="U438" s="370"/>
      <c r="V438" s="375"/>
      <c r="W438" s="374"/>
      <c r="X438" s="370"/>
      <c r="Y438" s="376"/>
      <c r="Z438" s="371"/>
      <c r="AA438" s="371"/>
      <c r="AB438" s="651"/>
      <c r="AC438" s="372"/>
      <c r="AD438" s="270"/>
      <c r="AE438" s="270"/>
      <c r="AF438" s="270"/>
      <c r="AG438" s="376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50"/>
      <c r="Q439" s="316"/>
      <c r="R439" s="285"/>
      <c r="S439" s="21"/>
      <c r="T439" s="13"/>
      <c r="U439" s="370"/>
      <c r="V439" s="375"/>
      <c r="W439" s="374"/>
      <c r="X439" s="370"/>
      <c r="Y439" s="376"/>
      <c r="Z439" s="371"/>
      <c r="AA439" s="371"/>
      <c r="AB439" s="651"/>
      <c r="AC439" s="372"/>
      <c r="AD439" s="270"/>
      <c r="AE439" s="270"/>
      <c r="AF439" s="270"/>
      <c r="AG439" s="376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50"/>
      <c r="Q440" s="316"/>
      <c r="R440" s="285"/>
      <c r="S440" s="21"/>
      <c r="T440" s="13"/>
      <c r="U440" s="370"/>
      <c r="V440" s="375"/>
      <c r="W440" s="374"/>
      <c r="X440" s="370"/>
      <c r="Y440" s="376"/>
      <c r="Z440" s="371"/>
      <c r="AA440" s="371"/>
      <c r="AB440" s="651"/>
      <c r="AC440" s="372"/>
      <c r="AD440" s="270"/>
      <c r="AE440" s="270"/>
      <c r="AF440" s="270"/>
      <c r="AG440" s="376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50"/>
      <c r="Q441" s="316"/>
      <c r="R441" s="285"/>
      <c r="S441" s="21"/>
      <c r="T441" s="13"/>
      <c r="U441" s="422"/>
      <c r="V441" s="375"/>
      <c r="W441" s="374"/>
      <c r="X441" s="370"/>
      <c r="Y441" s="376"/>
      <c r="Z441" s="371"/>
      <c r="AA441" s="371"/>
      <c r="AB441" s="651"/>
      <c r="AC441" s="372"/>
      <c r="AD441" s="270"/>
      <c r="AE441" s="270"/>
      <c r="AF441" s="270"/>
      <c r="AG441" s="376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50"/>
      <c r="Q442" s="316"/>
      <c r="R442" s="285"/>
      <c r="S442" s="21"/>
      <c r="T442" s="13"/>
      <c r="U442" s="422"/>
      <c r="V442" s="375"/>
      <c r="W442" s="374"/>
      <c r="X442" s="370"/>
      <c r="Y442" s="376"/>
      <c r="Z442" s="371"/>
      <c r="AA442" s="371"/>
      <c r="AB442" s="651"/>
      <c r="AC442" s="372"/>
      <c r="AD442" s="270"/>
      <c r="AE442" s="270"/>
      <c r="AF442" s="270"/>
      <c r="AG442" s="376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50"/>
      <c r="Q443" s="316"/>
      <c r="R443" s="285"/>
      <c r="S443" s="21"/>
      <c r="T443" s="13"/>
      <c r="U443" s="422"/>
      <c r="V443" s="375"/>
      <c r="W443" s="374"/>
      <c r="X443" s="370"/>
      <c r="Y443" s="376"/>
      <c r="Z443" s="371"/>
      <c r="AA443" s="371"/>
      <c r="AB443" s="651"/>
      <c r="AC443" s="372"/>
      <c r="AD443" s="270"/>
      <c r="AE443" s="270"/>
      <c r="AF443" s="270"/>
      <c r="AG443" s="376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50"/>
      <c r="Q444" s="316"/>
      <c r="R444" s="285"/>
      <c r="S444" s="21"/>
      <c r="T444" s="13"/>
      <c r="U444" s="422"/>
      <c r="V444" s="375"/>
      <c r="W444" s="374"/>
      <c r="X444" s="370"/>
      <c r="Y444" s="376"/>
      <c r="Z444" s="371"/>
      <c r="AA444" s="371"/>
      <c r="AB444" s="651"/>
      <c r="AC444" s="372"/>
      <c r="AD444" s="270"/>
      <c r="AE444" s="270"/>
      <c r="AF444" s="270"/>
      <c r="AG444" s="376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50"/>
      <c r="Q445" s="316"/>
      <c r="R445" s="285"/>
      <c r="S445" s="21"/>
      <c r="T445" s="13"/>
      <c r="U445" s="422"/>
      <c r="V445" s="375"/>
      <c r="W445" s="374"/>
      <c r="X445" s="370"/>
      <c r="Y445" s="376"/>
      <c r="Z445" s="371"/>
      <c r="AA445" s="371"/>
      <c r="AB445" s="651"/>
      <c r="AC445" s="372"/>
      <c r="AD445" s="270"/>
      <c r="AE445" s="270"/>
      <c r="AF445" s="270"/>
      <c r="AG445" s="376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50"/>
      <c r="Q446" s="316"/>
      <c r="R446" s="285"/>
      <c r="S446" s="21"/>
      <c r="T446" s="13"/>
      <c r="U446" s="422"/>
      <c r="V446" s="375"/>
      <c r="W446" s="374"/>
      <c r="X446" s="370"/>
      <c r="Y446" s="376"/>
      <c r="Z446" s="371"/>
      <c r="AA446" s="371"/>
      <c r="AB446" s="651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50"/>
      <c r="Q447" s="316"/>
      <c r="R447" s="285"/>
      <c r="S447" s="21"/>
      <c r="T447" s="13"/>
      <c r="U447" s="422"/>
      <c r="V447" s="375"/>
      <c r="W447" s="374"/>
      <c r="X447" s="370"/>
      <c r="Y447" s="376"/>
      <c r="Z447" s="371"/>
      <c r="AA447" s="371"/>
      <c r="AB447" s="651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50"/>
      <c r="Q448" s="316"/>
      <c r="R448" s="285"/>
      <c r="S448" s="21"/>
      <c r="T448" s="13"/>
      <c r="U448" s="422"/>
      <c r="V448" s="375"/>
      <c r="W448" s="374"/>
      <c r="X448" s="370"/>
      <c r="Y448" s="376"/>
      <c r="Z448" s="371"/>
      <c r="AA448" s="371"/>
      <c r="AB448" s="651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50"/>
      <c r="Q449" s="316"/>
      <c r="R449" s="285"/>
      <c r="S449" s="21"/>
      <c r="T449" s="13"/>
      <c r="U449" s="422"/>
      <c r="V449" s="375"/>
      <c r="W449" s="374"/>
      <c r="X449" s="370"/>
      <c r="Y449" s="376"/>
      <c r="Z449" s="371"/>
      <c r="AA449" s="371"/>
      <c r="AB449" s="651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50"/>
      <c r="Q450" s="316"/>
      <c r="R450" s="285"/>
      <c r="S450" s="21"/>
      <c r="T450" s="13"/>
      <c r="U450" s="422"/>
      <c r="V450" s="375"/>
      <c r="W450" s="374"/>
      <c r="X450" s="370"/>
      <c r="Y450" s="376"/>
      <c r="Z450" s="371"/>
      <c r="AA450" s="371"/>
      <c r="AB450" s="651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50"/>
      <c r="Q451" s="316"/>
      <c r="R451" s="285"/>
      <c r="S451" s="21"/>
      <c r="T451" s="13"/>
      <c r="U451" s="13"/>
      <c r="V451" s="21"/>
      <c r="W451" s="21"/>
      <c r="X451" s="21"/>
      <c r="Y451" s="260"/>
      <c r="Z451" s="177"/>
      <c r="AA451" s="177"/>
      <c r="AB451" s="652"/>
      <c r="AC451" s="64"/>
      <c r="AD451" s="50"/>
      <c r="AE451" s="50"/>
      <c r="AF451" s="19"/>
      <c r="AG451" s="376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50"/>
      <c r="Q452" s="316"/>
      <c r="R452" s="285"/>
      <c r="S452" s="21"/>
      <c r="T452" s="13"/>
      <c r="U452" s="13"/>
      <c r="V452" s="21"/>
      <c r="W452" s="21"/>
      <c r="X452" s="21"/>
      <c r="Y452" s="260"/>
      <c r="Z452" s="177"/>
      <c r="AA452" s="177"/>
      <c r="AB452" s="652"/>
      <c r="AC452" s="64"/>
      <c r="AD452" s="50"/>
      <c r="AE452" s="50"/>
      <c r="AF452" s="19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50"/>
      <c r="Q453" s="316"/>
      <c r="R453" s="285"/>
      <c r="S453" s="21"/>
      <c r="T453" s="13"/>
      <c r="U453" s="13"/>
      <c r="V453" s="21"/>
      <c r="W453" s="21"/>
      <c r="X453" s="21"/>
      <c r="Y453" s="260"/>
      <c r="Z453" s="177"/>
      <c r="AA453" s="177"/>
      <c r="AB453" s="652"/>
      <c r="AC453" s="64"/>
      <c r="AD453" s="50"/>
      <c r="AE453" s="50"/>
      <c r="AF453" s="19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50"/>
      <c r="Q454" s="316"/>
      <c r="R454" s="285"/>
      <c r="S454" s="21"/>
      <c r="T454" s="13"/>
      <c r="U454" s="13"/>
      <c r="V454" s="21"/>
      <c r="W454" s="21"/>
      <c r="X454" s="21"/>
      <c r="Y454" s="260"/>
      <c r="Z454" s="177"/>
      <c r="AA454" s="177"/>
      <c r="AB454" s="652"/>
      <c r="AC454" s="64"/>
      <c r="AD454" s="50"/>
      <c r="AE454" s="50"/>
      <c r="AF454" s="19"/>
      <c r="AG454" s="376"/>
      <c r="AH454" s="272"/>
      <c r="AI454" s="1"/>
      <c r="AJ454" s="21"/>
      <c r="AK454" s="21"/>
      <c r="AL454" s="21"/>
      <c r="AM454" s="21"/>
      <c r="AN454" s="21"/>
      <c r="AO454" s="21"/>
      <c r="AQ454" s="308"/>
      <c r="AR454" s="308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6"/>
      <c r="R455" s="285"/>
      <c r="S455" s="21"/>
      <c r="T455" s="13"/>
      <c r="U455" s="13"/>
      <c r="V455" s="21"/>
      <c r="W455" s="21"/>
      <c r="X455" s="21"/>
      <c r="Y455" s="260"/>
      <c r="Z455" s="177"/>
      <c r="AA455" s="177"/>
      <c r="AB455" s="652"/>
      <c r="AC455" s="64"/>
      <c r="AD455" s="50"/>
      <c r="AE455" s="50"/>
      <c r="AF455" s="19"/>
      <c r="AG455" s="376"/>
      <c r="AH455" s="272"/>
      <c r="AI455" s="1"/>
      <c r="AJ455" s="21"/>
      <c r="AK455" s="21"/>
      <c r="AL455" s="21"/>
      <c r="AM455" s="21"/>
      <c r="AN455" s="21"/>
      <c r="AO455" s="21"/>
      <c r="AQ455" s="308"/>
      <c r="AR455" s="308"/>
    </row>
    <row r="456" spans="1:44" s="308" customFormat="1" x14ac:dyDescent="0.2">
      <c r="A456" s="48"/>
      <c r="B456" s="306"/>
      <c r="C456" s="233"/>
      <c r="D456" s="233"/>
      <c r="E456" s="53"/>
      <c r="F456" s="13"/>
      <c r="G456" s="13"/>
      <c r="H456" s="53"/>
      <c r="I456" s="298"/>
      <c r="J456" s="21"/>
      <c r="K456" s="21"/>
      <c r="L456" s="13"/>
      <c r="M456" s="50"/>
      <c r="N456" s="97"/>
      <c r="O456" s="50"/>
      <c r="P456" s="50"/>
      <c r="Q456" s="316"/>
      <c r="R456" s="285"/>
      <c r="S456" s="21"/>
      <c r="T456" s="13"/>
      <c r="U456" s="13"/>
      <c r="V456" s="21"/>
      <c r="W456" s="21"/>
      <c r="X456" s="21"/>
      <c r="Y456" s="260"/>
      <c r="Z456" s="177"/>
      <c r="AA456" s="177"/>
      <c r="AB456" s="652"/>
      <c r="AC456" s="64"/>
      <c r="AD456" s="50"/>
      <c r="AE456" s="50"/>
      <c r="AF456" s="19"/>
      <c r="AG456" s="376"/>
      <c r="AH456" s="272"/>
      <c r="AI456" s="1"/>
      <c r="AJ456" s="21"/>
      <c r="AK456" s="21"/>
      <c r="AL456" s="21"/>
      <c r="AM456" s="21"/>
      <c r="AN456" s="21"/>
      <c r="AO456" s="21"/>
      <c r="AP456" s="53"/>
    </row>
    <row r="457" spans="1:44" s="308" customFormat="1" x14ac:dyDescent="0.2">
      <c r="A457" s="48"/>
      <c r="B457" s="306"/>
      <c r="C457" s="233"/>
      <c r="D457" s="233"/>
      <c r="E457" s="53"/>
      <c r="F457" s="13"/>
      <c r="G457" s="13"/>
      <c r="H457" s="53"/>
      <c r="I457" s="298"/>
      <c r="J457" s="21"/>
      <c r="K457" s="21"/>
      <c r="L457" s="13"/>
      <c r="M457" s="50"/>
      <c r="N457" s="97"/>
      <c r="O457" s="50"/>
      <c r="P457" s="50"/>
      <c r="Q457" s="316"/>
      <c r="R457" s="285"/>
      <c r="S457" s="21"/>
      <c r="T457" s="13"/>
      <c r="U457" s="13"/>
      <c r="V457" s="21"/>
      <c r="W457" s="21"/>
      <c r="X457" s="21"/>
      <c r="Y457" s="260"/>
      <c r="Z457" s="177"/>
      <c r="AA457" s="177"/>
      <c r="AB457" s="652"/>
      <c r="AC457" s="64"/>
      <c r="AD457" s="50"/>
      <c r="AE457" s="50"/>
      <c r="AF457" s="19"/>
      <c r="AG457" s="376"/>
      <c r="AH457" s="272"/>
      <c r="AI457" s="1"/>
      <c r="AJ457" s="21"/>
      <c r="AK457" s="21"/>
      <c r="AL457" s="21"/>
      <c r="AM457" s="21"/>
      <c r="AN457" s="21"/>
      <c r="AO457" s="21"/>
      <c r="AP457" s="53"/>
    </row>
    <row r="458" spans="1:44" s="308" customFormat="1" x14ac:dyDescent="0.2">
      <c r="A458" s="48"/>
      <c r="B458" s="306"/>
      <c r="C458" s="233"/>
      <c r="D458" s="233"/>
      <c r="E458" s="53"/>
      <c r="F458" s="13"/>
      <c r="G458" s="13"/>
      <c r="H458" s="5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13"/>
      <c r="V458" s="21"/>
      <c r="W458" s="21"/>
      <c r="X458" s="21"/>
      <c r="Y458" s="260"/>
      <c r="Z458" s="177"/>
      <c r="AA458" s="177"/>
      <c r="AB458" s="652"/>
      <c r="AC458" s="64"/>
      <c r="AD458" s="50"/>
      <c r="AE458" s="50"/>
      <c r="AF458" s="19"/>
      <c r="AG458" s="120"/>
      <c r="AH458" s="272"/>
      <c r="AI458" s="1"/>
      <c r="AJ458" s="21"/>
      <c r="AK458" s="21"/>
      <c r="AL458" s="21"/>
      <c r="AM458" s="21"/>
      <c r="AN458" s="21"/>
      <c r="AO458" s="21"/>
      <c r="AP458" s="53"/>
    </row>
    <row r="459" spans="1:44" s="308" customFormat="1" x14ac:dyDescent="0.2">
      <c r="A459" s="48"/>
      <c r="B459" s="306"/>
      <c r="C459" s="233"/>
      <c r="D459" s="233"/>
      <c r="E459" s="53"/>
      <c r="F459" s="13"/>
      <c r="G459" s="13"/>
      <c r="H459" s="5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13"/>
      <c r="V459" s="21"/>
      <c r="W459" s="21"/>
      <c r="X459" s="21"/>
      <c r="Y459" s="260"/>
      <c r="Z459" s="177"/>
      <c r="AA459" s="177"/>
      <c r="AB459" s="652"/>
      <c r="AC459" s="64"/>
      <c r="AD459" s="50"/>
      <c r="AE459" s="50"/>
      <c r="AF459" s="19"/>
      <c r="AG459" s="120"/>
      <c r="AH459" s="119"/>
      <c r="AI459" s="1"/>
      <c r="AJ459" s="21"/>
      <c r="AK459" s="21"/>
      <c r="AL459" s="21"/>
      <c r="AM459" s="21"/>
      <c r="AN459" s="21"/>
      <c r="AO459" s="21"/>
      <c r="AP459" s="53"/>
    </row>
    <row r="460" spans="1:44" s="308" customFormat="1" x14ac:dyDescent="0.2">
      <c r="A460" s="48"/>
      <c r="B460" s="306"/>
      <c r="C460" s="233"/>
      <c r="D460" s="233"/>
      <c r="E460" s="53"/>
      <c r="F460" s="13"/>
      <c r="G460" s="13"/>
      <c r="H460" s="5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52"/>
      <c r="AC460" s="64"/>
      <c r="AD460" s="50"/>
      <c r="AE460" s="50"/>
      <c r="AF460" s="19"/>
      <c r="AG460" s="120"/>
      <c r="AH460" s="119"/>
      <c r="AI460" s="1"/>
      <c r="AJ460" s="21"/>
      <c r="AK460" s="21"/>
      <c r="AL460" s="21"/>
      <c r="AM460" s="21"/>
      <c r="AN460" s="21"/>
      <c r="AO460" s="21"/>
      <c r="AP460" s="53"/>
    </row>
    <row r="461" spans="1:44" s="308" customFormat="1" x14ac:dyDescent="0.2">
      <c r="A461" s="48"/>
      <c r="B461" s="306"/>
      <c r="C461" s="233"/>
      <c r="D461" s="233"/>
      <c r="E461" s="53"/>
      <c r="F461" s="13"/>
      <c r="G461" s="13"/>
      <c r="H461" s="5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52"/>
      <c r="AC461" s="64"/>
      <c r="AD461" s="50"/>
      <c r="AE461" s="50"/>
      <c r="AF461" s="19"/>
      <c r="AG461" s="120"/>
      <c r="AH461" s="119"/>
      <c r="AI461" s="1"/>
      <c r="AJ461" s="21"/>
      <c r="AK461" s="21"/>
      <c r="AL461" s="21"/>
      <c r="AM461" s="21"/>
      <c r="AN461" s="21"/>
      <c r="AO461" s="21"/>
      <c r="AP461" s="53"/>
    </row>
    <row r="462" spans="1:44" s="308" customFormat="1" x14ac:dyDescent="0.2">
      <c r="A462" s="48"/>
      <c r="B462" s="306"/>
      <c r="C462" s="233"/>
      <c r="D462" s="233"/>
      <c r="E462" s="53"/>
      <c r="F462" s="13"/>
      <c r="G462" s="13"/>
      <c r="H462" s="5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52"/>
      <c r="AC462" s="64"/>
      <c r="AD462" s="50"/>
      <c r="AE462" s="50"/>
      <c r="AF462" s="19"/>
      <c r="AG462" s="120"/>
      <c r="AH462" s="119"/>
      <c r="AI462" s="1"/>
      <c r="AJ462" s="21"/>
      <c r="AK462" s="21"/>
      <c r="AL462" s="21"/>
      <c r="AM462" s="21"/>
      <c r="AN462" s="21"/>
      <c r="AO462" s="21"/>
      <c r="AP462" s="53"/>
    </row>
    <row r="463" spans="1:44" s="308" customFormat="1" x14ac:dyDescent="0.2">
      <c r="A463" s="48"/>
      <c r="B463" s="306"/>
      <c r="C463" s="233"/>
      <c r="D463" s="233"/>
      <c r="E463" s="53"/>
      <c r="F463" s="13"/>
      <c r="G463" s="13"/>
      <c r="H463" s="5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52"/>
      <c r="AC463" s="64"/>
      <c r="AD463" s="50"/>
      <c r="AE463" s="50"/>
      <c r="AF463" s="19"/>
      <c r="AG463" s="120"/>
      <c r="AH463" s="119"/>
      <c r="AI463" s="1"/>
      <c r="AJ463" s="21"/>
      <c r="AK463" s="21"/>
      <c r="AL463" s="21"/>
      <c r="AM463" s="21"/>
      <c r="AN463" s="21"/>
      <c r="AO463" s="21"/>
      <c r="AP463" s="53"/>
    </row>
    <row r="464" spans="1:44" s="308" customFormat="1" x14ac:dyDescent="0.2">
      <c r="A464" s="48"/>
      <c r="B464" s="306"/>
      <c r="C464" s="233"/>
      <c r="D464" s="233"/>
      <c r="E464" s="53"/>
      <c r="F464" s="13"/>
      <c r="G464" s="13"/>
      <c r="H464" s="5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52"/>
      <c r="AC464" s="64"/>
      <c r="AD464" s="50"/>
      <c r="AE464" s="50"/>
      <c r="AF464" s="19"/>
      <c r="AG464" s="120"/>
      <c r="AH464" s="119"/>
      <c r="AI464" s="1"/>
      <c r="AJ464" s="21"/>
      <c r="AK464" s="21"/>
      <c r="AL464" s="21"/>
      <c r="AM464" s="21"/>
      <c r="AN464" s="21"/>
      <c r="AO464" s="21"/>
      <c r="AP464" s="53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52"/>
      <c r="AC465" s="64"/>
      <c r="AD465" s="50"/>
      <c r="AE465" s="50"/>
      <c r="AF465" s="19"/>
      <c r="AG465" s="120"/>
      <c r="AH465" s="119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52"/>
      <c r="AC466" s="64"/>
      <c r="AD466" s="50"/>
      <c r="AE466" s="50"/>
      <c r="AF466" s="19"/>
      <c r="AG466" s="120"/>
      <c r="AH466" s="119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52"/>
      <c r="AC467" s="64"/>
      <c r="AD467" s="50"/>
      <c r="AE467" s="50"/>
      <c r="AF467" s="19"/>
      <c r="AG467" s="120"/>
      <c r="AH467" s="119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52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52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52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52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52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52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52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52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52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52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52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52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52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52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52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52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52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52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52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52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52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52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52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52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52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52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52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52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52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52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52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52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52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52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52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52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52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52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52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52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52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52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52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52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52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52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52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52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52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52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52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52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52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52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52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52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52"/>
      <c r="AC524" s="64"/>
      <c r="AD524" s="50"/>
      <c r="AE524" s="50"/>
      <c r="AF524" s="19"/>
      <c r="AG524" s="123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52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52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52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52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52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52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52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52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52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52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52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52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52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52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52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52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52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52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52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52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52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52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52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52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52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52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52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52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52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52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52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52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52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52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52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52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52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52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52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52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52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52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52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52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52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52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52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52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52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52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52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52"/>
      <c r="AC576" s="64"/>
      <c r="AD576" s="50"/>
      <c r="AE576" s="50"/>
      <c r="AF576" s="19"/>
      <c r="AG576" s="120"/>
      <c r="AH576" s="123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52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52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52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52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52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52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52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52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52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52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52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52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52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52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52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52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52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52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52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52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52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52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52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C600" s="263"/>
      <c r="D600" s="26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52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C601" s="263"/>
      <c r="D601" s="26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52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C602" s="263"/>
      <c r="D602" s="26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52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C603" s="263"/>
      <c r="D603" s="26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52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C604" s="263"/>
      <c r="D604" s="26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52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C605" s="263"/>
      <c r="D605" s="26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52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C606" s="263"/>
      <c r="D606" s="26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52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C607" s="263"/>
      <c r="D607" s="26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52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C608" s="263"/>
      <c r="D608" s="26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52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52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52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52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52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52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52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52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52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52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52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52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52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52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52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C623" s="263"/>
      <c r="D623" s="26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52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C624" s="263"/>
      <c r="D624" s="26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52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52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52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52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52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52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52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52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52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52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52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52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52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52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52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52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52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52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  <c r="AQ641" s="21"/>
      <c r="AR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52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  <c r="AQ642" s="21"/>
      <c r="AR642" s="21"/>
    </row>
    <row r="643" spans="1:44" x14ac:dyDescent="0.2">
      <c r="A643" s="48"/>
      <c r="AP643" s="308"/>
    </row>
    <row r="644" spans="1:44" x14ac:dyDescent="0.2">
      <c r="A644" s="48"/>
      <c r="AP644" s="308"/>
    </row>
    <row r="645" spans="1:44" x14ac:dyDescent="0.2">
      <c r="A645" s="48"/>
      <c r="AP645" s="308"/>
    </row>
    <row r="646" spans="1:44" x14ac:dyDescent="0.2">
      <c r="A646" s="48"/>
      <c r="AP646" s="308"/>
    </row>
    <row r="647" spans="1:44" x14ac:dyDescent="0.2">
      <c r="A647" s="48"/>
      <c r="AP647" s="308"/>
    </row>
    <row r="648" spans="1:44" x14ac:dyDescent="0.2">
      <c r="A648" s="48"/>
      <c r="AP648" s="308"/>
    </row>
    <row r="649" spans="1:44" x14ac:dyDescent="0.2">
      <c r="A649" s="48"/>
      <c r="AP649" s="308"/>
      <c r="AQ649" s="308"/>
      <c r="AR649" s="308"/>
    </row>
    <row r="650" spans="1:44" x14ac:dyDescent="0.2">
      <c r="A650" s="48"/>
      <c r="AP650" s="308"/>
      <c r="AQ650" s="308"/>
      <c r="AR650" s="308"/>
    </row>
    <row r="651" spans="1:44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52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4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52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4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52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4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52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4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52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4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52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52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52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52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52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52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52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52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52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52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52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52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52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52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52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52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52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52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52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52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52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  <c r="AQ676" s="21"/>
      <c r="AR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52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  <c r="AQ677" s="21"/>
      <c r="AR677" s="21"/>
    </row>
    <row r="678" spans="1:44" x14ac:dyDescent="0.2">
      <c r="A678" s="48"/>
      <c r="AP678" s="308"/>
    </row>
    <row r="679" spans="1:44" x14ac:dyDescent="0.2">
      <c r="A679" s="48"/>
      <c r="AP679" s="308"/>
    </row>
    <row r="680" spans="1:44" x14ac:dyDescent="0.2">
      <c r="A680" s="48"/>
      <c r="AP680" s="308"/>
    </row>
    <row r="681" spans="1:44" x14ac:dyDescent="0.2">
      <c r="A681" s="48"/>
      <c r="AP681" s="308"/>
    </row>
    <row r="682" spans="1:44" x14ac:dyDescent="0.2">
      <c r="A682" s="48"/>
      <c r="AP682" s="308"/>
    </row>
    <row r="683" spans="1:44" x14ac:dyDescent="0.2">
      <c r="A683" s="48"/>
      <c r="AP683" s="308"/>
    </row>
    <row r="684" spans="1:44" x14ac:dyDescent="0.2">
      <c r="A684" s="48"/>
      <c r="AP684" s="308"/>
    </row>
    <row r="685" spans="1:44" x14ac:dyDescent="0.2">
      <c r="A685" s="48"/>
      <c r="AP685" s="308"/>
    </row>
    <row r="686" spans="1:44" x14ac:dyDescent="0.2">
      <c r="A686" s="48"/>
      <c r="AP686" s="308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2" x14ac:dyDescent="0.2">
      <c r="A689" s="48"/>
    </row>
    <row r="690" spans="1:42" x14ac:dyDescent="0.2">
      <c r="A690" s="48"/>
    </row>
    <row r="691" spans="1:42" x14ac:dyDescent="0.2">
      <c r="A691" s="48"/>
    </row>
    <row r="692" spans="1:42" x14ac:dyDescent="0.2">
      <c r="A692" s="48"/>
    </row>
    <row r="693" spans="1:42" x14ac:dyDescent="0.2">
      <c r="A693" s="48"/>
    </row>
    <row r="694" spans="1:42" x14ac:dyDescent="0.2">
      <c r="A694" s="48"/>
    </row>
    <row r="695" spans="1:42" x14ac:dyDescent="0.2">
      <c r="A695" s="48"/>
    </row>
    <row r="696" spans="1:42" x14ac:dyDescent="0.2">
      <c r="A696" s="48"/>
    </row>
    <row r="697" spans="1:42" x14ac:dyDescent="0.2">
      <c r="A697" s="48"/>
      <c r="AP697" s="308"/>
    </row>
    <row r="698" spans="1:42" x14ac:dyDescent="0.2">
      <c r="A698" s="48"/>
      <c r="AP698" s="308"/>
    </row>
    <row r="699" spans="1:42" x14ac:dyDescent="0.2">
      <c r="A699" s="48"/>
      <c r="AP699" s="308"/>
    </row>
    <row r="700" spans="1:42" x14ac:dyDescent="0.2">
      <c r="A700" s="48"/>
      <c r="AP700" s="308"/>
    </row>
    <row r="701" spans="1:42" x14ac:dyDescent="0.2">
      <c r="A701" s="48"/>
      <c r="AP701" s="308"/>
    </row>
    <row r="702" spans="1:42" x14ac:dyDescent="0.2">
      <c r="A702" s="48"/>
      <c r="AP702" s="308"/>
    </row>
    <row r="703" spans="1:42" x14ac:dyDescent="0.2">
      <c r="A703" s="48"/>
      <c r="AP703" s="308"/>
    </row>
    <row r="704" spans="1:42" x14ac:dyDescent="0.2">
      <c r="A704" s="48"/>
      <c r="AP704" s="308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  <c r="AP716" s="308"/>
    </row>
    <row r="717" spans="1:42" x14ac:dyDescent="0.2">
      <c r="A717" s="48"/>
      <c r="AP717" s="308"/>
    </row>
    <row r="718" spans="1:42" x14ac:dyDescent="0.2">
      <c r="A718" s="48"/>
      <c r="AP718" s="308"/>
    </row>
    <row r="719" spans="1:42" x14ac:dyDescent="0.2">
      <c r="A719" s="48"/>
      <c r="AP719" s="308"/>
    </row>
    <row r="720" spans="1:42" x14ac:dyDescent="0.2">
      <c r="A720" s="48"/>
      <c r="AP720" s="308"/>
    </row>
    <row r="721" spans="1:45" x14ac:dyDescent="0.2">
      <c r="A721" s="48"/>
      <c r="AP721" s="308"/>
    </row>
    <row r="722" spans="1:45" x14ac:dyDescent="0.2">
      <c r="A722" s="48"/>
      <c r="AP722" s="308"/>
    </row>
    <row r="723" spans="1:45" x14ac:dyDescent="0.2">
      <c r="A723" s="48"/>
      <c r="AP723" s="308"/>
    </row>
    <row r="724" spans="1:45" x14ac:dyDescent="0.2">
      <c r="A724" s="48"/>
    </row>
    <row r="725" spans="1:45" x14ac:dyDescent="0.2">
      <c r="A725" s="48"/>
    </row>
    <row r="726" spans="1:45" x14ac:dyDescent="0.2">
      <c r="A726" s="48"/>
    </row>
    <row r="727" spans="1:45" s="308" customFormat="1" x14ac:dyDescent="0.2">
      <c r="A727" s="48"/>
      <c r="C727" s="263"/>
      <c r="D727" s="263"/>
      <c r="E727" s="53"/>
      <c r="F727" s="13"/>
      <c r="G727" s="13"/>
      <c r="H727" s="53"/>
      <c r="I727" s="298"/>
      <c r="J727" s="21"/>
      <c r="K727" s="21"/>
      <c r="L727" s="13"/>
      <c r="M727" s="50"/>
      <c r="N727" s="97"/>
      <c r="O727" s="50"/>
      <c r="P727" s="50"/>
      <c r="Q727" s="316"/>
      <c r="R727" s="285"/>
      <c r="S727" s="21"/>
      <c r="T727" s="13"/>
      <c r="U727" s="13"/>
      <c r="V727" s="21"/>
      <c r="W727" s="21"/>
      <c r="X727" s="21"/>
      <c r="Y727" s="260"/>
      <c r="Z727" s="177"/>
      <c r="AA727" s="177"/>
      <c r="AB727" s="652"/>
      <c r="AC727" s="64"/>
      <c r="AD727" s="50"/>
      <c r="AE727" s="50"/>
      <c r="AF727" s="19"/>
      <c r="AG727" s="120"/>
      <c r="AH727" s="119"/>
      <c r="AI727" s="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1:45" s="308" customFormat="1" x14ac:dyDescent="0.2">
      <c r="A728" s="48"/>
      <c r="C728" s="263"/>
      <c r="D728" s="263"/>
      <c r="E728" s="53"/>
      <c r="F728" s="13"/>
      <c r="G728" s="13"/>
      <c r="H728" s="53"/>
      <c r="I728" s="298"/>
      <c r="J728" s="21"/>
      <c r="K728" s="21"/>
      <c r="L728" s="13"/>
      <c r="M728" s="50"/>
      <c r="N728" s="97"/>
      <c r="O728" s="50"/>
      <c r="P728" s="50"/>
      <c r="Q728" s="316"/>
      <c r="R728" s="285"/>
      <c r="S728" s="21"/>
      <c r="T728" s="13"/>
      <c r="U728" s="13"/>
      <c r="V728" s="21"/>
      <c r="W728" s="21"/>
      <c r="X728" s="21"/>
      <c r="Y728" s="260"/>
      <c r="Z728" s="177"/>
      <c r="AA728" s="177"/>
      <c r="AB728" s="652"/>
      <c r="AC728" s="64"/>
      <c r="AD728" s="50"/>
      <c r="AE728" s="50"/>
      <c r="AF728" s="19"/>
      <c r="AG728" s="120"/>
      <c r="AH728" s="119"/>
      <c r="AI728" s="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</sheetData>
  <autoFilter ref="B5:T248">
    <filterColumn colId="2" showButton="0"/>
  </autoFilter>
  <sortState ref="B6:T99">
    <sortCondition ref="C6:C99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  <ignoredErrors>
    <ignoredError sqref="AF2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58"/>
  <sheetViews>
    <sheetView topLeftCell="S97" workbookViewId="0">
      <selection activeCell="Z113" sqref="Z113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2.140625" style="53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19" style="13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3.85546875" style="676" bestFit="1" customWidth="1"/>
    <col min="29" max="29" width="9.855468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8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2951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1935</v>
      </c>
      <c r="V4" s="67"/>
      <c r="W4" s="67"/>
      <c r="Y4" s="21"/>
      <c r="Z4" s="260"/>
      <c r="AB4" s="63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656" t="s">
        <v>2048</v>
      </c>
      <c r="C6" s="655">
        <v>520112</v>
      </c>
      <c r="D6" s="658">
        <v>2593</v>
      </c>
      <c r="E6" s="655" t="s">
        <v>685</v>
      </c>
      <c r="F6" s="539">
        <v>2017</v>
      </c>
      <c r="G6" s="659">
        <v>42812</v>
      </c>
      <c r="H6" s="655" t="s">
        <v>2213</v>
      </c>
      <c r="I6" s="655" t="s">
        <v>2284</v>
      </c>
      <c r="J6" s="655" t="s">
        <v>729</v>
      </c>
      <c r="K6" s="655" t="s">
        <v>2440</v>
      </c>
      <c r="L6" s="655" t="s">
        <v>2582</v>
      </c>
      <c r="M6" s="660">
        <v>314205.78999999998</v>
      </c>
      <c r="N6" s="660">
        <v>9242.49</v>
      </c>
      <c r="O6" s="660">
        <v>51751.72</v>
      </c>
      <c r="P6" s="660">
        <v>375200</v>
      </c>
      <c r="Q6" s="541"/>
      <c r="R6" s="660">
        <v>289122.77</v>
      </c>
      <c r="S6" s="542">
        <f t="shared" ref="S6:S69" si="0">+P6-R6</f>
        <v>86077.229999999981</v>
      </c>
      <c r="T6" s="113" t="s">
        <v>131</v>
      </c>
      <c r="U6" s="621" t="str">
        <f>+B6</f>
        <v>AA10669</v>
      </c>
      <c r="V6" s="622" t="str">
        <f>+I6</f>
        <v>0772-TCN17</v>
      </c>
      <c r="W6" s="621">
        <f>+C6</f>
        <v>520112</v>
      </c>
      <c r="X6" s="621" t="str">
        <f>+E6</f>
        <v>CAMRY XLE 4 -DOOR</v>
      </c>
      <c r="Y6" s="622">
        <f>+F6</f>
        <v>2017</v>
      </c>
      <c r="Z6" s="623">
        <f>+M6</f>
        <v>314205.78999999998</v>
      </c>
      <c r="AA6" s="624">
        <f>+Z6</f>
        <v>314205.78999999998</v>
      </c>
      <c r="AB6" s="663">
        <v>1</v>
      </c>
      <c r="AC6" s="624">
        <f t="shared" ref="AC6:AC69" si="1">VLOOKUP(Z6,TARIFA,1)</f>
        <v>295708.34000000003</v>
      </c>
      <c r="AD6" s="625">
        <f t="shared" ref="AD6:AD69" si="2">VLOOKUP(Z6,TARIFA,4)</f>
        <v>0.1</v>
      </c>
      <c r="AE6" s="624">
        <f t="shared" ref="AE6:AE69" si="3">VLOOKUP(Z6,TARIFA,3)</f>
        <v>7392.74</v>
      </c>
      <c r="AF6" s="624">
        <f t="shared" ref="AF6:AF24" si="4">IF(Z6&lt;281240.78,(((Z6-AC6)*AD6+AE6)/2),(Z6-AC6)*AD6+AE6)</f>
        <v>9242.4849999999951</v>
      </c>
      <c r="AG6" s="632">
        <f>+N6-AF6</f>
        <v>5.0000000046566129E-3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657" t="s">
        <v>1979</v>
      </c>
      <c r="C7" s="655">
        <v>520220</v>
      </c>
      <c r="D7" s="658">
        <v>1794</v>
      </c>
      <c r="E7" s="655" t="s">
        <v>687</v>
      </c>
      <c r="F7" s="546">
        <v>2017</v>
      </c>
      <c r="G7" s="659">
        <v>42821</v>
      </c>
      <c r="H7" s="655" t="s">
        <v>727</v>
      </c>
      <c r="I7" s="655" t="s">
        <v>2246</v>
      </c>
      <c r="J7" s="655" t="s">
        <v>729</v>
      </c>
      <c r="K7" s="655" t="s">
        <v>2410</v>
      </c>
      <c r="L7" s="655" t="s">
        <v>2544</v>
      </c>
      <c r="M7" s="660">
        <v>252134.41</v>
      </c>
      <c r="N7" s="660">
        <v>2606.9699999999998</v>
      </c>
      <c r="O7" s="660">
        <v>40758.620000000003</v>
      </c>
      <c r="P7" s="660">
        <v>295500</v>
      </c>
      <c r="Q7" s="548"/>
      <c r="R7" s="660">
        <v>230475.74</v>
      </c>
      <c r="S7" s="549">
        <f t="shared" si="0"/>
        <v>65024.260000000009</v>
      </c>
      <c r="T7" s="267" t="s">
        <v>131</v>
      </c>
      <c r="U7" s="626" t="str">
        <f t="shared" ref="U7:U70" si="5">+B7</f>
        <v>AA10727</v>
      </c>
      <c r="V7" s="627" t="str">
        <f t="shared" ref="V7:V70" si="6">+I7</f>
        <v>0907-TCN17</v>
      </c>
      <c r="W7" s="626">
        <f t="shared" ref="W7:W70" si="7">+C7</f>
        <v>520220</v>
      </c>
      <c r="X7" s="626" t="str">
        <f t="shared" ref="X7:Y70" si="8">+E7</f>
        <v>COROLLA LE AT</v>
      </c>
      <c r="Y7" s="627">
        <f t="shared" si="8"/>
        <v>2017</v>
      </c>
      <c r="Z7" s="628">
        <f t="shared" ref="Z7:Z70" si="9">+M7</f>
        <v>252134.41</v>
      </c>
      <c r="AA7" s="629"/>
      <c r="AB7" s="664"/>
      <c r="AC7" s="629">
        <f t="shared" si="1"/>
        <v>246423.66</v>
      </c>
      <c r="AD7" s="630">
        <f t="shared" si="2"/>
        <v>0.05</v>
      </c>
      <c r="AE7" s="629">
        <f t="shared" si="3"/>
        <v>4928.3900000000003</v>
      </c>
      <c r="AF7" s="629">
        <f t="shared" si="4"/>
        <v>2606.9637500000003</v>
      </c>
      <c r="AG7" s="555">
        <f t="shared" ref="AG7:AG70" si="10">+N7-AF7</f>
        <v>6.2499999994543032E-3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657" t="s">
        <v>1973</v>
      </c>
      <c r="C8" s="655">
        <v>520220</v>
      </c>
      <c r="D8" s="658">
        <v>1794</v>
      </c>
      <c r="E8" s="655" t="s">
        <v>687</v>
      </c>
      <c r="F8" s="546">
        <v>2017</v>
      </c>
      <c r="G8" s="659">
        <v>42796</v>
      </c>
      <c r="H8" s="655" t="s">
        <v>722</v>
      </c>
      <c r="I8" s="655" t="s">
        <v>2242</v>
      </c>
      <c r="J8" s="655" t="s">
        <v>729</v>
      </c>
      <c r="K8" s="655" t="s">
        <v>2407</v>
      </c>
      <c r="L8" s="655" t="s">
        <v>2540</v>
      </c>
      <c r="M8" s="660">
        <v>252134.41</v>
      </c>
      <c r="N8" s="660">
        <v>2606.9699999999998</v>
      </c>
      <c r="O8" s="660">
        <v>40758.620000000003</v>
      </c>
      <c r="P8" s="660">
        <v>295500</v>
      </c>
      <c r="Q8" s="548"/>
      <c r="R8" s="660">
        <v>230475.74</v>
      </c>
      <c r="S8" s="549">
        <f t="shared" si="0"/>
        <v>65024.260000000009</v>
      </c>
      <c r="T8" s="113" t="s">
        <v>131</v>
      </c>
      <c r="U8" s="626" t="str">
        <f t="shared" si="5"/>
        <v>AA10566</v>
      </c>
      <c r="V8" s="627" t="str">
        <f t="shared" si="6"/>
        <v>0727-TCN17</v>
      </c>
      <c r="W8" s="626">
        <f t="shared" si="7"/>
        <v>520220</v>
      </c>
      <c r="X8" s="626" t="str">
        <f t="shared" si="8"/>
        <v>COROLLA LE AT</v>
      </c>
      <c r="Y8" s="627">
        <f t="shared" si="8"/>
        <v>2017</v>
      </c>
      <c r="Z8" s="628">
        <f t="shared" si="9"/>
        <v>252134.41</v>
      </c>
      <c r="AA8" s="629"/>
      <c r="AB8" s="664"/>
      <c r="AC8" s="629">
        <f t="shared" si="1"/>
        <v>246423.66</v>
      </c>
      <c r="AD8" s="630">
        <f t="shared" si="2"/>
        <v>0.05</v>
      </c>
      <c r="AE8" s="629">
        <f t="shared" si="3"/>
        <v>4928.3900000000003</v>
      </c>
      <c r="AF8" s="629">
        <f t="shared" si="4"/>
        <v>2606.9637500000003</v>
      </c>
      <c r="AG8" s="555">
        <f t="shared" si="10"/>
        <v>6.2499999994543032E-3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657" t="s">
        <v>1977</v>
      </c>
      <c r="C9" s="655">
        <v>520220</v>
      </c>
      <c r="D9" s="658">
        <v>1794</v>
      </c>
      <c r="E9" s="655" t="s">
        <v>687</v>
      </c>
      <c r="F9" s="546">
        <v>2017</v>
      </c>
      <c r="G9" s="659">
        <v>42817</v>
      </c>
      <c r="H9" s="655" t="s">
        <v>760</v>
      </c>
      <c r="I9" s="655" t="s">
        <v>2244</v>
      </c>
      <c r="J9" s="655" t="s">
        <v>724</v>
      </c>
      <c r="K9" s="655" t="s">
        <v>2409</v>
      </c>
      <c r="L9" s="655" t="s">
        <v>2542</v>
      </c>
      <c r="M9" s="660">
        <v>262226.93</v>
      </c>
      <c r="N9" s="660">
        <v>2859.28</v>
      </c>
      <c r="O9" s="660">
        <v>42413.79</v>
      </c>
      <c r="P9" s="660">
        <v>307500</v>
      </c>
      <c r="Q9" s="548"/>
      <c r="R9" s="660">
        <v>230839.41</v>
      </c>
      <c r="S9" s="549">
        <f t="shared" si="0"/>
        <v>76660.59</v>
      </c>
      <c r="T9" s="267" t="s">
        <v>131</v>
      </c>
      <c r="U9" s="626" t="str">
        <f t="shared" si="5"/>
        <v>AA10696</v>
      </c>
      <c r="V9" s="627" t="str">
        <f t="shared" si="6"/>
        <v>1009-TCN17</v>
      </c>
      <c r="W9" s="626">
        <f t="shared" si="7"/>
        <v>520220</v>
      </c>
      <c r="X9" s="626" t="str">
        <f t="shared" si="8"/>
        <v>COROLLA LE AT</v>
      </c>
      <c r="Y9" s="627">
        <f t="shared" si="8"/>
        <v>2017</v>
      </c>
      <c r="Z9" s="628">
        <f t="shared" si="9"/>
        <v>262226.93</v>
      </c>
      <c r="AA9" s="629"/>
      <c r="AB9" s="664"/>
      <c r="AC9" s="629">
        <f t="shared" si="1"/>
        <v>246423.66</v>
      </c>
      <c r="AD9" s="630">
        <f t="shared" si="2"/>
        <v>0.05</v>
      </c>
      <c r="AE9" s="629">
        <f t="shared" si="3"/>
        <v>4928.3900000000003</v>
      </c>
      <c r="AF9" s="629">
        <f t="shared" si="4"/>
        <v>2859.27675</v>
      </c>
      <c r="AG9" s="555">
        <f t="shared" si="10"/>
        <v>3.2500000002073648E-3</v>
      </c>
      <c r="AH9" s="361"/>
      <c r="AI9" s="313"/>
    </row>
    <row r="10" spans="1:45" s="291" customFormat="1" x14ac:dyDescent="0.2">
      <c r="A10" s="423">
        <f t="shared" si="11"/>
        <v>5</v>
      </c>
      <c r="B10" s="657" t="s">
        <v>1974</v>
      </c>
      <c r="C10" s="655">
        <v>520220</v>
      </c>
      <c r="D10" s="658">
        <v>1794</v>
      </c>
      <c r="E10" s="655" t="s">
        <v>687</v>
      </c>
      <c r="F10" s="546">
        <v>2017</v>
      </c>
      <c r="G10" s="659">
        <v>42816</v>
      </c>
      <c r="H10" s="655" t="s">
        <v>2215</v>
      </c>
      <c r="I10" s="655" t="s">
        <v>2243</v>
      </c>
      <c r="J10" s="655" t="s">
        <v>729</v>
      </c>
      <c r="K10" s="655" t="s">
        <v>2408</v>
      </c>
      <c r="L10" s="655" t="s">
        <v>2541</v>
      </c>
      <c r="M10" s="660">
        <v>252134.41</v>
      </c>
      <c r="N10" s="660">
        <v>2606.9699999999998</v>
      </c>
      <c r="O10" s="660">
        <v>40758.620000000003</v>
      </c>
      <c r="P10" s="660">
        <v>295500</v>
      </c>
      <c r="Q10" s="548"/>
      <c r="R10" s="660">
        <v>230484.92</v>
      </c>
      <c r="S10" s="549">
        <f t="shared" si="0"/>
        <v>65015.079999999987</v>
      </c>
      <c r="T10" s="113" t="s">
        <v>131</v>
      </c>
      <c r="U10" s="626" t="str">
        <f t="shared" si="5"/>
        <v>AA10685</v>
      </c>
      <c r="V10" s="627" t="str">
        <f t="shared" si="6"/>
        <v>0963-TCN17</v>
      </c>
      <c r="W10" s="626">
        <f t="shared" si="7"/>
        <v>520220</v>
      </c>
      <c r="X10" s="626" t="str">
        <f t="shared" si="8"/>
        <v>COROLLA LE AT</v>
      </c>
      <c r="Y10" s="627">
        <f t="shared" si="8"/>
        <v>2017</v>
      </c>
      <c r="Z10" s="628">
        <f t="shared" si="9"/>
        <v>252134.41</v>
      </c>
      <c r="AA10" s="629">
        <f>+SUM(Z7:Z10)</f>
        <v>1018630.16</v>
      </c>
      <c r="AB10" s="664">
        <v>4</v>
      </c>
      <c r="AC10" s="629">
        <f t="shared" si="1"/>
        <v>246423.66</v>
      </c>
      <c r="AD10" s="630">
        <f t="shared" si="2"/>
        <v>0.05</v>
      </c>
      <c r="AE10" s="629">
        <f t="shared" si="3"/>
        <v>4928.3900000000003</v>
      </c>
      <c r="AF10" s="629">
        <f t="shared" si="4"/>
        <v>2606.9637500000003</v>
      </c>
      <c r="AG10" s="555">
        <f t="shared" si="10"/>
        <v>6.2499999994543032E-3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657" t="s">
        <v>1983</v>
      </c>
      <c r="C11" s="655">
        <v>520222</v>
      </c>
      <c r="D11" s="658">
        <v>1797</v>
      </c>
      <c r="E11" s="655" t="s">
        <v>688</v>
      </c>
      <c r="F11" s="546">
        <v>2017</v>
      </c>
      <c r="G11" s="659">
        <v>42821</v>
      </c>
      <c r="H11" s="655" t="s">
        <v>817</v>
      </c>
      <c r="I11" s="655" t="s">
        <v>2250</v>
      </c>
      <c r="J11" s="655" t="s">
        <v>729</v>
      </c>
      <c r="K11" s="655" t="s">
        <v>979</v>
      </c>
      <c r="L11" s="655" t="s">
        <v>2548</v>
      </c>
      <c r="M11" s="660">
        <v>231905.09</v>
      </c>
      <c r="N11" s="660">
        <v>2319.0500000000002</v>
      </c>
      <c r="O11" s="660">
        <v>37475.86</v>
      </c>
      <c r="P11" s="660">
        <v>271700</v>
      </c>
      <c r="Q11" s="548"/>
      <c r="R11" s="660">
        <v>203953.3</v>
      </c>
      <c r="S11" s="549">
        <f t="shared" si="0"/>
        <v>67746.700000000012</v>
      </c>
      <c r="T11" s="113" t="s">
        <v>131</v>
      </c>
      <c r="U11" s="626" t="str">
        <f t="shared" si="5"/>
        <v>AA10726</v>
      </c>
      <c r="V11" s="627" t="str">
        <f t="shared" si="6"/>
        <v>1040-TCN17</v>
      </c>
      <c r="W11" s="626">
        <f t="shared" si="7"/>
        <v>520222</v>
      </c>
      <c r="X11" s="626" t="str">
        <f t="shared" si="8"/>
        <v>COROLLA BASE MANUAL</v>
      </c>
      <c r="Y11" s="627">
        <f t="shared" si="8"/>
        <v>2017</v>
      </c>
      <c r="Z11" s="628">
        <f t="shared" si="9"/>
        <v>231905.09</v>
      </c>
      <c r="AA11" s="629">
        <f>+Z11</f>
        <v>231905.09</v>
      </c>
      <c r="AB11" s="664">
        <v>1</v>
      </c>
      <c r="AC11" s="555">
        <f t="shared" si="1"/>
        <v>0.01</v>
      </c>
      <c r="AD11" s="630">
        <f t="shared" si="2"/>
        <v>0.02</v>
      </c>
      <c r="AE11" s="629">
        <f t="shared" si="3"/>
        <v>0</v>
      </c>
      <c r="AF11" s="629">
        <f t="shared" si="4"/>
        <v>2319.0508</v>
      </c>
      <c r="AG11" s="555">
        <f t="shared" si="10"/>
        <v>-7.9999999979918357E-4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657" t="s">
        <v>1981</v>
      </c>
      <c r="C12" s="655">
        <v>520223</v>
      </c>
      <c r="D12" s="658">
        <v>1796</v>
      </c>
      <c r="E12" s="655" t="s">
        <v>689</v>
      </c>
      <c r="F12" s="546">
        <v>2017</v>
      </c>
      <c r="G12" s="659">
        <v>42822</v>
      </c>
      <c r="H12" s="655" t="s">
        <v>778</v>
      </c>
      <c r="I12" s="655" t="s">
        <v>2248</v>
      </c>
      <c r="J12" s="655" t="s">
        <v>729</v>
      </c>
      <c r="K12" s="655" t="s">
        <v>830</v>
      </c>
      <c r="L12" s="655" t="s">
        <v>2546</v>
      </c>
      <c r="M12" s="660">
        <v>240611.13</v>
      </c>
      <c r="N12" s="660">
        <v>2406.11</v>
      </c>
      <c r="O12" s="660">
        <v>38882.76</v>
      </c>
      <c r="P12" s="660">
        <v>281900</v>
      </c>
      <c r="Q12" s="548"/>
      <c r="R12" s="660">
        <v>211571.1</v>
      </c>
      <c r="S12" s="549">
        <f t="shared" si="0"/>
        <v>70328.899999999994</v>
      </c>
      <c r="T12" s="267" t="s">
        <v>131</v>
      </c>
      <c r="U12" s="626" t="str">
        <f t="shared" si="5"/>
        <v>AA10740</v>
      </c>
      <c r="V12" s="627" t="str">
        <f t="shared" si="6"/>
        <v>0832-TCN17</v>
      </c>
      <c r="W12" s="626">
        <f t="shared" si="7"/>
        <v>520223</v>
      </c>
      <c r="X12" s="626" t="str">
        <f t="shared" si="8"/>
        <v>COROLLA BASE AT</v>
      </c>
      <c r="Y12" s="627">
        <f t="shared" si="8"/>
        <v>2017</v>
      </c>
      <c r="Z12" s="628">
        <f t="shared" si="9"/>
        <v>240611.13</v>
      </c>
      <c r="AA12" s="629">
        <f>+Z12</f>
        <v>240611.13</v>
      </c>
      <c r="AB12" s="664">
        <v>1</v>
      </c>
      <c r="AC12" s="555">
        <f t="shared" si="1"/>
        <v>0.01</v>
      </c>
      <c r="AD12" s="630">
        <f t="shared" si="2"/>
        <v>0.02</v>
      </c>
      <c r="AE12" s="629">
        <f t="shared" si="3"/>
        <v>0</v>
      </c>
      <c r="AF12" s="629">
        <f t="shared" si="4"/>
        <v>2406.1111999999998</v>
      </c>
      <c r="AG12" s="555">
        <f t="shared" si="10"/>
        <v>-1.1999999996987754E-3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657" t="s">
        <v>1968</v>
      </c>
      <c r="C13" s="655">
        <v>520224</v>
      </c>
      <c r="D13" s="658">
        <v>1781</v>
      </c>
      <c r="E13" s="655" t="s">
        <v>690</v>
      </c>
      <c r="F13" s="546">
        <v>2017</v>
      </c>
      <c r="G13" s="659">
        <v>42822</v>
      </c>
      <c r="H13" s="655" t="s">
        <v>817</v>
      </c>
      <c r="I13" s="655" t="s">
        <v>2237</v>
      </c>
      <c r="J13" s="655" t="s">
        <v>729</v>
      </c>
      <c r="K13" s="655" t="s">
        <v>2403</v>
      </c>
      <c r="L13" s="655" t="s">
        <v>2535</v>
      </c>
      <c r="M13" s="660">
        <v>255750.9</v>
      </c>
      <c r="N13" s="660">
        <v>2697.38</v>
      </c>
      <c r="O13" s="660">
        <v>41351.72</v>
      </c>
      <c r="P13" s="660">
        <v>299800</v>
      </c>
      <c r="Q13" s="548"/>
      <c r="R13" s="660">
        <v>238055.64</v>
      </c>
      <c r="S13" s="549">
        <f t="shared" si="0"/>
        <v>61744.359999999986</v>
      </c>
      <c r="T13" s="267" t="s">
        <v>131</v>
      </c>
      <c r="U13" s="626" t="str">
        <f t="shared" si="5"/>
        <v>AA10739</v>
      </c>
      <c r="V13" s="627" t="str">
        <f t="shared" si="6"/>
        <v>0905-TCN17</v>
      </c>
      <c r="W13" s="626">
        <f t="shared" si="7"/>
        <v>520224</v>
      </c>
      <c r="X13" s="626" t="str">
        <f t="shared" si="8"/>
        <v>COROLLA SE MT</v>
      </c>
      <c r="Y13" s="627">
        <f t="shared" si="8"/>
        <v>2017</v>
      </c>
      <c r="Z13" s="628">
        <f t="shared" si="9"/>
        <v>255750.9</v>
      </c>
      <c r="AA13" s="629">
        <f>+Z13</f>
        <v>255750.9</v>
      </c>
      <c r="AB13" s="664">
        <v>1</v>
      </c>
      <c r="AC13" s="629">
        <f t="shared" si="1"/>
        <v>246423.66</v>
      </c>
      <c r="AD13" s="630">
        <f t="shared" si="2"/>
        <v>0.05</v>
      </c>
      <c r="AE13" s="629">
        <f t="shared" si="3"/>
        <v>4928.3900000000003</v>
      </c>
      <c r="AF13" s="629">
        <f t="shared" si="4"/>
        <v>2697.3759999999997</v>
      </c>
      <c r="AG13" s="555">
        <f t="shared" si="10"/>
        <v>4.0000000003601599E-3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657" t="s">
        <v>1971</v>
      </c>
      <c r="C14" s="655">
        <v>520226</v>
      </c>
      <c r="D14" s="658">
        <v>1783</v>
      </c>
      <c r="E14" s="655" t="s">
        <v>692</v>
      </c>
      <c r="F14" s="546">
        <v>2017</v>
      </c>
      <c r="G14" s="659">
        <v>42810</v>
      </c>
      <c r="H14" s="655" t="s">
        <v>751</v>
      </c>
      <c r="I14" s="655" t="s">
        <v>2240</v>
      </c>
      <c r="J14" s="655" t="s">
        <v>729</v>
      </c>
      <c r="K14" s="655" t="s">
        <v>2406</v>
      </c>
      <c r="L14" s="655" t="s">
        <v>2538</v>
      </c>
      <c r="M14" s="660">
        <v>273581.01</v>
      </c>
      <c r="N14" s="660">
        <v>3143.13</v>
      </c>
      <c r="O14" s="660">
        <v>44275.86</v>
      </c>
      <c r="P14" s="660">
        <v>321000</v>
      </c>
      <c r="Q14" s="548"/>
      <c r="R14" s="660">
        <v>264669</v>
      </c>
      <c r="S14" s="549">
        <f t="shared" si="0"/>
        <v>56331</v>
      </c>
      <c r="T14" s="267" t="s">
        <v>131</v>
      </c>
      <c r="U14" s="626" t="str">
        <f t="shared" si="5"/>
        <v>AA10652</v>
      </c>
      <c r="V14" s="627" t="str">
        <f t="shared" si="6"/>
        <v>0767-TCN17</v>
      </c>
      <c r="W14" s="626">
        <f t="shared" si="7"/>
        <v>520226</v>
      </c>
      <c r="X14" s="626" t="str">
        <f t="shared" si="8"/>
        <v>COROLLA SE  PLUS  AT</v>
      </c>
      <c r="Y14" s="627">
        <f t="shared" si="8"/>
        <v>2017</v>
      </c>
      <c r="Z14" s="628">
        <f t="shared" si="9"/>
        <v>273581.01</v>
      </c>
      <c r="AA14" s="629"/>
      <c r="AB14" s="664"/>
      <c r="AC14" s="629">
        <f t="shared" si="1"/>
        <v>246423.66</v>
      </c>
      <c r="AD14" s="630">
        <f t="shared" si="2"/>
        <v>0.05</v>
      </c>
      <c r="AE14" s="629">
        <f t="shared" si="3"/>
        <v>4928.3900000000003</v>
      </c>
      <c r="AF14" s="629">
        <f t="shared" si="4"/>
        <v>3143.1287500000003</v>
      </c>
      <c r="AG14" s="555">
        <f t="shared" si="10"/>
        <v>1.2499999997999112E-3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657" t="s">
        <v>1970</v>
      </c>
      <c r="C15" s="655">
        <v>520226</v>
      </c>
      <c r="D15" s="658">
        <v>1783</v>
      </c>
      <c r="E15" s="655" t="s">
        <v>692</v>
      </c>
      <c r="F15" s="546">
        <v>2017</v>
      </c>
      <c r="G15" s="659">
        <v>42805</v>
      </c>
      <c r="H15" s="655" t="s">
        <v>747</v>
      </c>
      <c r="I15" s="655" t="s">
        <v>2239</v>
      </c>
      <c r="J15" s="655" t="s">
        <v>729</v>
      </c>
      <c r="K15" s="655" t="s">
        <v>2405</v>
      </c>
      <c r="L15" s="655" t="s">
        <v>2537</v>
      </c>
      <c r="M15" s="660">
        <v>290233.65000000002</v>
      </c>
      <c r="N15" s="660">
        <v>3559.45</v>
      </c>
      <c r="O15" s="660">
        <v>47006.9</v>
      </c>
      <c r="P15" s="660">
        <v>340800</v>
      </c>
      <c r="Q15" s="548"/>
      <c r="R15" s="660">
        <v>264720.34000000003</v>
      </c>
      <c r="S15" s="549">
        <f t="shared" si="0"/>
        <v>76079.659999999974</v>
      </c>
      <c r="T15" s="113" t="s">
        <v>131</v>
      </c>
      <c r="U15" s="626" t="str">
        <f t="shared" si="5"/>
        <v>AA10608</v>
      </c>
      <c r="V15" s="627" t="str">
        <f t="shared" si="6"/>
        <v>0960-TCN17</v>
      </c>
      <c r="W15" s="626">
        <f t="shared" si="7"/>
        <v>520226</v>
      </c>
      <c r="X15" s="626" t="str">
        <f t="shared" si="8"/>
        <v>COROLLA SE  PLUS  AT</v>
      </c>
      <c r="Y15" s="627">
        <f t="shared" si="8"/>
        <v>2017</v>
      </c>
      <c r="Z15" s="628">
        <f t="shared" si="9"/>
        <v>290233.65000000002</v>
      </c>
      <c r="AA15" s="629">
        <f>+Z15+Z14</f>
        <v>563814.66</v>
      </c>
      <c r="AB15" s="664">
        <v>2</v>
      </c>
      <c r="AC15" s="629">
        <f t="shared" si="1"/>
        <v>246423.66</v>
      </c>
      <c r="AD15" s="630">
        <f t="shared" si="2"/>
        <v>0.05</v>
      </c>
      <c r="AE15" s="629">
        <f t="shared" si="3"/>
        <v>4928.3900000000003</v>
      </c>
      <c r="AF15" s="629">
        <f t="shared" si="4"/>
        <v>7118.8895000000011</v>
      </c>
      <c r="AG15" s="555">
        <f t="shared" si="10"/>
        <v>-3559.4395000000013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657" t="s">
        <v>2063</v>
      </c>
      <c r="C16" s="655">
        <v>520512</v>
      </c>
      <c r="D16" s="658">
        <v>5394</v>
      </c>
      <c r="E16" s="655" t="s">
        <v>223</v>
      </c>
      <c r="F16" s="546">
        <v>2017</v>
      </c>
      <c r="G16" s="659">
        <v>42807</v>
      </c>
      <c r="H16" s="655" t="s">
        <v>817</v>
      </c>
      <c r="I16" s="655" t="s">
        <v>2291</v>
      </c>
      <c r="J16" s="655" t="s">
        <v>729</v>
      </c>
      <c r="K16" s="655" t="s">
        <v>2444</v>
      </c>
      <c r="L16" s="655" t="s">
        <v>2589</v>
      </c>
      <c r="M16" s="660">
        <v>432186.08</v>
      </c>
      <c r="N16" s="660">
        <v>25400.13</v>
      </c>
      <c r="O16" s="660">
        <v>73213.789999999994</v>
      </c>
      <c r="P16" s="660">
        <v>530800</v>
      </c>
      <c r="Q16" s="548"/>
      <c r="R16" s="660">
        <v>382792.51</v>
      </c>
      <c r="S16" s="549">
        <f t="shared" si="0"/>
        <v>148007.49</v>
      </c>
      <c r="T16" s="113" t="s">
        <v>131</v>
      </c>
      <c r="U16" s="626" t="str">
        <f t="shared" si="5"/>
        <v>AA10615</v>
      </c>
      <c r="V16" s="627" t="str">
        <f t="shared" si="6"/>
        <v>0981-TCN17</v>
      </c>
      <c r="W16" s="626">
        <f t="shared" si="7"/>
        <v>520512</v>
      </c>
      <c r="X16" s="626" t="str">
        <f t="shared" si="8"/>
        <v>SIENNA LE</v>
      </c>
      <c r="Y16" s="627">
        <f t="shared" si="8"/>
        <v>2017</v>
      </c>
      <c r="Z16" s="628">
        <f t="shared" si="9"/>
        <v>432186.08</v>
      </c>
      <c r="AA16" s="629">
        <f>+Z16</f>
        <v>432186.08</v>
      </c>
      <c r="AB16" s="664">
        <v>1</v>
      </c>
      <c r="AC16" s="629">
        <f t="shared" si="1"/>
        <v>344993.21</v>
      </c>
      <c r="AD16" s="630">
        <f t="shared" si="2"/>
        <v>0.15</v>
      </c>
      <c r="AE16" s="629">
        <f t="shared" si="3"/>
        <v>12321.2</v>
      </c>
      <c r="AF16" s="629">
        <f t="shared" si="4"/>
        <v>25400.130499999999</v>
      </c>
      <c r="AG16" s="555">
        <f t="shared" si="10"/>
        <v>-4.99999998282874E-4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657" t="s">
        <v>2064</v>
      </c>
      <c r="C17" s="655">
        <v>520513</v>
      </c>
      <c r="D17" s="658">
        <v>5396</v>
      </c>
      <c r="E17" s="655" t="s">
        <v>132</v>
      </c>
      <c r="F17" s="546">
        <v>2017</v>
      </c>
      <c r="G17" s="659">
        <v>42801</v>
      </c>
      <c r="H17" s="655" t="s">
        <v>908</v>
      </c>
      <c r="I17" s="655" t="s">
        <v>2292</v>
      </c>
      <c r="J17" s="655" t="s">
        <v>724</v>
      </c>
      <c r="K17" s="655" t="s">
        <v>2445</v>
      </c>
      <c r="L17" s="655" t="s">
        <v>2590</v>
      </c>
      <c r="M17" s="660">
        <v>470326.34</v>
      </c>
      <c r="N17" s="660">
        <v>31656.42</v>
      </c>
      <c r="O17" s="660">
        <v>80317.240000000005</v>
      </c>
      <c r="P17" s="660">
        <v>582300</v>
      </c>
      <c r="Q17" s="548"/>
      <c r="R17" s="660">
        <v>416755.08</v>
      </c>
      <c r="S17" s="549">
        <f t="shared" si="0"/>
        <v>165544.91999999998</v>
      </c>
      <c r="T17" s="267" t="s">
        <v>131</v>
      </c>
      <c r="U17" s="626" t="str">
        <f t="shared" si="5"/>
        <v>AA10586</v>
      </c>
      <c r="V17" s="627" t="str">
        <f t="shared" si="6"/>
        <v>0959-TCN17</v>
      </c>
      <c r="W17" s="626">
        <f t="shared" si="7"/>
        <v>520513</v>
      </c>
      <c r="X17" s="626" t="str">
        <f t="shared" si="8"/>
        <v>SIENNA XLE</v>
      </c>
      <c r="Y17" s="627">
        <f t="shared" si="8"/>
        <v>2017</v>
      </c>
      <c r="Z17" s="628">
        <f t="shared" si="9"/>
        <v>470326.34</v>
      </c>
      <c r="AA17" s="629">
        <f>+Z17</f>
        <v>470326.34</v>
      </c>
      <c r="AB17" s="664">
        <v>1</v>
      </c>
      <c r="AC17" s="629">
        <f t="shared" si="1"/>
        <v>443562.4</v>
      </c>
      <c r="AD17" s="630">
        <f t="shared" si="2"/>
        <v>0.17</v>
      </c>
      <c r="AE17" s="629">
        <f t="shared" si="3"/>
        <v>27106.55</v>
      </c>
      <c r="AF17" s="629">
        <f t="shared" si="4"/>
        <v>31656.4198</v>
      </c>
      <c r="AG17" s="555">
        <f t="shared" si="10"/>
        <v>1.9999999858555384E-4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657" t="s">
        <v>2071</v>
      </c>
      <c r="C18" s="655">
        <v>520514</v>
      </c>
      <c r="D18" s="658">
        <v>5398</v>
      </c>
      <c r="E18" s="655" t="s">
        <v>117</v>
      </c>
      <c r="F18" s="546">
        <v>2017</v>
      </c>
      <c r="G18" s="659">
        <v>42822</v>
      </c>
      <c r="H18" s="655" t="s">
        <v>727</v>
      </c>
      <c r="I18" s="655" t="s">
        <v>2297</v>
      </c>
      <c r="J18" s="655" t="s">
        <v>729</v>
      </c>
      <c r="K18" s="655" t="s">
        <v>803</v>
      </c>
      <c r="L18" s="655" t="s">
        <v>2595</v>
      </c>
      <c r="M18" s="660">
        <v>515345.49</v>
      </c>
      <c r="N18" s="660">
        <v>39309.68</v>
      </c>
      <c r="O18" s="660">
        <v>88744.83</v>
      </c>
      <c r="P18" s="660">
        <v>643400</v>
      </c>
      <c r="Q18" s="548"/>
      <c r="R18" s="660">
        <v>455972.8</v>
      </c>
      <c r="S18" s="549">
        <f t="shared" si="0"/>
        <v>187427.20000000001</v>
      </c>
      <c r="T18" s="267" t="s">
        <v>131</v>
      </c>
      <c r="U18" s="626" t="str">
        <f t="shared" si="5"/>
        <v>AA10741</v>
      </c>
      <c r="V18" s="627" t="str">
        <f t="shared" si="6"/>
        <v>1051-TCN17</v>
      </c>
      <c r="W18" s="626">
        <f t="shared" si="7"/>
        <v>520514</v>
      </c>
      <c r="X18" s="626" t="str">
        <f t="shared" si="8"/>
        <v>SIENNA XLE PIEL</v>
      </c>
      <c r="Y18" s="627">
        <f t="shared" si="8"/>
        <v>2017</v>
      </c>
      <c r="Z18" s="628">
        <f t="shared" si="9"/>
        <v>515345.49</v>
      </c>
      <c r="AA18" s="629"/>
      <c r="AB18" s="664"/>
      <c r="AC18" s="629">
        <f t="shared" si="1"/>
        <v>443562.4</v>
      </c>
      <c r="AD18" s="630">
        <f t="shared" si="2"/>
        <v>0.17</v>
      </c>
      <c r="AE18" s="629">
        <f t="shared" si="3"/>
        <v>27106.55</v>
      </c>
      <c r="AF18" s="629">
        <f t="shared" si="4"/>
        <v>39309.675299999995</v>
      </c>
      <c r="AG18" s="555">
        <f t="shared" si="10"/>
        <v>4.7000000049592927E-3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657" t="s">
        <v>2070</v>
      </c>
      <c r="C19" s="655">
        <v>520514</v>
      </c>
      <c r="D19" s="658">
        <v>5398</v>
      </c>
      <c r="E19" s="655" t="s">
        <v>117</v>
      </c>
      <c r="F19" s="546">
        <v>2017</v>
      </c>
      <c r="G19" s="659">
        <v>42821</v>
      </c>
      <c r="H19" s="655" t="s">
        <v>2215</v>
      </c>
      <c r="I19" s="655" t="s">
        <v>2295</v>
      </c>
      <c r="J19" s="655" t="s">
        <v>729</v>
      </c>
      <c r="K19" s="655" t="s">
        <v>2447</v>
      </c>
      <c r="L19" s="655" t="s">
        <v>2593</v>
      </c>
      <c r="M19" s="660">
        <v>515345.49</v>
      </c>
      <c r="N19" s="660">
        <v>39309.68</v>
      </c>
      <c r="O19" s="660">
        <v>88744.83</v>
      </c>
      <c r="P19" s="660">
        <v>643400</v>
      </c>
      <c r="Q19" s="548"/>
      <c r="R19" s="660">
        <v>455911.22</v>
      </c>
      <c r="S19" s="549">
        <f t="shared" si="0"/>
        <v>187488.78000000003</v>
      </c>
      <c r="T19" s="113" t="s">
        <v>131</v>
      </c>
      <c r="U19" s="626" t="str">
        <f t="shared" si="5"/>
        <v>AA10728</v>
      </c>
      <c r="V19" s="627" t="str">
        <f t="shared" si="6"/>
        <v>0909-TCN17</v>
      </c>
      <c r="W19" s="626">
        <f t="shared" si="7"/>
        <v>520514</v>
      </c>
      <c r="X19" s="626" t="str">
        <f t="shared" si="8"/>
        <v>SIENNA XLE PIEL</v>
      </c>
      <c r="Y19" s="627">
        <f t="shared" si="8"/>
        <v>2017</v>
      </c>
      <c r="Z19" s="628">
        <f t="shared" si="9"/>
        <v>515345.49</v>
      </c>
      <c r="AA19" s="629"/>
      <c r="AB19" s="664"/>
      <c r="AC19" s="629">
        <f t="shared" si="1"/>
        <v>443562.4</v>
      </c>
      <c r="AD19" s="630">
        <f t="shared" si="2"/>
        <v>0.17</v>
      </c>
      <c r="AE19" s="629">
        <f t="shared" si="3"/>
        <v>27106.55</v>
      </c>
      <c r="AF19" s="629">
        <f t="shared" si="4"/>
        <v>39309.675299999995</v>
      </c>
      <c r="AG19" s="555">
        <f t="shared" si="10"/>
        <v>4.7000000049592927E-3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657" t="s">
        <v>2068</v>
      </c>
      <c r="C20" s="655">
        <v>520514</v>
      </c>
      <c r="D20" s="658">
        <v>5398</v>
      </c>
      <c r="E20" s="655" t="s">
        <v>117</v>
      </c>
      <c r="F20" s="546">
        <v>2017</v>
      </c>
      <c r="G20" s="659">
        <v>42810</v>
      </c>
      <c r="H20" s="655" t="s">
        <v>908</v>
      </c>
      <c r="I20" s="655" t="s">
        <v>2296</v>
      </c>
      <c r="J20" s="655" t="s">
        <v>724</v>
      </c>
      <c r="K20" s="655" t="s">
        <v>2446</v>
      </c>
      <c r="L20" s="655" t="s">
        <v>2594</v>
      </c>
      <c r="M20" s="660">
        <v>500609.27</v>
      </c>
      <c r="N20" s="660">
        <v>36804.519999999997</v>
      </c>
      <c r="O20" s="660">
        <v>85986.21</v>
      </c>
      <c r="P20" s="660">
        <v>623400</v>
      </c>
      <c r="Q20" s="548"/>
      <c r="R20" s="660">
        <v>456328.15</v>
      </c>
      <c r="S20" s="549">
        <f t="shared" si="0"/>
        <v>167071.84999999998</v>
      </c>
      <c r="T20" s="113" t="s">
        <v>131</v>
      </c>
      <c r="U20" s="626" t="str">
        <f t="shared" si="5"/>
        <v>AA10654</v>
      </c>
      <c r="V20" s="627" t="str">
        <f t="shared" si="6"/>
        <v>0971-TCN17</v>
      </c>
      <c r="W20" s="626">
        <f t="shared" si="7"/>
        <v>520514</v>
      </c>
      <c r="X20" s="626" t="str">
        <f t="shared" si="8"/>
        <v>SIENNA XLE PIEL</v>
      </c>
      <c r="Y20" s="627">
        <f t="shared" si="8"/>
        <v>2017</v>
      </c>
      <c r="Z20" s="628">
        <f t="shared" si="9"/>
        <v>500609.27</v>
      </c>
      <c r="AA20" s="629"/>
      <c r="AB20" s="664"/>
      <c r="AC20" s="629">
        <f t="shared" si="1"/>
        <v>443562.4</v>
      </c>
      <c r="AD20" s="630">
        <f t="shared" si="2"/>
        <v>0.17</v>
      </c>
      <c r="AE20" s="629">
        <f t="shared" si="3"/>
        <v>27106.55</v>
      </c>
      <c r="AF20" s="629">
        <f t="shared" si="4"/>
        <v>36804.517899999999</v>
      </c>
      <c r="AG20" s="555">
        <f t="shared" si="10"/>
        <v>2.0999999978812411E-3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657" t="s">
        <v>2073</v>
      </c>
      <c r="C21" s="655">
        <v>520514</v>
      </c>
      <c r="D21" s="658">
        <v>5398</v>
      </c>
      <c r="E21" s="655" t="s">
        <v>117</v>
      </c>
      <c r="F21" s="546">
        <v>2017</v>
      </c>
      <c r="G21" s="659">
        <v>42825</v>
      </c>
      <c r="H21" s="655" t="s">
        <v>2215</v>
      </c>
      <c r="I21" s="655" t="s">
        <v>2298</v>
      </c>
      <c r="J21" s="655" t="s">
        <v>729</v>
      </c>
      <c r="K21" s="655" t="s">
        <v>2448</v>
      </c>
      <c r="L21" s="655" t="s">
        <v>2596</v>
      </c>
      <c r="M21" s="660">
        <v>515345.49</v>
      </c>
      <c r="N21" s="660">
        <v>39309.68</v>
      </c>
      <c r="O21" s="660">
        <v>88744.83</v>
      </c>
      <c r="P21" s="660">
        <v>643400</v>
      </c>
      <c r="Q21" s="548"/>
      <c r="R21" s="660">
        <v>455972.8</v>
      </c>
      <c r="S21" s="549">
        <f t="shared" si="0"/>
        <v>187427.20000000001</v>
      </c>
      <c r="T21" s="267" t="s">
        <v>131</v>
      </c>
      <c r="U21" s="626" t="str">
        <f t="shared" si="5"/>
        <v>AA10765</v>
      </c>
      <c r="V21" s="627" t="str">
        <f t="shared" si="6"/>
        <v>1058-TCN17</v>
      </c>
      <c r="W21" s="626">
        <f t="shared" si="7"/>
        <v>520514</v>
      </c>
      <c r="X21" s="626" t="str">
        <f t="shared" si="8"/>
        <v>SIENNA XLE PIEL</v>
      </c>
      <c r="Y21" s="627">
        <f t="shared" si="8"/>
        <v>2017</v>
      </c>
      <c r="Z21" s="628">
        <f t="shared" si="9"/>
        <v>515345.49</v>
      </c>
      <c r="AA21" s="629">
        <f>+SUM(Z18:Z21)</f>
        <v>2046645.74</v>
      </c>
      <c r="AB21" s="664">
        <v>4</v>
      </c>
      <c r="AC21" s="629">
        <f t="shared" si="1"/>
        <v>443562.4</v>
      </c>
      <c r="AD21" s="630">
        <f t="shared" si="2"/>
        <v>0.17</v>
      </c>
      <c r="AE21" s="629">
        <f t="shared" si="3"/>
        <v>27106.55</v>
      </c>
      <c r="AF21" s="629">
        <f t="shared" si="4"/>
        <v>39309.675299999995</v>
      </c>
      <c r="AG21" s="555">
        <f t="shared" si="10"/>
        <v>4.7000000049592927E-3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657" t="s">
        <v>2050</v>
      </c>
      <c r="C22" s="655">
        <v>520814</v>
      </c>
      <c r="D22" s="658">
        <v>4493</v>
      </c>
      <c r="E22" s="655" t="s">
        <v>693</v>
      </c>
      <c r="F22" s="546">
        <v>2017</v>
      </c>
      <c r="G22" s="659">
        <v>42811</v>
      </c>
      <c r="H22" s="655" t="s">
        <v>778</v>
      </c>
      <c r="I22" s="655" t="s">
        <v>2286</v>
      </c>
      <c r="J22" s="655" t="s">
        <v>724</v>
      </c>
      <c r="K22" s="655" t="s">
        <v>2442</v>
      </c>
      <c r="L22" s="655" t="s">
        <v>2584</v>
      </c>
      <c r="M22" s="660">
        <v>306995.76</v>
      </c>
      <c r="N22" s="660">
        <v>8521.48</v>
      </c>
      <c r="O22" s="660">
        <v>50482.76</v>
      </c>
      <c r="P22" s="660">
        <v>366000</v>
      </c>
      <c r="Q22" s="548"/>
      <c r="R22" s="660">
        <v>269449.56</v>
      </c>
      <c r="S22" s="549">
        <f t="shared" si="0"/>
        <v>96550.44</v>
      </c>
      <c r="T22" s="113" t="s">
        <v>131</v>
      </c>
      <c r="U22" s="626" t="str">
        <f t="shared" si="5"/>
        <v>AA10661</v>
      </c>
      <c r="V22" s="627" t="str">
        <f t="shared" si="6"/>
        <v>0994-TCN17</v>
      </c>
      <c r="W22" s="626">
        <f t="shared" si="7"/>
        <v>520814</v>
      </c>
      <c r="X22" s="626" t="str">
        <f t="shared" si="8"/>
        <v>RAV4 4X2  SUV  LE</v>
      </c>
      <c r="Y22" s="627">
        <f t="shared" si="8"/>
        <v>2017</v>
      </c>
      <c r="Z22" s="628">
        <f t="shared" si="9"/>
        <v>306995.76</v>
      </c>
      <c r="AA22" s="629"/>
      <c r="AB22" s="664"/>
      <c r="AC22" s="629">
        <f t="shared" si="1"/>
        <v>295708.34000000003</v>
      </c>
      <c r="AD22" s="630">
        <f t="shared" si="2"/>
        <v>0.1</v>
      </c>
      <c r="AE22" s="629">
        <f t="shared" si="3"/>
        <v>7392.74</v>
      </c>
      <c r="AF22" s="629">
        <f>IF(Z22&lt;281240.78,(((Z22-AC22)*AD22+AE22)/2),(Z22-AC22)*AD22+AE22)</f>
        <v>8521.4819999999982</v>
      </c>
      <c r="AG22" s="555">
        <f t="shared" si="10"/>
        <v>-1.9999999985884642E-3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657" t="s">
        <v>2057</v>
      </c>
      <c r="C23" s="655">
        <v>520814</v>
      </c>
      <c r="D23" s="658">
        <v>4493</v>
      </c>
      <c r="E23" s="655" t="s">
        <v>693</v>
      </c>
      <c r="F23" s="546">
        <v>2017</v>
      </c>
      <c r="G23" s="659">
        <v>42819</v>
      </c>
      <c r="H23" s="655" t="s">
        <v>743</v>
      </c>
      <c r="I23" s="655" t="s">
        <v>2289</v>
      </c>
      <c r="J23" s="655" t="s">
        <v>724</v>
      </c>
      <c r="K23" s="655" t="s">
        <v>2443</v>
      </c>
      <c r="L23" s="655" t="s">
        <v>2587</v>
      </c>
      <c r="M23" s="660">
        <v>306995.76</v>
      </c>
      <c r="N23" s="660">
        <v>8521.48</v>
      </c>
      <c r="O23" s="660">
        <v>50482.76</v>
      </c>
      <c r="P23" s="660">
        <v>366000</v>
      </c>
      <c r="Q23" s="548"/>
      <c r="R23" s="660">
        <v>269500.59999999998</v>
      </c>
      <c r="S23" s="549">
        <f t="shared" si="0"/>
        <v>96499.400000000023</v>
      </c>
      <c r="T23" s="113" t="s">
        <v>131</v>
      </c>
      <c r="U23" s="626" t="str">
        <f t="shared" si="5"/>
        <v>AA10717</v>
      </c>
      <c r="V23" s="627" t="str">
        <f t="shared" si="6"/>
        <v>1015-TCN17</v>
      </c>
      <c r="W23" s="626">
        <f t="shared" si="7"/>
        <v>520814</v>
      </c>
      <c r="X23" s="626" t="str">
        <f t="shared" si="8"/>
        <v>RAV4 4X2  SUV  LE</v>
      </c>
      <c r="Y23" s="627">
        <f t="shared" si="8"/>
        <v>2017</v>
      </c>
      <c r="Z23" s="628">
        <f t="shared" si="9"/>
        <v>306995.76</v>
      </c>
      <c r="AA23" s="629">
        <f>+Z23+Z22</f>
        <v>613991.52</v>
      </c>
      <c r="AB23" s="664">
        <v>2</v>
      </c>
      <c r="AC23" s="629">
        <f t="shared" si="1"/>
        <v>295708.34000000003</v>
      </c>
      <c r="AD23" s="630">
        <f t="shared" si="2"/>
        <v>0.1</v>
      </c>
      <c r="AE23" s="629">
        <f t="shared" si="3"/>
        <v>7392.74</v>
      </c>
      <c r="AF23" s="629">
        <f t="shared" ref="AF23" si="12">IF(Z23&lt;281240.78,(((Z23-AC23)*AD23+AE23)/2),(Z23-AC23)*AD23+AE23)</f>
        <v>8521.4819999999982</v>
      </c>
      <c r="AG23" s="555">
        <f t="shared" si="10"/>
        <v>-1.9999999985884642E-3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657" t="s">
        <v>2049</v>
      </c>
      <c r="C24" s="655">
        <v>520815</v>
      </c>
      <c r="D24" s="658">
        <v>4492</v>
      </c>
      <c r="E24" s="655" t="s">
        <v>694</v>
      </c>
      <c r="F24" s="546">
        <v>2017</v>
      </c>
      <c r="G24" s="659">
        <v>42812</v>
      </c>
      <c r="H24" s="655" t="s">
        <v>2215</v>
      </c>
      <c r="I24" s="655" t="s">
        <v>2285</v>
      </c>
      <c r="J24" s="655" t="s">
        <v>729</v>
      </c>
      <c r="K24" s="655" t="s">
        <v>2441</v>
      </c>
      <c r="L24" s="655" t="s">
        <v>2583</v>
      </c>
      <c r="M24" s="660">
        <v>346428.96</v>
      </c>
      <c r="N24" s="660">
        <v>12536.56</v>
      </c>
      <c r="O24" s="660">
        <v>57434.48</v>
      </c>
      <c r="P24" s="660">
        <v>416400</v>
      </c>
      <c r="Q24" s="548"/>
      <c r="R24" s="660">
        <v>303366.2</v>
      </c>
      <c r="S24" s="549">
        <f t="shared" si="0"/>
        <v>113033.79999999999</v>
      </c>
      <c r="T24" s="267" t="s">
        <v>131</v>
      </c>
      <c r="U24" s="626" t="str">
        <f t="shared" si="5"/>
        <v>AA10665</v>
      </c>
      <c r="V24" s="627" t="str">
        <f t="shared" si="6"/>
        <v>0908-TCN17</v>
      </c>
      <c r="W24" s="626">
        <f t="shared" si="7"/>
        <v>520815</v>
      </c>
      <c r="X24" s="626" t="str">
        <f t="shared" si="8"/>
        <v>RAV4 L4 AWD XLE</v>
      </c>
      <c r="Y24" s="627">
        <f t="shared" si="8"/>
        <v>2017</v>
      </c>
      <c r="Z24" s="628">
        <f t="shared" si="9"/>
        <v>346428.96</v>
      </c>
      <c r="AA24" s="629">
        <f>+Z24</f>
        <v>346428.96</v>
      </c>
      <c r="AB24" s="664">
        <v>1</v>
      </c>
      <c r="AC24" s="629">
        <f t="shared" si="1"/>
        <v>344993.21</v>
      </c>
      <c r="AD24" s="630">
        <f t="shared" si="2"/>
        <v>0.15</v>
      </c>
      <c r="AE24" s="629">
        <f t="shared" si="3"/>
        <v>12321.2</v>
      </c>
      <c r="AF24" s="629">
        <f t="shared" si="4"/>
        <v>12536.5625</v>
      </c>
      <c r="AG24" s="555">
        <f t="shared" si="10"/>
        <v>-2.500000000509317E-3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657" t="s">
        <v>2016</v>
      </c>
      <c r="C25" s="655">
        <v>520906</v>
      </c>
      <c r="D25" s="658">
        <v>2007</v>
      </c>
      <c r="E25" s="655" t="s">
        <v>2208</v>
      </c>
      <c r="F25" s="546">
        <v>2017</v>
      </c>
      <c r="G25" s="659">
        <v>42809</v>
      </c>
      <c r="H25" s="655" t="s">
        <v>810</v>
      </c>
      <c r="I25" s="655" t="s">
        <v>2263</v>
      </c>
      <c r="J25" s="655" t="s">
        <v>724</v>
      </c>
      <c r="K25" s="655" t="s">
        <v>2426</v>
      </c>
      <c r="L25" s="655" t="s">
        <v>2561</v>
      </c>
      <c r="M25" s="660">
        <v>178189.66</v>
      </c>
      <c r="N25" s="660">
        <v>0</v>
      </c>
      <c r="O25" s="660">
        <v>28510.34</v>
      </c>
      <c r="P25" s="660">
        <v>206700</v>
      </c>
      <c r="Q25" s="548"/>
      <c r="R25" s="660">
        <v>161798.18</v>
      </c>
      <c r="S25" s="549">
        <f t="shared" si="0"/>
        <v>44901.820000000007</v>
      </c>
      <c r="T25" s="267" t="s">
        <v>131</v>
      </c>
      <c r="U25" s="626" t="str">
        <f t="shared" si="5"/>
        <v>AA10640</v>
      </c>
      <c r="V25" s="627" t="str">
        <f t="shared" si="6"/>
        <v>0895-TCN17</v>
      </c>
      <c r="W25" s="626">
        <f t="shared" si="7"/>
        <v>520906</v>
      </c>
      <c r="X25" s="626" t="str">
        <f t="shared" si="8"/>
        <v>YARIS HB CORE MT</v>
      </c>
      <c r="Y25" s="627">
        <f t="shared" si="8"/>
        <v>2017</v>
      </c>
      <c r="Z25" s="628">
        <f t="shared" si="9"/>
        <v>178189.66</v>
      </c>
      <c r="AA25" s="629"/>
      <c r="AB25" s="664"/>
      <c r="AC25" s="629">
        <f t="shared" si="1"/>
        <v>0.01</v>
      </c>
      <c r="AD25" s="630">
        <f t="shared" si="2"/>
        <v>0.02</v>
      </c>
      <c r="AE25" s="629">
        <f t="shared" si="3"/>
        <v>0</v>
      </c>
      <c r="AF25" s="424">
        <v>0</v>
      </c>
      <c r="AG25" s="555">
        <f t="shared" si="10"/>
        <v>0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657" t="s">
        <v>2018</v>
      </c>
      <c r="C26" s="655">
        <v>520906</v>
      </c>
      <c r="D26" s="658">
        <v>2007</v>
      </c>
      <c r="E26" s="655" t="s">
        <v>2208</v>
      </c>
      <c r="F26" s="546">
        <v>2017</v>
      </c>
      <c r="G26" s="659">
        <v>42810</v>
      </c>
      <c r="H26" s="655" t="s">
        <v>764</v>
      </c>
      <c r="I26" s="655" t="s">
        <v>2264</v>
      </c>
      <c r="J26" s="655" t="s">
        <v>724</v>
      </c>
      <c r="K26" s="655" t="s">
        <v>2427</v>
      </c>
      <c r="L26" s="655" t="s">
        <v>2562</v>
      </c>
      <c r="M26" s="660">
        <v>178189.66</v>
      </c>
      <c r="N26" s="660">
        <v>0</v>
      </c>
      <c r="O26" s="660">
        <v>28510.34</v>
      </c>
      <c r="P26" s="660">
        <v>206700</v>
      </c>
      <c r="Q26" s="548"/>
      <c r="R26" s="660">
        <v>161797.18</v>
      </c>
      <c r="S26" s="549">
        <f t="shared" si="0"/>
        <v>44902.820000000007</v>
      </c>
      <c r="T26" s="267" t="s">
        <v>131</v>
      </c>
      <c r="U26" s="626" t="str">
        <f t="shared" si="5"/>
        <v>AA10656</v>
      </c>
      <c r="V26" s="627" t="str">
        <f t="shared" si="6"/>
        <v>0976-TCN17</v>
      </c>
      <c r="W26" s="626">
        <f t="shared" si="7"/>
        <v>520906</v>
      </c>
      <c r="X26" s="626" t="str">
        <f t="shared" si="8"/>
        <v>YARIS HB CORE MT</v>
      </c>
      <c r="Y26" s="627">
        <f t="shared" si="8"/>
        <v>2017</v>
      </c>
      <c r="Z26" s="628">
        <f t="shared" si="9"/>
        <v>178189.66</v>
      </c>
      <c r="AA26" s="629"/>
      <c r="AB26" s="664"/>
      <c r="AC26" s="629">
        <f t="shared" si="1"/>
        <v>0.01</v>
      </c>
      <c r="AD26" s="630">
        <f t="shared" si="2"/>
        <v>0.02</v>
      </c>
      <c r="AE26" s="629">
        <f t="shared" si="3"/>
        <v>0</v>
      </c>
      <c r="AF26" s="629">
        <v>0</v>
      </c>
      <c r="AG26" s="555">
        <f t="shared" si="10"/>
        <v>0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657" t="s">
        <v>2015</v>
      </c>
      <c r="C27" s="655">
        <v>520906</v>
      </c>
      <c r="D27" s="658">
        <v>2007</v>
      </c>
      <c r="E27" s="655" t="s">
        <v>2208</v>
      </c>
      <c r="F27" s="546">
        <v>2017</v>
      </c>
      <c r="G27" s="659">
        <v>42808</v>
      </c>
      <c r="H27" s="655" t="s">
        <v>739</v>
      </c>
      <c r="I27" s="655" t="s">
        <v>2265</v>
      </c>
      <c r="J27" s="655" t="s">
        <v>729</v>
      </c>
      <c r="K27" s="655" t="s">
        <v>2425</v>
      </c>
      <c r="L27" s="655" t="s">
        <v>2563</v>
      </c>
      <c r="M27" s="660">
        <v>178189.66</v>
      </c>
      <c r="N27" s="660">
        <v>0</v>
      </c>
      <c r="O27" s="660">
        <v>28510.34</v>
      </c>
      <c r="P27" s="660">
        <v>206700</v>
      </c>
      <c r="Q27" s="548"/>
      <c r="R27" s="660">
        <v>161442.70000000001</v>
      </c>
      <c r="S27" s="549">
        <f t="shared" si="0"/>
        <v>45257.299999999988</v>
      </c>
      <c r="T27" s="267" t="s">
        <v>131</v>
      </c>
      <c r="U27" s="626" t="str">
        <f t="shared" si="5"/>
        <v>AA10626</v>
      </c>
      <c r="V27" s="627" t="str">
        <f t="shared" si="6"/>
        <v>0982-TCN17</v>
      </c>
      <c r="W27" s="626">
        <f t="shared" si="7"/>
        <v>520906</v>
      </c>
      <c r="X27" s="626" t="str">
        <f t="shared" si="8"/>
        <v>YARIS HB CORE MT</v>
      </c>
      <c r="Y27" s="627">
        <f t="shared" si="8"/>
        <v>2017</v>
      </c>
      <c r="Z27" s="628">
        <f t="shared" si="9"/>
        <v>178189.66</v>
      </c>
      <c r="AA27" s="629">
        <f>+Z27+Z26+Z25</f>
        <v>534568.98</v>
      </c>
      <c r="AB27" s="665">
        <v>3</v>
      </c>
      <c r="AC27" s="629">
        <f t="shared" si="1"/>
        <v>0.01</v>
      </c>
      <c r="AD27" s="630">
        <f t="shared" si="2"/>
        <v>0.02</v>
      </c>
      <c r="AE27" s="629">
        <f t="shared" si="3"/>
        <v>0</v>
      </c>
      <c r="AF27" s="424">
        <v>0</v>
      </c>
      <c r="AG27" s="555">
        <f t="shared" si="10"/>
        <v>0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657" t="s">
        <v>2020</v>
      </c>
      <c r="C28" s="655">
        <v>520909</v>
      </c>
      <c r="D28" s="658">
        <v>2009</v>
      </c>
      <c r="E28" s="655" t="s">
        <v>698</v>
      </c>
      <c r="F28" s="546">
        <v>2017</v>
      </c>
      <c r="G28" s="659">
        <v>42815</v>
      </c>
      <c r="H28" s="655" t="s">
        <v>722</v>
      </c>
      <c r="I28" s="655" t="s">
        <v>2267</v>
      </c>
      <c r="J28" s="655" t="s">
        <v>729</v>
      </c>
      <c r="K28" s="655" t="s">
        <v>2429</v>
      </c>
      <c r="L28" s="655" t="s">
        <v>2565</v>
      </c>
      <c r="M28" s="660">
        <v>213965.52</v>
      </c>
      <c r="N28" s="660">
        <v>0</v>
      </c>
      <c r="O28" s="660">
        <v>34234.480000000003</v>
      </c>
      <c r="P28" s="660">
        <v>248200</v>
      </c>
      <c r="Q28" s="548"/>
      <c r="R28" s="660">
        <v>193640.97</v>
      </c>
      <c r="S28" s="549">
        <f t="shared" si="0"/>
        <v>54559.03</v>
      </c>
      <c r="T28" s="445" t="s">
        <v>131</v>
      </c>
      <c r="U28" s="626" t="str">
        <f t="shared" si="5"/>
        <v>AA10674</v>
      </c>
      <c r="V28" s="627" t="str">
        <f t="shared" si="6"/>
        <v>1001-TCN17</v>
      </c>
      <c r="W28" s="626">
        <f t="shared" si="7"/>
        <v>520909</v>
      </c>
      <c r="X28" s="626" t="str">
        <f t="shared" si="8"/>
        <v>YARIS HB S CVT</v>
      </c>
      <c r="Y28" s="627">
        <f t="shared" si="8"/>
        <v>2017</v>
      </c>
      <c r="Z28" s="628">
        <f t="shared" si="9"/>
        <v>213965.52</v>
      </c>
      <c r="AA28" s="629"/>
      <c r="AB28" s="665"/>
      <c r="AC28" s="629">
        <f t="shared" si="1"/>
        <v>0.01</v>
      </c>
      <c r="AD28" s="630">
        <f t="shared" si="2"/>
        <v>0.02</v>
      </c>
      <c r="AE28" s="629">
        <f t="shared" si="3"/>
        <v>0</v>
      </c>
      <c r="AF28" s="629">
        <v>0</v>
      </c>
      <c r="AG28" s="555">
        <f t="shared" si="10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657" t="s">
        <v>2022</v>
      </c>
      <c r="C29" s="655">
        <v>520909</v>
      </c>
      <c r="D29" s="658">
        <v>2009</v>
      </c>
      <c r="E29" s="655" t="s">
        <v>698</v>
      </c>
      <c r="F29" s="546">
        <v>2017</v>
      </c>
      <c r="G29" s="659">
        <v>42816</v>
      </c>
      <c r="H29" s="655" t="s">
        <v>908</v>
      </c>
      <c r="I29" s="655" t="s">
        <v>2266</v>
      </c>
      <c r="J29" s="655" t="s">
        <v>724</v>
      </c>
      <c r="K29" s="655" t="s">
        <v>2428</v>
      </c>
      <c r="L29" s="655" t="s">
        <v>2564</v>
      </c>
      <c r="M29" s="660">
        <v>213965.52</v>
      </c>
      <c r="N29" s="660">
        <v>0</v>
      </c>
      <c r="O29" s="660">
        <v>34234.480000000003</v>
      </c>
      <c r="P29" s="660">
        <v>248200</v>
      </c>
      <c r="Q29" s="548"/>
      <c r="R29" s="660">
        <v>193995.46</v>
      </c>
      <c r="S29" s="549">
        <f t="shared" si="0"/>
        <v>54204.540000000008</v>
      </c>
      <c r="T29" s="267" t="s">
        <v>131</v>
      </c>
      <c r="U29" s="626" t="str">
        <f t="shared" si="5"/>
        <v>AA10683</v>
      </c>
      <c r="V29" s="627" t="str">
        <f t="shared" si="6"/>
        <v>1003-TCN17</v>
      </c>
      <c r="W29" s="626">
        <f t="shared" si="7"/>
        <v>520909</v>
      </c>
      <c r="X29" s="626" t="str">
        <f t="shared" si="8"/>
        <v>YARIS HB S CVT</v>
      </c>
      <c r="Y29" s="627">
        <f t="shared" si="8"/>
        <v>2017</v>
      </c>
      <c r="Z29" s="628">
        <f t="shared" si="9"/>
        <v>213965.52</v>
      </c>
      <c r="AA29" s="629">
        <f>+Z29+Z28</f>
        <v>427931.04</v>
      </c>
      <c r="AB29" s="665">
        <v>2</v>
      </c>
      <c r="AC29" s="629">
        <f t="shared" si="1"/>
        <v>0.01</v>
      </c>
      <c r="AD29" s="630">
        <f t="shared" si="2"/>
        <v>0.02</v>
      </c>
      <c r="AE29" s="629">
        <f t="shared" si="3"/>
        <v>0</v>
      </c>
      <c r="AF29" s="629">
        <f>+N29</f>
        <v>0</v>
      </c>
      <c r="AG29" s="555">
        <f t="shared" si="10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657" t="s">
        <v>1957</v>
      </c>
      <c r="C30" s="655">
        <v>521101</v>
      </c>
      <c r="D30" s="658">
        <v>1253</v>
      </c>
      <c r="E30" s="655" t="s">
        <v>30</v>
      </c>
      <c r="F30" s="546">
        <v>2017</v>
      </c>
      <c r="G30" s="659">
        <v>42800</v>
      </c>
      <c r="H30" s="655" t="s">
        <v>788</v>
      </c>
      <c r="I30" s="655" t="s">
        <v>1537</v>
      </c>
      <c r="J30" s="655" t="s">
        <v>729</v>
      </c>
      <c r="K30" s="655" t="s">
        <v>1677</v>
      </c>
      <c r="L30" s="655" t="s">
        <v>1799</v>
      </c>
      <c r="M30" s="660">
        <v>350172.41</v>
      </c>
      <c r="N30" s="660">
        <v>0</v>
      </c>
      <c r="O30" s="660">
        <v>56027.59</v>
      </c>
      <c r="P30" s="660">
        <v>406200</v>
      </c>
      <c r="Q30" s="548"/>
      <c r="R30" s="660">
        <v>326020.56</v>
      </c>
      <c r="S30" s="549">
        <f t="shared" si="0"/>
        <v>80179.44</v>
      </c>
      <c r="T30" s="113" t="s">
        <v>131</v>
      </c>
      <c r="U30" s="626" t="str">
        <f t="shared" si="5"/>
        <v>AA10579</v>
      </c>
      <c r="V30" s="627" t="str">
        <f t="shared" si="6"/>
        <v>0826-TCN17</v>
      </c>
      <c r="W30" s="626">
        <f t="shared" si="7"/>
        <v>521101</v>
      </c>
      <c r="X30" s="626" t="str">
        <f t="shared" si="8"/>
        <v>PRIUS</v>
      </c>
      <c r="Y30" s="627">
        <f t="shared" si="8"/>
        <v>2017</v>
      </c>
      <c r="Z30" s="628">
        <f t="shared" si="9"/>
        <v>350172.41</v>
      </c>
      <c r="AA30" s="629"/>
      <c r="AB30" s="664"/>
      <c r="AC30" s="629">
        <f t="shared" si="1"/>
        <v>344993.21</v>
      </c>
      <c r="AD30" s="630">
        <f t="shared" si="2"/>
        <v>0.15</v>
      </c>
      <c r="AE30" s="629">
        <f t="shared" si="3"/>
        <v>12321.2</v>
      </c>
      <c r="AF30" s="629">
        <v>0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657" t="s">
        <v>1963</v>
      </c>
      <c r="C31" s="655">
        <v>521101</v>
      </c>
      <c r="D31" s="658">
        <v>1253</v>
      </c>
      <c r="E31" s="655" t="s">
        <v>30</v>
      </c>
      <c r="F31" s="546">
        <v>2017</v>
      </c>
      <c r="G31" s="659">
        <v>42819</v>
      </c>
      <c r="H31" s="655" t="s">
        <v>788</v>
      </c>
      <c r="I31" s="655" t="s">
        <v>2233</v>
      </c>
      <c r="J31" s="655" t="s">
        <v>724</v>
      </c>
      <c r="K31" s="655" t="s">
        <v>2399</v>
      </c>
      <c r="L31" s="655" t="s">
        <v>2531</v>
      </c>
      <c r="M31" s="660">
        <v>350172.41</v>
      </c>
      <c r="N31" s="660">
        <v>0</v>
      </c>
      <c r="O31" s="660">
        <v>56027.59</v>
      </c>
      <c r="P31" s="660">
        <v>406200</v>
      </c>
      <c r="Q31" s="548"/>
      <c r="R31" s="660">
        <v>326330.90000000002</v>
      </c>
      <c r="S31" s="549">
        <f t="shared" si="0"/>
        <v>79869.099999999977</v>
      </c>
      <c r="T31" s="113" t="s">
        <v>131</v>
      </c>
      <c r="U31" s="626" t="str">
        <f t="shared" si="5"/>
        <v>AA10719</v>
      </c>
      <c r="V31" s="627" t="str">
        <f t="shared" si="6"/>
        <v>1005-TCN17</v>
      </c>
      <c r="W31" s="626">
        <f t="shared" si="7"/>
        <v>521101</v>
      </c>
      <c r="X31" s="626" t="str">
        <f t="shared" si="8"/>
        <v>PRIUS</v>
      </c>
      <c r="Y31" s="627">
        <f t="shared" si="8"/>
        <v>2017</v>
      </c>
      <c r="Z31" s="628">
        <f t="shared" si="9"/>
        <v>350172.41</v>
      </c>
      <c r="AA31" s="629"/>
      <c r="AB31" s="664"/>
      <c r="AC31" s="629">
        <f t="shared" si="1"/>
        <v>344993.21</v>
      </c>
      <c r="AD31" s="630">
        <f t="shared" si="2"/>
        <v>0.15</v>
      </c>
      <c r="AE31" s="629">
        <f t="shared" si="3"/>
        <v>12321.2</v>
      </c>
      <c r="AF31" s="629">
        <v>0</v>
      </c>
      <c r="AG31" s="555">
        <f t="shared" si="10"/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657" t="s">
        <v>1960</v>
      </c>
      <c r="C32" s="655">
        <v>521101</v>
      </c>
      <c r="D32" s="658">
        <v>1253</v>
      </c>
      <c r="E32" s="655" t="s">
        <v>30</v>
      </c>
      <c r="F32" s="546">
        <v>2017</v>
      </c>
      <c r="G32" s="659">
        <v>42816</v>
      </c>
      <c r="H32" s="655" t="s">
        <v>760</v>
      </c>
      <c r="I32" s="655" t="s">
        <v>1541</v>
      </c>
      <c r="J32" s="655" t="s">
        <v>729</v>
      </c>
      <c r="K32" s="655" t="s">
        <v>2400</v>
      </c>
      <c r="L32" s="655" t="s">
        <v>1803</v>
      </c>
      <c r="M32" s="660">
        <v>350172.41</v>
      </c>
      <c r="N32" s="660">
        <v>0</v>
      </c>
      <c r="O32" s="660">
        <v>56027.59</v>
      </c>
      <c r="P32" s="660">
        <v>406200</v>
      </c>
      <c r="Q32" s="548"/>
      <c r="R32" s="660">
        <v>326020.56</v>
      </c>
      <c r="S32" s="549">
        <f t="shared" si="0"/>
        <v>80179.44</v>
      </c>
      <c r="T32" s="113" t="s">
        <v>131</v>
      </c>
      <c r="U32" s="626" t="str">
        <f t="shared" si="5"/>
        <v>AA10694</v>
      </c>
      <c r="V32" s="627" t="str">
        <f t="shared" si="6"/>
        <v>0887-TCN17</v>
      </c>
      <c r="W32" s="626">
        <f t="shared" si="7"/>
        <v>521101</v>
      </c>
      <c r="X32" s="626" t="str">
        <f t="shared" si="8"/>
        <v>PRIUS</v>
      </c>
      <c r="Y32" s="627">
        <f t="shared" si="8"/>
        <v>2017</v>
      </c>
      <c r="Z32" s="628">
        <f t="shared" si="9"/>
        <v>350172.41</v>
      </c>
      <c r="AA32" s="631"/>
      <c r="AB32" s="665"/>
      <c r="AC32" s="629">
        <f t="shared" si="1"/>
        <v>344993.21</v>
      </c>
      <c r="AD32" s="630">
        <f t="shared" si="2"/>
        <v>0.15</v>
      </c>
      <c r="AE32" s="629">
        <f t="shared" si="3"/>
        <v>12321.2</v>
      </c>
      <c r="AF32" s="629"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ht="12.75" customHeight="1" x14ac:dyDescent="0.2">
      <c r="A33" s="423">
        <f t="shared" si="11"/>
        <v>28</v>
      </c>
      <c r="B33" s="657" t="s">
        <v>1964</v>
      </c>
      <c r="C33" s="655">
        <v>521101</v>
      </c>
      <c r="D33" s="658">
        <v>1253</v>
      </c>
      <c r="E33" s="655" t="s">
        <v>30</v>
      </c>
      <c r="F33" s="546">
        <v>2017</v>
      </c>
      <c r="G33" s="659">
        <v>42823</v>
      </c>
      <c r="H33" s="655" t="s">
        <v>2215</v>
      </c>
      <c r="I33" s="655" t="s">
        <v>2235</v>
      </c>
      <c r="J33" s="655" t="s">
        <v>729</v>
      </c>
      <c r="K33" s="655" t="s">
        <v>2401</v>
      </c>
      <c r="L33" s="655" t="s">
        <v>2533</v>
      </c>
      <c r="M33" s="660">
        <v>350172.41</v>
      </c>
      <c r="N33" s="660">
        <v>0</v>
      </c>
      <c r="O33" s="660">
        <v>56027.59</v>
      </c>
      <c r="P33" s="660">
        <v>406200</v>
      </c>
      <c r="Q33" s="548"/>
      <c r="R33" s="660">
        <v>326020.56</v>
      </c>
      <c r="S33" s="549">
        <f t="shared" si="0"/>
        <v>80179.44</v>
      </c>
      <c r="T33" s="113" t="s">
        <v>131</v>
      </c>
      <c r="U33" s="626" t="str">
        <f t="shared" si="5"/>
        <v>AA10743</v>
      </c>
      <c r="V33" s="627" t="str">
        <f t="shared" si="6"/>
        <v>1046-TCN17</v>
      </c>
      <c r="W33" s="626">
        <f t="shared" si="7"/>
        <v>521101</v>
      </c>
      <c r="X33" s="626" t="str">
        <f t="shared" si="8"/>
        <v>PRIUS</v>
      </c>
      <c r="Y33" s="627">
        <f t="shared" si="8"/>
        <v>2017</v>
      </c>
      <c r="Z33" s="628">
        <f t="shared" si="9"/>
        <v>350172.41</v>
      </c>
      <c r="AA33" s="629"/>
      <c r="AB33" s="664"/>
      <c r="AC33" s="629">
        <f t="shared" si="1"/>
        <v>344993.21</v>
      </c>
      <c r="AD33" s="630">
        <f t="shared" si="2"/>
        <v>0.15</v>
      </c>
      <c r="AE33" s="629">
        <f t="shared" si="3"/>
        <v>12321.2</v>
      </c>
      <c r="AF33" s="629"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ht="12.75" customHeight="1" x14ac:dyDescent="0.2">
      <c r="A34" s="423">
        <f t="shared" si="11"/>
        <v>29</v>
      </c>
      <c r="B34" s="657" t="s">
        <v>1953</v>
      </c>
      <c r="C34" s="655">
        <v>521101</v>
      </c>
      <c r="D34" s="658">
        <v>1251</v>
      </c>
      <c r="E34" s="655" t="s">
        <v>700</v>
      </c>
      <c r="F34" s="546">
        <v>2017</v>
      </c>
      <c r="G34" s="659">
        <v>42808</v>
      </c>
      <c r="H34" s="655" t="s">
        <v>788</v>
      </c>
      <c r="I34" s="655" t="s">
        <v>2231</v>
      </c>
      <c r="J34" s="655" t="s">
        <v>724</v>
      </c>
      <c r="K34" s="655" t="s">
        <v>2397</v>
      </c>
      <c r="L34" s="655" t="s">
        <v>2529</v>
      </c>
      <c r="M34" s="660">
        <v>312327.59000000003</v>
      </c>
      <c r="N34" s="660">
        <v>0</v>
      </c>
      <c r="O34" s="660">
        <v>49972.41</v>
      </c>
      <c r="P34" s="660">
        <v>362300</v>
      </c>
      <c r="Q34" s="548"/>
      <c r="R34" s="660">
        <v>283977.18</v>
      </c>
      <c r="S34" s="549">
        <f t="shared" si="0"/>
        <v>78322.820000000007</v>
      </c>
      <c r="T34" s="267" t="s">
        <v>131</v>
      </c>
      <c r="U34" s="626" t="str">
        <f t="shared" si="5"/>
        <v>AA10627</v>
      </c>
      <c r="V34" s="627" t="str">
        <f t="shared" si="6"/>
        <v>0980-TCN17</v>
      </c>
      <c r="W34" s="626">
        <f t="shared" si="7"/>
        <v>521101</v>
      </c>
      <c r="X34" s="626" t="str">
        <f t="shared" si="8"/>
        <v>PRIUS HYBRID BASE</v>
      </c>
      <c r="Y34" s="627">
        <f t="shared" si="8"/>
        <v>2017</v>
      </c>
      <c r="Z34" s="628">
        <f t="shared" si="9"/>
        <v>312327.59000000003</v>
      </c>
      <c r="AA34" s="629"/>
      <c r="AB34" s="664"/>
      <c r="AC34" s="629">
        <f t="shared" si="1"/>
        <v>295708.34000000003</v>
      </c>
      <c r="AD34" s="630">
        <f t="shared" si="2"/>
        <v>0.1</v>
      </c>
      <c r="AE34" s="629">
        <f t="shared" si="3"/>
        <v>7392.74</v>
      </c>
      <c r="AF34" s="629"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ht="12.75" customHeight="1" x14ac:dyDescent="0.2">
      <c r="A35" s="423">
        <f t="shared" si="11"/>
        <v>30</v>
      </c>
      <c r="B35" s="657" t="s">
        <v>1952</v>
      </c>
      <c r="C35" s="655">
        <v>521101</v>
      </c>
      <c r="D35" s="658">
        <v>1251</v>
      </c>
      <c r="E35" s="655" t="s">
        <v>700</v>
      </c>
      <c r="F35" s="546">
        <v>2017</v>
      </c>
      <c r="G35" s="659">
        <v>42804</v>
      </c>
      <c r="H35" s="655" t="s">
        <v>722</v>
      </c>
      <c r="I35" s="655" t="s">
        <v>2229</v>
      </c>
      <c r="J35" s="655" t="s">
        <v>729</v>
      </c>
      <c r="K35" s="655" t="s">
        <v>2398</v>
      </c>
      <c r="L35" s="655" t="s">
        <v>2527</v>
      </c>
      <c r="M35" s="660">
        <v>312327.59000000003</v>
      </c>
      <c r="N35" s="660">
        <v>0</v>
      </c>
      <c r="O35" s="660">
        <v>49972.41</v>
      </c>
      <c r="P35" s="660">
        <v>362300</v>
      </c>
      <c r="Q35" s="548"/>
      <c r="R35" s="660">
        <v>283666.84000000003</v>
      </c>
      <c r="S35" s="549">
        <f t="shared" si="0"/>
        <v>78633.159999999974</v>
      </c>
      <c r="T35" s="113" t="s">
        <v>131</v>
      </c>
      <c r="U35" s="626" t="str">
        <f t="shared" si="5"/>
        <v>AA10599</v>
      </c>
      <c r="V35" s="627" t="str">
        <f t="shared" si="6"/>
        <v>0913-TCN17</v>
      </c>
      <c r="W35" s="626">
        <f t="shared" si="7"/>
        <v>521101</v>
      </c>
      <c r="X35" s="626" t="str">
        <f t="shared" si="8"/>
        <v>PRIUS HYBRID BASE</v>
      </c>
      <c r="Y35" s="627">
        <f t="shared" si="8"/>
        <v>2017</v>
      </c>
      <c r="Z35" s="628">
        <f t="shared" si="9"/>
        <v>312327.59000000003</v>
      </c>
      <c r="AA35" s="629"/>
      <c r="AB35" s="664"/>
      <c r="AC35" s="629">
        <f t="shared" si="1"/>
        <v>295708.34000000003</v>
      </c>
      <c r="AD35" s="630">
        <f t="shared" si="2"/>
        <v>0.1</v>
      </c>
      <c r="AE35" s="629">
        <f t="shared" si="3"/>
        <v>7392.74</v>
      </c>
      <c r="AF35" s="629"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ht="12.75" customHeight="1" x14ac:dyDescent="0.2">
      <c r="A36" s="423">
        <f t="shared" si="11"/>
        <v>31</v>
      </c>
      <c r="B36" s="657" t="s">
        <v>1965</v>
      </c>
      <c r="C36" s="655">
        <v>521101</v>
      </c>
      <c r="D36" s="658">
        <v>1253</v>
      </c>
      <c r="E36" s="655" t="s">
        <v>30</v>
      </c>
      <c r="F36" s="546">
        <v>2017</v>
      </c>
      <c r="G36" s="659">
        <v>42825</v>
      </c>
      <c r="H36" s="655" t="s">
        <v>2216</v>
      </c>
      <c r="I36" s="655" t="s">
        <v>2236</v>
      </c>
      <c r="J36" s="655" t="s">
        <v>729</v>
      </c>
      <c r="K36" s="655" t="s">
        <v>2402</v>
      </c>
      <c r="L36" s="655" t="s">
        <v>2534</v>
      </c>
      <c r="M36" s="660">
        <v>350172.41</v>
      </c>
      <c r="N36" s="660">
        <v>0</v>
      </c>
      <c r="O36" s="660">
        <v>56027.59</v>
      </c>
      <c r="P36" s="660">
        <v>406200</v>
      </c>
      <c r="Q36" s="548"/>
      <c r="R36" s="660">
        <v>326020.56</v>
      </c>
      <c r="S36" s="549">
        <f t="shared" si="0"/>
        <v>80179.44</v>
      </c>
      <c r="T36" s="267" t="s">
        <v>131</v>
      </c>
      <c r="U36" s="626" t="str">
        <f t="shared" si="5"/>
        <v>AA10768</v>
      </c>
      <c r="V36" s="627" t="str">
        <f t="shared" si="6"/>
        <v>1019-TCN17</v>
      </c>
      <c r="W36" s="626">
        <f t="shared" si="7"/>
        <v>521101</v>
      </c>
      <c r="X36" s="626" t="str">
        <f t="shared" si="8"/>
        <v>PRIUS</v>
      </c>
      <c r="Y36" s="627">
        <f t="shared" si="8"/>
        <v>2017</v>
      </c>
      <c r="Z36" s="628">
        <f t="shared" si="9"/>
        <v>350172.41</v>
      </c>
      <c r="AA36" s="629"/>
      <c r="AB36" s="664"/>
      <c r="AC36" s="629">
        <f t="shared" si="1"/>
        <v>344993.21</v>
      </c>
      <c r="AD36" s="630">
        <f t="shared" si="2"/>
        <v>0.15</v>
      </c>
      <c r="AE36" s="629">
        <f t="shared" si="3"/>
        <v>12321.2</v>
      </c>
      <c r="AF36" s="629"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ht="12.75" customHeight="1" x14ac:dyDescent="0.2">
      <c r="A37" s="423">
        <f t="shared" si="11"/>
        <v>32</v>
      </c>
      <c r="B37" s="657" t="s">
        <v>1948</v>
      </c>
      <c r="C37" s="655">
        <v>521101</v>
      </c>
      <c r="D37" s="658">
        <v>1251</v>
      </c>
      <c r="E37" s="655" t="s">
        <v>700</v>
      </c>
      <c r="F37" s="546">
        <v>2017</v>
      </c>
      <c r="G37" s="659">
        <v>42797</v>
      </c>
      <c r="H37" s="655" t="s">
        <v>778</v>
      </c>
      <c r="I37" s="655" t="s">
        <v>1531</v>
      </c>
      <c r="J37" s="655" t="s">
        <v>729</v>
      </c>
      <c r="K37" s="655" t="s">
        <v>1675</v>
      </c>
      <c r="L37" s="655" t="s">
        <v>1793</v>
      </c>
      <c r="M37" s="660">
        <v>-312327.59000000003</v>
      </c>
      <c r="N37" s="660">
        <v>0</v>
      </c>
      <c r="O37" s="660">
        <v>-49972.41</v>
      </c>
      <c r="P37" s="660">
        <v>-362300</v>
      </c>
      <c r="Q37" s="548"/>
      <c r="R37" s="660">
        <v>-283666.84000000003</v>
      </c>
      <c r="S37" s="549">
        <f t="shared" si="0"/>
        <v>-78633.159999999974</v>
      </c>
      <c r="T37" s="113" t="s">
        <v>1266</v>
      </c>
      <c r="U37" s="626" t="str">
        <f t="shared" si="5"/>
        <v>ZA03937</v>
      </c>
      <c r="V37" s="627" t="str">
        <f t="shared" si="6"/>
        <v>0874-TCN17</v>
      </c>
      <c r="W37" s="626">
        <f t="shared" si="7"/>
        <v>521101</v>
      </c>
      <c r="X37" s="626" t="str">
        <f t="shared" si="8"/>
        <v>PRIUS HYBRID BASE</v>
      </c>
      <c r="Y37" s="627">
        <f t="shared" si="8"/>
        <v>2017</v>
      </c>
      <c r="Z37" s="628">
        <f t="shared" si="9"/>
        <v>-312327.59000000003</v>
      </c>
      <c r="AA37" s="629"/>
      <c r="AB37" s="664"/>
      <c r="AC37" s="629"/>
      <c r="AD37" s="630"/>
      <c r="AE37" s="629"/>
      <c r="AF37" s="629">
        <f>+N37</f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ht="12.75" customHeight="1" x14ac:dyDescent="0.2">
      <c r="A38" s="423">
        <f t="shared" si="11"/>
        <v>33</v>
      </c>
      <c r="B38" s="657" t="s">
        <v>1956</v>
      </c>
      <c r="C38" s="655">
        <v>521101</v>
      </c>
      <c r="D38" s="658">
        <v>1253</v>
      </c>
      <c r="E38" s="655" t="s">
        <v>30</v>
      </c>
      <c r="F38" s="546">
        <v>2017</v>
      </c>
      <c r="G38" s="659">
        <v>42797</v>
      </c>
      <c r="H38" s="655" t="s">
        <v>788</v>
      </c>
      <c r="I38" s="655" t="s">
        <v>1537</v>
      </c>
      <c r="J38" s="655" t="s">
        <v>729</v>
      </c>
      <c r="K38" s="655" t="s">
        <v>1677</v>
      </c>
      <c r="L38" s="655" t="s">
        <v>1799</v>
      </c>
      <c r="M38" s="660">
        <v>-367413.79</v>
      </c>
      <c r="N38" s="660">
        <v>0</v>
      </c>
      <c r="O38" s="660">
        <v>-58786.21</v>
      </c>
      <c r="P38" s="660">
        <v>-426200</v>
      </c>
      <c r="Q38" s="548"/>
      <c r="R38" s="660">
        <v>-326020.56</v>
      </c>
      <c r="S38" s="549">
        <f t="shared" si="0"/>
        <v>-100179.44</v>
      </c>
      <c r="T38" s="113" t="s">
        <v>1266</v>
      </c>
      <c r="U38" s="626" t="str">
        <f t="shared" si="5"/>
        <v>ZA03936</v>
      </c>
      <c r="V38" s="627" t="str">
        <f t="shared" si="6"/>
        <v>0826-TCN17</v>
      </c>
      <c r="W38" s="626">
        <f t="shared" si="7"/>
        <v>521101</v>
      </c>
      <c r="X38" s="626" t="str">
        <f t="shared" si="8"/>
        <v>PRIUS</v>
      </c>
      <c r="Y38" s="627">
        <f t="shared" si="8"/>
        <v>2017</v>
      </c>
      <c r="Z38" s="628">
        <f t="shared" si="9"/>
        <v>-367413.79</v>
      </c>
      <c r="AA38" s="629"/>
      <c r="AB38" s="664"/>
      <c r="AC38" s="629"/>
      <c r="AD38" s="630"/>
      <c r="AE38" s="629"/>
      <c r="AF38" s="629"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ht="12.75" customHeight="1" x14ac:dyDescent="0.2">
      <c r="A39" s="423">
        <f t="shared" si="11"/>
        <v>34</v>
      </c>
      <c r="B39" s="657" t="s">
        <v>1955</v>
      </c>
      <c r="C39" s="655">
        <v>521101</v>
      </c>
      <c r="D39" s="658">
        <v>1253</v>
      </c>
      <c r="E39" s="655" t="s">
        <v>30</v>
      </c>
      <c r="F39" s="546">
        <v>2017</v>
      </c>
      <c r="G39" s="659">
        <v>42796</v>
      </c>
      <c r="H39" s="655" t="s">
        <v>1038</v>
      </c>
      <c r="I39" s="655" t="s">
        <v>1541</v>
      </c>
      <c r="J39" s="655" t="s">
        <v>729</v>
      </c>
      <c r="K39" s="655" t="s">
        <v>1679</v>
      </c>
      <c r="L39" s="655" t="s">
        <v>1803</v>
      </c>
      <c r="M39" s="660">
        <v>-367413.79</v>
      </c>
      <c r="N39" s="660">
        <v>0</v>
      </c>
      <c r="O39" s="660">
        <v>-58786.21</v>
      </c>
      <c r="P39" s="660">
        <v>-426200</v>
      </c>
      <c r="Q39" s="548"/>
      <c r="R39" s="660">
        <v>-326020.56</v>
      </c>
      <c r="S39" s="549">
        <f t="shared" si="0"/>
        <v>-100179.44</v>
      </c>
      <c r="T39" s="444" t="s">
        <v>1266</v>
      </c>
      <c r="U39" s="626" t="str">
        <f t="shared" si="5"/>
        <v>ZA03935</v>
      </c>
      <c r="V39" s="627" t="str">
        <f t="shared" si="6"/>
        <v>0887-TCN17</v>
      </c>
      <c r="W39" s="626">
        <f t="shared" si="7"/>
        <v>521101</v>
      </c>
      <c r="X39" s="626" t="str">
        <f t="shared" si="8"/>
        <v>PRIUS</v>
      </c>
      <c r="Y39" s="627">
        <f t="shared" si="8"/>
        <v>2017</v>
      </c>
      <c r="Z39" s="628">
        <f t="shared" si="9"/>
        <v>-367413.79</v>
      </c>
      <c r="AA39" s="629"/>
      <c r="AB39" s="664"/>
      <c r="AC39" s="629"/>
      <c r="AD39" s="630"/>
      <c r="AE39" s="629"/>
      <c r="AF39" s="629"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ht="12.75" customHeight="1" x14ac:dyDescent="0.2">
      <c r="A40" s="423">
        <f t="shared" si="11"/>
        <v>35</v>
      </c>
      <c r="B40" s="657" t="s">
        <v>1958</v>
      </c>
      <c r="C40" s="655">
        <v>521101</v>
      </c>
      <c r="D40" s="658">
        <v>1253</v>
      </c>
      <c r="E40" s="655" t="s">
        <v>30</v>
      </c>
      <c r="F40" s="546">
        <v>2017</v>
      </c>
      <c r="G40" s="659">
        <v>42805</v>
      </c>
      <c r="H40" s="655" t="s">
        <v>764</v>
      </c>
      <c r="I40" s="655" t="s">
        <v>1538</v>
      </c>
      <c r="J40" s="655" t="s">
        <v>724</v>
      </c>
      <c r="K40" s="655" t="s">
        <v>1678</v>
      </c>
      <c r="L40" s="655" t="s">
        <v>1800</v>
      </c>
      <c r="M40" s="660">
        <v>-367413.79</v>
      </c>
      <c r="N40" s="660">
        <v>0</v>
      </c>
      <c r="O40" s="660">
        <v>-58786.21</v>
      </c>
      <c r="P40" s="660">
        <v>-426200</v>
      </c>
      <c r="Q40" s="548"/>
      <c r="R40" s="660">
        <v>-326375.03999999998</v>
      </c>
      <c r="S40" s="549">
        <f t="shared" si="0"/>
        <v>-99824.960000000021</v>
      </c>
      <c r="T40" s="267" t="s">
        <v>1266</v>
      </c>
      <c r="U40" s="626" t="str">
        <f t="shared" si="5"/>
        <v>ZA03947</v>
      </c>
      <c r="V40" s="627" t="str">
        <f t="shared" si="6"/>
        <v>0828-TCN17</v>
      </c>
      <c r="W40" s="626">
        <f t="shared" si="7"/>
        <v>521101</v>
      </c>
      <c r="X40" s="626" t="str">
        <f t="shared" si="8"/>
        <v>PRIUS</v>
      </c>
      <c r="Y40" s="627">
        <f t="shared" si="8"/>
        <v>2017</v>
      </c>
      <c r="Z40" s="628">
        <f t="shared" si="9"/>
        <v>-367413.79</v>
      </c>
      <c r="AA40" s="629">
        <f>+SUM(Z30:Z40)</f>
        <v>960948.26999999979</v>
      </c>
      <c r="AB40" s="679">
        <v>3</v>
      </c>
      <c r="AC40" s="629"/>
      <c r="AD40" s="630"/>
      <c r="AE40" s="629"/>
      <c r="AF40" s="629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ht="12.75" customHeight="1" x14ac:dyDescent="0.2">
      <c r="A41" s="423">
        <f t="shared" si="11"/>
        <v>36</v>
      </c>
      <c r="B41" s="657" t="s">
        <v>2097</v>
      </c>
      <c r="C41" s="655">
        <v>521502</v>
      </c>
      <c r="D41" s="658">
        <v>5611</v>
      </c>
      <c r="E41" s="655" t="s">
        <v>225</v>
      </c>
      <c r="F41" s="546">
        <v>2017</v>
      </c>
      <c r="G41" s="659">
        <v>42818</v>
      </c>
      <c r="H41" s="655" t="s">
        <v>747</v>
      </c>
      <c r="I41" s="655" t="s">
        <v>2310</v>
      </c>
      <c r="J41" s="655" t="s">
        <v>724</v>
      </c>
      <c r="K41" s="655" t="s">
        <v>2460</v>
      </c>
      <c r="L41" s="655" t="s">
        <v>2608</v>
      </c>
      <c r="M41" s="660">
        <v>379112.61</v>
      </c>
      <c r="N41" s="660">
        <v>17439.11</v>
      </c>
      <c r="O41" s="660">
        <v>63448.28</v>
      </c>
      <c r="P41" s="660">
        <v>460000</v>
      </c>
      <c r="Q41" s="548"/>
      <c r="R41" s="660">
        <v>336083.21</v>
      </c>
      <c r="S41" s="549">
        <f t="shared" si="0"/>
        <v>123916.78999999998</v>
      </c>
      <c r="T41" s="267" t="s">
        <v>131</v>
      </c>
      <c r="U41" s="626" t="str">
        <f t="shared" si="5"/>
        <v>AA10708</v>
      </c>
      <c r="V41" s="627" t="str">
        <f t="shared" si="6"/>
        <v>1018-TCN17</v>
      </c>
      <c r="W41" s="626">
        <f t="shared" si="7"/>
        <v>521502</v>
      </c>
      <c r="X41" s="626" t="str">
        <f t="shared" si="8"/>
        <v>HIACE PANEL 15 PASAJ AC</v>
      </c>
      <c r="Y41" s="627">
        <f t="shared" si="8"/>
        <v>2017</v>
      </c>
      <c r="Z41" s="628">
        <f t="shared" si="9"/>
        <v>379112.61</v>
      </c>
      <c r="AA41" s="629"/>
      <c r="AB41" s="664"/>
      <c r="AC41" s="629">
        <f t="shared" ref="AC41:AC45" si="13">VLOOKUP(Z41,TARIFA,1)</f>
        <v>344993.21</v>
      </c>
      <c r="AD41" s="630">
        <f t="shared" ref="AD41:AD45" si="14">VLOOKUP(Z41,TARIFA,4)</f>
        <v>0.15</v>
      </c>
      <c r="AE41" s="629">
        <f t="shared" ref="AE41:AE45" si="15">VLOOKUP(Z41,TARIFA,3)</f>
        <v>12321.2</v>
      </c>
      <c r="AF41" s="629">
        <f t="shared" ref="AF41:AF51" si="16">IF(Z41&lt;281240.78,(((Z41-AC41)*AD41+AE41)/2),(Z41-AC41)*AD41+AE41)</f>
        <v>17439.109999999993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ht="12.75" customHeight="1" x14ac:dyDescent="0.2">
      <c r="A42" s="423">
        <f t="shared" si="11"/>
        <v>37</v>
      </c>
      <c r="B42" s="657" t="s">
        <v>2090</v>
      </c>
      <c r="C42" s="655">
        <v>521502</v>
      </c>
      <c r="D42" s="658">
        <v>5611</v>
      </c>
      <c r="E42" s="655" t="s">
        <v>225</v>
      </c>
      <c r="F42" s="546">
        <v>2017</v>
      </c>
      <c r="G42" s="659">
        <v>42809</v>
      </c>
      <c r="H42" s="655" t="s">
        <v>778</v>
      </c>
      <c r="I42" s="655" t="s">
        <v>2302</v>
      </c>
      <c r="J42" s="655" t="s">
        <v>729</v>
      </c>
      <c r="K42" s="655" t="s">
        <v>2454</v>
      </c>
      <c r="L42" s="655" t="s">
        <v>2600</v>
      </c>
      <c r="M42" s="660">
        <v>379112.61</v>
      </c>
      <c r="N42" s="660">
        <v>17439.11</v>
      </c>
      <c r="O42" s="660">
        <v>63448.28</v>
      </c>
      <c r="P42" s="660">
        <v>460000</v>
      </c>
      <c r="Q42" s="548"/>
      <c r="R42" s="660">
        <v>335727.72</v>
      </c>
      <c r="S42" s="549">
        <f t="shared" si="0"/>
        <v>124272.28000000003</v>
      </c>
      <c r="T42" s="113" t="s">
        <v>131</v>
      </c>
      <c r="U42" s="626" t="str">
        <f t="shared" si="5"/>
        <v>AA10646</v>
      </c>
      <c r="V42" s="627" t="str">
        <f t="shared" si="6"/>
        <v>0799-TCN17</v>
      </c>
      <c r="W42" s="626">
        <f t="shared" si="7"/>
        <v>521502</v>
      </c>
      <c r="X42" s="626" t="str">
        <f t="shared" si="8"/>
        <v>HIACE PANEL 15 PASAJ AC</v>
      </c>
      <c r="Y42" s="627">
        <f t="shared" si="8"/>
        <v>2017</v>
      </c>
      <c r="Z42" s="628">
        <f t="shared" si="9"/>
        <v>379112.61</v>
      </c>
      <c r="AA42" s="629"/>
      <c r="AB42" s="664"/>
      <c r="AC42" s="629">
        <f t="shared" si="13"/>
        <v>344993.21</v>
      </c>
      <c r="AD42" s="630">
        <f t="shared" si="14"/>
        <v>0.15</v>
      </c>
      <c r="AE42" s="629">
        <f t="shared" si="15"/>
        <v>12321.2</v>
      </c>
      <c r="AF42" s="629">
        <f t="shared" si="16"/>
        <v>17439.109999999993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ht="12.75" customHeight="1" x14ac:dyDescent="0.2">
      <c r="A43" s="423">
        <f t="shared" si="11"/>
        <v>38</v>
      </c>
      <c r="B43" s="657" t="s">
        <v>2099</v>
      </c>
      <c r="C43" s="655">
        <v>521502</v>
      </c>
      <c r="D43" s="658">
        <v>5611</v>
      </c>
      <c r="E43" s="655" t="s">
        <v>225</v>
      </c>
      <c r="F43" s="546">
        <v>2017</v>
      </c>
      <c r="G43" s="659">
        <v>42823</v>
      </c>
      <c r="H43" s="655" t="s">
        <v>778</v>
      </c>
      <c r="I43" s="655" t="s">
        <v>2312</v>
      </c>
      <c r="J43" s="655" t="s">
        <v>724</v>
      </c>
      <c r="K43" s="655" t="s">
        <v>2462</v>
      </c>
      <c r="L43" s="655" t="s">
        <v>2610</v>
      </c>
      <c r="M43" s="660">
        <v>379112.61</v>
      </c>
      <c r="N43" s="660">
        <v>17439.11</v>
      </c>
      <c r="O43" s="660">
        <v>63448.28</v>
      </c>
      <c r="P43" s="660">
        <v>460000</v>
      </c>
      <c r="Q43" s="548"/>
      <c r="R43" s="660">
        <v>336170</v>
      </c>
      <c r="S43" s="549">
        <f t="shared" si="0"/>
        <v>123830</v>
      </c>
      <c r="T43" s="113" t="s">
        <v>131</v>
      </c>
      <c r="U43" s="626" t="str">
        <f t="shared" si="5"/>
        <v>AA10750</v>
      </c>
      <c r="V43" s="627" t="str">
        <f t="shared" si="6"/>
        <v>1035-TCN17</v>
      </c>
      <c r="W43" s="626">
        <f t="shared" si="7"/>
        <v>521502</v>
      </c>
      <c r="X43" s="626" t="str">
        <f t="shared" si="8"/>
        <v>HIACE PANEL 15 PASAJ AC</v>
      </c>
      <c r="Y43" s="627">
        <f t="shared" si="8"/>
        <v>2017</v>
      </c>
      <c r="Z43" s="628">
        <f t="shared" si="9"/>
        <v>379112.61</v>
      </c>
      <c r="AA43" s="629"/>
      <c r="AB43" s="664"/>
      <c r="AC43" s="629">
        <f t="shared" si="13"/>
        <v>344993.21</v>
      </c>
      <c r="AD43" s="630">
        <f t="shared" si="14"/>
        <v>0.15</v>
      </c>
      <c r="AE43" s="629">
        <f t="shared" si="15"/>
        <v>12321.2</v>
      </c>
      <c r="AF43" s="629">
        <f t="shared" si="16"/>
        <v>17439.109999999993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3">
        <f t="shared" si="11"/>
        <v>39</v>
      </c>
      <c r="B44" s="657" t="s">
        <v>2085</v>
      </c>
      <c r="C44" s="655">
        <v>521502</v>
      </c>
      <c r="D44" s="658">
        <v>5611</v>
      </c>
      <c r="E44" s="655" t="s">
        <v>225</v>
      </c>
      <c r="F44" s="546">
        <v>2017</v>
      </c>
      <c r="G44" s="659">
        <v>42808</v>
      </c>
      <c r="H44" s="655" t="s">
        <v>2215</v>
      </c>
      <c r="I44" s="655" t="s">
        <v>2303</v>
      </c>
      <c r="J44" s="655" t="s">
        <v>729</v>
      </c>
      <c r="K44" s="655" t="s">
        <v>2452</v>
      </c>
      <c r="L44" s="655" t="s">
        <v>2601</v>
      </c>
      <c r="M44" s="660">
        <v>379112.61</v>
      </c>
      <c r="N44" s="660">
        <v>17439.11</v>
      </c>
      <c r="O44" s="660">
        <v>63448.28</v>
      </c>
      <c r="P44" s="660">
        <v>460000</v>
      </c>
      <c r="Q44" s="548"/>
      <c r="R44" s="660">
        <v>335727.72</v>
      </c>
      <c r="S44" s="549">
        <f t="shared" si="0"/>
        <v>124272.28000000003</v>
      </c>
      <c r="T44" s="267" t="s">
        <v>131</v>
      </c>
      <c r="U44" s="626" t="str">
        <f t="shared" si="5"/>
        <v>AA10621</v>
      </c>
      <c r="V44" s="627" t="str">
        <f t="shared" si="6"/>
        <v>0865-TCN17</v>
      </c>
      <c r="W44" s="626">
        <f t="shared" si="7"/>
        <v>521502</v>
      </c>
      <c r="X44" s="626" t="str">
        <f t="shared" si="8"/>
        <v>HIACE PANEL 15 PASAJ AC</v>
      </c>
      <c r="Y44" s="627">
        <f t="shared" si="8"/>
        <v>2017</v>
      </c>
      <c r="Z44" s="628">
        <f t="shared" si="9"/>
        <v>379112.61</v>
      </c>
      <c r="AA44" s="629"/>
      <c r="AB44" s="664"/>
      <c r="AC44" s="629">
        <f t="shared" si="13"/>
        <v>344993.21</v>
      </c>
      <c r="AD44" s="630">
        <f t="shared" si="14"/>
        <v>0.15</v>
      </c>
      <c r="AE44" s="629">
        <f t="shared" si="15"/>
        <v>12321.2</v>
      </c>
      <c r="AF44" s="629">
        <f t="shared" si="16"/>
        <v>17439.109999999993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3">
        <f t="shared" si="11"/>
        <v>40</v>
      </c>
      <c r="B45" s="657" t="s">
        <v>2092</v>
      </c>
      <c r="C45" s="655">
        <v>521502</v>
      </c>
      <c r="D45" s="658">
        <v>5611</v>
      </c>
      <c r="E45" s="655" t="s">
        <v>225</v>
      </c>
      <c r="F45" s="546">
        <v>2017</v>
      </c>
      <c r="G45" s="659">
        <v>42815</v>
      </c>
      <c r="H45" s="655" t="s">
        <v>739</v>
      </c>
      <c r="I45" s="655" t="s">
        <v>2306</v>
      </c>
      <c r="J45" s="655" t="s">
        <v>729</v>
      </c>
      <c r="K45" s="655" t="s">
        <v>2455</v>
      </c>
      <c r="L45" s="655" t="s">
        <v>2604</v>
      </c>
      <c r="M45" s="660">
        <v>379112.61</v>
      </c>
      <c r="N45" s="660">
        <v>17439.11</v>
      </c>
      <c r="O45" s="660">
        <v>63448.28</v>
      </c>
      <c r="P45" s="660">
        <v>460000</v>
      </c>
      <c r="Q45" s="548"/>
      <c r="R45" s="660">
        <v>335815.52</v>
      </c>
      <c r="S45" s="549">
        <f t="shared" si="0"/>
        <v>124184.47999999998</v>
      </c>
      <c r="T45" s="113" t="s">
        <v>131</v>
      </c>
      <c r="U45" s="626" t="str">
        <f t="shared" si="5"/>
        <v>AA10671</v>
      </c>
      <c r="V45" s="627" t="str">
        <f t="shared" si="6"/>
        <v>1000-TCN17</v>
      </c>
      <c r="W45" s="626">
        <f t="shared" si="7"/>
        <v>521502</v>
      </c>
      <c r="X45" s="626" t="str">
        <f t="shared" si="8"/>
        <v>HIACE PANEL 15 PASAJ AC</v>
      </c>
      <c r="Y45" s="627">
        <f t="shared" si="8"/>
        <v>2017</v>
      </c>
      <c r="Z45" s="628">
        <f t="shared" si="9"/>
        <v>379112.61</v>
      </c>
      <c r="AA45" s="629"/>
      <c r="AB45" s="664"/>
      <c r="AC45" s="629">
        <f t="shared" si="13"/>
        <v>344993.21</v>
      </c>
      <c r="AD45" s="630">
        <f t="shared" si="14"/>
        <v>0.15</v>
      </c>
      <c r="AE45" s="629">
        <f t="shared" si="15"/>
        <v>12321.2</v>
      </c>
      <c r="AF45" s="629">
        <f t="shared" si="16"/>
        <v>17439.109999999993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3">
        <f t="shared" si="11"/>
        <v>41</v>
      </c>
      <c r="B46" s="657" t="s">
        <v>2093</v>
      </c>
      <c r="C46" s="655">
        <v>521502</v>
      </c>
      <c r="D46" s="658">
        <v>5611</v>
      </c>
      <c r="E46" s="655" t="s">
        <v>225</v>
      </c>
      <c r="F46" s="546">
        <v>2017</v>
      </c>
      <c r="G46" s="659">
        <v>42816</v>
      </c>
      <c r="H46" s="655" t="s">
        <v>778</v>
      </c>
      <c r="I46" s="655" t="s">
        <v>2307</v>
      </c>
      <c r="J46" s="655" t="s">
        <v>729</v>
      </c>
      <c r="K46" s="655" t="s">
        <v>2456</v>
      </c>
      <c r="L46" s="655" t="s">
        <v>2605</v>
      </c>
      <c r="M46" s="660">
        <v>379112.61</v>
      </c>
      <c r="N46" s="660">
        <v>17439.11</v>
      </c>
      <c r="O46" s="660">
        <v>63448.28</v>
      </c>
      <c r="P46" s="660">
        <v>460000</v>
      </c>
      <c r="Q46" s="548"/>
      <c r="R46" s="660">
        <v>335727.72</v>
      </c>
      <c r="S46" s="549">
        <f t="shared" si="0"/>
        <v>124272.28000000003</v>
      </c>
      <c r="T46" s="113" t="s">
        <v>131</v>
      </c>
      <c r="U46" s="626" t="str">
        <f t="shared" si="5"/>
        <v>AA10692</v>
      </c>
      <c r="V46" s="627" t="str">
        <f t="shared" si="6"/>
        <v>0798-TCN17</v>
      </c>
      <c r="W46" s="626">
        <f t="shared" si="7"/>
        <v>521502</v>
      </c>
      <c r="X46" s="626" t="str">
        <f t="shared" si="8"/>
        <v>HIACE PANEL 15 PASAJ AC</v>
      </c>
      <c r="Y46" s="627">
        <f t="shared" si="8"/>
        <v>2017</v>
      </c>
      <c r="Z46" s="628">
        <f t="shared" si="9"/>
        <v>379112.61</v>
      </c>
      <c r="AA46" s="629"/>
      <c r="AB46" s="664"/>
      <c r="AC46" s="629">
        <f t="shared" si="1"/>
        <v>344993.21</v>
      </c>
      <c r="AD46" s="630">
        <f t="shared" si="2"/>
        <v>0.15</v>
      </c>
      <c r="AE46" s="629">
        <f t="shared" si="3"/>
        <v>12321.2</v>
      </c>
      <c r="AF46" s="629">
        <f t="shared" si="16"/>
        <v>17439.109999999993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3">
        <f t="shared" si="11"/>
        <v>42</v>
      </c>
      <c r="B47" s="657" t="s">
        <v>2088</v>
      </c>
      <c r="C47" s="655">
        <v>521502</v>
      </c>
      <c r="D47" s="658">
        <v>5611</v>
      </c>
      <c r="E47" s="655" t="s">
        <v>225</v>
      </c>
      <c r="F47" s="546">
        <v>2017</v>
      </c>
      <c r="G47" s="659">
        <v>42808</v>
      </c>
      <c r="H47" s="655" t="s">
        <v>2215</v>
      </c>
      <c r="I47" s="655" t="s">
        <v>2304</v>
      </c>
      <c r="J47" s="655" t="s">
        <v>729</v>
      </c>
      <c r="K47" s="655" t="s">
        <v>2452</v>
      </c>
      <c r="L47" s="655" t="s">
        <v>2602</v>
      </c>
      <c r="M47" s="660">
        <v>379112.61</v>
      </c>
      <c r="N47" s="660">
        <v>17439.11</v>
      </c>
      <c r="O47" s="660">
        <v>63448.28</v>
      </c>
      <c r="P47" s="660">
        <v>460000</v>
      </c>
      <c r="Q47" s="548"/>
      <c r="R47" s="660">
        <v>335727.72</v>
      </c>
      <c r="S47" s="549">
        <f t="shared" si="0"/>
        <v>124272.28000000003</v>
      </c>
      <c r="T47" s="267" t="s">
        <v>131</v>
      </c>
      <c r="U47" s="626" t="str">
        <f t="shared" si="5"/>
        <v>AA10622</v>
      </c>
      <c r="V47" s="627" t="str">
        <f t="shared" si="6"/>
        <v>0941-TCN17</v>
      </c>
      <c r="W47" s="626">
        <f t="shared" si="7"/>
        <v>521502</v>
      </c>
      <c r="X47" s="626" t="str">
        <f t="shared" si="8"/>
        <v>HIACE PANEL 15 PASAJ AC</v>
      </c>
      <c r="Y47" s="627">
        <f t="shared" si="8"/>
        <v>2017</v>
      </c>
      <c r="Z47" s="628">
        <f t="shared" si="9"/>
        <v>379112.61</v>
      </c>
      <c r="AA47" s="629"/>
      <c r="AB47" s="664"/>
      <c r="AC47" s="629">
        <f t="shared" si="1"/>
        <v>344993.21</v>
      </c>
      <c r="AD47" s="630">
        <f t="shared" si="2"/>
        <v>0.15</v>
      </c>
      <c r="AE47" s="629">
        <f t="shared" si="3"/>
        <v>12321.2</v>
      </c>
      <c r="AF47" s="629">
        <f t="shared" si="16"/>
        <v>17439.109999999993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3">
        <f t="shared" si="11"/>
        <v>43</v>
      </c>
      <c r="B48" s="657" t="s">
        <v>2100</v>
      </c>
      <c r="C48" s="655">
        <v>521502</v>
      </c>
      <c r="D48" s="658">
        <v>5611</v>
      </c>
      <c r="E48" s="655" t="s">
        <v>225</v>
      </c>
      <c r="F48" s="546">
        <v>2017</v>
      </c>
      <c r="G48" s="659">
        <v>42823</v>
      </c>
      <c r="H48" s="655" t="s">
        <v>727</v>
      </c>
      <c r="I48" s="655" t="s">
        <v>2313</v>
      </c>
      <c r="J48" s="655" t="s">
        <v>724</v>
      </c>
      <c r="K48" s="655" t="s">
        <v>830</v>
      </c>
      <c r="L48" s="655" t="s">
        <v>2611</v>
      </c>
      <c r="M48" s="660">
        <v>379112.61</v>
      </c>
      <c r="N48" s="660">
        <v>17439.11</v>
      </c>
      <c r="O48" s="660">
        <v>63448.28</v>
      </c>
      <c r="P48" s="660">
        <v>460000</v>
      </c>
      <c r="Q48" s="548"/>
      <c r="R48" s="660">
        <v>336170</v>
      </c>
      <c r="S48" s="549">
        <f t="shared" si="0"/>
        <v>123830</v>
      </c>
      <c r="T48" s="113" t="s">
        <v>131</v>
      </c>
      <c r="U48" s="626" t="str">
        <f t="shared" si="5"/>
        <v>AA10744</v>
      </c>
      <c r="V48" s="627" t="str">
        <f t="shared" si="6"/>
        <v>1052-TCN17</v>
      </c>
      <c r="W48" s="626">
        <f t="shared" si="7"/>
        <v>521502</v>
      </c>
      <c r="X48" s="626" t="str">
        <f t="shared" si="8"/>
        <v>HIACE PANEL 15 PASAJ AC</v>
      </c>
      <c r="Y48" s="627">
        <f t="shared" si="8"/>
        <v>2017</v>
      </c>
      <c r="Z48" s="628">
        <f t="shared" si="9"/>
        <v>379112.61</v>
      </c>
      <c r="AA48" s="629"/>
      <c r="AB48" s="664"/>
      <c r="AC48" s="629">
        <f t="shared" si="1"/>
        <v>344993.21</v>
      </c>
      <c r="AD48" s="630">
        <f t="shared" si="2"/>
        <v>0.15</v>
      </c>
      <c r="AE48" s="629">
        <f t="shared" si="3"/>
        <v>12321.2</v>
      </c>
      <c r="AF48" s="629">
        <f t="shared" si="16"/>
        <v>17439.109999999993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3">
        <f t="shared" si="11"/>
        <v>44</v>
      </c>
      <c r="B49" s="657" t="s">
        <v>2098</v>
      </c>
      <c r="C49" s="655">
        <v>521502</v>
      </c>
      <c r="D49" s="658">
        <v>5611</v>
      </c>
      <c r="E49" s="655" t="s">
        <v>225</v>
      </c>
      <c r="F49" s="546">
        <v>2017</v>
      </c>
      <c r="G49" s="659">
        <v>42819</v>
      </c>
      <c r="H49" s="655" t="s">
        <v>722</v>
      </c>
      <c r="I49" s="655" t="s">
        <v>2311</v>
      </c>
      <c r="J49" s="655" t="s">
        <v>724</v>
      </c>
      <c r="K49" s="655" t="s">
        <v>2461</v>
      </c>
      <c r="L49" s="655" t="s">
        <v>2609</v>
      </c>
      <c r="M49" s="660">
        <v>379112.61</v>
      </c>
      <c r="N49" s="660">
        <v>17439.11</v>
      </c>
      <c r="O49" s="660">
        <v>63448.28</v>
      </c>
      <c r="P49" s="660">
        <v>460000</v>
      </c>
      <c r="Q49" s="548"/>
      <c r="R49" s="660">
        <v>336170</v>
      </c>
      <c r="S49" s="549">
        <f t="shared" si="0"/>
        <v>123830</v>
      </c>
      <c r="T49" s="113" t="s">
        <v>131</v>
      </c>
      <c r="U49" s="626" t="str">
        <f t="shared" si="5"/>
        <v>AA10721</v>
      </c>
      <c r="V49" s="627" t="str">
        <f t="shared" si="6"/>
        <v>1037-TCN17</v>
      </c>
      <c r="W49" s="626">
        <f t="shared" si="7"/>
        <v>521502</v>
      </c>
      <c r="X49" s="626" t="str">
        <f t="shared" si="8"/>
        <v>HIACE PANEL 15 PASAJ AC</v>
      </c>
      <c r="Y49" s="627">
        <f t="shared" si="8"/>
        <v>2017</v>
      </c>
      <c r="Z49" s="628">
        <f t="shared" si="9"/>
        <v>379112.61</v>
      </c>
      <c r="AA49" s="629"/>
      <c r="AB49" s="664"/>
      <c r="AC49" s="629">
        <f t="shared" si="1"/>
        <v>344993.21</v>
      </c>
      <c r="AD49" s="630">
        <f t="shared" si="2"/>
        <v>0.15</v>
      </c>
      <c r="AE49" s="629">
        <f t="shared" si="3"/>
        <v>12321.2</v>
      </c>
      <c r="AF49" s="629">
        <f t="shared" si="16"/>
        <v>17439.109999999993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3">
        <f t="shared" si="11"/>
        <v>45</v>
      </c>
      <c r="B50" s="657" t="s">
        <v>2096</v>
      </c>
      <c r="C50" s="655">
        <v>521502</v>
      </c>
      <c r="D50" s="658">
        <v>5611</v>
      </c>
      <c r="E50" s="655" t="s">
        <v>225</v>
      </c>
      <c r="F50" s="546">
        <v>2017</v>
      </c>
      <c r="G50" s="659">
        <v>42817</v>
      </c>
      <c r="H50" s="655" t="s">
        <v>819</v>
      </c>
      <c r="I50" s="655" t="s">
        <v>2309</v>
      </c>
      <c r="J50" s="655" t="s">
        <v>724</v>
      </c>
      <c r="K50" s="655" t="s">
        <v>2459</v>
      </c>
      <c r="L50" s="655" t="s">
        <v>2607</v>
      </c>
      <c r="M50" s="660">
        <v>379112.61</v>
      </c>
      <c r="N50" s="660">
        <v>17439.11</v>
      </c>
      <c r="O50" s="660">
        <v>63448.28</v>
      </c>
      <c r="P50" s="660">
        <v>460000</v>
      </c>
      <c r="Q50" s="548"/>
      <c r="R50" s="660">
        <v>336170</v>
      </c>
      <c r="S50" s="549">
        <f t="shared" si="0"/>
        <v>123830</v>
      </c>
      <c r="T50" s="113" t="s">
        <v>131</v>
      </c>
      <c r="U50" s="626" t="str">
        <f t="shared" si="5"/>
        <v>AA10701</v>
      </c>
      <c r="V50" s="627" t="str">
        <f t="shared" si="6"/>
        <v>1016-TCN17</v>
      </c>
      <c r="W50" s="626">
        <f t="shared" si="7"/>
        <v>521502</v>
      </c>
      <c r="X50" s="626" t="str">
        <f t="shared" si="8"/>
        <v>HIACE PANEL 15 PASAJ AC</v>
      </c>
      <c r="Y50" s="627">
        <f t="shared" si="8"/>
        <v>2017</v>
      </c>
      <c r="Z50" s="628">
        <f t="shared" si="9"/>
        <v>379112.61</v>
      </c>
      <c r="AA50" s="629"/>
      <c r="AB50" s="664"/>
      <c r="AC50" s="629">
        <f t="shared" si="1"/>
        <v>344993.21</v>
      </c>
      <c r="AD50" s="630">
        <f t="shared" si="2"/>
        <v>0.15</v>
      </c>
      <c r="AE50" s="629">
        <f t="shared" si="3"/>
        <v>12321.2</v>
      </c>
      <c r="AF50" s="629">
        <f t="shared" si="16"/>
        <v>17439.109999999993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3">
        <f t="shared" si="11"/>
        <v>46</v>
      </c>
      <c r="B51" s="657" t="s">
        <v>2095</v>
      </c>
      <c r="C51" s="655">
        <v>521502</v>
      </c>
      <c r="D51" s="658">
        <v>5611</v>
      </c>
      <c r="E51" s="655" t="s">
        <v>225</v>
      </c>
      <c r="F51" s="546">
        <v>2017</v>
      </c>
      <c r="G51" s="659">
        <v>42817</v>
      </c>
      <c r="H51" s="655" t="s">
        <v>778</v>
      </c>
      <c r="I51" s="655" t="s">
        <v>2308</v>
      </c>
      <c r="J51" s="655" t="s">
        <v>729</v>
      </c>
      <c r="K51" s="655" t="s">
        <v>2458</v>
      </c>
      <c r="L51" s="655" t="s">
        <v>2606</v>
      </c>
      <c r="M51" s="660">
        <v>379112.61</v>
      </c>
      <c r="N51" s="660">
        <v>17439.11</v>
      </c>
      <c r="O51" s="660">
        <v>63448.28</v>
      </c>
      <c r="P51" s="660">
        <v>460000</v>
      </c>
      <c r="Q51" s="548"/>
      <c r="R51" s="660">
        <v>335727.72</v>
      </c>
      <c r="S51" s="549">
        <f t="shared" si="0"/>
        <v>124272.28000000003</v>
      </c>
      <c r="T51" s="113" t="s">
        <v>131</v>
      </c>
      <c r="U51" s="626" t="str">
        <f t="shared" si="5"/>
        <v>AA10697</v>
      </c>
      <c r="V51" s="627" t="str">
        <f t="shared" si="6"/>
        <v>0866-TCN17</v>
      </c>
      <c r="W51" s="626">
        <f t="shared" si="7"/>
        <v>521502</v>
      </c>
      <c r="X51" s="626" t="str">
        <f t="shared" si="8"/>
        <v>HIACE PANEL 15 PASAJ AC</v>
      </c>
      <c r="Y51" s="627">
        <f t="shared" si="8"/>
        <v>2017</v>
      </c>
      <c r="Z51" s="628">
        <f t="shared" si="9"/>
        <v>379112.61</v>
      </c>
      <c r="AA51" s="629">
        <f>+SUM(Z41:Z51)</f>
        <v>4170238.709999999</v>
      </c>
      <c r="AB51" s="664">
        <v>11</v>
      </c>
      <c r="AC51" s="629">
        <f t="shared" si="1"/>
        <v>344993.21</v>
      </c>
      <c r="AD51" s="630">
        <f t="shared" si="2"/>
        <v>0.15</v>
      </c>
      <c r="AE51" s="629">
        <f t="shared" si="3"/>
        <v>12321.2</v>
      </c>
      <c r="AF51" s="629">
        <f t="shared" si="16"/>
        <v>17439.109999999993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3">
        <f t="shared" si="11"/>
        <v>47</v>
      </c>
      <c r="B52" s="657" t="s">
        <v>1991</v>
      </c>
      <c r="C52" s="655">
        <v>521702</v>
      </c>
      <c r="D52" s="658">
        <v>2005</v>
      </c>
      <c r="E52" s="655" t="s">
        <v>701</v>
      </c>
      <c r="F52" s="546">
        <v>2017</v>
      </c>
      <c r="G52" s="659">
        <v>42825</v>
      </c>
      <c r="H52" s="655" t="s">
        <v>778</v>
      </c>
      <c r="I52" s="655" t="s">
        <v>2254</v>
      </c>
      <c r="J52" s="655" t="s">
        <v>724</v>
      </c>
      <c r="K52" s="655" t="s">
        <v>830</v>
      </c>
      <c r="L52" s="655" t="s">
        <v>2552</v>
      </c>
      <c r="M52" s="660">
        <v>177413.79</v>
      </c>
      <c r="N52" s="660">
        <v>0</v>
      </c>
      <c r="O52" s="660">
        <v>28386.21</v>
      </c>
      <c r="P52" s="660">
        <v>205800</v>
      </c>
      <c r="Q52" s="548"/>
      <c r="R52" s="660">
        <v>161270.1</v>
      </c>
      <c r="S52" s="549">
        <f t="shared" si="0"/>
        <v>44529.899999999994</v>
      </c>
      <c r="T52" s="267" t="s">
        <v>131</v>
      </c>
      <c r="U52" s="626" t="str">
        <f t="shared" si="5"/>
        <v>AA10777</v>
      </c>
      <c r="V52" s="627" t="str">
        <f t="shared" si="6"/>
        <v>1068-TCN17</v>
      </c>
      <c r="W52" s="626">
        <f t="shared" si="7"/>
        <v>521702</v>
      </c>
      <c r="X52" s="626" t="str">
        <f t="shared" si="8"/>
        <v>YARIS CORE MT, SEDAN</v>
      </c>
      <c r="Y52" s="627">
        <f t="shared" si="8"/>
        <v>2017</v>
      </c>
      <c r="Z52" s="628">
        <f t="shared" si="9"/>
        <v>177413.79</v>
      </c>
      <c r="AA52" s="629"/>
      <c r="AB52" s="664"/>
      <c r="AC52" s="629">
        <f t="shared" si="1"/>
        <v>0.01</v>
      </c>
      <c r="AD52" s="630">
        <f t="shared" si="2"/>
        <v>0.02</v>
      </c>
      <c r="AE52" s="629">
        <f t="shared" si="3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3">
        <f t="shared" si="11"/>
        <v>48</v>
      </c>
      <c r="B53" s="657" t="s">
        <v>1988</v>
      </c>
      <c r="C53" s="655">
        <v>521702</v>
      </c>
      <c r="D53" s="658">
        <v>2005</v>
      </c>
      <c r="E53" s="655" t="s">
        <v>701</v>
      </c>
      <c r="F53" s="546">
        <v>2017</v>
      </c>
      <c r="G53" s="659">
        <v>42815</v>
      </c>
      <c r="H53" s="655" t="s">
        <v>819</v>
      </c>
      <c r="I53" s="655" t="s">
        <v>2251</v>
      </c>
      <c r="J53" s="655" t="s">
        <v>724</v>
      </c>
      <c r="K53" s="655" t="s">
        <v>1008</v>
      </c>
      <c r="L53" s="655" t="s">
        <v>2549</v>
      </c>
      <c r="M53" s="660">
        <v>177413.79</v>
      </c>
      <c r="N53" s="660">
        <v>0</v>
      </c>
      <c r="O53" s="660">
        <v>28386.21</v>
      </c>
      <c r="P53" s="660">
        <v>205800</v>
      </c>
      <c r="Q53" s="548"/>
      <c r="R53" s="660">
        <v>161270.1</v>
      </c>
      <c r="S53" s="549">
        <f t="shared" si="0"/>
        <v>44529.899999999994</v>
      </c>
      <c r="T53" s="267" t="s">
        <v>131</v>
      </c>
      <c r="U53" s="626" t="str">
        <f t="shared" si="5"/>
        <v>AA10673</v>
      </c>
      <c r="V53" s="627" t="str">
        <f t="shared" si="6"/>
        <v>1004-TCN17</v>
      </c>
      <c r="W53" s="626">
        <f t="shared" si="7"/>
        <v>521702</v>
      </c>
      <c r="X53" s="626" t="str">
        <f t="shared" si="8"/>
        <v>YARIS CORE MT, SEDAN</v>
      </c>
      <c r="Y53" s="627">
        <f t="shared" si="8"/>
        <v>2017</v>
      </c>
      <c r="Z53" s="628">
        <f t="shared" si="9"/>
        <v>177413.79</v>
      </c>
      <c r="AA53" s="629"/>
      <c r="AB53" s="664"/>
      <c r="AC53" s="629">
        <f t="shared" si="1"/>
        <v>0.01</v>
      </c>
      <c r="AD53" s="630">
        <f t="shared" si="2"/>
        <v>0.02</v>
      </c>
      <c r="AE53" s="629">
        <f t="shared" si="3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3">
        <f t="shared" si="11"/>
        <v>49</v>
      </c>
      <c r="B54" s="657" t="s">
        <v>1989</v>
      </c>
      <c r="C54" s="655">
        <v>521702</v>
      </c>
      <c r="D54" s="658">
        <v>2005</v>
      </c>
      <c r="E54" s="655" t="s">
        <v>701</v>
      </c>
      <c r="F54" s="546">
        <v>2017</v>
      </c>
      <c r="G54" s="659">
        <v>42815</v>
      </c>
      <c r="H54" s="655" t="s">
        <v>1038</v>
      </c>
      <c r="I54" s="655" t="s">
        <v>2252</v>
      </c>
      <c r="J54" s="655" t="s">
        <v>724</v>
      </c>
      <c r="K54" s="655" t="s">
        <v>2414</v>
      </c>
      <c r="L54" s="655" t="s">
        <v>2550</v>
      </c>
      <c r="M54" s="660">
        <v>177413.79</v>
      </c>
      <c r="N54" s="660">
        <v>0</v>
      </c>
      <c r="O54" s="660">
        <v>28386.21</v>
      </c>
      <c r="P54" s="660">
        <v>205800</v>
      </c>
      <c r="Q54" s="548"/>
      <c r="R54" s="660">
        <v>160916.14000000001</v>
      </c>
      <c r="S54" s="549">
        <f t="shared" si="0"/>
        <v>44883.859999999986</v>
      </c>
      <c r="T54" s="113" t="s">
        <v>131</v>
      </c>
      <c r="U54" s="626" t="str">
        <f t="shared" si="5"/>
        <v>AA10676</v>
      </c>
      <c r="V54" s="627" t="str">
        <f t="shared" si="6"/>
        <v>1007-TCN17</v>
      </c>
      <c r="W54" s="626">
        <f t="shared" si="7"/>
        <v>521702</v>
      </c>
      <c r="X54" s="626" t="str">
        <f t="shared" si="8"/>
        <v>YARIS CORE MT, SEDAN</v>
      </c>
      <c r="Y54" s="627">
        <f t="shared" si="8"/>
        <v>2017</v>
      </c>
      <c r="Z54" s="628">
        <f t="shared" si="9"/>
        <v>177413.79</v>
      </c>
      <c r="AA54" s="629">
        <f>+SUM(Z52:Z54)</f>
        <v>532241.37</v>
      </c>
      <c r="AB54" s="665">
        <v>3</v>
      </c>
      <c r="AC54" s="629">
        <f t="shared" si="1"/>
        <v>0.01</v>
      </c>
      <c r="AD54" s="630">
        <f t="shared" si="2"/>
        <v>0.02</v>
      </c>
      <c r="AE54" s="629">
        <f t="shared" si="3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3">
        <f t="shared" si="11"/>
        <v>50</v>
      </c>
      <c r="B55" s="657" t="s">
        <v>2006</v>
      </c>
      <c r="C55" s="655">
        <v>521707</v>
      </c>
      <c r="D55" s="658">
        <v>2006</v>
      </c>
      <c r="E55" s="655" t="s">
        <v>702</v>
      </c>
      <c r="F55" s="546">
        <v>2017</v>
      </c>
      <c r="G55" s="659">
        <v>42823</v>
      </c>
      <c r="H55" s="655" t="s">
        <v>747</v>
      </c>
      <c r="I55" s="655" t="s">
        <v>2261</v>
      </c>
      <c r="J55" s="655" t="s">
        <v>729</v>
      </c>
      <c r="K55" s="655" t="s">
        <v>2422</v>
      </c>
      <c r="L55" s="655" t="s">
        <v>2559</v>
      </c>
      <c r="M55" s="660">
        <v>195172.41</v>
      </c>
      <c r="N55" s="660">
        <v>0</v>
      </c>
      <c r="O55" s="660">
        <v>31227.59</v>
      </c>
      <c r="P55" s="660">
        <v>226400</v>
      </c>
      <c r="Q55" s="548"/>
      <c r="R55" s="660">
        <v>176916.14</v>
      </c>
      <c r="S55" s="549">
        <f t="shared" si="0"/>
        <v>49483.859999999986</v>
      </c>
      <c r="T55" s="267" t="s">
        <v>131</v>
      </c>
      <c r="U55" s="626" t="str">
        <f t="shared" si="5"/>
        <v>AA10749</v>
      </c>
      <c r="V55" s="627" t="str">
        <f t="shared" si="6"/>
        <v>1021-TCN17</v>
      </c>
      <c r="W55" s="626">
        <f t="shared" si="7"/>
        <v>521707</v>
      </c>
      <c r="X55" s="626" t="str">
        <f t="shared" si="8"/>
        <v>YARIS CORE,SEDAN CVT.</v>
      </c>
      <c r="Y55" s="627">
        <f t="shared" si="8"/>
        <v>2017</v>
      </c>
      <c r="Z55" s="628">
        <f t="shared" si="9"/>
        <v>195172.41</v>
      </c>
      <c r="AA55" s="629"/>
      <c r="AB55" s="664"/>
      <c r="AC55" s="629">
        <f t="shared" si="1"/>
        <v>0.01</v>
      </c>
      <c r="AD55" s="630">
        <f t="shared" si="2"/>
        <v>0.02</v>
      </c>
      <c r="AE55" s="629">
        <f t="shared" si="3"/>
        <v>0</v>
      </c>
      <c r="AF55" s="629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3">
        <f t="shared" si="11"/>
        <v>51</v>
      </c>
      <c r="B56" s="657" t="s">
        <v>1995</v>
      </c>
      <c r="C56" s="655">
        <v>521707</v>
      </c>
      <c r="D56" s="658">
        <v>2006</v>
      </c>
      <c r="E56" s="655" t="s">
        <v>702</v>
      </c>
      <c r="F56" s="546">
        <v>2017</v>
      </c>
      <c r="G56" s="659">
        <v>42805</v>
      </c>
      <c r="H56" s="655" t="s">
        <v>817</v>
      </c>
      <c r="I56" s="655" t="s">
        <v>2256</v>
      </c>
      <c r="J56" s="655" t="s">
        <v>729</v>
      </c>
      <c r="K56" s="655" t="s">
        <v>2416</v>
      </c>
      <c r="L56" s="655" t="s">
        <v>2554</v>
      </c>
      <c r="M56" s="660">
        <v>195172.41</v>
      </c>
      <c r="N56" s="660">
        <v>0</v>
      </c>
      <c r="O56" s="660">
        <v>31227.59</v>
      </c>
      <c r="P56" s="660">
        <v>226400</v>
      </c>
      <c r="Q56" s="548"/>
      <c r="R56" s="660">
        <v>176916.14</v>
      </c>
      <c r="S56" s="549">
        <f t="shared" si="0"/>
        <v>49483.859999999986</v>
      </c>
      <c r="T56" s="113" t="s">
        <v>131</v>
      </c>
      <c r="U56" s="626" t="str">
        <f t="shared" si="5"/>
        <v>AA10611</v>
      </c>
      <c r="V56" s="627" t="str">
        <f t="shared" si="6"/>
        <v>0978-TCN17</v>
      </c>
      <c r="W56" s="626">
        <f t="shared" si="7"/>
        <v>521707</v>
      </c>
      <c r="X56" s="626" t="str">
        <f t="shared" si="8"/>
        <v>YARIS CORE,SEDAN CVT.</v>
      </c>
      <c r="Y56" s="627">
        <f t="shared" si="8"/>
        <v>2017</v>
      </c>
      <c r="Z56" s="628">
        <f t="shared" si="9"/>
        <v>195172.41</v>
      </c>
      <c r="AA56" s="629"/>
      <c r="AB56" s="664"/>
      <c r="AC56" s="629">
        <f t="shared" si="1"/>
        <v>0.01</v>
      </c>
      <c r="AD56" s="630">
        <f t="shared" si="2"/>
        <v>0.02</v>
      </c>
      <c r="AE56" s="629">
        <f t="shared" si="3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3">
        <f t="shared" si="11"/>
        <v>52</v>
      </c>
      <c r="B57" s="657" t="s">
        <v>2003</v>
      </c>
      <c r="C57" s="655">
        <v>521707</v>
      </c>
      <c r="D57" s="658">
        <v>2006</v>
      </c>
      <c r="E57" s="655" t="s">
        <v>702</v>
      </c>
      <c r="F57" s="546">
        <v>2017</v>
      </c>
      <c r="G57" s="659">
        <v>42811</v>
      </c>
      <c r="H57" s="655" t="s">
        <v>792</v>
      </c>
      <c r="I57" s="655" t="s">
        <v>2260</v>
      </c>
      <c r="J57" s="655" t="s">
        <v>729</v>
      </c>
      <c r="K57" s="655" t="s">
        <v>2421</v>
      </c>
      <c r="L57" s="655" t="s">
        <v>2558</v>
      </c>
      <c r="M57" s="660">
        <v>195172.41</v>
      </c>
      <c r="N57" s="660">
        <v>0</v>
      </c>
      <c r="O57" s="660">
        <v>31227.59</v>
      </c>
      <c r="P57" s="660">
        <v>226400</v>
      </c>
      <c r="Q57" s="548"/>
      <c r="R57" s="660">
        <v>176916.14</v>
      </c>
      <c r="S57" s="549">
        <f t="shared" si="0"/>
        <v>49483.859999999986</v>
      </c>
      <c r="T57" s="445" t="s">
        <v>131</v>
      </c>
      <c r="U57" s="626" t="str">
        <f t="shared" si="5"/>
        <v>AA10664</v>
      </c>
      <c r="V57" s="627" t="str">
        <f t="shared" si="6"/>
        <v>1002-TCN17</v>
      </c>
      <c r="W57" s="626">
        <f t="shared" si="7"/>
        <v>521707</v>
      </c>
      <c r="X57" s="626" t="str">
        <f t="shared" si="8"/>
        <v>YARIS CORE,SEDAN CVT.</v>
      </c>
      <c r="Y57" s="627">
        <f t="shared" si="8"/>
        <v>2017</v>
      </c>
      <c r="Z57" s="628">
        <f t="shared" si="9"/>
        <v>195172.41</v>
      </c>
      <c r="AA57" s="629"/>
      <c r="AB57" s="664"/>
      <c r="AC57" s="629">
        <f t="shared" si="1"/>
        <v>0.01</v>
      </c>
      <c r="AD57" s="630">
        <f t="shared" si="2"/>
        <v>0.02</v>
      </c>
      <c r="AE57" s="629">
        <f t="shared" si="3"/>
        <v>0</v>
      </c>
      <c r="AF57" s="629"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ht="12.75" customHeight="1" x14ac:dyDescent="0.2">
      <c r="A58" s="423">
        <f t="shared" si="11"/>
        <v>53</v>
      </c>
      <c r="B58" s="657" t="s">
        <v>2005</v>
      </c>
      <c r="C58" s="655">
        <v>521707</v>
      </c>
      <c r="D58" s="658">
        <v>2006</v>
      </c>
      <c r="E58" s="655" t="s">
        <v>702</v>
      </c>
      <c r="F58" s="546">
        <v>2017</v>
      </c>
      <c r="G58" s="659">
        <v>42822</v>
      </c>
      <c r="H58" s="655" t="s">
        <v>778</v>
      </c>
      <c r="I58" s="655" t="s">
        <v>2259</v>
      </c>
      <c r="J58" s="655" t="s">
        <v>729</v>
      </c>
      <c r="K58" s="655" t="s">
        <v>830</v>
      </c>
      <c r="L58" s="655" t="s">
        <v>2557</v>
      </c>
      <c r="M58" s="660">
        <v>195172.41</v>
      </c>
      <c r="N58" s="660">
        <v>0</v>
      </c>
      <c r="O58" s="660">
        <v>31227.59</v>
      </c>
      <c r="P58" s="660">
        <v>226400</v>
      </c>
      <c r="Q58" s="548"/>
      <c r="R58" s="660">
        <v>176916.14</v>
      </c>
      <c r="S58" s="549">
        <f t="shared" si="0"/>
        <v>49483.859999999986</v>
      </c>
      <c r="T58" s="444" t="s">
        <v>131</v>
      </c>
      <c r="U58" s="626" t="str">
        <f t="shared" si="5"/>
        <v>AA10737</v>
      </c>
      <c r="V58" s="627" t="str">
        <f t="shared" si="6"/>
        <v>0979-TCN17</v>
      </c>
      <c r="W58" s="626">
        <f t="shared" si="7"/>
        <v>521707</v>
      </c>
      <c r="X58" s="626" t="str">
        <f t="shared" si="8"/>
        <v>YARIS CORE,SEDAN CVT.</v>
      </c>
      <c r="Y58" s="627">
        <f t="shared" si="8"/>
        <v>2017</v>
      </c>
      <c r="Z58" s="628">
        <f t="shared" si="9"/>
        <v>195172.41</v>
      </c>
      <c r="AA58" s="629"/>
      <c r="AB58" s="664"/>
      <c r="AC58" s="629">
        <f t="shared" si="1"/>
        <v>0.01</v>
      </c>
      <c r="AD58" s="630">
        <f t="shared" si="2"/>
        <v>0.02</v>
      </c>
      <c r="AE58" s="629">
        <f t="shared" si="3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ht="12.75" customHeight="1" x14ac:dyDescent="0.2">
      <c r="A59" s="423">
        <f t="shared" si="11"/>
        <v>54</v>
      </c>
      <c r="B59" s="657" t="s">
        <v>2002</v>
      </c>
      <c r="C59" s="655">
        <v>521707</v>
      </c>
      <c r="D59" s="658">
        <v>2006</v>
      </c>
      <c r="E59" s="655" t="s">
        <v>702</v>
      </c>
      <c r="F59" s="546">
        <v>2017</v>
      </c>
      <c r="G59" s="659">
        <v>42810</v>
      </c>
      <c r="H59" s="655" t="s">
        <v>819</v>
      </c>
      <c r="I59" s="655" t="s">
        <v>2258</v>
      </c>
      <c r="J59" s="655" t="s">
        <v>729</v>
      </c>
      <c r="K59" s="655" t="s">
        <v>2420</v>
      </c>
      <c r="L59" s="655" t="s">
        <v>2556</v>
      </c>
      <c r="M59" s="660">
        <v>195172.41</v>
      </c>
      <c r="N59" s="660">
        <v>0</v>
      </c>
      <c r="O59" s="660">
        <v>31227.59</v>
      </c>
      <c r="P59" s="660">
        <v>226400</v>
      </c>
      <c r="Q59" s="548"/>
      <c r="R59" s="660">
        <v>176916.14</v>
      </c>
      <c r="S59" s="549">
        <f t="shared" si="0"/>
        <v>49483.859999999986</v>
      </c>
      <c r="T59" s="267" t="s">
        <v>131</v>
      </c>
      <c r="U59" s="626" t="str">
        <f t="shared" si="5"/>
        <v>AA10655</v>
      </c>
      <c r="V59" s="627" t="str">
        <f t="shared" si="6"/>
        <v>0986-TCN17</v>
      </c>
      <c r="W59" s="626">
        <f t="shared" si="7"/>
        <v>521707</v>
      </c>
      <c r="X59" s="626" t="str">
        <f t="shared" si="8"/>
        <v>YARIS CORE,SEDAN CVT.</v>
      </c>
      <c r="Y59" s="627">
        <f t="shared" si="8"/>
        <v>2017</v>
      </c>
      <c r="Z59" s="628">
        <f t="shared" si="9"/>
        <v>195172.41</v>
      </c>
      <c r="AA59" s="629"/>
      <c r="AB59" s="664"/>
      <c r="AC59" s="629">
        <f t="shared" si="1"/>
        <v>0.01</v>
      </c>
      <c r="AD59" s="630">
        <f t="shared" si="2"/>
        <v>0.02</v>
      </c>
      <c r="AE59" s="629">
        <f t="shared" si="3"/>
        <v>0</v>
      </c>
      <c r="AF59" s="629"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ht="12.75" customHeight="1" x14ac:dyDescent="0.2">
      <c r="A60" s="423">
        <f t="shared" si="11"/>
        <v>55</v>
      </c>
      <c r="B60" s="657" t="s">
        <v>1996</v>
      </c>
      <c r="C60" s="655">
        <v>521707</v>
      </c>
      <c r="D60" s="658">
        <v>2006</v>
      </c>
      <c r="E60" s="655" t="s">
        <v>702</v>
      </c>
      <c r="F60" s="546">
        <v>2017</v>
      </c>
      <c r="G60" s="659">
        <v>42808</v>
      </c>
      <c r="H60" s="655" t="s">
        <v>819</v>
      </c>
      <c r="I60" s="655" t="s">
        <v>2257</v>
      </c>
      <c r="J60" s="655" t="s">
        <v>729</v>
      </c>
      <c r="K60" s="655" t="s">
        <v>2417</v>
      </c>
      <c r="L60" s="655" t="s">
        <v>2555</v>
      </c>
      <c r="M60" s="660">
        <v>195172.41</v>
      </c>
      <c r="N60" s="660">
        <v>0</v>
      </c>
      <c r="O60" s="660">
        <v>31227.59</v>
      </c>
      <c r="P60" s="660">
        <v>226400</v>
      </c>
      <c r="Q60" s="548"/>
      <c r="R60" s="660">
        <v>176916.14</v>
      </c>
      <c r="S60" s="549">
        <f t="shared" si="0"/>
        <v>49483.859999999986</v>
      </c>
      <c r="T60" s="113" t="s">
        <v>131</v>
      </c>
      <c r="U60" s="626" t="str">
        <f t="shared" si="5"/>
        <v>AA10623</v>
      </c>
      <c r="V60" s="627" t="str">
        <f t="shared" si="6"/>
        <v>0947-TCN17</v>
      </c>
      <c r="W60" s="626">
        <f t="shared" si="7"/>
        <v>521707</v>
      </c>
      <c r="X60" s="626" t="str">
        <f t="shared" si="8"/>
        <v>YARIS CORE,SEDAN CVT.</v>
      </c>
      <c r="Y60" s="627">
        <f t="shared" si="8"/>
        <v>2017</v>
      </c>
      <c r="Z60" s="628">
        <f t="shared" si="9"/>
        <v>195172.41</v>
      </c>
      <c r="AA60" s="629"/>
      <c r="AB60" s="664"/>
      <c r="AC60" s="629">
        <f t="shared" si="1"/>
        <v>0.01</v>
      </c>
      <c r="AD60" s="630">
        <f t="shared" si="2"/>
        <v>0.02</v>
      </c>
      <c r="AE60" s="629">
        <f t="shared" si="3"/>
        <v>0</v>
      </c>
      <c r="AF60" s="629">
        <v>0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ht="12.75" customHeight="1" x14ac:dyDescent="0.2">
      <c r="A61" s="423">
        <f t="shared" si="11"/>
        <v>56</v>
      </c>
      <c r="B61" s="657" t="s">
        <v>1992</v>
      </c>
      <c r="C61" s="655">
        <v>521707</v>
      </c>
      <c r="D61" s="658">
        <v>2006</v>
      </c>
      <c r="E61" s="655" t="s">
        <v>702</v>
      </c>
      <c r="F61" s="546">
        <v>2017</v>
      </c>
      <c r="G61" s="659">
        <v>42800</v>
      </c>
      <c r="H61" s="655" t="s">
        <v>743</v>
      </c>
      <c r="I61" s="655" t="s">
        <v>2255</v>
      </c>
      <c r="J61" s="655" t="s">
        <v>724</v>
      </c>
      <c r="K61" s="655" t="s">
        <v>2415</v>
      </c>
      <c r="L61" s="655" t="s">
        <v>2553</v>
      </c>
      <c r="M61" s="660">
        <v>195172.41</v>
      </c>
      <c r="N61" s="660">
        <v>0</v>
      </c>
      <c r="O61" s="660">
        <v>31227.59</v>
      </c>
      <c r="P61" s="660">
        <v>226400</v>
      </c>
      <c r="Q61" s="548"/>
      <c r="R61" s="660">
        <v>177271.62</v>
      </c>
      <c r="S61" s="549">
        <f t="shared" si="0"/>
        <v>49128.380000000005</v>
      </c>
      <c r="T61" s="113" t="s">
        <v>131</v>
      </c>
      <c r="U61" s="626" t="str">
        <f t="shared" si="5"/>
        <v>AA10578</v>
      </c>
      <c r="V61" s="627" t="str">
        <f t="shared" si="6"/>
        <v>0894-TCN17</v>
      </c>
      <c r="W61" s="626">
        <f t="shared" si="7"/>
        <v>521707</v>
      </c>
      <c r="X61" s="626" t="str">
        <f t="shared" si="8"/>
        <v>YARIS CORE,SEDAN CVT.</v>
      </c>
      <c r="Y61" s="627">
        <f t="shared" si="8"/>
        <v>2017</v>
      </c>
      <c r="Z61" s="628">
        <f t="shared" si="9"/>
        <v>195172.41</v>
      </c>
      <c r="AA61" s="629"/>
      <c r="AB61" s="664"/>
      <c r="AC61" s="629">
        <f t="shared" si="1"/>
        <v>0.01</v>
      </c>
      <c r="AD61" s="630">
        <f t="shared" si="2"/>
        <v>0.02</v>
      </c>
      <c r="AE61" s="629">
        <f t="shared" si="3"/>
        <v>0</v>
      </c>
      <c r="AF61" s="629"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ht="12.75" customHeight="1" x14ac:dyDescent="0.2">
      <c r="A62" s="423">
        <f t="shared" si="11"/>
        <v>57</v>
      </c>
      <c r="B62" s="657" t="s">
        <v>2009</v>
      </c>
      <c r="C62" s="655">
        <v>521707</v>
      </c>
      <c r="D62" s="658">
        <v>2006</v>
      </c>
      <c r="E62" s="655" t="s">
        <v>702</v>
      </c>
      <c r="F62" s="546">
        <v>2017</v>
      </c>
      <c r="G62" s="659">
        <v>42825</v>
      </c>
      <c r="H62" s="655" t="s">
        <v>743</v>
      </c>
      <c r="I62" s="655" t="s">
        <v>2262</v>
      </c>
      <c r="J62" s="655" t="s">
        <v>729</v>
      </c>
      <c r="K62" s="655" t="s">
        <v>2423</v>
      </c>
      <c r="L62" s="655" t="s">
        <v>2560</v>
      </c>
      <c r="M62" s="660">
        <v>195172.41</v>
      </c>
      <c r="N62" s="660">
        <v>0</v>
      </c>
      <c r="O62" s="660">
        <v>31227.59</v>
      </c>
      <c r="P62" s="660">
        <v>226400</v>
      </c>
      <c r="Q62" s="548"/>
      <c r="R62" s="660">
        <v>176916.14</v>
      </c>
      <c r="S62" s="549">
        <f t="shared" si="0"/>
        <v>49483.859999999986</v>
      </c>
      <c r="T62" s="113" t="s">
        <v>131</v>
      </c>
      <c r="U62" s="626" t="str">
        <f t="shared" si="5"/>
        <v>AA10767</v>
      </c>
      <c r="V62" s="627" t="str">
        <f t="shared" si="6"/>
        <v>0997-TCN17</v>
      </c>
      <c r="W62" s="626">
        <f t="shared" si="7"/>
        <v>521707</v>
      </c>
      <c r="X62" s="626" t="str">
        <f t="shared" si="8"/>
        <v>YARIS CORE,SEDAN CVT.</v>
      </c>
      <c r="Y62" s="627">
        <f t="shared" si="8"/>
        <v>2017</v>
      </c>
      <c r="Z62" s="628">
        <f t="shared" si="9"/>
        <v>195172.41</v>
      </c>
      <c r="AA62" s="629">
        <f>+SUM(Z55:Z62)</f>
        <v>1561379.2799999998</v>
      </c>
      <c r="AB62" s="665">
        <v>8</v>
      </c>
      <c r="AC62" s="629">
        <f t="shared" si="1"/>
        <v>0.01</v>
      </c>
      <c r="AD62" s="630">
        <f t="shared" si="2"/>
        <v>0.02</v>
      </c>
      <c r="AE62" s="629">
        <f t="shared" si="3"/>
        <v>0</v>
      </c>
      <c r="AF62" s="629"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ht="12.75" customHeight="1" x14ac:dyDescent="0.2">
      <c r="A63" s="423">
        <f t="shared" si="11"/>
        <v>58</v>
      </c>
      <c r="B63" s="657" t="s">
        <v>2024</v>
      </c>
      <c r="C63" s="655">
        <v>521801</v>
      </c>
      <c r="D63" s="658">
        <v>2201</v>
      </c>
      <c r="E63" s="655" t="s">
        <v>704</v>
      </c>
      <c r="F63" s="546">
        <v>2017</v>
      </c>
      <c r="G63" s="659">
        <v>42797</v>
      </c>
      <c r="H63" s="655" t="s">
        <v>908</v>
      </c>
      <c r="I63" s="655" t="s">
        <v>2269</v>
      </c>
      <c r="J63" s="655" t="s">
        <v>729</v>
      </c>
      <c r="K63" s="655" t="s">
        <v>2431</v>
      </c>
      <c r="L63" s="655" t="s">
        <v>2567</v>
      </c>
      <c r="M63" s="660">
        <v>197586.21</v>
      </c>
      <c r="N63" s="660">
        <v>0</v>
      </c>
      <c r="O63" s="660">
        <v>31613.79</v>
      </c>
      <c r="P63" s="660">
        <v>229200</v>
      </c>
      <c r="Q63" s="548"/>
      <c r="R63" s="660">
        <v>178899.6</v>
      </c>
      <c r="S63" s="549">
        <f t="shared" si="0"/>
        <v>50300.399999999994</v>
      </c>
      <c r="T63" s="267" t="s">
        <v>131</v>
      </c>
      <c r="U63" s="626" t="str">
        <f t="shared" si="5"/>
        <v>AA10574</v>
      </c>
      <c r="V63" s="627" t="str">
        <f t="shared" si="6"/>
        <v>0733-TCN17</v>
      </c>
      <c r="W63" s="626">
        <f t="shared" si="7"/>
        <v>521801</v>
      </c>
      <c r="X63" s="626" t="str">
        <f t="shared" si="8"/>
        <v>AVANZA HI 5MT</v>
      </c>
      <c r="Y63" s="627">
        <f t="shared" si="8"/>
        <v>2017</v>
      </c>
      <c r="Z63" s="628">
        <f t="shared" si="9"/>
        <v>197586.21</v>
      </c>
      <c r="AA63" s="629">
        <f>+Z63</f>
        <v>197586.21</v>
      </c>
      <c r="AB63" s="665">
        <v>1</v>
      </c>
      <c r="AC63" s="629">
        <f t="shared" si="1"/>
        <v>0.01</v>
      </c>
      <c r="AD63" s="630">
        <f t="shared" si="2"/>
        <v>0.02</v>
      </c>
      <c r="AE63" s="629">
        <f t="shared" si="3"/>
        <v>0</v>
      </c>
      <c r="AF63" s="629"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3">
        <f t="shared" si="11"/>
        <v>59</v>
      </c>
      <c r="B64" s="657" t="s">
        <v>2046</v>
      </c>
      <c r="C64" s="655">
        <v>521802</v>
      </c>
      <c r="D64" s="658">
        <v>2204</v>
      </c>
      <c r="E64" s="655" t="s">
        <v>705</v>
      </c>
      <c r="F64" s="546">
        <v>2017</v>
      </c>
      <c r="G64" s="659">
        <v>42825</v>
      </c>
      <c r="H64" s="655" t="s">
        <v>722</v>
      </c>
      <c r="I64" s="655" t="s">
        <v>2282</v>
      </c>
      <c r="J64" s="655" t="s">
        <v>729</v>
      </c>
      <c r="K64" s="655" t="s">
        <v>2439</v>
      </c>
      <c r="L64" s="655" t="s">
        <v>2580</v>
      </c>
      <c r="M64" s="660">
        <v>226206.9</v>
      </c>
      <c r="N64" s="660">
        <v>0</v>
      </c>
      <c r="O64" s="660">
        <v>36193.1</v>
      </c>
      <c r="P64" s="660">
        <v>262400</v>
      </c>
      <c r="Q64" s="548"/>
      <c r="R64" s="660">
        <v>204658.22</v>
      </c>
      <c r="S64" s="549">
        <f t="shared" si="0"/>
        <v>57741.78</v>
      </c>
      <c r="T64" s="113" t="s">
        <v>131</v>
      </c>
      <c r="U64" s="626" t="str">
        <f t="shared" si="5"/>
        <v>AA10761</v>
      </c>
      <c r="V64" s="627" t="str">
        <f t="shared" si="6"/>
        <v>1057-TCN17</v>
      </c>
      <c r="W64" s="626">
        <f t="shared" si="7"/>
        <v>521802</v>
      </c>
      <c r="X64" s="626" t="str">
        <f t="shared" si="8"/>
        <v>AVANZA LIMITED</v>
      </c>
      <c r="Y64" s="627">
        <f t="shared" si="8"/>
        <v>2017</v>
      </c>
      <c r="Z64" s="628">
        <f t="shared" si="9"/>
        <v>226206.9</v>
      </c>
      <c r="AA64" s="629"/>
      <c r="AB64" s="664"/>
      <c r="AC64" s="629">
        <f t="shared" si="1"/>
        <v>0.01</v>
      </c>
      <c r="AD64" s="630">
        <f t="shared" si="2"/>
        <v>0.02</v>
      </c>
      <c r="AE64" s="629">
        <f t="shared" si="3"/>
        <v>0</v>
      </c>
      <c r="AF64" s="629"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3">
        <f t="shared" si="11"/>
        <v>60</v>
      </c>
      <c r="B65" s="657" t="s">
        <v>2029</v>
      </c>
      <c r="C65" s="655">
        <v>521802</v>
      </c>
      <c r="D65" s="658">
        <v>2202</v>
      </c>
      <c r="E65" s="655" t="s">
        <v>703</v>
      </c>
      <c r="F65" s="546">
        <v>2017</v>
      </c>
      <c r="G65" s="659">
        <v>42801</v>
      </c>
      <c r="H65" s="655" t="s">
        <v>788</v>
      </c>
      <c r="I65" s="655" t="s">
        <v>2272</v>
      </c>
      <c r="J65" s="655" t="s">
        <v>729</v>
      </c>
      <c r="K65" s="655" t="s">
        <v>2432</v>
      </c>
      <c r="L65" s="655" t="s">
        <v>2570</v>
      </c>
      <c r="M65" s="660">
        <v>201982.76</v>
      </c>
      <c r="N65" s="660">
        <v>0</v>
      </c>
      <c r="O65" s="660">
        <v>32317.24</v>
      </c>
      <c r="P65" s="660">
        <v>234300</v>
      </c>
      <c r="Q65" s="548"/>
      <c r="R65" s="660">
        <v>182856.5</v>
      </c>
      <c r="S65" s="549">
        <f t="shared" si="0"/>
        <v>51443.5</v>
      </c>
      <c r="T65" s="267" t="s">
        <v>131</v>
      </c>
      <c r="U65" s="626" t="str">
        <f t="shared" si="5"/>
        <v>AA10584</v>
      </c>
      <c r="V65" s="627" t="str">
        <f t="shared" si="6"/>
        <v>0939-TCN17</v>
      </c>
      <c r="W65" s="626">
        <f t="shared" si="7"/>
        <v>521802</v>
      </c>
      <c r="X65" s="626" t="str">
        <f t="shared" si="8"/>
        <v>AVANZA HI 4AT</v>
      </c>
      <c r="Y65" s="627">
        <f t="shared" si="8"/>
        <v>2017</v>
      </c>
      <c r="Z65" s="628">
        <f t="shared" si="9"/>
        <v>201982.76</v>
      </c>
      <c r="AA65" s="629"/>
      <c r="AB65" s="664"/>
      <c r="AC65" s="629">
        <f t="shared" si="1"/>
        <v>0.01</v>
      </c>
      <c r="AD65" s="630">
        <f t="shared" si="2"/>
        <v>0.02</v>
      </c>
      <c r="AE65" s="629">
        <f t="shared" si="3"/>
        <v>0</v>
      </c>
      <c r="AF65" s="629">
        <v>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3">
        <f>+A159+1</f>
        <v>63</v>
      </c>
      <c r="B66" s="657" t="s">
        <v>2036</v>
      </c>
      <c r="C66" s="655">
        <v>521802</v>
      </c>
      <c r="D66" s="658">
        <v>2202</v>
      </c>
      <c r="E66" s="655" t="s">
        <v>703</v>
      </c>
      <c r="F66" s="546">
        <v>2017</v>
      </c>
      <c r="G66" s="659">
        <v>42819</v>
      </c>
      <c r="H66" s="655" t="s">
        <v>792</v>
      </c>
      <c r="I66" s="655" t="s">
        <v>2276</v>
      </c>
      <c r="J66" s="655" t="s">
        <v>724</v>
      </c>
      <c r="K66" s="655" t="s">
        <v>2435</v>
      </c>
      <c r="L66" s="655" t="s">
        <v>2574</v>
      </c>
      <c r="M66" s="660">
        <v>201982.76</v>
      </c>
      <c r="N66" s="660">
        <v>0</v>
      </c>
      <c r="O66" s="660">
        <v>32317.24</v>
      </c>
      <c r="P66" s="660">
        <v>234300</v>
      </c>
      <c r="Q66" s="548"/>
      <c r="R66" s="660">
        <v>183210.97</v>
      </c>
      <c r="S66" s="549">
        <f t="shared" si="0"/>
        <v>51089.03</v>
      </c>
      <c r="T66" s="113" t="s">
        <v>131</v>
      </c>
      <c r="U66" s="626" t="str">
        <f t="shared" si="5"/>
        <v>AA10722</v>
      </c>
      <c r="V66" s="627" t="str">
        <f t="shared" si="6"/>
        <v>1036-TCN17</v>
      </c>
      <c r="W66" s="626">
        <f t="shared" si="7"/>
        <v>521802</v>
      </c>
      <c r="X66" s="626" t="str">
        <f t="shared" si="8"/>
        <v>AVANZA HI 4AT</v>
      </c>
      <c r="Y66" s="627">
        <f t="shared" si="8"/>
        <v>2017</v>
      </c>
      <c r="Z66" s="628">
        <f t="shared" si="9"/>
        <v>201982.76</v>
      </c>
      <c r="AA66" s="629"/>
      <c r="AB66" s="664"/>
      <c r="AC66" s="629">
        <f t="shared" si="1"/>
        <v>0.01</v>
      </c>
      <c r="AD66" s="630">
        <f t="shared" si="2"/>
        <v>0.02</v>
      </c>
      <c r="AE66" s="629">
        <f t="shared" si="3"/>
        <v>0</v>
      </c>
      <c r="AF66" s="629">
        <v>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ht="12.75" customHeight="1" x14ac:dyDescent="0.2">
      <c r="A67" s="423">
        <f t="shared" si="11"/>
        <v>64</v>
      </c>
      <c r="B67" s="657" t="s">
        <v>2039</v>
      </c>
      <c r="C67" s="655">
        <v>521802</v>
      </c>
      <c r="D67" s="658">
        <v>2204</v>
      </c>
      <c r="E67" s="655" t="s">
        <v>705</v>
      </c>
      <c r="F67" s="546">
        <v>2017</v>
      </c>
      <c r="G67" s="659">
        <v>42809</v>
      </c>
      <c r="H67" s="655" t="s">
        <v>747</v>
      </c>
      <c r="I67" s="655" t="s">
        <v>2279</v>
      </c>
      <c r="J67" s="655" t="s">
        <v>729</v>
      </c>
      <c r="K67" s="655" t="s">
        <v>2436</v>
      </c>
      <c r="L67" s="655" t="s">
        <v>2577</v>
      </c>
      <c r="M67" s="660">
        <v>226206.9</v>
      </c>
      <c r="N67" s="660">
        <v>0</v>
      </c>
      <c r="O67" s="660">
        <v>36193.1</v>
      </c>
      <c r="P67" s="660">
        <v>262400</v>
      </c>
      <c r="Q67" s="548"/>
      <c r="R67" s="660">
        <v>204658.22</v>
      </c>
      <c r="S67" s="549">
        <f t="shared" si="0"/>
        <v>57741.78</v>
      </c>
      <c r="T67" s="113" t="s">
        <v>131</v>
      </c>
      <c r="U67" s="626" t="str">
        <f t="shared" si="5"/>
        <v>AA10649</v>
      </c>
      <c r="V67" s="627" t="str">
        <f t="shared" si="6"/>
        <v>0916-TCN17</v>
      </c>
      <c r="W67" s="626">
        <f t="shared" si="7"/>
        <v>521802</v>
      </c>
      <c r="X67" s="626" t="str">
        <f t="shared" si="8"/>
        <v>AVANZA LIMITED</v>
      </c>
      <c r="Y67" s="627">
        <f t="shared" si="8"/>
        <v>2017</v>
      </c>
      <c r="Z67" s="628">
        <f t="shared" si="9"/>
        <v>226206.9</v>
      </c>
      <c r="AA67" s="629"/>
      <c r="AB67" s="664"/>
      <c r="AC67" s="629">
        <f t="shared" si="1"/>
        <v>0.01</v>
      </c>
      <c r="AD67" s="630">
        <f t="shared" si="2"/>
        <v>0.02</v>
      </c>
      <c r="AE67" s="629">
        <f t="shared" si="3"/>
        <v>0</v>
      </c>
      <c r="AF67" s="629"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ht="13.5" customHeight="1" x14ac:dyDescent="0.2">
      <c r="A68" s="423">
        <f t="shared" si="11"/>
        <v>65</v>
      </c>
      <c r="B68" s="657" t="s">
        <v>2030</v>
      </c>
      <c r="C68" s="655">
        <v>521802</v>
      </c>
      <c r="D68" s="658">
        <v>2202</v>
      </c>
      <c r="E68" s="655" t="s">
        <v>703</v>
      </c>
      <c r="F68" s="546">
        <v>2017</v>
      </c>
      <c r="G68" s="659">
        <v>42803</v>
      </c>
      <c r="H68" s="655" t="s">
        <v>2215</v>
      </c>
      <c r="I68" s="655" t="s">
        <v>2273</v>
      </c>
      <c r="J68" s="655" t="s">
        <v>729</v>
      </c>
      <c r="K68" s="655" t="s">
        <v>2433</v>
      </c>
      <c r="L68" s="655" t="s">
        <v>2571</v>
      </c>
      <c r="M68" s="660">
        <v>201982.76</v>
      </c>
      <c r="N68" s="660">
        <v>0</v>
      </c>
      <c r="O68" s="660">
        <v>32317.24</v>
      </c>
      <c r="P68" s="660">
        <v>234300</v>
      </c>
      <c r="Q68" s="548"/>
      <c r="R68" s="660">
        <v>182856.5</v>
      </c>
      <c r="S68" s="549">
        <f t="shared" si="0"/>
        <v>51443.5</v>
      </c>
      <c r="T68" s="113" t="s">
        <v>131</v>
      </c>
      <c r="U68" s="626" t="str">
        <f t="shared" si="5"/>
        <v>AA10593</v>
      </c>
      <c r="V68" s="627" t="str">
        <f t="shared" si="6"/>
        <v>0940-TCN17</v>
      </c>
      <c r="W68" s="626">
        <f t="shared" si="7"/>
        <v>521802</v>
      </c>
      <c r="X68" s="626" t="str">
        <f t="shared" si="8"/>
        <v>AVANZA HI 4AT</v>
      </c>
      <c r="Y68" s="627">
        <f t="shared" si="8"/>
        <v>2017</v>
      </c>
      <c r="Z68" s="628">
        <f t="shared" si="9"/>
        <v>201982.76</v>
      </c>
      <c r="AA68" s="629">
        <f>+SUM(Z64:Z68)</f>
        <v>1058362.08</v>
      </c>
      <c r="AB68" s="665">
        <v>5</v>
      </c>
      <c r="AC68" s="629">
        <f t="shared" si="1"/>
        <v>0.01</v>
      </c>
      <c r="AD68" s="630">
        <f t="shared" si="2"/>
        <v>0.02</v>
      </c>
      <c r="AE68" s="629">
        <f t="shared" si="3"/>
        <v>0</v>
      </c>
      <c r="AF68" s="629">
        <v>0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ht="12.75" customHeight="1" x14ac:dyDescent="0.2">
      <c r="A69" s="423">
        <f t="shared" si="11"/>
        <v>66</v>
      </c>
      <c r="B69" s="657" t="s">
        <v>2101</v>
      </c>
      <c r="C69" s="655">
        <v>521909</v>
      </c>
      <c r="D69" s="658">
        <v>6986</v>
      </c>
      <c r="E69" s="655" t="s">
        <v>707</v>
      </c>
      <c r="F69" s="546">
        <v>2017</v>
      </c>
      <c r="G69" s="659">
        <v>42808</v>
      </c>
      <c r="H69" s="655" t="s">
        <v>788</v>
      </c>
      <c r="I69" s="655" t="s">
        <v>2314</v>
      </c>
      <c r="J69" s="655" t="s">
        <v>724</v>
      </c>
      <c r="K69" s="655" t="s">
        <v>2463</v>
      </c>
      <c r="L69" s="655" t="s">
        <v>2612</v>
      </c>
      <c r="M69" s="660">
        <v>556975.31999999995</v>
      </c>
      <c r="N69" s="660">
        <v>46386.75</v>
      </c>
      <c r="O69" s="660">
        <v>96537.93</v>
      </c>
      <c r="P69" s="660">
        <v>699900</v>
      </c>
      <c r="Q69" s="548"/>
      <c r="R69" s="660">
        <v>492961.53</v>
      </c>
      <c r="S69" s="549">
        <f t="shared" si="0"/>
        <v>206938.46999999997</v>
      </c>
      <c r="T69" s="267" t="s">
        <v>131</v>
      </c>
      <c r="U69" s="626" t="str">
        <f t="shared" si="5"/>
        <v>AA10629</v>
      </c>
      <c r="V69" s="627" t="str">
        <f t="shared" si="6"/>
        <v>0984-TCN17</v>
      </c>
      <c r="W69" s="626">
        <f t="shared" si="7"/>
        <v>521909</v>
      </c>
      <c r="X69" s="626" t="str">
        <f t="shared" si="8"/>
        <v>HIGHLANDER LIMITED BLUE- RAY</v>
      </c>
      <c r="Y69" s="627">
        <f t="shared" si="8"/>
        <v>2017</v>
      </c>
      <c r="Z69" s="628">
        <f t="shared" si="9"/>
        <v>556975.31999999995</v>
      </c>
      <c r="AA69" s="629">
        <f>+Z69</f>
        <v>556975.31999999995</v>
      </c>
      <c r="AB69" s="664">
        <v>1</v>
      </c>
      <c r="AC69" s="629">
        <f t="shared" si="1"/>
        <v>443562.4</v>
      </c>
      <c r="AD69" s="630">
        <f t="shared" si="2"/>
        <v>0.17</v>
      </c>
      <c r="AE69" s="629">
        <f t="shared" si="3"/>
        <v>27106.55</v>
      </c>
      <c r="AF69" s="629">
        <f t="shared" ref="AF69" si="17">IF(Z69&lt;281240.78,(((Z69-AC69)*AD69+AE69)/2),(Z69-AC69)*AD69+AE69)</f>
        <v>46386.746399999989</v>
      </c>
      <c r="AG69" s="555">
        <f t="shared" si="10"/>
        <v>3.6000000109197572E-3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ht="13.5" customHeight="1" x14ac:dyDescent="0.2">
      <c r="A70" s="423">
        <f t="shared" si="11"/>
        <v>67</v>
      </c>
      <c r="B70" s="657" t="s">
        <v>1947</v>
      </c>
      <c r="C70" s="655">
        <v>522401</v>
      </c>
      <c r="D70" s="658">
        <v>1062</v>
      </c>
      <c r="E70" s="655" t="s">
        <v>709</v>
      </c>
      <c r="F70" s="546">
        <v>2017</v>
      </c>
      <c r="G70" s="659">
        <v>42825</v>
      </c>
      <c r="H70" s="655" t="s">
        <v>792</v>
      </c>
      <c r="I70" s="655" t="s">
        <v>2228</v>
      </c>
      <c r="J70" s="655" t="s">
        <v>724</v>
      </c>
      <c r="K70" s="655" t="s">
        <v>2396</v>
      </c>
      <c r="L70" s="655" t="s">
        <v>2526</v>
      </c>
      <c r="M70" s="660">
        <v>224137.93</v>
      </c>
      <c r="N70" s="660">
        <v>0</v>
      </c>
      <c r="O70" s="660">
        <v>35862.07</v>
      </c>
      <c r="P70" s="660">
        <v>260000</v>
      </c>
      <c r="Q70" s="548"/>
      <c r="R70" s="660">
        <v>203012.91</v>
      </c>
      <c r="S70" s="549">
        <f t="shared" ref="S70:S133" si="18">+P70-R70</f>
        <v>56987.09</v>
      </c>
      <c r="T70" s="267" t="s">
        <v>131</v>
      </c>
      <c r="U70" s="626" t="str">
        <f t="shared" si="5"/>
        <v>AA10771</v>
      </c>
      <c r="V70" s="627" t="str">
        <f t="shared" si="6"/>
        <v>0987-TCN17</v>
      </c>
      <c r="W70" s="626">
        <f t="shared" si="7"/>
        <v>522401</v>
      </c>
      <c r="X70" s="626" t="str">
        <f t="shared" si="8"/>
        <v>YARIS XLE R AT</v>
      </c>
      <c r="Y70" s="627">
        <f t="shared" si="8"/>
        <v>2017</v>
      </c>
      <c r="Z70" s="628">
        <f t="shared" si="9"/>
        <v>224137.93</v>
      </c>
      <c r="AA70" s="629"/>
      <c r="AB70" s="664"/>
      <c r="AC70" s="629">
        <f t="shared" ref="AC70:AC81" si="19">VLOOKUP(Z70,TARIFA,1)</f>
        <v>0.01</v>
      </c>
      <c r="AD70" s="630">
        <f t="shared" ref="AD70:AD75" si="20">VLOOKUP(Z70,TARIFA,4)</f>
        <v>0.02</v>
      </c>
      <c r="AE70" s="629">
        <f t="shared" ref="AE70:AE81" si="21">VLOOKUP(Z70,TARIFA,3)</f>
        <v>0</v>
      </c>
      <c r="AF70" s="629">
        <v>0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ht="13.5" customHeight="1" x14ac:dyDescent="0.2">
      <c r="A71" s="423">
        <f t="shared" si="11"/>
        <v>68</v>
      </c>
      <c r="B71" s="657" t="s">
        <v>1941</v>
      </c>
      <c r="C71" s="655">
        <v>522401</v>
      </c>
      <c r="D71" s="658">
        <v>1062</v>
      </c>
      <c r="E71" s="655" t="s">
        <v>709</v>
      </c>
      <c r="F71" s="546">
        <v>2017</v>
      </c>
      <c r="G71" s="659">
        <v>42809</v>
      </c>
      <c r="H71" s="655" t="s">
        <v>778</v>
      </c>
      <c r="I71" s="655" t="s">
        <v>2224</v>
      </c>
      <c r="J71" s="655" t="s">
        <v>724</v>
      </c>
      <c r="K71" s="655" t="s">
        <v>2392</v>
      </c>
      <c r="L71" s="655" t="s">
        <v>2522</v>
      </c>
      <c r="M71" s="660">
        <v>224137.93</v>
      </c>
      <c r="N71" s="660">
        <v>0</v>
      </c>
      <c r="O71" s="660">
        <v>35862.07</v>
      </c>
      <c r="P71" s="660">
        <v>260000</v>
      </c>
      <c r="Q71" s="548"/>
      <c r="R71" s="660">
        <v>203013.91</v>
      </c>
      <c r="S71" s="549">
        <f t="shared" si="18"/>
        <v>56986.09</v>
      </c>
      <c r="T71" s="267" t="s">
        <v>131</v>
      </c>
      <c r="U71" s="626" t="str">
        <f t="shared" ref="U71:U109" si="22">+B71</f>
        <v>AA10641</v>
      </c>
      <c r="V71" s="627" t="str">
        <f t="shared" ref="V71:V109" si="23">+I71</f>
        <v>0973-TCN17</v>
      </c>
      <c r="W71" s="626">
        <f t="shared" ref="W71:W109" si="24">+C71</f>
        <v>522401</v>
      </c>
      <c r="X71" s="626" t="str">
        <f t="shared" ref="X71:Y99" si="25">+E71</f>
        <v>YARIS XLE R AT</v>
      </c>
      <c r="Y71" s="627">
        <f t="shared" si="25"/>
        <v>2017</v>
      </c>
      <c r="Z71" s="628">
        <f t="shared" ref="Z71:Z109" si="26">+M71</f>
        <v>224137.93</v>
      </c>
      <c r="AA71" s="629"/>
      <c r="AB71" s="664"/>
      <c r="AC71" s="629">
        <f t="shared" si="19"/>
        <v>0.01</v>
      </c>
      <c r="AD71" s="630">
        <f t="shared" si="20"/>
        <v>0.02</v>
      </c>
      <c r="AE71" s="629">
        <f t="shared" si="21"/>
        <v>0</v>
      </c>
      <c r="AF71" s="629">
        <f>+N71</f>
        <v>0</v>
      </c>
      <c r="AG71" s="555">
        <f t="shared" ref="AG71:AG109" si="27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ht="12.75" customHeight="1" x14ac:dyDescent="0.2">
      <c r="A72" s="423">
        <f t="shared" ref="A72:A135" si="28">+A71+1</f>
        <v>69</v>
      </c>
      <c r="B72" s="657" t="s">
        <v>1943</v>
      </c>
      <c r="C72" s="655">
        <v>522401</v>
      </c>
      <c r="D72" s="658">
        <v>1062</v>
      </c>
      <c r="E72" s="655" t="s">
        <v>709</v>
      </c>
      <c r="F72" s="546">
        <v>2017</v>
      </c>
      <c r="G72" s="659">
        <v>42811</v>
      </c>
      <c r="H72" s="655" t="s">
        <v>727</v>
      </c>
      <c r="I72" s="655" t="s">
        <v>2226</v>
      </c>
      <c r="J72" s="655" t="s">
        <v>729</v>
      </c>
      <c r="K72" s="655" t="s">
        <v>2393</v>
      </c>
      <c r="L72" s="655" t="s">
        <v>2524</v>
      </c>
      <c r="M72" s="660">
        <v>224137.93</v>
      </c>
      <c r="N72" s="660">
        <v>0</v>
      </c>
      <c r="O72" s="660">
        <v>35862.07</v>
      </c>
      <c r="P72" s="660">
        <v>260000</v>
      </c>
      <c r="Q72" s="548"/>
      <c r="R72" s="660">
        <v>202658.43</v>
      </c>
      <c r="S72" s="549">
        <f t="shared" si="18"/>
        <v>57341.570000000007</v>
      </c>
      <c r="T72" s="113" t="s">
        <v>131</v>
      </c>
      <c r="U72" s="626" t="str">
        <f t="shared" si="22"/>
        <v>AA10659</v>
      </c>
      <c r="V72" s="627" t="str">
        <f t="shared" si="23"/>
        <v>0988-TCN17</v>
      </c>
      <c r="W72" s="626">
        <f t="shared" si="24"/>
        <v>522401</v>
      </c>
      <c r="X72" s="626" t="str">
        <f t="shared" si="25"/>
        <v>YARIS XLE R AT</v>
      </c>
      <c r="Y72" s="627">
        <f t="shared" si="25"/>
        <v>2017</v>
      </c>
      <c r="Z72" s="628">
        <f t="shared" si="26"/>
        <v>224137.93</v>
      </c>
      <c r="AA72" s="629"/>
      <c r="AB72" s="664"/>
      <c r="AC72" s="629">
        <f t="shared" si="19"/>
        <v>0.01</v>
      </c>
      <c r="AD72" s="630">
        <f t="shared" si="20"/>
        <v>0.02</v>
      </c>
      <c r="AE72" s="629">
        <f t="shared" si="21"/>
        <v>0</v>
      </c>
      <c r="AF72" s="629">
        <f>+N72</f>
        <v>0</v>
      </c>
      <c r="AG72" s="555">
        <f t="shared" si="27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ht="12.75" customHeight="1" x14ac:dyDescent="0.2">
      <c r="A73" s="423">
        <f t="shared" si="28"/>
        <v>70</v>
      </c>
      <c r="B73" s="657" t="s">
        <v>1946</v>
      </c>
      <c r="C73" s="655">
        <v>522401</v>
      </c>
      <c r="D73" s="658">
        <v>1062</v>
      </c>
      <c r="E73" s="655" t="s">
        <v>709</v>
      </c>
      <c r="F73" s="546">
        <v>2017</v>
      </c>
      <c r="G73" s="659">
        <v>42818</v>
      </c>
      <c r="H73" s="655" t="s">
        <v>2214</v>
      </c>
      <c r="I73" s="655" t="s">
        <v>2227</v>
      </c>
      <c r="J73" s="655" t="s">
        <v>724</v>
      </c>
      <c r="K73" s="655" t="s">
        <v>2395</v>
      </c>
      <c r="L73" s="655" t="s">
        <v>2525</v>
      </c>
      <c r="M73" s="660">
        <v>224137.93</v>
      </c>
      <c r="N73" s="660">
        <v>0</v>
      </c>
      <c r="O73" s="660">
        <v>35862.07</v>
      </c>
      <c r="P73" s="660">
        <v>260000</v>
      </c>
      <c r="Q73" s="548"/>
      <c r="R73" s="660">
        <v>203012.91</v>
      </c>
      <c r="S73" s="549">
        <f t="shared" si="18"/>
        <v>56987.09</v>
      </c>
      <c r="T73" s="113" t="s">
        <v>131</v>
      </c>
      <c r="U73" s="626" t="str">
        <f t="shared" si="22"/>
        <v>AA10711</v>
      </c>
      <c r="V73" s="627" t="str">
        <f t="shared" si="23"/>
        <v>1012-TCN17</v>
      </c>
      <c r="W73" s="626">
        <f t="shared" si="24"/>
        <v>522401</v>
      </c>
      <c r="X73" s="626" t="str">
        <f t="shared" si="25"/>
        <v>YARIS XLE R AT</v>
      </c>
      <c r="Y73" s="627">
        <f t="shared" si="25"/>
        <v>2017</v>
      </c>
      <c r="Z73" s="628">
        <f t="shared" si="26"/>
        <v>224137.93</v>
      </c>
      <c r="AA73" s="629"/>
      <c r="AB73" s="664"/>
      <c r="AC73" s="629">
        <f t="shared" si="19"/>
        <v>0.01</v>
      </c>
      <c r="AD73" s="630">
        <f t="shared" si="20"/>
        <v>0.02</v>
      </c>
      <c r="AE73" s="629">
        <f t="shared" si="21"/>
        <v>0</v>
      </c>
      <c r="AF73" s="629">
        <v>0</v>
      </c>
      <c r="AG73" s="555">
        <f t="shared" si="27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ht="12.75" customHeight="1" x14ac:dyDescent="0.2">
      <c r="A74" s="423">
        <f t="shared" si="28"/>
        <v>71</v>
      </c>
      <c r="B74" s="657" t="s">
        <v>1940</v>
      </c>
      <c r="C74" s="655">
        <v>522401</v>
      </c>
      <c r="D74" s="658">
        <v>1062</v>
      </c>
      <c r="E74" s="655" t="s">
        <v>709</v>
      </c>
      <c r="F74" s="546">
        <v>2017</v>
      </c>
      <c r="G74" s="659">
        <v>42808</v>
      </c>
      <c r="H74" s="655" t="s">
        <v>747</v>
      </c>
      <c r="I74" s="655" t="s">
        <v>2223</v>
      </c>
      <c r="J74" s="655" t="s">
        <v>724</v>
      </c>
      <c r="K74" s="655" t="s">
        <v>2391</v>
      </c>
      <c r="L74" s="655" t="s">
        <v>2521</v>
      </c>
      <c r="M74" s="660">
        <v>224137.93</v>
      </c>
      <c r="N74" s="660">
        <v>0</v>
      </c>
      <c r="O74" s="660">
        <v>35862.07</v>
      </c>
      <c r="P74" s="660">
        <v>260000</v>
      </c>
      <c r="Q74" s="548"/>
      <c r="R74" s="660">
        <v>203012.91</v>
      </c>
      <c r="S74" s="549">
        <f t="shared" si="18"/>
        <v>56987.09</v>
      </c>
      <c r="T74" s="113" t="s">
        <v>131</v>
      </c>
      <c r="U74" s="626" t="str">
        <f t="shared" si="22"/>
        <v>AA10630</v>
      </c>
      <c r="V74" s="627" t="str">
        <f t="shared" si="23"/>
        <v>0983-TCN17</v>
      </c>
      <c r="W74" s="626">
        <f t="shared" si="24"/>
        <v>522401</v>
      </c>
      <c r="X74" s="626" t="str">
        <f t="shared" si="25"/>
        <v>YARIS XLE R AT</v>
      </c>
      <c r="Y74" s="627">
        <f t="shared" si="25"/>
        <v>2017</v>
      </c>
      <c r="Z74" s="628">
        <f t="shared" si="26"/>
        <v>224137.93</v>
      </c>
      <c r="AA74" s="629">
        <f>+SUM(Z70:Z74)</f>
        <v>1120689.6499999999</v>
      </c>
      <c r="AB74" s="665">
        <v>5</v>
      </c>
      <c r="AC74" s="629">
        <f t="shared" si="19"/>
        <v>0.01</v>
      </c>
      <c r="AD74" s="630">
        <f t="shared" si="20"/>
        <v>0.02</v>
      </c>
      <c r="AE74" s="629">
        <f t="shared" si="21"/>
        <v>0</v>
      </c>
      <c r="AF74" s="629">
        <v>0</v>
      </c>
      <c r="AG74" s="555">
        <f t="shared" si="27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ht="12.75" customHeight="1" x14ac:dyDescent="0.2">
      <c r="A75" s="423">
        <f t="shared" si="28"/>
        <v>72</v>
      </c>
      <c r="B75" s="657" t="s">
        <v>1937</v>
      </c>
      <c r="C75" s="655">
        <v>522402</v>
      </c>
      <c r="D75" s="658">
        <v>1061</v>
      </c>
      <c r="E75" s="655" t="s">
        <v>1518</v>
      </c>
      <c r="F75" s="546">
        <v>2017</v>
      </c>
      <c r="G75" s="659">
        <v>42797</v>
      </c>
      <c r="H75" s="655" t="s">
        <v>817</v>
      </c>
      <c r="I75" s="655" t="s">
        <v>2222</v>
      </c>
      <c r="J75" s="655" t="s">
        <v>724</v>
      </c>
      <c r="K75" s="655" t="s">
        <v>2389</v>
      </c>
      <c r="L75" s="655" t="s">
        <v>2520</v>
      </c>
      <c r="M75" s="660">
        <v>215603.45</v>
      </c>
      <c r="N75" s="660">
        <v>0</v>
      </c>
      <c r="O75" s="660">
        <v>34496.550000000003</v>
      </c>
      <c r="P75" s="660">
        <v>250100</v>
      </c>
      <c r="Q75" s="548"/>
      <c r="R75" s="660">
        <v>195331.88</v>
      </c>
      <c r="S75" s="549">
        <f t="shared" si="18"/>
        <v>54768.119999999995</v>
      </c>
      <c r="T75" s="113" t="s">
        <v>131</v>
      </c>
      <c r="U75" s="626" t="str">
        <f t="shared" si="22"/>
        <v>AA10573</v>
      </c>
      <c r="V75" s="627" t="str">
        <f t="shared" si="23"/>
        <v>0957-TCN17</v>
      </c>
      <c r="W75" s="626">
        <f t="shared" si="24"/>
        <v>522402</v>
      </c>
      <c r="X75" s="626" t="str">
        <f t="shared" si="25"/>
        <v>YARIS R INTERMEDIO</v>
      </c>
      <c r="Y75" s="627">
        <f t="shared" si="25"/>
        <v>2017</v>
      </c>
      <c r="Z75" s="628">
        <f t="shared" si="26"/>
        <v>215603.45</v>
      </c>
      <c r="AA75" s="629">
        <f>+Z75</f>
        <v>215603.45</v>
      </c>
      <c r="AB75" s="665">
        <v>1</v>
      </c>
      <c r="AC75" s="629">
        <f t="shared" si="19"/>
        <v>0.01</v>
      </c>
      <c r="AD75" s="630">
        <f t="shared" si="20"/>
        <v>0.02</v>
      </c>
      <c r="AE75" s="629">
        <f t="shared" si="21"/>
        <v>0</v>
      </c>
      <c r="AF75" s="629">
        <v>0</v>
      </c>
      <c r="AG75" s="555">
        <f t="shared" si="27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ht="12.75" customHeight="1" x14ac:dyDescent="0.2">
      <c r="A76" s="423">
        <f t="shared" si="28"/>
        <v>73</v>
      </c>
      <c r="B76" s="657" t="s">
        <v>1936</v>
      </c>
      <c r="C76" s="655">
        <v>522403</v>
      </c>
      <c r="D76" s="658">
        <v>1060</v>
      </c>
      <c r="E76" s="655" t="s">
        <v>2207</v>
      </c>
      <c r="F76" s="546">
        <v>2017</v>
      </c>
      <c r="G76" s="659">
        <v>42821</v>
      </c>
      <c r="H76" s="655" t="s">
        <v>2212</v>
      </c>
      <c r="I76" s="655" t="s">
        <v>2221</v>
      </c>
      <c r="J76" s="655" t="s">
        <v>729</v>
      </c>
      <c r="K76" s="655" t="s">
        <v>2388</v>
      </c>
      <c r="L76" s="655" t="s">
        <v>2519</v>
      </c>
      <c r="M76" s="660">
        <v>204655.17</v>
      </c>
      <c r="N76" s="660">
        <v>0</v>
      </c>
      <c r="O76" s="660">
        <v>32744.83</v>
      </c>
      <c r="P76" s="660">
        <v>237400</v>
      </c>
      <c r="Q76" s="548"/>
      <c r="R76" s="660">
        <v>185123.95</v>
      </c>
      <c r="S76" s="549">
        <f t="shared" si="18"/>
        <v>52276.049999999988</v>
      </c>
      <c r="T76" s="113" t="s">
        <v>131</v>
      </c>
      <c r="U76" s="626" t="str">
        <f t="shared" si="22"/>
        <v>AA10733</v>
      </c>
      <c r="V76" s="627" t="str">
        <f t="shared" si="23"/>
        <v>1041-TCN17</v>
      </c>
      <c r="W76" s="626">
        <f t="shared" si="24"/>
        <v>522403</v>
      </c>
      <c r="X76" s="626" t="str">
        <f t="shared" si="25"/>
        <v>YARIS LE MT</v>
      </c>
      <c r="Y76" s="627">
        <f t="shared" si="25"/>
        <v>2017</v>
      </c>
      <c r="Z76" s="628">
        <f t="shared" si="26"/>
        <v>204655.17</v>
      </c>
      <c r="AA76" s="629">
        <f>+Z76</f>
        <v>204655.17</v>
      </c>
      <c r="AB76" s="665">
        <v>1</v>
      </c>
      <c r="AC76" s="629">
        <f t="shared" si="19"/>
        <v>0.01</v>
      </c>
      <c r="AD76" s="630">
        <v>0.05</v>
      </c>
      <c r="AE76" s="629">
        <f t="shared" si="21"/>
        <v>0</v>
      </c>
      <c r="AF76" s="629">
        <f t="shared" ref="AF76:AF81" si="29">+N76</f>
        <v>0</v>
      </c>
      <c r="AG76" s="555">
        <f t="shared" si="27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ht="12.75" customHeight="1" x14ac:dyDescent="0.2">
      <c r="A77" s="423">
        <f t="shared" si="28"/>
        <v>74</v>
      </c>
      <c r="B77" s="657" t="s">
        <v>2110</v>
      </c>
      <c r="C77" s="655">
        <v>1520104</v>
      </c>
      <c r="D77" s="658">
        <v>7493</v>
      </c>
      <c r="E77" s="655" t="s">
        <v>711</v>
      </c>
      <c r="F77" s="546">
        <v>2017</v>
      </c>
      <c r="G77" s="659">
        <v>42801</v>
      </c>
      <c r="H77" s="655" t="s">
        <v>739</v>
      </c>
      <c r="I77" s="655" t="s">
        <v>2321</v>
      </c>
      <c r="J77" s="655" t="s">
        <v>729</v>
      </c>
      <c r="K77" s="655" t="s">
        <v>2468</v>
      </c>
      <c r="L77" s="655" t="s">
        <v>2619</v>
      </c>
      <c r="M77" s="660">
        <v>238095.24</v>
      </c>
      <c r="N77" s="660">
        <v>11904.76</v>
      </c>
      <c r="O77" s="660">
        <v>40000</v>
      </c>
      <c r="P77" s="660">
        <v>290000</v>
      </c>
      <c r="Q77" s="548"/>
      <c r="R77" s="660">
        <v>218207.39</v>
      </c>
      <c r="S77" s="549">
        <f t="shared" si="18"/>
        <v>71792.609999999986</v>
      </c>
      <c r="T77" s="267" t="s">
        <v>131</v>
      </c>
      <c r="U77" s="626" t="str">
        <f t="shared" si="22"/>
        <v>AA10585</v>
      </c>
      <c r="V77" s="627" t="str">
        <f t="shared" si="23"/>
        <v>0713-TCN17</v>
      </c>
      <c r="W77" s="626">
        <f t="shared" si="24"/>
        <v>1520104</v>
      </c>
      <c r="X77" s="626" t="str">
        <f t="shared" si="25"/>
        <v>HILUX PICK UP BASIC CAB L4 16V AC</v>
      </c>
      <c r="Y77" s="627">
        <f t="shared" si="25"/>
        <v>2017</v>
      </c>
      <c r="Z77" s="628">
        <f t="shared" si="26"/>
        <v>238095.24</v>
      </c>
      <c r="AA77" s="629"/>
      <c r="AB77" s="664"/>
      <c r="AC77" s="629">
        <f t="shared" si="19"/>
        <v>0.01</v>
      </c>
      <c r="AD77" s="630">
        <v>0.05</v>
      </c>
      <c r="AE77" s="629">
        <f t="shared" si="21"/>
        <v>0</v>
      </c>
      <c r="AF77" s="629">
        <f t="shared" si="29"/>
        <v>11904.76</v>
      </c>
      <c r="AG77" s="555">
        <f t="shared" si="27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ht="12.75" customHeight="1" x14ac:dyDescent="0.2">
      <c r="A78" s="423">
        <f t="shared" si="28"/>
        <v>75</v>
      </c>
      <c r="B78" s="657" t="s">
        <v>2109</v>
      </c>
      <c r="C78" s="655">
        <v>1520104</v>
      </c>
      <c r="D78" s="658">
        <v>7493</v>
      </c>
      <c r="E78" s="655" t="s">
        <v>711</v>
      </c>
      <c r="F78" s="546">
        <v>2017</v>
      </c>
      <c r="G78" s="659">
        <v>42796</v>
      </c>
      <c r="H78" s="655" t="s">
        <v>760</v>
      </c>
      <c r="I78" s="655" t="s">
        <v>2320</v>
      </c>
      <c r="J78" s="655" t="s">
        <v>729</v>
      </c>
      <c r="K78" s="655" t="s">
        <v>2467</v>
      </c>
      <c r="L78" s="655" t="s">
        <v>2618</v>
      </c>
      <c r="M78" s="660">
        <v>238095.24</v>
      </c>
      <c r="N78" s="660">
        <v>11904.76</v>
      </c>
      <c r="O78" s="660">
        <v>40000</v>
      </c>
      <c r="P78" s="660">
        <v>290000</v>
      </c>
      <c r="Q78" s="548"/>
      <c r="R78" s="660">
        <v>218206.87</v>
      </c>
      <c r="S78" s="549">
        <f t="shared" si="18"/>
        <v>71793.13</v>
      </c>
      <c r="T78" s="113" t="s">
        <v>131</v>
      </c>
      <c r="U78" s="626" t="str">
        <f t="shared" si="22"/>
        <v>AA10567</v>
      </c>
      <c r="V78" s="627" t="str">
        <f t="shared" si="23"/>
        <v>0943-TCN17</v>
      </c>
      <c r="W78" s="626">
        <f t="shared" si="24"/>
        <v>1520104</v>
      </c>
      <c r="X78" s="626" t="str">
        <f t="shared" si="25"/>
        <v>HILUX PICK UP BASIC CAB L4 16V AC</v>
      </c>
      <c r="Y78" s="627">
        <f t="shared" si="25"/>
        <v>2017</v>
      </c>
      <c r="Z78" s="628">
        <f t="shared" si="26"/>
        <v>238095.24</v>
      </c>
      <c r="AA78" s="629"/>
      <c r="AB78" s="664"/>
      <c r="AC78" s="629">
        <f t="shared" si="19"/>
        <v>0.01</v>
      </c>
      <c r="AD78" s="630">
        <v>0.05</v>
      </c>
      <c r="AE78" s="629">
        <f t="shared" si="21"/>
        <v>0</v>
      </c>
      <c r="AF78" s="629">
        <f t="shared" si="29"/>
        <v>11904.76</v>
      </c>
      <c r="AG78" s="555">
        <f t="shared" si="27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ht="12.75" customHeight="1" x14ac:dyDescent="0.2">
      <c r="A79" s="423">
        <f t="shared" si="28"/>
        <v>76</v>
      </c>
      <c r="B79" s="657" t="s">
        <v>2111</v>
      </c>
      <c r="C79" s="655">
        <v>1520104</v>
      </c>
      <c r="D79" s="658">
        <v>7493</v>
      </c>
      <c r="E79" s="655" t="s">
        <v>711</v>
      </c>
      <c r="F79" s="546">
        <v>2017</v>
      </c>
      <c r="G79" s="659">
        <v>42808</v>
      </c>
      <c r="H79" s="655" t="s">
        <v>743</v>
      </c>
      <c r="I79" s="655" t="s">
        <v>2322</v>
      </c>
      <c r="J79" s="655" t="s">
        <v>729</v>
      </c>
      <c r="K79" s="655" t="s">
        <v>2469</v>
      </c>
      <c r="L79" s="655" t="s">
        <v>2620</v>
      </c>
      <c r="M79" s="660">
        <v>238095.24</v>
      </c>
      <c r="N79" s="660">
        <v>11904.76</v>
      </c>
      <c r="O79" s="660">
        <v>40000</v>
      </c>
      <c r="P79" s="660">
        <v>290000</v>
      </c>
      <c r="Q79" s="548"/>
      <c r="R79" s="660">
        <v>218207.39</v>
      </c>
      <c r="S79" s="549">
        <f t="shared" si="18"/>
        <v>71792.609999999986</v>
      </c>
      <c r="T79" s="113" t="s">
        <v>131</v>
      </c>
      <c r="U79" s="626" t="str">
        <f t="shared" si="22"/>
        <v>AA10625</v>
      </c>
      <c r="V79" s="627" t="str">
        <f t="shared" si="23"/>
        <v>0926-TCN17</v>
      </c>
      <c r="W79" s="626">
        <f t="shared" si="24"/>
        <v>1520104</v>
      </c>
      <c r="X79" s="626" t="str">
        <f t="shared" si="25"/>
        <v>HILUX PICK UP BASIC CAB L4 16V AC</v>
      </c>
      <c r="Y79" s="627">
        <f t="shared" si="25"/>
        <v>2017</v>
      </c>
      <c r="Z79" s="628">
        <f t="shared" si="26"/>
        <v>238095.24</v>
      </c>
      <c r="AA79" s="629"/>
      <c r="AB79" s="664"/>
      <c r="AC79" s="629">
        <f t="shared" si="19"/>
        <v>0.01</v>
      </c>
      <c r="AD79" s="630">
        <v>0.05</v>
      </c>
      <c r="AE79" s="629">
        <f t="shared" si="21"/>
        <v>0</v>
      </c>
      <c r="AF79" s="629">
        <f t="shared" si="29"/>
        <v>11904.76</v>
      </c>
      <c r="AG79" s="555">
        <f t="shared" si="27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ht="12.75" customHeight="1" x14ac:dyDescent="0.2">
      <c r="A80" s="423">
        <f t="shared" si="28"/>
        <v>77</v>
      </c>
      <c r="B80" s="657" t="s">
        <v>2112</v>
      </c>
      <c r="C80" s="655">
        <v>1520104</v>
      </c>
      <c r="D80" s="658">
        <v>7493</v>
      </c>
      <c r="E80" s="655" t="s">
        <v>711</v>
      </c>
      <c r="F80" s="546">
        <v>2017</v>
      </c>
      <c r="G80" s="659">
        <v>42809</v>
      </c>
      <c r="H80" s="655" t="s">
        <v>908</v>
      </c>
      <c r="I80" s="655" t="s">
        <v>2323</v>
      </c>
      <c r="J80" s="655" t="s">
        <v>729</v>
      </c>
      <c r="K80" s="655" t="s">
        <v>2428</v>
      </c>
      <c r="L80" s="655" t="s">
        <v>2621</v>
      </c>
      <c r="M80" s="660">
        <v>238095.24</v>
      </c>
      <c r="N80" s="660">
        <v>11904.76</v>
      </c>
      <c r="O80" s="660">
        <v>40000</v>
      </c>
      <c r="P80" s="660">
        <v>290000</v>
      </c>
      <c r="Q80" s="548"/>
      <c r="R80" s="660">
        <v>218207.39</v>
      </c>
      <c r="S80" s="549">
        <f t="shared" si="18"/>
        <v>71792.609999999986</v>
      </c>
      <c r="T80" s="113" t="s">
        <v>131</v>
      </c>
      <c r="U80" s="626" t="str">
        <f t="shared" si="22"/>
        <v>AA10642</v>
      </c>
      <c r="V80" s="627" t="str">
        <f t="shared" si="23"/>
        <v>0942-TCN17</v>
      </c>
      <c r="W80" s="626">
        <f t="shared" si="24"/>
        <v>1520104</v>
      </c>
      <c r="X80" s="626" t="str">
        <f t="shared" si="25"/>
        <v>HILUX PICK UP BASIC CAB L4 16V AC</v>
      </c>
      <c r="Y80" s="627">
        <f t="shared" si="25"/>
        <v>2017</v>
      </c>
      <c r="Z80" s="628">
        <f t="shared" si="26"/>
        <v>238095.24</v>
      </c>
      <c r="AA80" s="629"/>
      <c r="AB80" s="664"/>
      <c r="AC80" s="629">
        <f t="shared" si="19"/>
        <v>0.01</v>
      </c>
      <c r="AD80" s="630">
        <v>0.05</v>
      </c>
      <c r="AE80" s="629">
        <f t="shared" si="21"/>
        <v>0</v>
      </c>
      <c r="AF80" s="629">
        <f t="shared" si="29"/>
        <v>11904.76</v>
      </c>
      <c r="AG80" s="555">
        <f t="shared" si="27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ht="12.75" customHeight="1" x14ac:dyDescent="0.2">
      <c r="A81" s="423">
        <f t="shared" si="28"/>
        <v>78</v>
      </c>
      <c r="B81" s="657" t="s">
        <v>2115</v>
      </c>
      <c r="C81" s="655">
        <v>1520104</v>
      </c>
      <c r="D81" s="658">
        <v>7493</v>
      </c>
      <c r="E81" s="655" t="s">
        <v>711</v>
      </c>
      <c r="F81" s="546">
        <v>2017</v>
      </c>
      <c r="G81" s="659">
        <v>42818</v>
      </c>
      <c r="H81" s="655" t="s">
        <v>2213</v>
      </c>
      <c r="I81" s="655" t="s">
        <v>2324</v>
      </c>
      <c r="J81" s="655" t="s">
        <v>724</v>
      </c>
      <c r="K81" s="655" t="s">
        <v>2470</v>
      </c>
      <c r="L81" s="655" t="s">
        <v>2622</v>
      </c>
      <c r="M81" s="660">
        <v>238095.24</v>
      </c>
      <c r="N81" s="660">
        <v>11904.76</v>
      </c>
      <c r="O81" s="660">
        <v>40000</v>
      </c>
      <c r="P81" s="660">
        <v>290000</v>
      </c>
      <c r="Q81" s="548"/>
      <c r="R81" s="660">
        <v>218561.35</v>
      </c>
      <c r="S81" s="549">
        <f t="shared" si="18"/>
        <v>71438.649999999994</v>
      </c>
      <c r="T81" s="113" t="s">
        <v>131</v>
      </c>
      <c r="U81" s="626" t="str">
        <f t="shared" si="22"/>
        <v>AA10709</v>
      </c>
      <c r="V81" s="627" t="str">
        <f t="shared" si="23"/>
        <v>1014-TCN17</v>
      </c>
      <c r="W81" s="626">
        <f t="shared" si="24"/>
        <v>1520104</v>
      </c>
      <c r="X81" s="626" t="str">
        <f t="shared" si="25"/>
        <v>HILUX PICK UP BASIC CAB L4 16V AC</v>
      </c>
      <c r="Y81" s="627">
        <f t="shared" si="25"/>
        <v>2017</v>
      </c>
      <c r="Z81" s="628">
        <f t="shared" si="26"/>
        <v>238095.24</v>
      </c>
      <c r="AA81" s="629">
        <f>+SUM(Z77:Z81)</f>
        <v>1190476.2</v>
      </c>
      <c r="AB81" s="677">
        <v>5</v>
      </c>
      <c r="AC81" s="629">
        <f t="shared" si="19"/>
        <v>0.01</v>
      </c>
      <c r="AD81" s="630">
        <v>0.05</v>
      </c>
      <c r="AE81" s="629">
        <f t="shared" si="21"/>
        <v>0</v>
      </c>
      <c r="AF81" s="629">
        <f t="shared" si="29"/>
        <v>11904.76</v>
      </c>
      <c r="AG81" s="555">
        <f t="shared" si="27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ht="12.75" customHeight="1" x14ac:dyDescent="0.2">
      <c r="A82" s="423">
        <f t="shared" si="28"/>
        <v>79</v>
      </c>
      <c r="B82" s="657" t="s">
        <v>2123</v>
      </c>
      <c r="C82" s="655">
        <v>1520105</v>
      </c>
      <c r="D82" s="658">
        <v>7494</v>
      </c>
      <c r="E82" s="655" t="s">
        <v>712</v>
      </c>
      <c r="F82" s="546">
        <v>2017</v>
      </c>
      <c r="G82" s="659">
        <v>42812</v>
      </c>
      <c r="H82" s="655" t="s">
        <v>727</v>
      </c>
      <c r="I82" s="655" t="s">
        <v>1133</v>
      </c>
      <c r="J82" s="655" t="s">
        <v>729</v>
      </c>
      <c r="K82" s="655" t="s">
        <v>2471</v>
      </c>
      <c r="L82" s="655" t="s">
        <v>1135</v>
      </c>
      <c r="M82" s="660">
        <v>223973.72</v>
      </c>
      <c r="N82" s="660">
        <v>11198.69</v>
      </c>
      <c r="O82" s="660">
        <v>37627.589999999997</v>
      </c>
      <c r="P82" s="660">
        <v>272800</v>
      </c>
      <c r="Q82" s="548"/>
      <c r="R82" s="660">
        <v>205227.14</v>
      </c>
      <c r="S82" s="549">
        <f t="shared" si="18"/>
        <v>67572.859999999986</v>
      </c>
      <c r="T82" s="267" t="s">
        <v>131</v>
      </c>
      <c r="U82" s="626" t="str">
        <f t="shared" si="22"/>
        <v>AA10666</v>
      </c>
      <c r="V82" s="627" t="str">
        <f t="shared" si="23"/>
        <v>0637-TCN17</v>
      </c>
      <c r="W82" s="626">
        <f t="shared" si="24"/>
        <v>1520105</v>
      </c>
      <c r="X82" s="626" t="str">
        <f t="shared" si="25"/>
        <v>HILUX PICK UP CHASSIS CAB</v>
      </c>
      <c r="Y82" s="627">
        <f t="shared" si="25"/>
        <v>2017</v>
      </c>
      <c r="Z82" s="628">
        <f t="shared" si="26"/>
        <v>223973.72</v>
      </c>
      <c r="AA82" s="629"/>
      <c r="AB82" s="677"/>
      <c r="AC82" s="629"/>
      <c r="AD82" s="630"/>
      <c r="AE82" s="629"/>
      <c r="AF82" s="629">
        <f>+N82</f>
        <v>11198.69</v>
      </c>
      <c r="AG82" s="555">
        <f t="shared" si="27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3">
        <f t="shared" si="28"/>
        <v>80</v>
      </c>
      <c r="B83" s="657" t="s">
        <v>2126</v>
      </c>
      <c r="C83" s="655">
        <v>1520105</v>
      </c>
      <c r="D83" s="658">
        <v>7494</v>
      </c>
      <c r="E83" s="655" t="s">
        <v>712</v>
      </c>
      <c r="F83" s="546">
        <v>2017</v>
      </c>
      <c r="G83" s="659">
        <v>42818</v>
      </c>
      <c r="H83" s="655" t="s">
        <v>739</v>
      </c>
      <c r="I83" s="655" t="s">
        <v>2332</v>
      </c>
      <c r="J83" s="655" t="s">
        <v>729</v>
      </c>
      <c r="K83" s="655" t="s">
        <v>2472</v>
      </c>
      <c r="L83" s="655" t="s">
        <v>2630</v>
      </c>
      <c r="M83" s="660">
        <v>223973.72</v>
      </c>
      <c r="N83" s="660">
        <v>11198.69</v>
      </c>
      <c r="O83" s="660">
        <v>37627.589999999997</v>
      </c>
      <c r="P83" s="660">
        <v>272800</v>
      </c>
      <c r="Q83" s="548"/>
      <c r="R83" s="660">
        <v>205183</v>
      </c>
      <c r="S83" s="549">
        <f t="shared" si="18"/>
        <v>67617</v>
      </c>
      <c r="T83" s="113" t="s">
        <v>131</v>
      </c>
      <c r="U83" s="626" t="str">
        <f t="shared" si="22"/>
        <v>AA10710</v>
      </c>
      <c r="V83" s="627" t="str">
        <f t="shared" si="23"/>
        <v>0861-TCN17</v>
      </c>
      <c r="W83" s="626">
        <f t="shared" si="24"/>
        <v>1520105</v>
      </c>
      <c r="X83" s="626" t="str">
        <f t="shared" si="25"/>
        <v>HILUX PICK UP CHASSIS CAB</v>
      </c>
      <c r="Y83" s="627">
        <f t="shared" si="25"/>
        <v>2017</v>
      </c>
      <c r="Z83" s="628">
        <f t="shared" si="26"/>
        <v>223973.72</v>
      </c>
      <c r="AA83" s="629">
        <f>+Z83+Z82</f>
        <v>447947.44</v>
      </c>
      <c r="AB83" s="677">
        <v>2</v>
      </c>
      <c r="AC83" s="629">
        <f t="shared" ref="AC83:AC109" si="30">VLOOKUP(Z83,TARIFA,1)</f>
        <v>0.01</v>
      </c>
      <c r="AD83" s="630">
        <v>0.05</v>
      </c>
      <c r="AE83" s="629">
        <f t="shared" ref="AE83:AE109" si="31">VLOOKUP(Z83,TARIFA,3)</f>
        <v>0</v>
      </c>
      <c r="AF83" s="629">
        <f t="shared" ref="AF83:AF109" si="32">+N83</f>
        <v>11198.69</v>
      </c>
      <c r="AG83" s="555">
        <f t="shared" si="27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ht="12.75" customHeight="1" x14ac:dyDescent="0.2">
      <c r="A84" s="423">
        <f t="shared" si="28"/>
        <v>81</v>
      </c>
      <c r="B84" s="657" t="s">
        <v>2078</v>
      </c>
      <c r="C84" s="655">
        <v>1520202</v>
      </c>
      <c r="D84" s="658">
        <v>5601</v>
      </c>
      <c r="E84" s="655" t="s">
        <v>221</v>
      </c>
      <c r="F84" s="546">
        <v>2017</v>
      </c>
      <c r="G84" s="659">
        <v>42797</v>
      </c>
      <c r="H84" s="655" t="s">
        <v>774</v>
      </c>
      <c r="I84" s="655" t="s">
        <v>2301</v>
      </c>
      <c r="J84" s="655" t="s">
        <v>724</v>
      </c>
      <c r="K84" s="655" t="s">
        <v>2449</v>
      </c>
      <c r="L84" s="655" t="s">
        <v>2599</v>
      </c>
      <c r="M84" s="660">
        <v>315270.93</v>
      </c>
      <c r="N84" s="660">
        <v>15763.55</v>
      </c>
      <c r="O84" s="660">
        <v>52965.52</v>
      </c>
      <c r="P84" s="660">
        <v>384000</v>
      </c>
      <c r="Q84" s="548"/>
      <c r="R84" s="660">
        <v>280039.24</v>
      </c>
      <c r="S84" s="549">
        <f t="shared" si="18"/>
        <v>103960.76000000001</v>
      </c>
      <c r="T84" s="113" t="s">
        <v>131</v>
      </c>
      <c r="U84" s="626" t="str">
        <f t="shared" si="22"/>
        <v>AA10570</v>
      </c>
      <c r="V84" s="627" t="str">
        <f t="shared" si="23"/>
        <v>0958-TCN17</v>
      </c>
      <c r="W84" s="626">
        <f t="shared" si="24"/>
        <v>1520202</v>
      </c>
      <c r="X84" s="626" t="str">
        <f t="shared" si="25"/>
        <v>HIACE PANEL SUPER LARGA</v>
      </c>
      <c r="Y84" s="627">
        <f t="shared" si="25"/>
        <v>2017</v>
      </c>
      <c r="Z84" s="628">
        <f t="shared" si="26"/>
        <v>315270.93</v>
      </c>
      <c r="AA84" s="629">
        <f>+Z84</f>
        <v>315270.93</v>
      </c>
      <c r="AB84" s="677">
        <v>1</v>
      </c>
      <c r="AC84" s="629">
        <f t="shared" si="30"/>
        <v>295708.34000000003</v>
      </c>
      <c r="AD84" s="630">
        <f t="shared" ref="AD84:AD109" si="33">VLOOKUP(Z84,TARIFA,4)</f>
        <v>0.1</v>
      </c>
      <c r="AE84" s="629">
        <f t="shared" si="31"/>
        <v>7392.74</v>
      </c>
      <c r="AF84" s="629">
        <f t="shared" si="32"/>
        <v>15763.55</v>
      </c>
      <c r="AG84" s="555">
        <f t="shared" si="27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ht="12.75" customHeight="1" x14ac:dyDescent="0.2">
      <c r="A85" s="423">
        <f t="shared" si="28"/>
        <v>82</v>
      </c>
      <c r="B85" s="657" t="s">
        <v>2104</v>
      </c>
      <c r="C85" s="655">
        <v>1520302</v>
      </c>
      <c r="D85" s="658">
        <v>7401</v>
      </c>
      <c r="E85" s="655" t="s">
        <v>714</v>
      </c>
      <c r="F85" s="546">
        <v>2017</v>
      </c>
      <c r="G85" s="659">
        <v>42809</v>
      </c>
      <c r="H85" s="655" t="s">
        <v>774</v>
      </c>
      <c r="I85" s="655" t="s">
        <v>2317</v>
      </c>
      <c r="J85" s="655" t="s">
        <v>724</v>
      </c>
      <c r="K85" s="655" t="s">
        <v>1689</v>
      </c>
      <c r="L85" s="655" t="s">
        <v>2615</v>
      </c>
      <c r="M85" s="660">
        <v>441379.31</v>
      </c>
      <c r="N85" s="660">
        <v>22068.97</v>
      </c>
      <c r="O85" s="660">
        <v>74151.72</v>
      </c>
      <c r="P85" s="660">
        <v>537600</v>
      </c>
      <c r="Q85" s="548"/>
      <c r="R85" s="660">
        <v>391281.18</v>
      </c>
      <c r="S85" s="549">
        <f t="shared" si="18"/>
        <v>146318.82</v>
      </c>
      <c r="T85" s="113" t="s">
        <v>131</v>
      </c>
      <c r="U85" s="626" t="str">
        <f t="shared" si="22"/>
        <v>AA10639</v>
      </c>
      <c r="V85" s="627" t="str">
        <f t="shared" si="23"/>
        <v>0972-TCN17</v>
      </c>
      <c r="W85" s="626">
        <f t="shared" si="24"/>
        <v>1520302</v>
      </c>
      <c r="X85" s="626" t="str">
        <f t="shared" si="25"/>
        <v>TACOMA DOB CAB TRD SPORT</v>
      </c>
      <c r="Y85" s="627">
        <f t="shared" si="25"/>
        <v>2017</v>
      </c>
      <c r="Z85" s="628">
        <f t="shared" si="26"/>
        <v>441379.31</v>
      </c>
      <c r="AA85" s="629"/>
      <c r="AB85" s="677"/>
      <c r="AC85" s="629">
        <f t="shared" si="30"/>
        <v>344993.21</v>
      </c>
      <c r="AD85" s="630">
        <f t="shared" si="33"/>
        <v>0.15</v>
      </c>
      <c r="AE85" s="629">
        <f t="shared" si="31"/>
        <v>12321.2</v>
      </c>
      <c r="AF85" s="629">
        <f t="shared" si="32"/>
        <v>22068.97</v>
      </c>
      <c r="AG85" s="555">
        <f t="shared" si="27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ht="12.75" customHeight="1" x14ac:dyDescent="0.2">
      <c r="A86" s="423">
        <f t="shared" si="28"/>
        <v>83</v>
      </c>
      <c r="B86" s="657" t="s">
        <v>2103</v>
      </c>
      <c r="C86" s="655">
        <v>1520302</v>
      </c>
      <c r="D86" s="658">
        <v>7401</v>
      </c>
      <c r="E86" s="655" t="s">
        <v>714</v>
      </c>
      <c r="F86" s="546">
        <v>2017</v>
      </c>
      <c r="G86" s="659">
        <v>42796</v>
      </c>
      <c r="H86" s="655" t="s">
        <v>727</v>
      </c>
      <c r="I86" s="655" t="s">
        <v>2316</v>
      </c>
      <c r="J86" s="655" t="s">
        <v>729</v>
      </c>
      <c r="K86" s="655" t="s">
        <v>2464</v>
      </c>
      <c r="L86" s="655" t="s">
        <v>2614</v>
      </c>
      <c r="M86" s="660">
        <v>441379.31</v>
      </c>
      <c r="N86" s="660">
        <v>22068.97</v>
      </c>
      <c r="O86" s="660">
        <v>74151.72</v>
      </c>
      <c r="P86" s="660">
        <v>537600</v>
      </c>
      <c r="Q86" s="548"/>
      <c r="R86" s="660">
        <v>390926.69</v>
      </c>
      <c r="S86" s="549">
        <f t="shared" si="18"/>
        <v>146673.31</v>
      </c>
      <c r="T86" s="267" t="s">
        <v>131</v>
      </c>
      <c r="U86" s="626" t="str">
        <f t="shared" si="22"/>
        <v>AA10564</v>
      </c>
      <c r="V86" s="627" t="str">
        <f t="shared" si="23"/>
        <v>0956-TCN17</v>
      </c>
      <c r="W86" s="626">
        <f t="shared" si="24"/>
        <v>1520302</v>
      </c>
      <c r="X86" s="626" t="str">
        <f t="shared" si="25"/>
        <v>TACOMA DOB CAB TRD SPORT</v>
      </c>
      <c r="Y86" s="627">
        <f t="shared" si="25"/>
        <v>2017</v>
      </c>
      <c r="Z86" s="628">
        <f t="shared" si="26"/>
        <v>441379.31</v>
      </c>
      <c r="AA86" s="629"/>
      <c r="AB86" s="677"/>
      <c r="AC86" s="629">
        <f t="shared" si="30"/>
        <v>344993.21</v>
      </c>
      <c r="AD86" s="630">
        <f t="shared" si="33"/>
        <v>0.15</v>
      </c>
      <c r="AE86" s="629">
        <f t="shared" si="31"/>
        <v>12321.2</v>
      </c>
      <c r="AF86" s="629">
        <f t="shared" si="32"/>
        <v>22068.97</v>
      </c>
      <c r="AG86" s="555">
        <f t="shared" si="27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ht="12.75" customHeight="1" x14ac:dyDescent="0.2">
      <c r="A87" s="423">
        <f t="shared" si="28"/>
        <v>84</v>
      </c>
      <c r="B87" s="657" t="s">
        <v>2107</v>
      </c>
      <c r="C87" s="655">
        <v>1520302</v>
      </c>
      <c r="D87" s="658">
        <v>7401</v>
      </c>
      <c r="E87" s="655" t="s">
        <v>714</v>
      </c>
      <c r="F87" s="546">
        <v>2017</v>
      </c>
      <c r="G87" s="659">
        <v>42819</v>
      </c>
      <c r="H87" s="655" t="s">
        <v>817</v>
      </c>
      <c r="I87" s="655" t="s">
        <v>2318</v>
      </c>
      <c r="J87" s="655" t="s">
        <v>729</v>
      </c>
      <c r="K87" s="655" t="s">
        <v>2465</v>
      </c>
      <c r="L87" s="655" t="s">
        <v>2616</v>
      </c>
      <c r="M87" s="660">
        <v>441379.31</v>
      </c>
      <c r="N87" s="660">
        <v>22068.97</v>
      </c>
      <c r="O87" s="660">
        <v>74151.72</v>
      </c>
      <c r="P87" s="660">
        <v>537600</v>
      </c>
      <c r="Q87" s="548"/>
      <c r="R87" s="660">
        <v>390926.69</v>
      </c>
      <c r="S87" s="549">
        <f t="shared" si="18"/>
        <v>146673.31</v>
      </c>
      <c r="T87" s="113" t="s">
        <v>131</v>
      </c>
      <c r="U87" s="626" t="str">
        <f t="shared" si="22"/>
        <v>AA10724</v>
      </c>
      <c r="V87" s="627" t="str">
        <f t="shared" si="23"/>
        <v>1038-TCN17</v>
      </c>
      <c r="W87" s="626">
        <f t="shared" si="24"/>
        <v>1520302</v>
      </c>
      <c r="X87" s="626" t="str">
        <f t="shared" si="25"/>
        <v>TACOMA DOB CAB TRD SPORT</v>
      </c>
      <c r="Y87" s="627">
        <f t="shared" si="25"/>
        <v>2017</v>
      </c>
      <c r="Z87" s="628">
        <f t="shared" si="26"/>
        <v>441379.31</v>
      </c>
      <c r="AA87" s="629">
        <f>+SUM(Z85:Z87)</f>
        <v>1324137.93</v>
      </c>
      <c r="AB87" s="677">
        <v>3</v>
      </c>
      <c r="AC87" s="629">
        <f t="shared" si="30"/>
        <v>344993.21</v>
      </c>
      <c r="AD87" s="630">
        <f t="shared" si="33"/>
        <v>0.15</v>
      </c>
      <c r="AE87" s="629">
        <f t="shared" si="31"/>
        <v>12321.2</v>
      </c>
      <c r="AF87" s="629">
        <f t="shared" si="32"/>
        <v>22068.97</v>
      </c>
      <c r="AG87" s="555">
        <f t="shared" si="27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ht="12.75" customHeight="1" x14ac:dyDescent="0.2">
      <c r="A88" s="423">
        <f t="shared" si="28"/>
        <v>85</v>
      </c>
      <c r="B88" s="657" t="s">
        <v>2108</v>
      </c>
      <c r="C88" s="655">
        <v>1520304</v>
      </c>
      <c r="D88" s="658">
        <v>7440</v>
      </c>
      <c r="E88" s="655" t="s">
        <v>1520</v>
      </c>
      <c r="F88" s="546">
        <v>2017</v>
      </c>
      <c r="G88" s="659">
        <v>42804</v>
      </c>
      <c r="H88" s="655" t="s">
        <v>788</v>
      </c>
      <c r="I88" s="655" t="s">
        <v>2319</v>
      </c>
      <c r="J88" s="655" t="s">
        <v>729</v>
      </c>
      <c r="K88" s="655" t="s">
        <v>2466</v>
      </c>
      <c r="L88" s="655" t="s">
        <v>2617</v>
      </c>
      <c r="M88" s="660">
        <v>529310.34</v>
      </c>
      <c r="N88" s="660">
        <v>26465.52</v>
      </c>
      <c r="O88" s="660">
        <v>88924.14</v>
      </c>
      <c r="P88" s="660">
        <v>644700</v>
      </c>
      <c r="Q88" s="548"/>
      <c r="R88" s="660">
        <v>468306</v>
      </c>
      <c r="S88" s="549">
        <f t="shared" si="18"/>
        <v>176394</v>
      </c>
      <c r="T88" s="445" t="s">
        <v>131</v>
      </c>
      <c r="U88" s="626" t="str">
        <f t="shared" si="22"/>
        <v>AA10596</v>
      </c>
      <c r="V88" s="627" t="str">
        <f t="shared" si="23"/>
        <v>0975-TCN17</v>
      </c>
      <c r="W88" s="626">
        <f t="shared" si="24"/>
        <v>1520304</v>
      </c>
      <c r="X88" s="626" t="str">
        <f t="shared" si="25"/>
        <v>TACOMA EDICION ESPECIAL</v>
      </c>
      <c r="Y88" s="627">
        <f t="shared" si="25"/>
        <v>2017</v>
      </c>
      <c r="Z88" s="628">
        <f t="shared" si="26"/>
        <v>529310.34</v>
      </c>
      <c r="AA88" s="629">
        <f>+Z88</f>
        <v>529310.34</v>
      </c>
      <c r="AB88" s="677">
        <v>1</v>
      </c>
      <c r="AC88" s="629">
        <f t="shared" si="30"/>
        <v>443562.4</v>
      </c>
      <c r="AD88" s="630">
        <f t="shared" si="33"/>
        <v>0.17</v>
      </c>
      <c r="AE88" s="629">
        <f t="shared" si="31"/>
        <v>27106.55</v>
      </c>
      <c r="AF88" s="629">
        <f t="shared" si="32"/>
        <v>26465.52</v>
      </c>
      <c r="AG88" s="555">
        <f t="shared" si="27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ht="12.75" customHeight="1" x14ac:dyDescent="0.2">
      <c r="A89" s="423">
        <f t="shared" si="28"/>
        <v>86</v>
      </c>
      <c r="B89" s="657" t="s">
        <v>2162</v>
      </c>
      <c r="C89" s="655">
        <v>1520504</v>
      </c>
      <c r="D89" s="658">
        <v>8127</v>
      </c>
      <c r="E89" s="655" t="s">
        <v>716</v>
      </c>
      <c r="F89" s="546">
        <v>2017</v>
      </c>
      <c r="G89" s="659">
        <v>42822</v>
      </c>
      <c r="H89" s="655" t="s">
        <v>819</v>
      </c>
      <c r="I89" s="655" t="s">
        <v>1039</v>
      </c>
      <c r="J89" s="655" t="s">
        <v>729</v>
      </c>
      <c r="K89" s="655" t="s">
        <v>2491</v>
      </c>
      <c r="L89" s="655" t="s">
        <v>1041</v>
      </c>
      <c r="M89" s="660">
        <v>641954.02</v>
      </c>
      <c r="N89" s="660">
        <v>32097.7</v>
      </c>
      <c r="O89" s="660">
        <v>107848.28</v>
      </c>
      <c r="P89" s="660">
        <v>781900</v>
      </c>
      <c r="Q89" s="548"/>
      <c r="R89" s="660">
        <v>567388.30000000005</v>
      </c>
      <c r="S89" s="549">
        <f t="shared" si="18"/>
        <v>214511.69999999995</v>
      </c>
      <c r="T89" s="267" t="s">
        <v>131</v>
      </c>
      <c r="U89" s="626" t="str">
        <f t="shared" si="22"/>
        <v>AA10734</v>
      </c>
      <c r="V89" s="627" t="str">
        <f t="shared" si="23"/>
        <v>0735-TCN17</v>
      </c>
      <c r="W89" s="626">
        <f t="shared" si="24"/>
        <v>1520504</v>
      </c>
      <c r="X89" s="626" t="str">
        <f t="shared" si="25"/>
        <v>TUNDRA 4X4 DOBLE CABINA EQUIPADA</v>
      </c>
      <c r="Y89" s="627">
        <f t="shared" si="25"/>
        <v>2017</v>
      </c>
      <c r="Z89" s="628">
        <f t="shared" si="26"/>
        <v>641954.02</v>
      </c>
      <c r="AA89" s="629">
        <f>+Z89</f>
        <v>641954.02</v>
      </c>
      <c r="AB89" s="677">
        <v>1</v>
      </c>
      <c r="AC89" s="629">
        <f t="shared" si="30"/>
        <v>443562.4</v>
      </c>
      <c r="AD89" s="630">
        <f t="shared" si="33"/>
        <v>0.17</v>
      </c>
      <c r="AE89" s="629">
        <f t="shared" si="31"/>
        <v>27106.55</v>
      </c>
      <c r="AF89" s="629">
        <f t="shared" si="32"/>
        <v>32097.7</v>
      </c>
      <c r="AG89" s="555">
        <f t="shared" si="27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ht="12.75" customHeight="1" x14ac:dyDescent="0.2">
      <c r="A90" s="423">
        <f t="shared" si="28"/>
        <v>87</v>
      </c>
      <c r="B90" s="657" t="s">
        <v>2158</v>
      </c>
      <c r="C90" s="655">
        <v>1520603</v>
      </c>
      <c r="D90" s="658">
        <v>7497</v>
      </c>
      <c r="E90" s="655" t="s">
        <v>717</v>
      </c>
      <c r="F90" s="546">
        <v>2017</v>
      </c>
      <c r="G90" s="659">
        <v>42816</v>
      </c>
      <c r="H90" s="655" t="s">
        <v>727</v>
      </c>
      <c r="I90" s="655" t="s">
        <v>2356</v>
      </c>
      <c r="J90" s="655" t="s">
        <v>729</v>
      </c>
      <c r="K90" s="655" t="s">
        <v>2490</v>
      </c>
      <c r="L90" s="655" t="s">
        <v>2654</v>
      </c>
      <c r="M90" s="660">
        <v>272988.5</v>
      </c>
      <c r="N90" s="660">
        <v>13649.43</v>
      </c>
      <c r="O90" s="660">
        <v>45862.07</v>
      </c>
      <c r="P90" s="660">
        <v>332500</v>
      </c>
      <c r="Q90" s="548"/>
      <c r="R90" s="660">
        <v>247329.71</v>
      </c>
      <c r="S90" s="549">
        <f t="shared" si="18"/>
        <v>85170.290000000008</v>
      </c>
      <c r="T90" s="267" t="s">
        <v>131</v>
      </c>
      <c r="U90" s="626" t="str">
        <f t="shared" si="22"/>
        <v>AA10682</v>
      </c>
      <c r="V90" s="627" t="str">
        <f t="shared" si="23"/>
        <v>0653-TCN17</v>
      </c>
      <c r="W90" s="626">
        <f t="shared" si="24"/>
        <v>1520603</v>
      </c>
      <c r="X90" s="626" t="str">
        <f t="shared" si="25"/>
        <v>HILUX BASE CON VIDRIOS ELECTRICOS</v>
      </c>
      <c r="Y90" s="627">
        <f t="shared" si="25"/>
        <v>2017</v>
      </c>
      <c r="Z90" s="628">
        <f t="shared" si="26"/>
        <v>272988.5</v>
      </c>
      <c r="AA90" s="629">
        <f>+Z90</f>
        <v>272988.5</v>
      </c>
      <c r="AB90" s="677">
        <v>1</v>
      </c>
      <c r="AC90" s="629">
        <f t="shared" si="30"/>
        <v>246423.66</v>
      </c>
      <c r="AD90" s="630">
        <f t="shared" si="33"/>
        <v>0.05</v>
      </c>
      <c r="AE90" s="629">
        <f t="shared" si="31"/>
        <v>4928.3900000000003</v>
      </c>
      <c r="AF90" s="629">
        <f t="shared" si="32"/>
        <v>13649.43</v>
      </c>
      <c r="AG90" s="555">
        <f t="shared" si="27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3">
        <f t="shared" si="28"/>
        <v>88</v>
      </c>
      <c r="B91" s="657" t="s">
        <v>2142</v>
      </c>
      <c r="C91" s="655">
        <v>1520604</v>
      </c>
      <c r="D91" s="658">
        <v>7495</v>
      </c>
      <c r="E91" s="655" t="s">
        <v>718</v>
      </c>
      <c r="F91" s="546">
        <v>2017</v>
      </c>
      <c r="G91" s="659">
        <v>42811</v>
      </c>
      <c r="H91" s="655" t="s">
        <v>847</v>
      </c>
      <c r="I91" s="655" t="s">
        <v>2345</v>
      </c>
      <c r="J91" s="655" t="s">
        <v>729</v>
      </c>
      <c r="K91" s="655" t="s">
        <v>2482</v>
      </c>
      <c r="L91" s="655" t="s">
        <v>2643</v>
      </c>
      <c r="M91" s="660">
        <v>282019.7</v>
      </c>
      <c r="N91" s="660">
        <v>14100.99</v>
      </c>
      <c r="O91" s="660">
        <v>47379.31</v>
      </c>
      <c r="P91" s="660">
        <v>343500</v>
      </c>
      <c r="Q91" s="548"/>
      <c r="R91" s="660">
        <v>255426.86</v>
      </c>
      <c r="S91" s="549">
        <f t="shared" si="18"/>
        <v>88073.140000000014</v>
      </c>
      <c r="T91" s="267" t="s">
        <v>131</v>
      </c>
      <c r="U91" s="626" t="str">
        <f t="shared" si="22"/>
        <v>AA10662</v>
      </c>
      <c r="V91" s="627" t="str">
        <f t="shared" si="23"/>
        <v>0901-TCN17</v>
      </c>
      <c r="W91" s="626">
        <f t="shared" si="24"/>
        <v>1520604</v>
      </c>
      <c r="X91" s="626" t="str">
        <f t="shared" si="25"/>
        <v>HILUX PICK UP D CAB SR A/C</v>
      </c>
      <c r="Y91" s="627">
        <f t="shared" si="25"/>
        <v>2017</v>
      </c>
      <c r="Z91" s="628">
        <f t="shared" si="26"/>
        <v>282019.7</v>
      </c>
      <c r="AA91" s="629"/>
      <c r="AB91" s="677"/>
      <c r="AC91" s="629">
        <f t="shared" si="30"/>
        <v>246423.66</v>
      </c>
      <c r="AD91" s="630">
        <f t="shared" si="33"/>
        <v>0.05</v>
      </c>
      <c r="AE91" s="629">
        <f t="shared" si="31"/>
        <v>4928.3900000000003</v>
      </c>
      <c r="AF91" s="629">
        <f t="shared" si="32"/>
        <v>14100.99</v>
      </c>
      <c r="AG91" s="555">
        <f t="shared" si="27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351" customFormat="1" ht="12.75" customHeight="1" x14ac:dyDescent="0.2">
      <c r="A92" s="423">
        <f t="shared" si="28"/>
        <v>89</v>
      </c>
      <c r="B92" s="657" t="s">
        <v>2130</v>
      </c>
      <c r="C92" s="655">
        <v>1520604</v>
      </c>
      <c r="D92" s="658">
        <v>7495</v>
      </c>
      <c r="E92" s="655" t="s">
        <v>718</v>
      </c>
      <c r="F92" s="546">
        <v>2017</v>
      </c>
      <c r="G92" s="659">
        <v>42797</v>
      </c>
      <c r="H92" s="655" t="s">
        <v>774</v>
      </c>
      <c r="I92" s="655" t="s">
        <v>2336</v>
      </c>
      <c r="J92" s="655" t="s">
        <v>729</v>
      </c>
      <c r="K92" s="655" t="s">
        <v>2449</v>
      </c>
      <c r="L92" s="655" t="s">
        <v>2634</v>
      </c>
      <c r="M92" s="660">
        <v>282019.7</v>
      </c>
      <c r="N92" s="660">
        <v>14100.99</v>
      </c>
      <c r="O92" s="660">
        <v>47379.31</v>
      </c>
      <c r="P92" s="660">
        <v>343500</v>
      </c>
      <c r="Q92" s="548"/>
      <c r="R92" s="660">
        <v>255426.86</v>
      </c>
      <c r="S92" s="549">
        <f t="shared" si="18"/>
        <v>88073.140000000014</v>
      </c>
      <c r="T92" s="267" t="s">
        <v>131</v>
      </c>
      <c r="U92" s="626" t="str">
        <f t="shared" si="22"/>
        <v>AA10569</v>
      </c>
      <c r="V92" s="627" t="str">
        <f t="shared" si="23"/>
        <v>0763-TCN17</v>
      </c>
      <c r="W92" s="626">
        <f t="shared" si="24"/>
        <v>1520604</v>
      </c>
      <c r="X92" s="626" t="str">
        <f t="shared" si="25"/>
        <v>HILUX PICK UP D CAB SR A/C</v>
      </c>
      <c r="Y92" s="627">
        <f t="shared" si="25"/>
        <v>2017</v>
      </c>
      <c r="Z92" s="628">
        <f t="shared" si="26"/>
        <v>282019.7</v>
      </c>
      <c r="AA92" s="629"/>
      <c r="AB92" s="677"/>
      <c r="AC92" s="629">
        <f t="shared" si="30"/>
        <v>246423.66</v>
      </c>
      <c r="AD92" s="630">
        <f t="shared" si="33"/>
        <v>0.05</v>
      </c>
      <c r="AE92" s="629">
        <f t="shared" si="31"/>
        <v>4928.3900000000003</v>
      </c>
      <c r="AF92" s="629">
        <f t="shared" si="32"/>
        <v>14100.99</v>
      </c>
      <c r="AG92" s="555">
        <f t="shared" si="27"/>
        <v>0</v>
      </c>
      <c r="AH92" s="361"/>
      <c r="AI92" s="313"/>
      <c r="AJ92" s="374"/>
      <c r="AK92" s="331"/>
      <c r="AL92" s="331"/>
      <c r="AM92" s="331"/>
      <c r="AN92" s="352"/>
      <c r="AO92" s="352"/>
      <c r="AP92" s="352"/>
      <c r="AQ92" s="352"/>
      <c r="AR92" s="352"/>
      <c r="AS92" s="352"/>
      <c r="AT92" s="352"/>
      <c r="AU92" s="352"/>
    </row>
    <row r="93" spans="1:47" s="351" customFormat="1" ht="12.75" customHeight="1" x14ac:dyDescent="0.2">
      <c r="A93" s="423">
        <f t="shared" si="28"/>
        <v>90</v>
      </c>
      <c r="B93" s="657" t="s">
        <v>2131</v>
      </c>
      <c r="C93" s="655">
        <v>1520604</v>
      </c>
      <c r="D93" s="658">
        <v>7495</v>
      </c>
      <c r="E93" s="655" t="s">
        <v>718</v>
      </c>
      <c r="F93" s="546">
        <v>2017</v>
      </c>
      <c r="G93" s="659">
        <v>42798</v>
      </c>
      <c r="H93" s="655" t="s">
        <v>747</v>
      </c>
      <c r="I93" s="655" t="s">
        <v>2337</v>
      </c>
      <c r="J93" s="655" t="s">
        <v>729</v>
      </c>
      <c r="K93" s="655" t="s">
        <v>2476</v>
      </c>
      <c r="L93" s="655" t="s">
        <v>2635</v>
      </c>
      <c r="M93" s="660">
        <v>282019.7</v>
      </c>
      <c r="N93" s="660">
        <v>14100.99</v>
      </c>
      <c r="O93" s="660">
        <v>47379.31</v>
      </c>
      <c r="P93" s="660">
        <v>343500</v>
      </c>
      <c r="Q93" s="548"/>
      <c r="R93" s="660">
        <v>255426.86</v>
      </c>
      <c r="S93" s="549">
        <f t="shared" si="18"/>
        <v>88073.140000000014</v>
      </c>
      <c r="T93" s="113" t="s">
        <v>131</v>
      </c>
      <c r="U93" s="626" t="str">
        <f t="shared" si="22"/>
        <v>AA10577</v>
      </c>
      <c r="V93" s="627" t="str">
        <f t="shared" si="23"/>
        <v>0932-TCN17</v>
      </c>
      <c r="W93" s="626">
        <f t="shared" si="24"/>
        <v>1520604</v>
      </c>
      <c r="X93" s="626" t="str">
        <f t="shared" si="25"/>
        <v>HILUX PICK UP D CAB SR A/C</v>
      </c>
      <c r="Y93" s="627">
        <f t="shared" si="25"/>
        <v>2017</v>
      </c>
      <c r="Z93" s="628">
        <f t="shared" si="26"/>
        <v>282019.7</v>
      </c>
      <c r="AA93" s="629"/>
      <c r="AB93" s="677"/>
      <c r="AC93" s="629">
        <f t="shared" si="30"/>
        <v>246423.66</v>
      </c>
      <c r="AD93" s="630">
        <f t="shared" si="33"/>
        <v>0.05</v>
      </c>
      <c r="AE93" s="629">
        <f t="shared" si="31"/>
        <v>4928.3900000000003</v>
      </c>
      <c r="AF93" s="629">
        <f t="shared" si="32"/>
        <v>14100.99</v>
      </c>
      <c r="AG93" s="555">
        <f t="shared" si="27"/>
        <v>0</v>
      </c>
      <c r="AH93" s="361"/>
      <c r="AI93" s="313"/>
      <c r="AJ93" s="374"/>
      <c r="AK93" s="331"/>
      <c r="AL93" s="331"/>
      <c r="AM93" s="331"/>
      <c r="AN93" s="352"/>
      <c r="AO93" s="352"/>
      <c r="AP93" s="352"/>
      <c r="AQ93" s="352"/>
      <c r="AR93" s="352"/>
      <c r="AS93" s="352"/>
      <c r="AT93" s="352"/>
      <c r="AU93" s="352"/>
    </row>
    <row r="94" spans="1:47" s="291" customFormat="1" ht="12.75" customHeight="1" x14ac:dyDescent="0.2">
      <c r="A94" s="423">
        <f t="shared" si="28"/>
        <v>91</v>
      </c>
      <c r="B94" s="657" t="s">
        <v>2136</v>
      </c>
      <c r="C94" s="655">
        <v>1520604</v>
      </c>
      <c r="D94" s="658">
        <v>7495</v>
      </c>
      <c r="E94" s="655" t="s">
        <v>718</v>
      </c>
      <c r="F94" s="546">
        <v>2017</v>
      </c>
      <c r="G94" s="659">
        <v>42805</v>
      </c>
      <c r="H94" s="655" t="s">
        <v>817</v>
      </c>
      <c r="I94" s="655" t="s">
        <v>2342</v>
      </c>
      <c r="J94" s="655" t="s">
        <v>729</v>
      </c>
      <c r="K94" s="655" t="s">
        <v>2480</v>
      </c>
      <c r="L94" s="655" t="s">
        <v>2640</v>
      </c>
      <c r="M94" s="660">
        <v>282019.7</v>
      </c>
      <c r="N94" s="660">
        <v>14100.99</v>
      </c>
      <c r="O94" s="660">
        <v>47379.31</v>
      </c>
      <c r="P94" s="660">
        <v>343500</v>
      </c>
      <c r="Q94" s="548"/>
      <c r="R94" s="660">
        <v>255426.86</v>
      </c>
      <c r="S94" s="549">
        <f t="shared" si="18"/>
        <v>88073.140000000014</v>
      </c>
      <c r="T94" s="267" t="s">
        <v>131</v>
      </c>
      <c r="U94" s="626" t="str">
        <f t="shared" si="22"/>
        <v>AA10606</v>
      </c>
      <c r="V94" s="627" t="str">
        <f t="shared" si="23"/>
        <v>0953-TCN17</v>
      </c>
      <c r="W94" s="626">
        <f t="shared" si="24"/>
        <v>1520604</v>
      </c>
      <c r="X94" s="626" t="str">
        <f t="shared" si="25"/>
        <v>HILUX PICK UP D CAB SR A/C</v>
      </c>
      <c r="Y94" s="627">
        <f t="shared" si="25"/>
        <v>2017</v>
      </c>
      <c r="Z94" s="628">
        <f t="shared" si="26"/>
        <v>282019.7</v>
      </c>
      <c r="AA94" s="629"/>
      <c r="AB94" s="677"/>
      <c r="AC94" s="629">
        <f t="shared" si="30"/>
        <v>246423.66</v>
      </c>
      <c r="AD94" s="630">
        <f t="shared" si="33"/>
        <v>0.05</v>
      </c>
      <c r="AE94" s="629">
        <f t="shared" si="31"/>
        <v>4928.3900000000003</v>
      </c>
      <c r="AF94" s="629">
        <f t="shared" si="32"/>
        <v>14100.99</v>
      </c>
      <c r="AG94" s="555">
        <f t="shared" si="27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351" customFormat="1" ht="12.75" customHeight="1" x14ac:dyDescent="0.2">
      <c r="A95" s="423">
        <f t="shared" si="28"/>
        <v>92</v>
      </c>
      <c r="B95" s="657" t="s">
        <v>2134</v>
      </c>
      <c r="C95" s="655">
        <v>1520604</v>
      </c>
      <c r="D95" s="658">
        <v>7495</v>
      </c>
      <c r="E95" s="655" t="s">
        <v>718</v>
      </c>
      <c r="F95" s="546">
        <v>2017</v>
      </c>
      <c r="G95" s="659">
        <v>42804</v>
      </c>
      <c r="H95" s="655" t="s">
        <v>819</v>
      </c>
      <c r="I95" s="655" t="s">
        <v>2340</v>
      </c>
      <c r="J95" s="655" t="s">
        <v>729</v>
      </c>
      <c r="K95" s="655" t="s">
        <v>2420</v>
      </c>
      <c r="L95" s="655" t="s">
        <v>2638</v>
      </c>
      <c r="M95" s="660">
        <v>282019.7</v>
      </c>
      <c r="N95" s="660">
        <v>14100.99</v>
      </c>
      <c r="O95" s="660">
        <v>47379.31</v>
      </c>
      <c r="P95" s="660">
        <v>343500</v>
      </c>
      <c r="Q95" s="548"/>
      <c r="R95" s="660">
        <v>255426.86</v>
      </c>
      <c r="S95" s="549">
        <f t="shared" si="18"/>
        <v>88073.140000000014</v>
      </c>
      <c r="T95" s="267" t="s">
        <v>131</v>
      </c>
      <c r="U95" s="626" t="str">
        <f t="shared" si="22"/>
        <v>AA10605</v>
      </c>
      <c r="V95" s="627" t="str">
        <f t="shared" si="23"/>
        <v>0900-TCN17</v>
      </c>
      <c r="W95" s="626">
        <f t="shared" si="24"/>
        <v>1520604</v>
      </c>
      <c r="X95" s="626" t="str">
        <f t="shared" si="25"/>
        <v>HILUX PICK UP D CAB SR A/C</v>
      </c>
      <c r="Y95" s="627">
        <f t="shared" si="25"/>
        <v>2017</v>
      </c>
      <c r="Z95" s="628">
        <f t="shared" si="26"/>
        <v>282019.7</v>
      </c>
      <c r="AA95" s="629"/>
      <c r="AB95" s="677"/>
      <c r="AC95" s="629">
        <f t="shared" si="30"/>
        <v>246423.66</v>
      </c>
      <c r="AD95" s="630">
        <f t="shared" si="33"/>
        <v>0.05</v>
      </c>
      <c r="AE95" s="629">
        <f t="shared" si="31"/>
        <v>4928.3900000000003</v>
      </c>
      <c r="AF95" s="629">
        <f t="shared" si="32"/>
        <v>14100.99</v>
      </c>
      <c r="AG95" s="555">
        <f t="shared" si="27"/>
        <v>0</v>
      </c>
      <c r="AH95" s="361"/>
      <c r="AI95" s="313"/>
      <c r="AJ95" s="374"/>
      <c r="AK95" s="331"/>
      <c r="AL95" s="331"/>
      <c r="AM95" s="331"/>
      <c r="AN95" s="352"/>
      <c r="AO95" s="352"/>
      <c r="AP95" s="352"/>
      <c r="AQ95" s="352"/>
      <c r="AR95" s="352"/>
      <c r="AS95" s="352"/>
      <c r="AT95" s="352"/>
      <c r="AU95" s="352"/>
    </row>
    <row r="96" spans="1:47" s="291" customFormat="1" ht="12.75" customHeight="1" x14ac:dyDescent="0.2">
      <c r="A96" s="423">
        <f>+A143+1</f>
        <v>94</v>
      </c>
      <c r="B96" s="657" t="s">
        <v>2127</v>
      </c>
      <c r="C96" s="655">
        <v>1520604</v>
      </c>
      <c r="D96" s="658">
        <v>7495</v>
      </c>
      <c r="E96" s="655" t="s">
        <v>718</v>
      </c>
      <c r="F96" s="546">
        <v>2017</v>
      </c>
      <c r="G96" s="659">
        <v>42795</v>
      </c>
      <c r="H96" s="655" t="s">
        <v>774</v>
      </c>
      <c r="I96" s="655" t="s">
        <v>2333</v>
      </c>
      <c r="J96" s="655" t="s">
        <v>729</v>
      </c>
      <c r="K96" s="655" t="s">
        <v>2473</v>
      </c>
      <c r="L96" s="655" t="s">
        <v>2631</v>
      </c>
      <c r="M96" s="660">
        <v>282019.7</v>
      </c>
      <c r="N96" s="660">
        <v>14100.99</v>
      </c>
      <c r="O96" s="660">
        <v>47379.31</v>
      </c>
      <c r="P96" s="660">
        <v>343500</v>
      </c>
      <c r="Q96" s="548"/>
      <c r="R96" s="660">
        <v>255426.86</v>
      </c>
      <c r="S96" s="549">
        <f t="shared" si="18"/>
        <v>88073.140000000014</v>
      </c>
      <c r="T96" s="113" t="s">
        <v>131</v>
      </c>
      <c r="U96" s="626" t="str">
        <f t="shared" si="22"/>
        <v>AA10562</v>
      </c>
      <c r="V96" s="627" t="str">
        <f t="shared" si="23"/>
        <v>0929-TCN17</v>
      </c>
      <c r="W96" s="626">
        <f t="shared" si="24"/>
        <v>1520604</v>
      </c>
      <c r="X96" s="626" t="str">
        <f t="shared" si="25"/>
        <v>HILUX PICK UP D CAB SR A/C</v>
      </c>
      <c r="Y96" s="627">
        <f t="shared" si="25"/>
        <v>2017</v>
      </c>
      <c r="Z96" s="628">
        <f t="shared" si="26"/>
        <v>282019.7</v>
      </c>
      <c r="AA96" s="629"/>
      <c r="AB96" s="677"/>
      <c r="AC96" s="629">
        <f t="shared" si="30"/>
        <v>246423.66</v>
      </c>
      <c r="AD96" s="630">
        <f t="shared" si="33"/>
        <v>0.05</v>
      </c>
      <c r="AE96" s="629">
        <f t="shared" si="31"/>
        <v>4928.3900000000003</v>
      </c>
      <c r="AF96" s="629">
        <f t="shared" si="32"/>
        <v>14100.99</v>
      </c>
      <c r="AG96" s="555">
        <f t="shared" si="27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3">
        <f t="shared" si="28"/>
        <v>95</v>
      </c>
      <c r="B97" s="657" t="s">
        <v>2132</v>
      </c>
      <c r="C97" s="655">
        <v>1520604</v>
      </c>
      <c r="D97" s="658">
        <v>7495</v>
      </c>
      <c r="E97" s="655" t="s">
        <v>718</v>
      </c>
      <c r="F97" s="546">
        <v>2017</v>
      </c>
      <c r="G97" s="659">
        <v>42800</v>
      </c>
      <c r="H97" s="655" t="s">
        <v>743</v>
      </c>
      <c r="I97" s="655" t="s">
        <v>2338</v>
      </c>
      <c r="J97" s="655" t="s">
        <v>729</v>
      </c>
      <c r="K97" s="655" t="s">
        <v>2477</v>
      </c>
      <c r="L97" s="655" t="s">
        <v>2636</v>
      </c>
      <c r="M97" s="660">
        <v>282019.7</v>
      </c>
      <c r="N97" s="660">
        <v>14100.99</v>
      </c>
      <c r="O97" s="660">
        <v>47379.31</v>
      </c>
      <c r="P97" s="660">
        <v>343500</v>
      </c>
      <c r="Q97" s="548"/>
      <c r="R97" s="660">
        <v>255426.86</v>
      </c>
      <c r="S97" s="549">
        <f t="shared" si="18"/>
        <v>88073.140000000014</v>
      </c>
      <c r="T97" s="113" t="s">
        <v>131</v>
      </c>
      <c r="U97" s="626" t="str">
        <f t="shared" si="22"/>
        <v>AA10580</v>
      </c>
      <c r="V97" s="627" t="str">
        <f t="shared" si="23"/>
        <v>0903-TCN17</v>
      </c>
      <c r="W97" s="626">
        <f t="shared" si="24"/>
        <v>1520604</v>
      </c>
      <c r="X97" s="626" t="str">
        <f t="shared" si="25"/>
        <v>HILUX PICK UP D CAB SR A/C</v>
      </c>
      <c r="Y97" s="627">
        <f t="shared" si="25"/>
        <v>2017</v>
      </c>
      <c r="Z97" s="628">
        <f t="shared" si="26"/>
        <v>282019.7</v>
      </c>
      <c r="AA97" s="629"/>
      <c r="AB97" s="677"/>
      <c r="AC97" s="629">
        <f t="shared" si="30"/>
        <v>246423.66</v>
      </c>
      <c r="AD97" s="630">
        <f t="shared" si="33"/>
        <v>0.05</v>
      </c>
      <c r="AE97" s="629">
        <f t="shared" si="31"/>
        <v>4928.3900000000003</v>
      </c>
      <c r="AF97" s="629">
        <f t="shared" si="32"/>
        <v>14100.99</v>
      </c>
      <c r="AG97" s="555">
        <f t="shared" si="27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351" customFormat="1" ht="12.75" customHeight="1" x14ac:dyDescent="0.2">
      <c r="A98" s="423">
        <f t="shared" si="28"/>
        <v>96</v>
      </c>
      <c r="B98" s="657" t="s">
        <v>2140</v>
      </c>
      <c r="C98" s="655">
        <v>1520604</v>
      </c>
      <c r="D98" s="658">
        <v>7495</v>
      </c>
      <c r="E98" s="655" t="s">
        <v>718</v>
      </c>
      <c r="F98" s="546">
        <v>2017</v>
      </c>
      <c r="G98" s="659">
        <v>42807</v>
      </c>
      <c r="H98" s="655" t="s">
        <v>727</v>
      </c>
      <c r="I98" s="655" t="s">
        <v>2344</v>
      </c>
      <c r="J98" s="655" t="s">
        <v>729</v>
      </c>
      <c r="K98" s="655" t="s">
        <v>2479</v>
      </c>
      <c r="L98" s="655" t="s">
        <v>2642</v>
      </c>
      <c r="M98" s="660">
        <v>282019.7</v>
      </c>
      <c r="N98" s="660">
        <v>14100.99</v>
      </c>
      <c r="O98" s="660">
        <v>47379.31</v>
      </c>
      <c r="P98" s="660">
        <v>343500</v>
      </c>
      <c r="Q98" s="548"/>
      <c r="R98" s="660">
        <v>255426.86</v>
      </c>
      <c r="S98" s="549">
        <f t="shared" si="18"/>
        <v>88073.140000000014</v>
      </c>
      <c r="T98" s="113" t="s">
        <v>131</v>
      </c>
      <c r="U98" s="626" t="str">
        <f t="shared" si="22"/>
        <v>AA10612</v>
      </c>
      <c r="V98" s="627" t="str">
        <f t="shared" si="23"/>
        <v>0952-TCN17</v>
      </c>
      <c r="W98" s="626">
        <f t="shared" si="24"/>
        <v>1520604</v>
      </c>
      <c r="X98" s="626" t="str">
        <f t="shared" si="25"/>
        <v>HILUX PICK UP D CAB SR A/C</v>
      </c>
      <c r="Y98" s="627">
        <f t="shared" si="25"/>
        <v>2017</v>
      </c>
      <c r="Z98" s="628">
        <f t="shared" si="26"/>
        <v>282019.7</v>
      </c>
      <c r="AA98" s="629"/>
      <c r="AB98" s="677"/>
      <c r="AC98" s="629">
        <f t="shared" si="30"/>
        <v>246423.66</v>
      </c>
      <c r="AD98" s="630">
        <f t="shared" si="33"/>
        <v>0.05</v>
      </c>
      <c r="AE98" s="629">
        <f t="shared" si="31"/>
        <v>4928.3900000000003</v>
      </c>
      <c r="AF98" s="629">
        <f t="shared" si="32"/>
        <v>14100.99</v>
      </c>
      <c r="AG98" s="555">
        <f t="shared" si="27"/>
        <v>0</v>
      </c>
      <c r="AH98" s="361"/>
      <c r="AI98" s="313"/>
      <c r="AJ98" s="374"/>
      <c r="AK98" s="331"/>
      <c r="AL98" s="331"/>
      <c r="AM98" s="331"/>
      <c r="AN98" s="352"/>
      <c r="AO98" s="352"/>
      <c r="AP98" s="352"/>
      <c r="AQ98" s="352"/>
      <c r="AR98" s="352"/>
      <c r="AS98" s="352"/>
      <c r="AT98" s="352"/>
      <c r="AU98" s="352"/>
    </row>
    <row r="99" spans="1:47" s="291" customFormat="1" ht="12.75" customHeight="1" x14ac:dyDescent="0.2">
      <c r="A99" s="423">
        <f>+A144+1</f>
        <v>98</v>
      </c>
      <c r="B99" s="657" t="s">
        <v>2155</v>
      </c>
      <c r="C99" s="655">
        <v>1520604</v>
      </c>
      <c r="D99" s="658">
        <v>7495</v>
      </c>
      <c r="E99" s="655" t="s">
        <v>718</v>
      </c>
      <c r="F99" s="546">
        <v>2017</v>
      </c>
      <c r="G99" s="659">
        <v>42825</v>
      </c>
      <c r="H99" s="655" t="s">
        <v>2216</v>
      </c>
      <c r="I99" s="655" t="s">
        <v>2355</v>
      </c>
      <c r="J99" s="655" t="s">
        <v>729</v>
      </c>
      <c r="K99" s="655" t="s">
        <v>2489</v>
      </c>
      <c r="L99" s="655" t="s">
        <v>2653</v>
      </c>
      <c r="M99" s="660">
        <v>282019.7</v>
      </c>
      <c r="N99" s="660">
        <v>14100.99</v>
      </c>
      <c r="O99" s="660">
        <v>47379.31</v>
      </c>
      <c r="P99" s="660">
        <v>343500</v>
      </c>
      <c r="Q99" s="548"/>
      <c r="R99" s="660">
        <v>255426.86</v>
      </c>
      <c r="S99" s="549">
        <f t="shared" si="18"/>
        <v>88073.140000000014</v>
      </c>
      <c r="T99" s="267" t="s">
        <v>131</v>
      </c>
      <c r="U99" s="626" t="str">
        <f t="shared" si="22"/>
        <v>AA10776</v>
      </c>
      <c r="V99" s="627" t="str">
        <f t="shared" si="23"/>
        <v>1028-TCN17</v>
      </c>
      <c r="W99" s="626">
        <f t="shared" si="24"/>
        <v>1520604</v>
      </c>
      <c r="X99" s="626" t="str">
        <f t="shared" si="25"/>
        <v>HILUX PICK UP D CAB SR A/C</v>
      </c>
      <c r="Y99" s="627">
        <f t="shared" si="25"/>
        <v>2017</v>
      </c>
      <c r="Z99" s="628">
        <f t="shared" si="26"/>
        <v>282019.7</v>
      </c>
      <c r="AA99" s="629"/>
      <c r="AB99" s="677"/>
      <c r="AC99" s="629">
        <f t="shared" si="30"/>
        <v>246423.66</v>
      </c>
      <c r="AD99" s="630">
        <f t="shared" si="33"/>
        <v>0.05</v>
      </c>
      <c r="AE99" s="629">
        <f t="shared" si="31"/>
        <v>4928.3900000000003</v>
      </c>
      <c r="AF99" s="629">
        <f t="shared" si="32"/>
        <v>14100.99</v>
      </c>
      <c r="AG99" s="555">
        <f t="shared" si="27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351" customFormat="1" ht="12.75" customHeight="1" x14ac:dyDescent="0.2">
      <c r="A100" s="423">
        <f t="shared" si="28"/>
        <v>99</v>
      </c>
      <c r="B100" s="657" t="s">
        <v>2153</v>
      </c>
      <c r="C100" s="655">
        <v>1520604</v>
      </c>
      <c r="D100" s="658">
        <v>7495</v>
      </c>
      <c r="E100" s="655" t="s">
        <v>718</v>
      </c>
      <c r="F100" s="546">
        <v>2016</v>
      </c>
      <c r="G100" s="659">
        <v>42824</v>
      </c>
      <c r="H100" s="655" t="s">
        <v>778</v>
      </c>
      <c r="I100" s="655" t="s">
        <v>2354</v>
      </c>
      <c r="J100" s="655" t="s">
        <v>729</v>
      </c>
      <c r="K100" s="655" t="s">
        <v>2487</v>
      </c>
      <c r="L100" s="655" t="s">
        <v>2652</v>
      </c>
      <c r="M100" s="660">
        <v>271921.18</v>
      </c>
      <c r="N100" s="660">
        <v>13596.06</v>
      </c>
      <c r="O100" s="660">
        <v>45682.76</v>
      </c>
      <c r="P100" s="660">
        <v>331200</v>
      </c>
      <c r="Q100" s="548"/>
      <c r="R100" s="660">
        <v>247280.32</v>
      </c>
      <c r="S100" s="549">
        <f t="shared" si="18"/>
        <v>83919.679999999993</v>
      </c>
      <c r="T100" s="113" t="s">
        <v>131</v>
      </c>
      <c r="U100" s="626" t="str">
        <f t="shared" si="22"/>
        <v>AA10755</v>
      </c>
      <c r="V100" s="627" t="str">
        <f t="shared" si="23"/>
        <v>1251-TCN16</v>
      </c>
      <c r="W100" s="626">
        <f t="shared" si="24"/>
        <v>1520604</v>
      </c>
      <c r="X100" s="626" t="str">
        <f t="shared" ref="X100:Y109" si="34">+E100</f>
        <v>HILUX PICK UP D CAB SR A/C</v>
      </c>
      <c r="Y100" s="627">
        <f t="shared" si="34"/>
        <v>2016</v>
      </c>
      <c r="Z100" s="628">
        <f t="shared" si="26"/>
        <v>271921.18</v>
      </c>
      <c r="AA100" s="629"/>
      <c r="AB100" s="677"/>
      <c r="AC100" s="629">
        <f t="shared" si="30"/>
        <v>246423.66</v>
      </c>
      <c r="AD100" s="630">
        <f t="shared" si="33"/>
        <v>0.05</v>
      </c>
      <c r="AE100" s="629">
        <f t="shared" si="31"/>
        <v>4928.3900000000003</v>
      </c>
      <c r="AF100" s="629">
        <f t="shared" si="32"/>
        <v>13596.06</v>
      </c>
      <c r="AG100" s="555">
        <f t="shared" si="27"/>
        <v>0</v>
      </c>
      <c r="AH100" s="361"/>
      <c r="AI100" s="313"/>
      <c r="AJ100" s="374"/>
      <c r="AK100" s="331"/>
      <c r="AL100" s="331"/>
      <c r="AM100" s="331"/>
      <c r="AN100" s="352"/>
      <c r="AO100" s="352"/>
      <c r="AP100" s="352"/>
      <c r="AQ100" s="352"/>
      <c r="AR100" s="352"/>
      <c r="AS100" s="352"/>
      <c r="AT100" s="352"/>
      <c r="AU100" s="352"/>
    </row>
    <row r="101" spans="1:47" s="352" customFormat="1" ht="12.75" customHeight="1" x14ac:dyDescent="0.2">
      <c r="A101" s="423">
        <f t="shared" si="28"/>
        <v>100</v>
      </c>
      <c r="B101" s="657" t="s">
        <v>2139</v>
      </c>
      <c r="C101" s="655">
        <v>1520604</v>
      </c>
      <c r="D101" s="658">
        <v>7495</v>
      </c>
      <c r="E101" s="655" t="s">
        <v>718</v>
      </c>
      <c r="F101" s="546">
        <v>2017</v>
      </c>
      <c r="G101" s="659">
        <v>42807</v>
      </c>
      <c r="H101" s="655" t="s">
        <v>792</v>
      </c>
      <c r="I101" s="655" t="s">
        <v>2343</v>
      </c>
      <c r="J101" s="655" t="s">
        <v>729</v>
      </c>
      <c r="K101" s="655" t="s">
        <v>2481</v>
      </c>
      <c r="L101" s="655" t="s">
        <v>2641</v>
      </c>
      <c r="M101" s="660">
        <v>282019.7</v>
      </c>
      <c r="N101" s="660">
        <v>14100.99</v>
      </c>
      <c r="O101" s="660">
        <v>47379.31</v>
      </c>
      <c r="P101" s="660">
        <v>343500</v>
      </c>
      <c r="Q101" s="548"/>
      <c r="R101" s="660">
        <v>255426.86</v>
      </c>
      <c r="S101" s="549">
        <f t="shared" si="18"/>
        <v>88073.140000000014</v>
      </c>
      <c r="T101" s="267" t="s">
        <v>131</v>
      </c>
      <c r="U101" s="626" t="str">
        <f t="shared" si="22"/>
        <v>AA10617</v>
      </c>
      <c r="V101" s="627" t="str">
        <f t="shared" si="23"/>
        <v>0928-TCN17</v>
      </c>
      <c r="W101" s="626">
        <f t="shared" si="24"/>
        <v>1520604</v>
      </c>
      <c r="X101" s="626" t="str">
        <f t="shared" si="34"/>
        <v>HILUX PICK UP D CAB SR A/C</v>
      </c>
      <c r="Y101" s="627">
        <f t="shared" si="34"/>
        <v>2017</v>
      </c>
      <c r="Z101" s="628">
        <f t="shared" si="26"/>
        <v>282019.7</v>
      </c>
      <c r="AA101" s="661"/>
      <c r="AB101" s="678"/>
      <c r="AC101" s="629">
        <f t="shared" si="30"/>
        <v>246423.66</v>
      </c>
      <c r="AD101" s="630">
        <f t="shared" si="33"/>
        <v>0.05</v>
      </c>
      <c r="AE101" s="629">
        <f t="shared" si="31"/>
        <v>4928.3900000000003</v>
      </c>
      <c r="AF101" s="629">
        <f t="shared" si="32"/>
        <v>14100.99</v>
      </c>
      <c r="AG101" s="555">
        <f t="shared" si="27"/>
        <v>0</v>
      </c>
      <c r="AH101" s="361"/>
      <c r="AI101" s="313"/>
      <c r="AJ101" s="374"/>
      <c r="AK101" s="331"/>
      <c r="AL101" s="331"/>
      <c r="AM101" s="331"/>
    </row>
    <row r="102" spans="1:47" s="412" customFormat="1" ht="12.75" customHeight="1" x14ac:dyDescent="0.2">
      <c r="A102" s="423">
        <f t="shared" si="28"/>
        <v>101</v>
      </c>
      <c r="B102" s="657" t="s">
        <v>2133</v>
      </c>
      <c r="C102" s="655">
        <v>1520604</v>
      </c>
      <c r="D102" s="658">
        <v>7495</v>
      </c>
      <c r="E102" s="655" t="s">
        <v>718</v>
      </c>
      <c r="F102" s="546">
        <v>2017</v>
      </c>
      <c r="G102" s="659">
        <v>42801</v>
      </c>
      <c r="H102" s="655" t="s">
        <v>817</v>
      </c>
      <c r="I102" s="655" t="s">
        <v>2339</v>
      </c>
      <c r="J102" s="655" t="s">
        <v>729</v>
      </c>
      <c r="K102" s="655" t="s">
        <v>2478</v>
      </c>
      <c r="L102" s="655" t="s">
        <v>2637</v>
      </c>
      <c r="M102" s="660">
        <v>282019.7</v>
      </c>
      <c r="N102" s="660">
        <v>14100.99</v>
      </c>
      <c r="O102" s="660">
        <v>47379.31</v>
      </c>
      <c r="P102" s="660">
        <v>343500</v>
      </c>
      <c r="Q102" s="548"/>
      <c r="R102" s="660">
        <v>255426.86</v>
      </c>
      <c r="S102" s="549">
        <f t="shared" si="18"/>
        <v>88073.140000000014</v>
      </c>
      <c r="T102" s="267" t="s">
        <v>131</v>
      </c>
      <c r="U102" s="626" t="str">
        <f t="shared" si="22"/>
        <v>AA10583</v>
      </c>
      <c r="V102" s="627" t="str">
        <f t="shared" si="23"/>
        <v>0930-TCN17</v>
      </c>
      <c r="W102" s="626">
        <f t="shared" si="24"/>
        <v>1520604</v>
      </c>
      <c r="X102" s="626" t="str">
        <f t="shared" si="34"/>
        <v>HILUX PICK UP D CAB SR A/C</v>
      </c>
      <c r="Y102" s="627">
        <f t="shared" si="34"/>
        <v>2017</v>
      </c>
      <c r="Z102" s="628">
        <f t="shared" si="26"/>
        <v>282019.7</v>
      </c>
      <c r="AA102" s="662"/>
      <c r="AB102" s="678"/>
      <c r="AC102" s="629">
        <f t="shared" si="30"/>
        <v>246423.66</v>
      </c>
      <c r="AD102" s="630">
        <f t="shared" si="33"/>
        <v>0.05</v>
      </c>
      <c r="AE102" s="629">
        <f t="shared" si="31"/>
        <v>4928.3900000000003</v>
      </c>
      <c r="AF102" s="629">
        <f t="shared" si="32"/>
        <v>14100.99</v>
      </c>
      <c r="AG102" s="555">
        <f t="shared" si="27"/>
        <v>0</v>
      </c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351" customFormat="1" ht="12.75" customHeight="1" x14ac:dyDescent="0.2">
      <c r="A103" s="423">
        <f t="shared" si="28"/>
        <v>102</v>
      </c>
      <c r="B103" s="657" t="s">
        <v>2128</v>
      </c>
      <c r="C103" s="655">
        <v>1520604</v>
      </c>
      <c r="D103" s="658">
        <v>7495</v>
      </c>
      <c r="E103" s="655" t="s">
        <v>718</v>
      </c>
      <c r="F103" s="546">
        <v>2017</v>
      </c>
      <c r="G103" s="659">
        <v>42796</v>
      </c>
      <c r="H103" s="655" t="s">
        <v>788</v>
      </c>
      <c r="I103" s="655" t="s">
        <v>2334</v>
      </c>
      <c r="J103" s="655" t="s">
        <v>729</v>
      </c>
      <c r="K103" s="655" t="s">
        <v>2474</v>
      </c>
      <c r="L103" s="655" t="s">
        <v>2632</v>
      </c>
      <c r="M103" s="660">
        <v>282019.7</v>
      </c>
      <c r="N103" s="660">
        <v>14100.99</v>
      </c>
      <c r="O103" s="660">
        <v>47379.31</v>
      </c>
      <c r="P103" s="660">
        <v>343500</v>
      </c>
      <c r="Q103" s="548"/>
      <c r="R103" s="660">
        <v>255426.86</v>
      </c>
      <c r="S103" s="549">
        <f t="shared" si="18"/>
        <v>88073.140000000014</v>
      </c>
      <c r="T103" s="267" t="s">
        <v>131</v>
      </c>
      <c r="U103" s="626" t="str">
        <f t="shared" si="22"/>
        <v>AA10565</v>
      </c>
      <c r="V103" s="627" t="str">
        <f t="shared" si="23"/>
        <v>0882-TCN17</v>
      </c>
      <c r="W103" s="626">
        <f t="shared" si="24"/>
        <v>1520604</v>
      </c>
      <c r="X103" s="626" t="str">
        <f t="shared" si="34"/>
        <v>HILUX PICK UP D CAB SR A/C</v>
      </c>
      <c r="Y103" s="627">
        <f t="shared" si="34"/>
        <v>2017</v>
      </c>
      <c r="Z103" s="628">
        <f t="shared" si="26"/>
        <v>282019.7</v>
      </c>
      <c r="AA103" s="661"/>
      <c r="AB103" s="678"/>
      <c r="AC103" s="629">
        <f t="shared" si="30"/>
        <v>246423.66</v>
      </c>
      <c r="AD103" s="630">
        <f t="shared" si="33"/>
        <v>0.05</v>
      </c>
      <c r="AE103" s="629">
        <f t="shared" si="31"/>
        <v>4928.3900000000003</v>
      </c>
      <c r="AF103" s="629">
        <f t="shared" si="32"/>
        <v>14100.99</v>
      </c>
      <c r="AG103" s="555">
        <f t="shared" si="27"/>
        <v>0</v>
      </c>
      <c r="AH103" s="272"/>
      <c r="AI103" s="313"/>
      <c r="AJ103" s="374"/>
      <c r="AK103" s="331"/>
      <c r="AL103" s="331"/>
      <c r="AM103" s="331"/>
      <c r="AN103" s="352"/>
      <c r="AO103" s="352"/>
      <c r="AP103" s="352"/>
      <c r="AQ103" s="352"/>
      <c r="AR103" s="352"/>
      <c r="AS103" s="352"/>
      <c r="AT103" s="352"/>
      <c r="AU103" s="352"/>
    </row>
    <row r="104" spans="1:47" s="351" customFormat="1" ht="12.75" customHeight="1" x14ac:dyDescent="0.2">
      <c r="A104" s="423">
        <f t="shared" si="28"/>
        <v>103</v>
      </c>
      <c r="B104" s="657" t="s">
        <v>2154</v>
      </c>
      <c r="C104" s="655">
        <v>1520604</v>
      </c>
      <c r="D104" s="658">
        <v>7495</v>
      </c>
      <c r="E104" s="655" t="s">
        <v>718</v>
      </c>
      <c r="F104" s="546">
        <v>2017</v>
      </c>
      <c r="G104" s="659">
        <v>42825</v>
      </c>
      <c r="H104" s="655" t="s">
        <v>774</v>
      </c>
      <c r="I104" s="655" t="s">
        <v>2341</v>
      </c>
      <c r="J104" s="655" t="s">
        <v>729</v>
      </c>
      <c r="K104" s="655" t="s">
        <v>2488</v>
      </c>
      <c r="L104" s="655" t="s">
        <v>2639</v>
      </c>
      <c r="M104" s="660">
        <v>282019.7</v>
      </c>
      <c r="N104" s="660">
        <v>14100.99</v>
      </c>
      <c r="O104" s="660">
        <v>47379.31</v>
      </c>
      <c r="P104" s="660">
        <v>343500</v>
      </c>
      <c r="Q104" s="548"/>
      <c r="R104" s="660">
        <v>255426.86</v>
      </c>
      <c r="S104" s="549">
        <f t="shared" si="18"/>
        <v>88073.140000000014</v>
      </c>
      <c r="T104" s="267" t="s">
        <v>131</v>
      </c>
      <c r="U104" s="626" t="str">
        <f t="shared" si="22"/>
        <v>AA10773</v>
      </c>
      <c r="V104" s="627" t="str">
        <f t="shared" si="23"/>
        <v>0977-TCN17</v>
      </c>
      <c r="W104" s="626">
        <f t="shared" si="24"/>
        <v>1520604</v>
      </c>
      <c r="X104" s="626" t="str">
        <f t="shared" si="34"/>
        <v>HILUX PICK UP D CAB SR A/C</v>
      </c>
      <c r="Y104" s="627">
        <f t="shared" si="34"/>
        <v>2017</v>
      </c>
      <c r="Z104" s="628">
        <f t="shared" si="26"/>
        <v>282019.7</v>
      </c>
      <c r="AA104" s="661"/>
      <c r="AB104" s="678"/>
      <c r="AC104" s="629">
        <f t="shared" si="30"/>
        <v>246423.66</v>
      </c>
      <c r="AD104" s="630">
        <f t="shared" si="33"/>
        <v>0.05</v>
      </c>
      <c r="AE104" s="629">
        <f t="shared" si="31"/>
        <v>4928.3900000000003</v>
      </c>
      <c r="AF104" s="629">
        <f t="shared" si="32"/>
        <v>14100.99</v>
      </c>
      <c r="AG104" s="555">
        <f t="shared" si="27"/>
        <v>0</v>
      </c>
      <c r="AH104" s="272"/>
      <c r="AI104" s="313"/>
      <c r="AJ104" s="374"/>
      <c r="AK104" s="331"/>
      <c r="AL104" s="331"/>
      <c r="AM104" s="331"/>
      <c r="AN104" s="352"/>
      <c r="AO104" s="352"/>
      <c r="AP104" s="352"/>
      <c r="AQ104" s="352"/>
      <c r="AR104" s="352"/>
      <c r="AS104" s="352"/>
      <c r="AT104" s="352"/>
      <c r="AU104" s="352"/>
    </row>
    <row r="105" spans="1:47" s="291" customFormat="1" ht="12.75" customHeight="1" x14ac:dyDescent="0.2">
      <c r="A105" s="423">
        <f t="shared" si="28"/>
        <v>104</v>
      </c>
      <c r="B105" s="657" t="s">
        <v>2147</v>
      </c>
      <c r="C105" s="655">
        <v>1520604</v>
      </c>
      <c r="D105" s="658">
        <v>7495</v>
      </c>
      <c r="E105" s="655" t="s">
        <v>718</v>
      </c>
      <c r="F105" s="546">
        <v>2017</v>
      </c>
      <c r="G105" s="659">
        <v>42822</v>
      </c>
      <c r="H105" s="655" t="s">
        <v>2215</v>
      </c>
      <c r="I105" s="655" t="s">
        <v>2350</v>
      </c>
      <c r="J105" s="655" t="s">
        <v>724</v>
      </c>
      <c r="K105" s="655" t="s">
        <v>2484</v>
      </c>
      <c r="L105" s="655" t="s">
        <v>2648</v>
      </c>
      <c r="M105" s="660">
        <v>282019.7</v>
      </c>
      <c r="N105" s="660">
        <v>14100.99</v>
      </c>
      <c r="O105" s="660">
        <v>47379.31</v>
      </c>
      <c r="P105" s="660">
        <v>343500</v>
      </c>
      <c r="Q105" s="548"/>
      <c r="R105" s="660">
        <v>255781.34</v>
      </c>
      <c r="S105" s="549">
        <f t="shared" si="18"/>
        <v>87718.66</v>
      </c>
      <c r="T105" s="113" t="s">
        <v>131</v>
      </c>
      <c r="U105" s="626" t="str">
        <f t="shared" si="22"/>
        <v>AA10736</v>
      </c>
      <c r="V105" s="627" t="str">
        <f t="shared" si="23"/>
        <v>1039-TCN17</v>
      </c>
      <c r="W105" s="626">
        <f t="shared" si="24"/>
        <v>1520604</v>
      </c>
      <c r="X105" s="626" t="str">
        <f t="shared" si="34"/>
        <v>HILUX PICK UP D CAB SR A/C</v>
      </c>
      <c r="Y105" s="627">
        <f t="shared" si="34"/>
        <v>2017</v>
      </c>
      <c r="Z105" s="628">
        <f t="shared" si="26"/>
        <v>282019.7</v>
      </c>
      <c r="AA105" s="662"/>
      <c r="AB105" s="678"/>
      <c r="AC105" s="629">
        <f t="shared" si="30"/>
        <v>246423.66</v>
      </c>
      <c r="AD105" s="630">
        <f t="shared" si="33"/>
        <v>0.05</v>
      </c>
      <c r="AE105" s="629">
        <f t="shared" si="31"/>
        <v>4928.3900000000003</v>
      </c>
      <c r="AF105" s="629">
        <f t="shared" si="32"/>
        <v>14100.99</v>
      </c>
      <c r="AG105" s="555">
        <f t="shared" si="27"/>
        <v>0</v>
      </c>
      <c r="AH105" s="272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3">
        <f t="shared" si="28"/>
        <v>105</v>
      </c>
      <c r="B106" s="657" t="s">
        <v>2129</v>
      </c>
      <c r="C106" s="655">
        <v>1520604</v>
      </c>
      <c r="D106" s="658">
        <v>7495</v>
      </c>
      <c r="E106" s="655" t="s">
        <v>718</v>
      </c>
      <c r="F106" s="546">
        <v>2017</v>
      </c>
      <c r="G106" s="659">
        <v>42796</v>
      </c>
      <c r="H106" s="655" t="s">
        <v>817</v>
      </c>
      <c r="I106" s="655" t="s">
        <v>2335</v>
      </c>
      <c r="J106" s="655" t="s">
        <v>729</v>
      </c>
      <c r="K106" s="655" t="s">
        <v>2475</v>
      </c>
      <c r="L106" s="655" t="s">
        <v>2633</v>
      </c>
      <c r="M106" s="660">
        <v>282019.7</v>
      </c>
      <c r="N106" s="660">
        <v>14100.99</v>
      </c>
      <c r="O106" s="660">
        <v>47379.31</v>
      </c>
      <c r="P106" s="660">
        <v>343500</v>
      </c>
      <c r="Q106" s="548"/>
      <c r="R106" s="660">
        <v>255426.86</v>
      </c>
      <c r="S106" s="549">
        <f t="shared" si="18"/>
        <v>88073.140000000014</v>
      </c>
      <c r="T106" s="267" t="s">
        <v>131</v>
      </c>
      <c r="U106" s="626" t="str">
        <f t="shared" si="22"/>
        <v>AA10563</v>
      </c>
      <c r="V106" s="627" t="str">
        <f t="shared" si="23"/>
        <v>0931-TCN17</v>
      </c>
      <c r="W106" s="626">
        <f t="shared" si="24"/>
        <v>1520604</v>
      </c>
      <c r="X106" s="626" t="str">
        <f t="shared" si="34"/>
        <v>HILUX PICK UP D CAB SR A/C</v>
      </c>
      <c r="Y106" s="627">
        <f t="shared" si="34"/>
        <v>2017</v>
      </c>
      <c r="Z106" s="628">
        <f t="shared" si="26"/>
        <v>282019.7</v>
      </c>
      <c r="AA106" s="662"/>
      <c r="AB106" s="678"/>
      <c r="AC106" s="629">
        <f t="shared" si="30"/>
        <v>246423.66</v>
      </c>
      <c r="AD106" s="630">
        <f t="shared" si="33"/>
        <v>0.05</v>
      </c>
      <c r="AE106" s="629">
        <f t="shared" si="31"/>
        <v>4928.3900000000003</v>
      </c>
      <c r="AF106" s="629">
        <f t="shared" si="32"/>
        <v>14100.99</v>
      </c>
      <c r="AG106" s="555">
        <f t="shared" si="27"/>
        <v>0</v>
      </c>
      <c r="AH106" s="272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351" customFormat="1" ht="12.75" customHeight="1" x14ac:dyDescent="0.2">
      <c r="A107" s="423">
        <f t="shared" si="28"/>
        <v>106</v>
      </c>
      <c r="B107" s="657" t="s">
        <v>2157</v>
      </c>
      <c r="C107" s="655">
        <v>1520604</v>
      </c>
      <c r="D107" s="658">
        <v>7495</v>
      </c>
      <c r="E107" s="655" t="s">
        <v>718</v>
      </c>
      <c r="F107" s="546">
        <v>2017</v>
      </c>
      <c r="G107" s="659">
        <v>42825</v>
      </c>
      <c r="H107" s="655" t="s">
        <v>2213</v>
      </c>
      <c r="I107" s="655" t="s">
        <v>2352</v>
      </c>
      <c r="J107" s="655" t="s">
        <v>729</v>
      </c>
      <c r="K107" s="655" t="s">
        <v>2486</v>
      </c>
      <c r="L107" s="655" t="s">
        <v>2650</v>
      </c>
      <c r="M107" s="660">
        <v>282019.7</v>
      </c>
      <c r="N107" s="660">
        <v>14100.99</v>
      </c>
      <c r="O107" s="660">
        <v>47379.31</v>
      </c>
      <c r="P107" s="660">
        <v>343500</v>
      </c>
      <c r="Q107" s="548"/>
      <c r="R107" s="660">
        <v>255426.86</v>
      </c>
      <c r="S107" s="549">
        <f t="shared" si="18"/>
        <v>88073.140000000014</v>
      </c>
      <c r="T107" s="113" t="s">
        <v>131</v>
      </c>
      <c r="U107" s="626" t="str">
        <f t="shared" si="22"/>
        <v>AA10763</v>
      </c>
      <c r="V107" s="627" t="str">
        <f t="shared" si="23"/>
        <v>1031-TCN17</v>
      </c>
      <c r="W107" s="626">
        <f t="shared" si="24"/>
        <v>1520604</v>
      </c>
      <c r="X107" s="626" t="str">
        <f t="shared" si="34"/>
        <v>HILUX PICK UP D CAB SR A/C</v>
      </c>
      <c r="Y107" s="627">
        <f t="shared" si="34"/>
        <v>2017</v>
      </c>
      <c r="Z107" s="628">
        <f t="shared" si="26"/>
        <v>282019.7</v>
      </c>
      <c r="AA107" s="661"/>
      <c r="AB107" s="678"/>
      <c r="AC107" s="629">
        <f t="shared" si="30"/>
        <v>246423.66</v>
      </c>
      <c r="AD107" s="630">
        <f t="shared" si="33"/>
        <v>0.05</v>
      </c>
      <c r="AE107" s="629">
        <f t="shared" si="31"/>
        <v>4928.3900000000003</v>
      </c>
      <c r="AF107" s="629">
        <f t="shared" si="32"/>
        <v>14100.99</v>
      </c>
      <c r="AG107" s="555">
        <f t="shared" si="27"/>
        <v>0</v>
      </c>
      <c r="AH107" s="350"/>
      <c r="AI107" s="313"/>
      <c r="AJ107" s="374"/>
      <c r="AK107" s="331"/>
      <c r="AL107" s="331"/>
      <c r="AM107" s="331"/>
      <c r="AN107" s="352"/>
      <c r="AO107" s="352"/>
      <c r="AP107" s="352"/>
      <c r="AQ107" s="352"/>
      <c r="AR107" s="352"/>
      <c r="AS107" s="352"/>
      <c r="AT107" s="352"/>
      <c r="AU107" s="352"/>
    </row>
    <row r="108" spans="1:47" s="351" customFormat="1" ht="12.75" customHeight="1" x14ac:dyDescent="0.2">
      <c r="A108" s="423">
        <f t="shared" si="28"/>
        <v>107</v>
      </c>
      <c r="B108" s="657" t="s">
        <v>2143</v>
      </c>
      <c r="C108" s="655">
        <v>1520604</v>
      </c>
      <c r="D108" s="658">
        <v>7495</v>
      </c>
      <c r="E108" s="655" t="s">
        <v>718</v>
      </c>
      <c r="F108" s="546">
        <v>2017</v>
      </c>
      <c r="G108" s="659">
        <v>42811</v>
      </c>
      <c r="H108" s="655" t="s">
        <v>817</v>
      </c>
      <c r="I108" s="655" t="s">
        <v>2346</v>
      </c>
      <c r="J108" s="655" t="s">
        <v>729</v>
      </c>
      <c r="K108" s="655" t="s">
        <v>2483</v>
      </c>
      <c r="L108" s="655" t="s">
        <v>2644</v>
      </c>
      <c r="M108" s="660">
        <v>282019.7</v>
      </c>
      <c r="N108" s="660">
        <v>14100.99</v>
      </c>
      <c r="O108" s="660">
        <v>47379.31</v>
      </c>
      <c r="P108" s="660">
        <v>343500</v>
      </c>
      <c r="Q108" s="548"/>
      <c r="R108" s="660">
        <v>255426.86</v>
      </c>
      <c r="S108" s="549">
        <f t="shared" si="18"/>
        <v>88073.140000000014</v>
      </c>
      <c r="T108" s="267" t="s">
        <v>131</v>
      </c>
      <c r="U108" s="626" t="str">
        <f t="shared" si="22"/>
        <v>AA10663</v>
      </c>
      <c r="V108" s="627" t="str">
        <f t="shared" si="23"/>
        <v>0950-TCN17</v>
      </c>
      <c r="W108" s="626">
        <f t="shared" si="24"/>
        <v>1520604</v>
      </c>
      <c r="X108" s="626" t="str">
        <f t="shared" si="34"/>
        <v>HILUX PICK UP D CAB SR A/C</v>
      </c>
      <c r="Y108" s="627">
        <f t="shared" si="34"/>
        <v>2017</v>
      </c>
      <c r="Z108" s="628">
        <f t="shared" si="26"/>
        <v>282019.7</v>
      </c>
      <c r="AA108" s="661"/>
      <c r="AB108" s="678"/>
      <c r="AC108" s="629">
        <f t="shared" si="30"/>
        <v>246423.66</v>
      </c>
      <c r="AD108" s="630">
        <f t="shared" si="33"/>
        <v>0.05</v>
      </c>
      <c r="AE108" s="629">
        <f t="shared" si="31"/>
        <v>4928.3900000000003</v>
      </c>
      <c r="AF108" s="629">
        <f t="shared" si="32"/>
        <v>14100.99</v>
      </c>
      <c r="AG108" s="555">
        <f t="shared" si="27"/>
        <v>0</v>
      </c>
      <c r="AH108" s="313"/>
      <c r="AI108" s="313"/>
      <c r="AJ108" s="374"/>
      <c r="AK108" s="331"/>
      <c r="AL108" s="331"/>
      <c r="AM108" s="331"/>
      <c r="AN108" s="352"/>
      <c r="AO108" s="352"/>
      <c r="AP108" s="352"/>
      <c r="AQ108" s="352"/>
      <c r="AR108" s="352"/>
      <c r="AS108" s="352"/>
      <c r="AT108" s="352"/>
      <c r="AU108" s="352"/>
    </row>
    <row r="109" spans="1:47" s="291" customFormat="1" ht="12.75" customHeight="1" x14ac:dyDescent="0.2">
      <c r="A109" s="423">
        <f t="shared" si="28"/>
        <v>108</v>
      </c>
      <c r="B109" s="657" t="s">
        <v>2150</v>
      </c>
      <c r="C109" s="655">
        <v>1520604</v>
      </c>
      <c r="D109" s="658">
        <v>7495</v>
      </c>
      <c r="E109" s="655" t="s">
        <v>718</v>
      </c>
      <c r="F109" s="546">
        <v>2017</v>
      </c>
      <c r="G109" s="659">
        <v>42823</v>
      </c>
      <c r="H109" s="655" t="s">
        <v>908</v>
      </c>
      <c r="I109" s="655" t="s">
        <v>2351</v>
      </c>
      <c r="J109" s="655" t="s">
        <v>729</v>
      </c>
      <c r="K109" s="655" t="s">
        <v>2485</v>
      </c>
      <c r="L109" s="655" t="s">
        <v>2649</v>
      </c>
      <c r="M109" s="660">
        <v>282019.7</v>
      </c>
      <c r="N109" s="660">
        <v>14100.99</v>
      </c>
      <c r="O109" s="660">
        <v>47379.31</v>
      </c>
      <c r="P109" s="660">
        <v>343500</v>
      </c>
      <c r="Q109" s="548"/>
      <c r="R109" s="660">
        <v>255426.86</v>
      </c>
      <c r="S109" s="549">
        <f t="shared" si="18"/>
        <v>88073.140000000014</v>
      </c>
      <c r="T109" s="267" t="s">
        <v>131</v>
      </c>
      <c r="U109" s="626" t="str">
        <f t="shared" si="22"/>
        <v>AA10748</v>
      </c>
      <c r="V109" s="627" t="str">
        <f t="shared" si="23"/>
        <v>1027-TCN17</v>
      </c>
      <c r="W109" s="626">
        <f t="shared" si="24"/>
        <v>1520604</v>
      </c>
      <c r="X109" s="626" t="str">
        <f t="shared" si="34"/>
        <v>HILUX PICK UP D CAB SR A/C</v>
      </c>
      <c r="Y109" s="627">
        <f t="shared" si="34"/>
        <v>2017</v>
      </c>
      <c r="Z109" s="628">
        <f t="shared" si="26"/>
        <v>282019.7</v>
      </c>
      <c r="AA109" s="628">
        <f>+SUM(Z91:Z109)</f>
        <v>5348275.7800000021</v>
      </c>
      <c r="AB109" s="678">
        <v>19</v>
      </c>
      <c r="AC109" s="629">
        <f t="shared" si="30"/>
        <v>246423.66</v>
      </c>
      <c r="AD109" s="630">
        <f t="shared" si="33"/>
        <v>0.05</v>
      </c>
      <c r="AE109" s="629">
        <f t="shared" si="31"/>
        <v>4928.3900000000003</v>
      </c>
      <c r="AF109" s="629">
        <f t="shared" si="32"/>
        <v>14100.99</v>
      </c>
      <c r="AG109" s="555">
        <f t="shared" si="27"/>
        <v>0</v>
      </c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351" customFormat="1" ht="12.75" customHeight="1" x14ac:dyDescent="0.2">
      <c r="A110" s="423">
        <f t="shared" si="28"/>
        <v>109</v>
      </c>
      <c r="B110" s="657" t="s">
        <v>1938</v>
      </c>
      <c r="C110" s="655">
        <v>522401</v>
      </c>
      <c r="D110" s="658">
        <v>1062</v>
      </c>
      <c r="E110" s="655" t="s">
        <v>709</v>
      </c>
      <c r="F110" s="546">
        <v>2017</v>
      </c>
      <c r="G110" s="659">
        <v>42808</v>
      </c>
      <c r="H110" s="655" t="s">
        <v>819</v>
      </c>
      <c r="I110" s="655" t="s">
        <v>1526</v>
      </c>
      <c r="J110" s="655" t="s">
        <v>724</v>
      </c>
      <c r="K110" s="655" t="s">
        <v>830</v>
      </c>
      <c r="L110" s="655" t="s">
        <v>1788</v>
      </c>
      <c r="M110" s="660">
        <v>-224137.93</v>
      </c>
      <c r="N110" s="660">
        <v>0</v>
      </c>
      <c r="O110" s="660">
        <v>-35862.07</v>
      </c>
      <c r="P110" s="660">
        <v>-260000</v>
      </c>
      <c r="Q110" s="548"/>
      <c r="R110" s="660">
        <v>-203012.91</v>
      </c>
      <c r="S110" s="549">
        <f t="shared" si="18"/>
        <v>-56987.09</v>
      </c>
      <c r="T110" s="113" t="s">
        <v>1268</v>
      </c>
      <c r="AB110" s="666"/>
      <c r="AI110" s="313"/>
      <c r="AJ110" s="374"/>
      <c r="AK110" s="331"/>
      <c r="AL110" s="331"/>
      <c r="AM110" s="331"/>
      <c r="AN110" s="352"/>
      <c r="AO110" s="352"/>
      <c r="AP110" s="352"/>
      <c r="AQ110" s="352"/>
      <c r="AR110" s="352"/>
      <c r="AS110" s="352"/>
      <c r="AT110" s="352"/>
      <c r="AU110" s="352"/>
    </row>
    <row r="111" spans="1:47" s="291" customFormat="1" ht="12.75" customHeight="1" x14ac:dyDescent="0.2">
      <c r="A111" s="423">
        <f t="shared" si="28"/>
        <v>110</v>
      </c>
      <c r="B111" s="657" t="s">
        <v>1939</v>
      </c>
      <c r="C111" s="655">
        <v>522401</v>
      </c>
      <c r="D111" s="658">
        <v>1062</v>
      </c>
      <c r="E111" s="655" t="s">
        <v>709</v>
      </c>
      <c r="F111" s="546">
        <v>2017</v>
      </c>
      <c r="G111" s="659">
        <v>42808</v>
      </c>
      <c r="H111" s="655" t="s">
        <v>2213</v>
      </c>
      <c r="I111" s="655" t="s">
        <v>1526</v>
      </c>
      <c r="J111" s="655" t="s">
        <v>724</v>
      </c>
      <c r="K111" s="655" t="s">
        <v>2390</v>
      </c>
      <c r="L111" s="655" t="s">
        <v>1788</v>
      </c>
      <c r="M111" s="660">
        <v>224137.93</v>
      </c>
      <c r="N111" s="660">
        <v>0</v>
      </c>
      <c r="O111" s="660">
        <v>35862.07</v>
      </c>
      <c r="P111" s="660">
        <v>260000</v>
      </c>
      <c r="Q111" s="548"/>
      <c r="R111" s="660">
        <v>203012.91</v>
      </c>
      <c r="S111" s="549">
        <f t="shared" si="18"/>
        <v>56987.09</v>
      </c>
      <c r="T111" s="445" t="s">
        <v>1268</v>
      </c>
      <c r="AB111" s="114"/>
      <c r="AH111" s="348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351" customFormat="1" ht="12.75" customHeight="1" thickBot="1" x14ac:dyDescent="0.25">
      <c r="A112" s="423">
        <f t="shared" si="28"/>
        <v>111</v>
      </c>
      <c r="B112" s="657" t="s">
        <v>1944</v>
      </c>
      <c r="C112" s="655">
        <v>522401</v>
      </c>
      <c r="D112" s="658">
        <v>1062</v>
      </c>
      <c r="E112" s="655" t="s">
        <v>709</v>
      </c>
      <c r="F112" s="546">
        <v>2017</v>
      </c>
      <c r="G112" s="659">
        <v>42816</v>
      </c>
      <c r="H112" s="655" t="s">
        <v>2214</v>
      </c>
      <c r="I112" s="655" t="s">
        <v>2227</v>
      </c>
      <c r="J112" s="655" t="s">
        <v>724</v>
      </c>
      <c r="K112" s="655" t="s">
        <v>2394</v>
      </c>
      <c r="L112" s="655" t="s">
        <v>2525</v>
      </c>
      <c r="M112" s="660">
        <v>224137.93</v>
      </c>
      <c r="N112" s="660">
        <v>0</v>
      </c>
      <c r="O112" s="660">
        <v>35862.07</v>
      </c>
      <c r="P112" s="660">
        <v>260000</v>
      </c>
      <c r="Q112" s="548"/>
      <c r="R112" s="660">
        <v>203012.91</v>
      </c>
      <c r="S112" s="549">
        <f t="shared" si="18"/>
        <v>56987.09</v>
      </c>
      <c r="T112" s="267" t="s">
        <v>1268</v>
      </c>
      <c r="U112" s="291"/>
      <c r="V112" s="291"/>
      <c r="W112" s="291"/>
      <c r="X112" s="291"/>
      <c r="Y112" s="291"/>
      <c r="Z112" s="291"/>
      <c r="AA112" s="291"/>
      <c r="AB112" s="667"/>
      <c r="AC112" s="291"/>
      <c r="AD112" s="291"/>
      <c r="AE112" s="291"/>
      <c r="AF112" s="291"/>
      <c r="AG112" s="395"/>
      <c r="AH112" s="361"/>
      <c r="AI112" s="313"/>
      <c r="AJ112" s="374"/>
      <c r="AK112" s="331"/>
      <c r="AL112" s="331"/>
      <c r="AM112" s="331"/>
      <c r="AN112" s="352"/>
      <c r="AO112" s="352"/>
      <c r="AP112" s="352"/>
      <c r="AQ112" s="352"/>
      <c r="AR112" s="352"/>
      <c r="AS112" s="352"/>
      <c r="AT112" s="352"/>
      <c r="AU112" s="352"/>
    </row>
    <row r="113" spans="1:47" s="291" customFormat="1" ht="12.75" customHeight="1" thickBot="1" x14ac:dyDescent="0.25">
      <c r="A113" s="423">
        <f t="shared" si="28"/>
        <v>112</v>
      </c>
      <c r="B113" s="657" t="s">
        <v>1945</v>
      </c>
      <c r="C113" s="655">
        <v>522401</v>
      </c>
      <c r="D113" s="658">
        <v>1062</v>
      </c>
      <c r="E113" s="655" t="s">
        <v>709</v>
      </c>
      <c r="F113" s="546">
        <v>2017</v>
      </c>
      <c r="G113" s="659">
        <v>42818</v>
      </c>
      <c r="H113" s="655" t="s">
        <v>2214</v>
      </c>
      <c r="I113" s="655" t="s">
        <v>2227</v>
      </c>
      <c r="J113" s="655" t="s">
        <v>724</v>
      </c>
      <c r="K113" s="655" t="s">
        <v>2394</v>
      </c>
      <c r="L113" s="655" t="s">
        <v>2525</v>
      </c>
      <c r="M113" s="660">
        <v>-224137.93</v>
      </c>
      <c r="N113" s="660">
        <v>0</v>
      </c>
      <c r="O113" s="660">
        <v>-35862.07</v>
      </c>
      <c r="P113" s="660">
        <v>-260000</v>
      </c>
      <c r="Q113" s="548"/>
      <c r="R113" s="660">
        <v>-203012.91</v>
      </c>
      <c r="S113" s="549">
        <f t="shared" si="18"/>
        <v>-56987.09</v>
      </c>
      <c r="T113" s="113" t="s">
        <v>1268</v>
      </c>
      <c r="U113" s="307"/>
      <c r="V113" s="423"/>
      <c r="W113" s="362"/>
      <c r="X113" s="362"/>
      <c r="Y113" s="619">
        <f>154-4</f>
        <v>150</v>
      </c>
      <c r="Z113" s="620">
        <f>+SUM(Z6:Z109)</f>
        <v>28146037.039999966</v>
      </c>
      <c r="AA113" s="620">
        <f>+SUM(AA6:AA109)</f>
        <v>28146037.039999999</v>
      </c>
      <c r="AB113" s="643">
        <f>+SUM(AB6:AB109)</f>
        <v>96</v>
      </c>
      <c r="AC113" s="620"/>
      <c r="AD113" s="620"/>
      <c r="AE113" s="620"/>
      <c r="AF113" s="620">
        <f>+SUM(AF6:AF109)</f>
        <v>1020711.9562499996</v>
      </c>
      <c r="AG113" s="379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thickTop="1" x14ac:dyDescent="0.2">
      <c r="A114" s="423">
        <f t="shared" si="28"/>
        <v>113</v>
      </c>
      <c r="B114" s="657" t="s">
        <v>2105</v>
      </c>
      <c r="C114" s="655">
        <v>1520302</v>
      </c>
      <c r="D114" s="658">
        <v>7401</v>
      </c>
      <c r="E114" s="655" t="s">
        <v>714</v>
      </c>
      <c r="F114" s="546">
        <v>2017</v>
      </c>
      <c r="G114" s="659">
        <v>42819</v>
      </c>
      <c r="H114" s="655" t="s">
        <v>817</v>
      </c>
      <c r="I114" s="655" t="s">
        <v>2318</v>
      </c>
      <c r="J114" s="655" t="s">
        <v>729</v>
      </c>
      <c r="K114" s="655" t="s">
        <v>2465</v>
      </c>
      <c r="L114" s="655" t="s">
        <v>2616</v>
      </c>
      <c r="M114" s="660">
        <v>-441379.31</v>
      </c>
      <c r="N114" s="660">
        <v>-22068.97</v>
      </c>
      <c r="O114" s="660">
        <v>-74151.72</v>
      </c>
      <c r="P114" s="660">
        <v>-537600</v>
      </c>
      <c r="Q114" s="548"/>
      <c r="R114" s="660">
        <v>-390926.69</v>
      </c>
      <c r="S114" s="549">
        <f t="shared" si="18"/>
        <v>-146673.31</v>
      </c>
      <c r="T114" s="113" t="s">
        <v>1268</v>
      </c>
      <c r="U114" s="434"/>
      <c r="V114" s="427"/>
      <c r="W114" s="428"/>
      <c r="X114" s="428"/>
      <c r="Y114" s="93"/>
      <c r="Z114" s="260"/>
      <c r="AA114" s="431"/>
      <c r="AB114" s="668"/>
      <c r="AC114" s="431"/>
      <c r="AD114" s="436"/>
      <c r="AE114" s="431"/>
      <c r="AF114" s="431">
        <f>+N285</f>
        <v>1017152.5599999995</v>
      </c>
      <c r="AG114" s="440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351" customFormat="1" ht="12.75" customHeight="1" x14ac:dyDescent="0.2">
      <c r="A115" s="423">
        <f t="shared" si="28"/>
        <v>114</v>
      </c>
      <c r="B115" s="657" t="s">
        <v>2106</v>
      </c>
      <c r="C115" s="655">
        <v>1520302</v>
      </c>
      <c r="D115" s="658">
        <v>7401</v>
      </c>
      <c r="E115" s="655" t="s">
        <v>714</v>
      </c>
      <c r="F115" s="546">
        <v>2017</v>
      </c>
      <c r="G115" s="659">
        <v>42819</v>
      </c>
      <c r="H115" s="655" t="s">
        <v>817</v>
      </c>
      <c r="I115" s="655" t="s">
        <v>2318</v>
      </c>
      <c r="J115" s="655" t="s">
        <v>729</v>
      </c>
      <c r="K115" s="655" t="s">
        <v>2465</v>
      </c>
      <c r="L115" s="655" t="s">
        <v>2616</v>
      </c>
      <c r="M115" s="660">
        <v>441379.31</v>
      </c>
      <c r="N115" s="660">
        <v>22068.97</v>
      </c>
      <c r="O115" s="660">
        <v>74151.72</v>
      </c>
      <c r="P115" s="660">
        <v>537600</v>
      </c>
      <c r="Q115" s="548"/>
      <c r="R115" s="660">
        <v>390926.69</v>
      </c>
      <c r="S115" s="549">
        <f t="shared" si="18"/>
        <v>146673.31</v>
      </c>
      <c r="T115" s="267" t="s">
        <v>1268</v>
      </c>
      <c r="U115" s="93"/>
      <c r="V115" s="93"/>
      <c r="W115" s="267"/>
      <c r="X115" s="271"/>
      <c r="Y115" s="469"/>
      <c r="Z115" s="470"/>
      <c r="AA115" s="431"/>
      <c r="AB115" s="668"/>
      <c r="AC115" s="396"/>
      <c r="AD115" s="425"/>
      <c r="AE115" s="395"/>
      <c r="AF115" s="379"/>
      <c r="AG115" s="395"/>
      <c r="AH115" s="361"/>
      <c r="AI115" s="313"/>
      <c r="AJ115" s="374"/>
      <c r="AK115" s="331"/>
      <c r="AL115" s="331"/>
      <c r="AM115" s="331"/>
      <c r="AN115" s="352"/>
      <c r="AO115" s="352"/>
      <c r="AP115" s="352"/>
      <c r="AQ115" s="352"/>
      <c r="AR115" s="352"/>
      <c r="AS115" s="352"/>
      <c r="AT115" s="352"/>
      <c r="AU115" s="352"/>
    </row>
    <row r="116" spans="1:47" s="351" customFormat="1" ht="12.75" customHeight="1" x14ac:dyDescent="0.2">
      <c r="A116" s="423">
        <f t="shared" si="28"/>
        <v>115</v>
      </c>
      <c r="B116" s="657" t="s">
        <v>2059</v>
      </c>
      <c r="C116" s="655">
        <v>520512</v>
      </c>
      <c r="D116" s="658">
        <v>5394</v>
      </c>
      <c r="E116" s="655" t="s">
        <v>223</v>
      </c>
      <c r="F116" s="546">
        <v>2017</v>
      </c>
      <c r="G116" s="659">
        <v>42805</v>
      </c>
      <c r="H116" s="655" t="s">
        <v>817</v>
      </c>
      <c r="I116" s="655" t="s">
        <v>2291</v>
      </c>
      <c r="J116" s="655" t="s">
        <v>729</v>
      </c>
      <c r="K116" s="655" t="s">
        <v>2444</v>
      </c>
      <c r="L116" s="655" t="s">
        <v>2589</v>
      </c>
      <c r="M116" s="660">
        <v>-432186.08</v>
      </c>
      <c r="N116" s="660">
        <v>-25400.13</v>
      </c>
      <c r="O116" s="660">
        <v>-73213.789999999994</v>
      </c>
      <c r="P116" s="660">
        <v>-530800</v>
      </c>
      <c r="Q116" s="548"/>
      <c r="R116" s="660">
        <v>-382792.51</v>
      </c>
      <c r="S116" s="549">
        <f t="shared" si="18"/>
        <v>-148007.49</v>
      </c>
      <c r="T116" s="267" t="s">
        <v>1268</v>
      </c>
      <c r="U116" s="429"/>
      <c r="V116" s="298" t="s">
        <v>250</v>
      </c>
      <c r="W116" s="437" t="s">
        <v>2127</v>
      </c>
      <c r="X116" s="382"/>
      <c r="Y116" s="441"/>
      <c r="Z116" s="438"/>
      <c r="AA116" s="439"/>
      <c r="AB116" s="669"/>
      <c r="AC116" s="396"/>
      <c r="AD116" s="425"/>
      <c r="AE116" s="440"/>
      <c r="AF116" s="439">
        <f>+AF113-AF114</f>
        <v>3559.3962500001071</v>
      </c>
      <c r="AG116" s="396">
        <f>SUM(AG6:AG115)</f>
        <v>-3559.3962499999711</v>
      </c>
      <c r="AH116" s="361"/>
      <c r="AI116" s="313"/>
      <c r="AJ116" s="374"/>
      <c r="AK116" s="331"/>
      <c r="AL116" s="331"/>
      <c r="AM116" s="331"/>
      <c r="AN116" s="352"/>
      <c r="AO116" s="352"/>
      <c r="AP116" s="352"/>
      <c r="AQ116" s="352"/>
      <c r="AR116" s="352"/>
      <c r="AS116" s="352"/>
      <c r="AT116" s="352"/>
      <c r="AU116" s="352"/>
    </row>
    <row r="117" spans="1:47" s="291" customFormat="1" ht="12.75" customHeight="1" x14ac:dyDescent="0.2">
      <c r="A117" s="423">
        <f t="shared" si="28"/>
        <v>116</v>
      </c>
      <c r="B117" s="657" t="s">
        <v>2060</v>
      </c>
      <c r="C117" s="655">
        <v>520512</v>
      </c>
      <c r="D117" s="658">
        <v>5394</v>
      </c>
      <c r="E117" s="655" t="s">
        <v>223</v>
      </c>
      <c r="F117" s="546">
        <v>2017</v>
      </c>
      <c r="G117" s="659">
        <v>42805</v>
      </c>
      <c r="H117" s="655" t="s">
        <v>817</v>
      </c>
      <c r="I117" s="655" t="s">
        <v>2291</v>
      </c>
      <c r="J117" s="655" t="s">
        <v>729</v>
      </c>
      <c r="K117" s="655" t="s">
        <v>2444</v>
      </c>
      <c r="L117" s="655" t="s">
        <v>2589</v>
      </c>
      <c r="M117" s="660">
        <v>432186.08</v>
      </c>
      <c r="N117" s="660">
        <v>25400.13</v>
      </c>
      <c r="O117" s="660">
        <v>73213.789999999994</v>
      </c>
      <c r="P117" s="660">
        <v>530800</v>
      </c>
      <c r="Q117" s="548"/>
      <c r="R117" s="660">
        <v>382792.51</v>
      </c>
      <c r="S117" s="549">
        <f t="shared" si="18"/>
        <v>148007.49</v>
      </c>
      <c r="T117" s="113" t="s">
        <v>1268</v>
      </c>
      <c r="U117" s="93"/>
      <c r="V117" s="298" t="s">
        <v>251</v>
      </c>
      <c r="W117" s="437" t="s">
        <v>1991</v>
      </c>
      <c r="X117" s="271"/>
      <c r="Y117" s="441"/>
      <c r="Z117" s="471">
        <f>+AB109+AB90+AB89+AB88+AB87+AB84+AB83+AB81</f>
        <v>33</v>
      </c>
      <c r="AA117" s="472">
        <f>+AA109+AA90+AA89+AA88+AA87+AA84+AA83+AA81</f>
        <v>10070361.140000001</v>
      </c>
      <c r="AB117" s="646"/>
      <c r="AC117" s="474" t="s">
        <v>1269</v>
      </c>
      <c r="AD117" s="436"/>
      <c r="AE117" s="431"/>
      <c r="AF117" s="431"/>
      <c r="AG117" s="440"/>
      <c r="AH117" s="361"/>
      <c r="AI117" s="313"/>
      <c r="AJ117" s="330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351" customFormat="1" ht="12.75" customHeight="1" x14ac:dyDescent="0.2">
      <c r="A118" s="423">
        <f t="shared" si="28"/>
        <v>117</v>
      </c>
      <c r="B118" s="657" t="s">
        <v>2061</v>
      </c>
      <c r="C118" s="655">
        <v>520512</v>
      </c>
      <c r="D118" s="658">
        <v>5394</v>
      </c>
      <c r="E118" s="655" t="s">
        <v>223</v>
      </c>
      <c r="F118" s="546">
        <v>2017</v>
      </c>
      <c r="G118" s="659">
        <v>42805</v>
      </c>
      <c r="H118" s="655" t="s">
        <v>817</v>
      </c>
      <c r="I118" s="655" t="s">
        <v>2291</v>
      </c>
      <c r="J118" s="655" t="s">
        <v>729</v>
      </c>
      <c r="K118" s="655" t="s">
        <v>2444</v>
      </c>
      <c r="L118" s="655" t="s">
        <v>2589</v>
      </c>
      <c r="M118" s="660">
        <v>432186.08</v>
      </c>
      <c r="N118" s="660">
        <v>25400.13</v>
      </c>
      <c r="O118" s="660">
        <v>73213.789999999994</v>
      </c>
      <c r="P118" s="660">
        <v>530800</v>
      </c>
      <c r="Q118" s="548"/>
      <c r="R118" s="660">
        <v>382792.51</v>
      </c>
      <c r="S118" s="549">
        <f t="shared" si="18"/>
        <v>148007.49</v>
      </c>
      <c r="T118" s="267" t="s">
        <v>1268</v>
      </c>
      <c r="U118" s="93"/>
      <c r="V118" s="93"/>
      <c r="W118" s="267"/>
      <c r="X118" s="271"/>
      <c r="Y118" s="94"/>
      <c r="Z118" s="475">
        <f>+AB76+AB75+AB74+AB68+AB63+AB62+AB54+AB29+AB27</f>
        <v>29</v>
      </c>
      <c r="AA118" s="472">
        <f>+AA76+AA75+AA74+AA68+AA63+AA62+AA54+AA29+AA27</f>
        <v>5853017.2300000004</v>
      </c>
      <c r="AB118" s="646"/>
      <c r="AC118" s="474" t="s">
        <v>1270</v>
      </c>
      <c r="AD118" s="425"/>
      <c r="AE118" s="424"/>
      <c r="AF118" s="424"/>
      <c r="AG118" s="346"/>
      <c r="AH118" s="361"/>
      <c r="AI118" s="313"/>
      <c r="AJ118" s="331"/>
      <c r="AK118" s="331"/>
      <c r="AL118" s="331"/>
      <c r="AM118" s="331"/>
      <c r="AN118" s="352"/>
      <c r="AO118" s="352"/>
      <c r="AP118" s="352"/>
      <c r="AQ118" s="352"/>
      <c r="AR118" s="352"/>
      <c r="AS118" s="352"/>
      <c r="AT118" s="352"/>
      <c r="AU118" s="352"/>
    </row>
    <row r="119" spans="1:47" s="348" customFormat="1" ht="12.75" customHeight="1" x14ac:dyDescent="0.2">
      <c r="A119" s="423">
        <f t="shared" si="28"/>
        <v>118</v>
      </c>
      <c r="B119" s="657" t="s">
        <v>2062</v>
      </c>
      <c r="C119" s="655">
        <v>520512</v>
      </c>
      <c r="D119" s="658">
        <v>5394</v>
      </c>
      <c r="E119" s="655" t="s">
        <v>223</v>
      </c>
      <c r="F119" s="546">
        <v>2017</v>
      </c>
      <c r="G119" s="659">
        <v>42807</v>
      </c>
      <c r="H119" s="655" t="s">
        <v>817</v>
      </c>
      <c r="I119" s="655" t="s">
        <v>2291</v>
      </c>
      <c r="J119" s="655" t="s">
        <v>729</v>
      </c>
      <c r="K119" s="655" t="s">
        <v>2444</v>
      </c>
      <c r="L119" s="655" t="s">
        <v>2589</v>
      </c>
      <c r="M119" s="660">
        <v>-432186.08</v>
      </c>
      <c r="N119" s="660">
        <v>-25400.13</v>
      </c>
      <c r="O119" s="660">
        <v>-73213.789999999994</v>
      </c>
      <c r="P119" s="660">
        <v>-530800</v>
      </c>
      <c r="Q119" s="548"/>
      <c r="R119" s="660">
        <v>-382792.51</v>
      </c>
      <c r="S119" s="549">
        <f t="shared" si="18"/>
        <v>-148007.49</v>
      </c>
      <c r="T119" s="267" t="s">
        <v>1268</v>
      </c>
      <c r="U119" s="429"/>
      <c r="V119" s="429"/>
      <c r="W119" s="426"/>
      <c r="X119" s="382"/>
      <c r="Y119" s="442"/>
      <c r="Z119" s="476">
        <f>+AB69+AB51+AB24+AB23+AB21+AB17+AB16+AB15+AB13+AB12+AB11+AB10+AB6</f>
        <v>31</v>
      </c>
      <c r="AA119" s="472">
        <f>+AA69+AA51+AA24+AA23+AA21+AA17+AA16+AA15+AA13+AA12+AA11+AA10+AA6</f>
        <v>11261710.4</v>
      </c>
      <c r="AB119" s="646"/>
      <c r="AC119" s="474" t="s">
        <v>1271</v>
      </c>
      <c r="AD119" s="443"/>
      <c r="AE119" s="439"/>
      <c r="AF119" s="439"/>
      <c r="AG119" s="291"/>
      <c r="AH119" s="361"/>
      <c r="AI119" s="313"/>
      <c r="AJ119" s="330"/>
      <c r="AK119" s="330"/>
      <c r="AL119" s="330"/>
      <c r="AM119" s="330"/>
      <c r="AN119" s="353"/>
      <c r="AO119" s="353"/>
      <c r="AP119" s="353"/>
      <c r="AQ119" s="353"/>
      <c r="AR119" s="353"/>
      <c r="AS119" s="353"/>
      <c r="AT119" s="353"/>
      <c r="AU119" s="353"/>
    </row>
    <row r="120" spans="1:47" s="351" customFormat="1" ht="12.75" customHeight="1" thickBot="1" x14ac:dyDescent="0.25">
      <c r="A120" s="423">
        <f t="shared" si="28"/>
        <v>119</v>
      </c>
      <c r="B120" s="657" t="s">
        <v>2074</v>
      </c>
      <c r="C120" s="655">
        <v>520514</v>
      </c>
      <c r="D120" s="658">
        <v>5398</v>
      </c>
      <c r="E120" s="655" t="s">
        <v>117</v>
      </c>
      <c r="F120" s="546">
        <v>2017</v>
      </c>
      <c r="G120" s="659">
        <v>42825</v>
      </c>
      <c r="H120" s="655" t="s">
        <v>727</v>
      </c>
      <c r="I120" s="655" t="s">
        <v>2299</v>
      </c>
      <c r="J120" s="655" t="s">
        <v>729</v>
      </c>
      <c r="K120" s="655" t="s">
        <v>803</v>
      </c>
      <c r="L120" s="655" t="s">
        <v>2597</v>
      </c>
      <c r="M120" s="660">
        <v>-515345.49</v>
      </c>
      <c r="N120" s="660">
        <v>-39309.68</v>
      </c>
      <c r="O120" s="660">
        <v>-88744.83</v>
      </c>
      <c r="P120" s="660">
        <v>-643400</v>
      </c>
      <c r="Q120" s="548"/>
      <c r="R120" s="660">
        <v>-455972.8</v>
      </c>
      <c r="S120" s="549">
        <f t="shared" si="18"/>
        <v>-187427.20000000001</v>
      </c>
      <c r="T120" s="267" t="s">
        <v>1268</v>
      </c>
      <c r="Y120" s="352"/>
      <c r="Z120" s="477">
        <f>+AB40</f>
        <v>3</v>
      </c>
      <c r="AA120" s="478">
        <f>+AA40</f>
        <v>960948.26999999979</v>
      </c>
      <c r="AB120" s="646"/>
      <c r="AC120" s="474" t="s">
        <v>1272</v>
      </c>
      <c r="AH120" s="361"/>
      <c r="AI120" s="313"/>
      <c r="AJ120" s="374"/>
      <c r="AK120" s="331"/>
      <c r="AL120" s="331"/>
      <c r="AM120" s="331"/>
      <c r="AN120" s="352"/>
      <c r="AO120" s="352"/>
      <c r="AP120" s="352"/>
      <c r="AQ120" s="352"/>
      <c r="AR120" s="352"/>
      <c r="AS120" s="352"/>
      <c r="AT120" s="352"/>
      <c r="AU120" s="352"/>
    </row>
    <row r="121" spans="1:47" s="348" customFormat="1" ht="12.75" customHeight="1" thickTop="1" x14ac:dyDescent="0.2">
      <c r="A121" s="423">
        <f t="shared" si="28"/>
        <v>120</v>
      </c>
      <c r="B121" s="657" t="s">
        <v>2075</v>
      </c>
      <c r="C121" s="655">
        <v>520514</v>
      </c>
      <c r="D121" s="658">
        <v>5398</v>
      </c>
      <c r="E121" s="655" t="s">
        <v>117</v>
      </c>
      <c r="F121" s="546">
        <v>2017</v>
      </c>
      <c r="G121" s="659">
        <v>42825</v>
      </c>
      <c r="H121" s="655" t="s">
        <v>727</v>
      </c>
      <c r="I121" s="655" t="s">
        <v>2299</v>
      </c>
      <c r="J121" s="655" t="s">
        <v>729</v>
      </c>
      <c r="K121" s="655" t="s">
        <v>803</v>
      </c>
      <c r="L121" s="655" t="s">
        <v>2597</v>
      </c>
      <c r="M121" s="660">
        <v>515345.49</v>
      </c>
      <c r="N121" s="660">
        <v>39309.68</v>
      </c>
      <c r="O121" s="660">
        <v>88744.83</v>
      </c>
      <c r="P121" s="660">
        <v>643400</v>
      </c>
      <c r="Q121" s="548"/>
      <c r="R121" s="660">
        <v>455972.8</v>
      </c>
      <c r="S121" s="549">
        <f t="shared" si="18"/>
        <v>187427.20000000001</v>
      </c>
      <c r="T121" s="444" t="s">
        <v>1268</v>
      </c>
      <c r="Z121" s="479">
        <f>+SUM(Z117:Z120)</f>
        <v>96</v>
      </c>
      <c r="AA121" s="480">
        <f>SUM(AA117:AA120)</f>
        <v>28146037.040000003</v>
      </c>
      <c r="AB121" s="646"/>
      <c r="AC121" s="472"/>
      <c r="AH121" s="361"/>
      <c r="AI121" s="313"/>
      <c r="AJ121" s="374"/>
      <c r="AK121" s="330"/>
      <c r="AL121" s="330"/>
      <c r="AM121" s="330"/>
      <c r="AN121" s="353"/>
      <c r="AO121" s="353"/>
      <c r="AP121" s="353"/>
      <c r="AQ121" s="353"/>
      <c r="AR121" s="353"/>
      <c r="AS121" s="353"/>
      <c r="AT121" s="353"/>
      <c r="AU121" s="353"/>
    </row>
    <row r="122" spans="1:47" s="291" customFormat="1" ht="12.75" customHeight="1" x14ac:dyDescent="0.2">
      <c r="A122" s="423">
        <f t="shared" si="28"/>
        <v>121</v>
      </c>
      <c r="B122" s="657" t="s">
        <v>2067</v>
      </c>
      <c r="C122" s="655">
        <v>520514</v>
      </c>
      <c r="D122" s="658">
        <v>5398</v>
      </c>
      <c r="E122" s="655" t="s">
        <v>117</v>
      </c>
      <c r="F122" s="546">
        <v>2017</v>
      </c>
      <c r="G122" s="659">
        <v>42804</v>
      </c>
      <c r="H122" s="655" t="s">
        <v>727</v>
      </c>
      <c r="I122" s="655" t="s">
        <v>2295</v>
      </c>
      <c r="J122" s="655" t="s">
        <v>729</v>
      </c>
      <c r="K122" s="655" t="s">
        <v>803</v>
      </c>
      <c r="L122" s="655" t="s">
        <v>2593</v>
      </c>
      <c r="M122" s="660">
        <v>515345.49</v>
      </c>
      <c r="N122" s="660">
        <v>39309.68</v>
      </c>
      <c r="O122" s="660">
        <v>88744.83</v>
      </c>
      <c r="P122" s="660">
        <v>643400</v>
      </c>
      <c r="Q122" s="548"/>
      <c r="R122" s="660">
        <v>455911.22</v>
      </c>
      <c r="S122" s="549">
        <f t="shared" si="18"/>
        <v>187488.78000000003</v>
      </c>
      <c r="T122" s="113" t="s">
        <v>1268</v>
      </c>
      <c r="U122" s="267"/>
      <c r="V122" s="93"/>
      <c r="W122" s="267"/>
      <c r="X122" s="267"/>
      <c r="Y122" s="93"/>
      <c r="Z122" s="618"/>
      <c r="AA122" s="424"/>
      <c r="AB122" s="480"/>
      <c r="AC122" s="424"/>
      <c r="AD122" s="425"/>
      <c r="AE122" s="424"/>
      <c r="AF122" s="424"/>
      <c r="AG122" s="396"/>
      <c r="AH122" s="361"/>
      <c r="AI122" s="313"/>
      <c r="AJ122" s="331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351" customFormat="1" ht="12.75" customHeight="1" x14ac:dyDescent="0.2">
      <c r="A123" s="423">
        <f t="shared" si="28"/>
        <v>122</v>
      </c>
      <c r="B123" s="657" t="s">
        <v>2069</v>
      </c>
      <c r="C123" s="655">
        <v>520514</v>
      </c>
      <c r="D123" s="658">
        <v>5398</v>
      </c>
      <c r="E123" s="655" t="s">
        <v>117</v>
      </c>
      <c r="F123" s="546">
        <v>2017</v>
      </c>
      <c r="G123" s="659">
        <v>42821</v>
      </c>
      <c r="H123" s="655" t="s">
        <v>727</v>
      </c>
      <c r="I123" s="655" t="s">
        <v>2295</v>
      </c>
      <c r="J123" s="655" t="s">
        <v>729</v>
      </c>
      <c r="K123" s="655" t="s">
        <v>803</v>
      </c>
      <c r="L123" s="655" t="s">
        <v>2593</v>
      </c>
      <c r="M123" s="660">
        <v>-515345.49</v>
      </c>
      <c r="N123" s="660">
        <v>-39309.68</v>
      </c>
      <c r="O123" s="660">
        <v>-88744.83</v>
      </c>
      <c r="P123" s="660">
        <v>-643400</v>
      </c>
      <c r="Q123" s="548"/>
      <c r="R123" s="660">
        <v>-455911.22</v>
      </c>
      <c r="S123" s="549">
        <f t="shared" si="18"/>
        <v>-187488.78000000003</v>
      </c>
      <c r="T123" s="444" t="s">
        <v>1268</v>
      </c>
      <c r="U123" s="267"/>
      <c r="V123" s="93"/>
      <c r="W123" s="267"/>
      <c r="X123" s="267"/>
      <c r="Y123" s="93"/>
      <c r="Z123" s="618"/>
      <c r="AA123" s="424"/>
      <c r="AB123" s="480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352"/>
      <c r="AU123" s="352"/>
    </row>
    <row r="124" spans="1:47" s="348" customFormat="1" ht="12.75" customHeight="1" x14ac:dyDescent="0.2">
      <c r="A124" s="423">
        <f t="shared" si="28"/>
        <v>123</v>
      </c>
      <c r="B124" s="657" t="s">
        <v>2076</v>
      </c>
      <c r="C124" s="655">
        <v>520514</v>
      </c>
      <c r="D124" s="658">
        <v>5398</v>
      </c>
      <c r="E124" s="655" t="s">
        <v>117</v>
      </c>
      <c r="F124" s="546">
        <v>2017</v>
      </c>
      <c r="G124" s="659">
        <v>42825</v>
      </c>
      <c r="H124" s="655" t="s">
        <v>727</v>
      </c>
      <c r="I124" s="655" t="s">
        <v>2300</v>
      </c>
      <c r="J124" s="655" t="s">
        <v>729</v>
      </c>
      <c r="K124" s="655" t="s">
        <v>803</v>
      </c>
      <c r="L124" s="655" t="s">
        <v>2598</v>
      </c>
      <c r="M124" s="660">
        <v>-515345.49</v>
      </c>
      <c r="N124" s="660">
        <v>-39309.68</v>
      </c>
      <c r="O124" s="660">
        <v>-88744.83</v>
      </c>
      <c r="P124" s="660">
        <v>-643400</v>
      </c>
      <c r="Q124" s="548"/>
      <c r="R124" s="660">
        <v>-455972.8</v>
      </c>
      <c r="S124" s="549">
        <f t="shared" si="18"/>
        <v>-187427.20000000001</v>
      </c>
      <c r="T124" s="113" t="s">
        <v>1268</v>
      </c>
      <c r="U124" s="267"/>
      <c r="V124" s="93"/>
      <c r="W124" s="267"/>
      <c r="X124" s="267"/>
      <c r="Y124" s="93"/>
      <c r="Z124" s="618"/>
      <c r="AA124" s="424"/>
      <c r="AB124" s="480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353"/>
      <c r="AU124" s="353"/>
    </row>
    <row r="125" spans="1:47" s="351" customFormat="1" ht="12.75" customHeight="1" x14ac:dyDescent="0.2">
      <c r="A125" s="423">
        <f t="shared" si="28"/>
        <v>124</v>
      </c>
      <c r="B125" s="657" t="s">
        <v>2077</v>
      </c>
      <c r="C125" s="655">
        <v>520514</v>
      </c>
      <c r="D125" s="658">
        <v>5398</v>
      </c>
      <c r="E125" s="655" t="s">
        <v>117</v>
      </c>
      <c r="F125" s="546">
        <v>2017</v>
      </c>
      <c r="G125" s="659">
        <v>42825</v>
      </c>
      <c r="H125" s="655" t="s">
        <v>727</v>
      </c>
      <c r="I125" s="655" t="s">
        <v>2300</v>
      </c>
      <c r="J125" s="655" t="s">
        <v>729</v>
      </c>
      <c r="K125" s="655" t="s">
        <v>803</v>
      </c>
      <c r="L125" s="655" t="s">
        <v>2598</v>
      </c>
      <c r="M125" s="660">
        <v>515345.49</v>
      </c>
      <c r="N125" s="660">
        <v>39309.68</v>
      </c>
      <c r="O125" s="660">
        <v>88744.83</v>
      </c>
      <c r="P125" s="660">
        <v>643400</v>
      </c>
      <c r="Q125" s="548"/>
      <c r="R125" s="660">
        <v>455972.8</v>
      </c>
      <c r="S125" s="549">
        <f t="shared" si="18"/>
        <v>187427.20000000001</v>
      </c>
      <c r="T125" s="113" t="s">
        <v>1268</v>
      </c>
      <c r="U125" s="267"/>
      <c r="V125" s="93"/>
      <c r="W125" s="267"/>
      <c r="X125" s="267"/>
      <c r="Y125" s="93"/>
      <c r="Z125" s="618"/>
      <c r="AA125" s="424"/>
      <c r="AB125" s="480"/>
      <c r="AC125" s="424"/>
      <c r="AD125" s="425"/>
      <c r="AE125" s="424"/>
      <c r="AF125" s="424"/>
      <c r="AG125" s="396"/>
      <c r="AH125" s="361"/>
      <c r="AI125" s="313"/>
      <c r="AJ125" s="331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352"/>
      <c r="AU125" s="352"/>
    </row>
    <row r="126" spans="1:47" s="351" customFormat="1" ht="12.75" customHeight="1" x14ac:dyDescent="0.2">
      <c r="A126" s="423">
        <f t="shared" si="28"/>
        <v>125</v>
      </c>
      <c r="B126" s="657" t="s">
        <v>2066</v>
      </c>
      <c r="C126" s="655">
        <v>520514</v>
      </c>
      <c r="D126" s="658">
        <v>5398</v>
      </c>
      <c r="E126" s="655" t="s">
        <v>117</v>
      </c>
      <c r="F126" s="546">
        <v>2017</v>
      </c>
      <c r="G126" s="659">
        <v>42800</v>
      </c>
      <c r="H126" s="655" t="s">
        <v>722</v>
      </c>
      <c r="I126" s="655" t="s">
        <v>2294</v>
      </c>
      <c r="J126" s="655" t="s">
        <v>729</v>
      </c>
      <c r="K126" s="655" t="s">
        <v>815</v>
      </c>
      <c r="L126" s="655" t="s">
        <v>2592</v>
      </c>
      <c r="M126" s="660">
        <v>515345.49</v>
      </c>
      <c r="N126" s="660">
        <v>39309.68</v>
      </c>
      <c r="O126" s="660">
        <v>88744.83</v>
      </c>
      <c r="P126" s="660">
        <v>643400</v>
      </c>
      <c r="Q126" s="548"/>
      <c r="R126" s="660">
        <v>455911.22</v>
      </c>
      <c r="S126" s="549">
        <f t="shared" si="18"/>
        <v>187488.78000000003</v>
      </c>
      <c r="T126" s="267" t="s">
        <v>1268</v>
      </c>
      <c r="U126" s="267"/>
      <c r="V126" s="93"/>
      <c r="W126" s="267"/>
      <c r="X126" s="267"/>
      <c r="Y126" s="93"/>
      <c r="Z126" s="618"/>
      <c r="AA126" s="424"/>
      <c r="AB126" s="480"/>
      <c r="AC126" s="424"/>
      <c r="AD126" s="425"/>
      <c r="AE126" s="424"/>
      <c r="AF126" s="424"/>
      <c r="AG126" s="396"/>
      <c r="AH126" s="361"/>
      <c r="AI126" s="313"/>
      <c r="AJ126" s="331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352"/>
      <c r="AU126" s="352"/>
    </row>
    <row r="127" spans="1:47" s="291" customFormat="1" ht="12.75" customHeight="1" x14ac:dyDescent="0.2">
      <c r="A127" s="423">
        <f t="shared" si="28"/>
        <v>126</v>
      </c>
      <c r="B127" s="657" t="s">
        <v>2072</v>
      </c>
      <c r="C127" s="655">
        <v>520514</v>
      </c>
      <c r="D127" s="658">
        <v>5398</v>
      </c>
      <c r="E127" s="655" t="s">
        <v>117</v>
      </c>
      <c r="F127" s="546">
        <v>2017</v>
      </c>
      <c r="G127" s="659">
        <v>42824</v>
      </c>
      <c r="H127" s="655" t="s">
        <v>722</v>
      </c>
      <c r="I127" s="655" t="s">
        <v>2294</v>
      </c>
      <c r="J127" s="655" t="s">
        <v>729</v>
      </c>
      <c r="K127" s="655" t="s">
        <v>815</v>
      </c>
      <c r="L127" s="655" t="s">
        <v>2592</v>
      </c>
      <c r="M127" s="660">
        <v>-515345.49</v>
      </c>
      <c r="N127" s="660">
        <v>-39309.68</v>
      </c>
      <c r="O127" s="660">
        <v>-88744.83</v>
      </c>
      <c r="P127" s="660">
        <v>-643400</v>
      </c>
      <c r="Q127" s="548"/>
      <c r="R127" s="660">
        <v>-455911.22</v>
      </c>
      <c r="S127" s="549">
        <f t="shared" si="18"/>
        <v>-187488.78000000003</v>
      </c>
      <c r="T127" s="113" t="s">
        <v>1268</v>
      </c>
      <c r="U127" s="267"/>
      <c r="V127" s="93"/>
      <c r="W127" s="267"/>
      <c r="X127" s="267"/>
      <c r="Y127" s="93"/>
      <c r="Z127" s="618"/>
      <c r="AA127" s="424"/>
      <c r="AB127" s="480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351" customFormat="1" ht="12.75" customHeight="1" x14ac:dyDescent="0.2">
      <c r="A128" s="423">
        <f t="shared" si="28"/>
        <v>127</v>
      </c>
      <c r="B128" s="657" t="s">
        <v>2160</v>
      </c>
      <c r="C128" s="655">
        <v>1520504</v>
      </c>
      <c r="D128" s="658">
        <v>8127</v>
      </c>
      <c r="E128" s="655" t="s">
        <v>716</v>
      </c>
      <c r="F128" s="546">
        <v>2017</v>
      </c>
      <c r="G128" s="659">
        <v>42804</v>
      </c>
      <c r="H128" s="655" t="s">
        <v>1038</v>
      </c>
      <c r="I128" s="655" t="s">
        <v>1039</v>
      </c>
      <c r="J128" s="655" t="s">
        <v>729</v>
      </c>
      <c r="K128" s="655" t="s">
        <v>2420</v>
      </c>
      <c r="L128" s="655" t="s">
        <v>1041</v>
      </c>
      <c r="M128" s="660">
        <v>-641954.02</v>
      </c>
      <c r="N128" s="660">
        <v>-32097.7</v>
      </c>
      <c r="O128" s="660">
        <v>-107848.28</v>
      </c>
      <c r="P128" s="660">
        <v>-781900</v>
      </c>
      <c r="Q128" s="548"/>
      <c r="R128" s="660">
        <v>-567388.30000000005</v>
      </c>
      <c r="S128" s="549">
        <f t="shared" si="18"/>
        <v>-214511.69999999995</v>
      </c>
      <c r="T128" s="267" t="s">
        <v>1268</v>
      </c>
      <c r="U128" s="267"/>
      <c r="V128" s="93"/>
      <c r="W128" s="267"/>
      <c r="X128" s="267"/>
      <c r="Y128" s="93"/>
      <c r="Z128" s="618"/>
      <c r="AA128" s="424"/>
      <c r="AB128" s="480"/>
      <c r="AC128" s="424"/>
      <c r="AD128" s="425"/>
      <c r="AE128" s="424"/>
      <c r="AF128" s="424"/>
      <c r="AG128" s="396"/>
      <c r="AH128" s="361"/>
      <c r="AI128" s="313"/>
      <c r="AJ128" s="331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352"/>
      <c r="AU128" s="352"/>
    </row>
    <row r="129" spans="1:47" s="291" customFormat="1" ht="12.75" customHeight="1" x14ac:dyDescent="0.2">
      <c r="A129" s="423">
        <f t="shared" si="28"/>
        <v>128</v>
      </c>
      <c r="B129" s="657" t="s">
        <v>2161</v>
      </c>
      <c r="C129" s="655">
        <v>1520504</v>
      </c>
      <c r="D129" s="658">
        <v>8127</v>
      </c>
      <c r="E129" s="655" t="s">
        <v>716</v>
      </c>
      <c r="F129" s="546">
        <v>2017</v>
      </c>
      <c r="G129" s="659">
        <v>42804</v>
      </c>
      <c r="H129" s="655" t="s">
        <v>1038</v>
      </c>
      <c r="I129" s="655" t="s">
        <v>1039</v>
      </c>
      <c r="J129" s="655" t="s">
        <v>729</v>
      </c>
      <c r="K129" s="655" t="s">
        <v>2420</v>
      </c>
      <c r="L129" s="655" t="s">
        <v>1041</v>
      </c>
      <c r="M129" s="660">
        <v>641954.02</v>
      </c>
      <c r="N129" s="660">
        <v>32097.7</v>
      </c>
      <c r="O129" s="660">
        <v>107848.28</v>
      </c>
      <c r="P129" s="660">
        <v>781900</v>
      </c>
      <c r="Q129" s="548"/>
      <c r="R129" s="660">
        <v>567388.30000000005</v>
      </c>
      <c r="S129" s="549">
        <f t="shared" si="18"/>
        <v>214511.69999999995</v>
      </c>
      <c r="T129" s="267" t="s">
        <v>1268</v>
      </c>
      <c r="U129" s="267"/>
      <c r="V129" s="93"/>
      <c r="W129" s="267"/>
      <c r="X129" s="267"/>
      <c r="Y129" s="93"/>
      <c r="Z129" s="618"/>
      <c r="AA129" s="424"/>
      <c r="AB129" s="480"/>
      <c r="AC129" s="424"/>
      <c r="AD129" s="425"/>
      <c r="AE129" s="424"/>
      <c r="AF129" s="424"/>
      <c r="AG129" s="396"/>
      <c r="AH129" s="361"/>
      <c r="AI129" s="313"/>
      <c r="AJ129" s="331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351" customFormat="1" ht="12.75" customHeight="1" x14ac:dyDescent="0.2">
      <c r="A130" s="423">
        <f t="shared" si="28"/>
        <v>129</v>
      </c>
      <c r="B130" s="657" t="s">
        <v>1966</v>
      </c>
      <c r="C130" s="655">
        <v>520224</v>
      </c>
      <c r="D130" s="658">
        <v>1781</v>
      </c>
      <c r="E130" s="655" t="s">
        <v>690</v>
      </c>
      <c r="F130" s="546">
        <v>2017</v>
      </c>
      <c r="G130" s="659">
        <v>42822</v>
      </c>
      <c r="H130" s="655" t="s">
        <v>817</v>
      </c>
      <c r="I130" s="655" t="s">
        <v>2237</v>
      </c>
      <c r="J130" s="655" t="s">
        <v>729</v>
      </c>
      <c r="K130" s="655" t="s">
        <v>2403</v>
      </c>
      <c r="L130" s="655" t="s">
        <v>2535</v>
      </c>
      <c r="M130" s="660">
        <v>-255750.9</v>
      </c>
      <c r="N130" s="660">
        <v>-2697.38</v>
      </c>
      <c r="O130" s="660">
        <v>-41351.72</v>
      </c>
      <c r="P130" s="660">
        <v>-299800</v>
      </c>
      <c r="Q130" s="548"/>
      <c r="R130" s="660">
        <v>-238055.64</v>
      </c>
      <c r="S130" s="549">
        <f t="shared" si="18"/>
        <v>-61744.359999999986</v>
      </c>
      <c r="T130" s="113" t="s">
        <v>1268</v>
      </c>
      <c r="U130" s="267"/>
      <c r="V130" s="93"/>
      <c r="W130" s="267"/>
      <c r="X130" s="267"/>
      <c r="Y130" s="93"/>
      <c r="Z130" s="618"/>
      <c r="AA130" s="424"/>
      <c r="AB130" s="480"/>
      <c r="AC130" s="424"/>
      <c r="AD130" s="425"/>
      <c r="AE130" s="424"/>
      <c r="AF130" s="424"/>
      <c r="AG130" s="396"/>
      <c r="AH130" s="361"/>
      <c r="AI130" s="313"/>
      <c r="AJ130" s="330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352"/>
      <c r="AU130" s="352"/>
    </row>
    <row r="131" spans="1:47" s="351" customFormat="1" ht="12.75" customHeight="1" x14ac:dyDescent="0.2">
      <c r="A131" s="423">
        <f t="shared" si="28"/>
        <v>130</v>
      </c>
      <c r="B131" s="657" t="s">
        <v>1967</v>
      </c>
      <c r="C131" s="655">
        <v>520224</v>
      </c>
      <c r="D131" s="658">
        <v>1781</v>
      </c>
      <c r="E131" s="655" t="s">
        <v>690</v>
      </c>
      <c r="F131" s="546">
        <v>2017</v>
      </c>
      <c r="G131" s="659">
        <v>42822</v>
      </c>
      <c r="H131" s="655" t="s">
        <v>817</v>
      </c>
      <c r="I131" s="655" t="s">
        <v>2237</v>
      </c>
      <c r="J131" s="655" t="s">
        <v>729</v>
      </c>
      <c r="K131" s="655" t="s">
        <v>2403</v>
      </c>
      <c r="L131" s="655" t="s">
        <v>2535</v>
      </c>
      <c r="M131" s="660">
        <v>255750.9</v>
      </c>
      <c r="N131" s="660">
        <v>2697.38</v>
      </c>
      <c r="O131" s="660">
        <v>41351.72</v>
      </c>
      <c r="P131" s="660">
        <v>299800</v>
      </c>
      <c r="Q131" s="548"/>
      <c r="R131" s="660">
        <v>238055.64</v>
      </c>
      <c r="S131" s="549">
        <f t="shared" si="18"/>
        <v>61744.359999999986</v>
      </c>
      <c r="T131" s="113" t="s">
        <v>1268</v>
      </c>
      <c r="U131" s="267"/>
      <c r="V131" s="93"/>
      <c r="W131" s="267"/>
      <c r="X131" s="267"/>
      <c r="Y131" s="93"/>
      <c r="Z131" s="618"/>
      <c r="AA131" s="424"/>
      <c r="AB131" s="480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352"/>
      <c r="AU131" s="352"/>
    </row>
    <row r="132" spans="1:47" s="291" customFormat="1" ht="12.75" customHeight="1" x14ac:dyDescent="0.2">
      <c r="A132" s="423">
        <f t="shared" si="28"/>
        <v>131</v>
      </c>
      <c r="B132" s="657" t="s">
        <v>1975</v>
      </c>
      <c r="C132" s="655">
        <v>520220</v>
      </c>
      <c r="D132" s="658">
        <v>1794</v>
      </c>
      <c r="E132" s="655" t="s">
        <v>687</v>
      </c>
      <c r="F132" s="546">
        <v>2017</v>
      </c>
      <c r="G132" s="659">
        <v>42816</v>
      </c>
      <c r="H132" s="655" t="s">
        <v>760</v>
      </c>
      <c r="I132" s="655" t="s">
        <v>2244</v>
      </c>
      <c r="J132" s="655" t="s">
        <v>724</v>
      </c>
      <c r="K132" s="655" t="s">
        <v>2409</v>
      </c>
      <c r="L132" s="655" t="s">
        <v>2542</v>
      </c>
      <c r="M132" s="660">
        <v>262226.93</v>
      </c>
      <c r="N132" s="660">
        <v>2859.28</v>
      </c>
      <c r="O132" s="660">
        <v>42413.79</v>
      </c>
      <c r="P132" s="660">
        <v>307500</v>
      </c>
      <c r="Q132" s="548"/>
      <c r="R132" s="660">
        <v>230839.41</v>
      </c>
      <c r="S132" s="549">
        <f t="shared" si="18"/>
        <v>76660.59</v>
      </c>
      <c r="T132" s="267" t="s">
        <v>1268</v>
      </c>
      <c r="U132" s="267"/>
      <c r="V132" s="93"/>
      <c r="W132" s="267"/>
      <c r="X132" s="267"/>
      <c r="Y132" s="93"/>
      <c r="Z132" s="618"/>
      <c r="AA132" s="424"/>
      <c r="AB132" s="480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348" customFormat="1" ht="12.75" customHeight="1" x14ac:dyDescent="0.2">
      <c r="A133" s="423">
        <f t="shared" si="28"/>
        <v>132</v>
      </c>
      <c r="B133" s="657" t="s">
        <v>1976</v>
      </c>
      <c r="C133" s="655">
        <v>520220</v>
      </c>
      <c r="D133" s="658">
        <v>1794</v>
      </c>
      <c r="E133" s="655" t="s">
        <v>687</v>
      </c>
      <c r="F133" s="546">
        <v>2017</v>
      </c>
      <c r="G133" s="659">
        <v>42817</v>
      </c>
      <c r="H133" s="655" t="s">
        <v>760</v>
      </c>
      <c r="I133" s="655" t="s">
        <v>2244</v>
      </c>
      <c r="J133" s="655" t="s">
        <v>724</v>
      </c>
      <c r="K133" s="655" t="s">
        <v>2409</v>
      </c>
      <c r="L133" s="655" t="s">
        <v>2542</v>
      </c>
      <c r="M133" s="660">
        <v>-262226.93</v>
      </c>
      <c r="N133" s="660">
        <v>-2859.28</v>
      </c>
      <c r="O133" s="660">
        <v>-42413.79</v>
      </c>
      <c r="P133" s="660">
        <v>-307500</v>
      </c>
      <c r="Q133" s="548"/>
      <c r="R133" s="660">
        <v>-230839.41</v>
      </c>
      <c r="S133" s="549">
        <f t="shared" si="18"/>
        <v>-76660.59</v>
      </c>
      <c r="T133" s="445" t="s">
        <v>1268</v>
      </c>
      <c r="U133" s="267"/>
      <c r="V133" s="93"/>
      <c r="W133" s="267"/>
      <c r="X133" s="267"/>
      <c r="Y133" s="93"/>
      <c r="Z133" s="618"/>
      <c r="AA133" s="424"/>
      <c r="AB133" s="480"/>
      <c r="AC133" s="424"/>
      <c r="AD133" s="425"/>
      <c r="AE133" s="424"/>
      <c r="AF133" s="424"/>
      <c r="AG133" s="396"/>
      <c r="AH133" s="361"/>
      <c r="AI133" s="313"/>
      <c r="AJ133" s="331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353"/>
      <c r="AU133" s="353"/>
    </row>
    <row r="134" spans="1:47" s="351" customFormat="1" ht="12.75" customHeight="1" x14ac:dyDescent="0.2">
      <c r="A134" s="423">
        <f t="shared" si="28"/>
        <v>133</v>
      </c>
      <c r="B134" s="657" t="s">
        <v>1959</v>
      </c>
      <c r="C134" s="655">
        <v>521101</v>
      </c>
      <c r="D134" s="658">
        <v>1253</v>
      </c>
      <c r="E134" s="655" t="s">
        <v>30</v>
      </c>
      <c r="F134" s="546">
        <v>2017</v>
      </c>
      <c r="G134" s="659">
        <v>42815</v>
      </c>
      <c r="H134" s="655" t="s">
        <v>788</v>
      </c>
      <c r="I134" s="655" t="s">
        <v>2233</v>
      </c>
      <c r="J134" s="655" t="s">
        <v>724</v>
      </c>
      <c r="K134" s="655" t="s">
        <v>2399</v>
      </c>
      <c r="L134" s="655" t="s">
        <v>2531</v>
      </c>
      <c r="M134" s="660">
        <v>350172.41</v>
      </c>
      <c r="N134" s="660">
        <v>0</v>
      </c>
      <c r="O134" s="660">
        <v>56027.59</v>
      </c>
      <c r="P134" s="660">
        <v>406200</v>
      </c>
      <c r="Q134" s="548"/>
      <c r="R134" s="660">
        <v>326330.90000000002</v>
      </c>
      <c r="S134" s="549">
        <f t="shared" ref="S134:S197" si="35">+P134-R134</f>
        <v>79869.099999999977</v>
      </c>
      <c r="T134" s="113" t="s">
        <v>1268</v>
      </c>
      <c r="U134" s="267"/>
      <c r="V134" s="93"/>
      <c r="W134" s="267"/>
      <c r="X134" s="267"/>
      <c r="Y134" s="93"/>
      <c r="Z134" s="618"/>
      <c r="AA134" s="424"/>
      <c r="AB134" s="480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352"/>
      <c r="AU134" s="352"/>
    </row>
    <row r="135" spans="1:47" s="348" customFormat="1" ht="12.75" customHeight="1" x14ac:dyDescent="0.2">
      <c r="A135" s="423">
        <f t="shared" si="28"/>
        <v>134</v>
      </c>
      <c r="B135" s="657" t="s">
        <v>1962</v>
      </c>
      <c r="C135" s="655">
        <v>521101</v>
      </c>
      <c r="D135" s="658">
        <v>1253</v>
      </c>
      <c r="E135" s="655" t="s">
        <v>30</v>
      </c>
      <c r="F135" s="546">
        <v>2017</v>
      </c>
      <c r="G135" s="659">
        <v>42819</v>
      </c>
      <c r="H135" s="655" t="s">
        <v>788</v>
      </c>
      <c r="I135" s="655" t="s">
        <v>2233</v>
      </c>
      <c r="J135" s="655" t="s">
        <v>724</v>
      </c>
      <c r="K135" s="655" t="s">
        <v>2399</v>
      </c>
      <c r="L135" s="655" t="s">
        <v>2531</v>
      </c>
      <c r="M135" s="660">
        <v>-350172.41</v>
      </c>
      <c r="N135" s="660">
        <v>0</v>
      </c>
      <c r="O135" s="660">
        <v>-56027.59</v>
      </c>
      <c r="P135" s="660">
        <v>-406200</v>
      </c>
      <c r="Q135" s="548"/>
      <c r="R135" s="660">
        <v>-326330.90000000002</v>
      </c>
      <c r="S135" s="549">
        <f t="shared" si="35"/>
        <v>-79869.099999999977</v>
      </c>
      <c r="T135" s="267" t="s">
        <v>1268</v>
      </c>
      <c r="U135" s="267"/>
      <c r="V135" s="93"/>
      <c r="W135" s="267"/>
      <c r="X135" s="267"/>
      <c r="Y135" s="93"/>
      <c r="Z135" s="618"/>
      <c r="AA135" s="424"/>
      <c r="AB135" s="480"/>
      <c r="AC135" s="424"/>
      <c r="AD135" s="425"/>
      <c r="AE135" s="424"/>
      <c r="AF135" s="424"/>
      <c r="AG135" s="396"/>
      <c r="AH135" s="361"/>
      <c r="AI135" s="313"/>
      <c r="AJ135" s="330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353"/>
      <c r="AU135" s="353"/>
    </row>
    <row r="136" spans="1:47" s="348" customFormat="1" ht="12.75" customHeight="1" x14ac:dyDescent="0.2">
      <c r="A136" s="423">
        <f t="shared" ref="A136:A199" si="36">+A135+1</f>
        <v>135</v>
      </c>
      <c r="B136" s="657" t="s">
        <v>1949</v>
      </c>
      <c r="C136" s="655">
        <v>521101</v>
      </c>
      <c r="D136" s="658">
        <v>1251</v>
      </c>
      <c r="E136" s="655" t="s">
        <v>700</v>
      </c>
      <c r="F136" s="546">
        <v>2017</v>
      </c>
      <c r="G136" s="659">
        <v>42797</v>
      </c>
      <c r="H136" s="655" t="s">
        <v>788</v>
      </c>
      <c r="I136" s="655" t="s">
        <v>2229</v>
      </c>
      <c r="J136" s="655" t="s">
        <v>729</v>
      </c>
      <c r="K136" s="655" t="s">
        <v>2397</v>
      </c>
      <c r="L136" s="655" t="s">
        <v>2527</v>
      </c>
      <c r="M136" s="660">
        <v>312327.59000000003</v>
      </c>
      <c r="N136" s="660">
        <v>0</v>
      </c>
      <c r="O136" s="660">
        <v>49972.41</v>
      </c>
      <c r="P136" s="660">
        <v>362300</v>
      </c>
      <c r="Q136" s="548"/>
      <c r="R136" s="660">
        <v>283666.84000000003</v>
      </c>
      <c r="S136" s="549">
        <f t="shared" si="35"/>
        <v>78633.159999999974</v>
      </c>
      <c r="T136" s="267" t="s">
        <v>1268</v>
      </c>
      <c r="U136" s="267"/>
      <c r="V136" s="93"/>
      <c r="W136" s="267"/>
      <c r="X136" s="267"/>
      <c r="Y136" s="93"/>
      <c r="Z136" s="618"/>
      <c r="AA136" s="424"/>
      <c r="AB136" s="480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353"/>
      <c r="AU136" s="353"/>
    </row>
    <row r="137" spans="1:47" s="351" customFormat="1" ht="12.75" customHeight="1" x14ac:dyDescent="0.2">
      <c r="A137" s="423">
        <f t="shared" si="36"/>
        <v>136</v>
      </c>
      <c r="B137" s="657" t="s">
        <v>1951</v>
      </c>
      <c r="C137" s="655">
        <v>521101</v>
      </c>
      <c r="D137" s="658">
        <v>1251</v>
      </c>
      <c r="E137" s="655" t="s">
        <v>700</v>
      </c>
      <c r="F137" s="546">
        <v>2017</v>
      </c>
      <c r="G137" s="659">
        <v>42804</v>
      </c>
      <c r="H137" s="655" t="s">
        <v>788</v>
      </c>
      <c r="I137" s="655" t="s">
        <v>2229</v>
      </c>
      <c r="J137" s="655" t="s">
        <v>729</v>
      </c>
      <c r="K137" s="655" t="s">
        <v>2397</v>
      </c>
      <c r="L137" s="655" t="s">
        <v>2527</v>
      </c>
      <c r="M137" s="660">
        <v>-312327.59000000003</v>
      </c>
      <c r="N137" s="660">
        <v>0</v>
      </c>
      <c r="O137" s="660">
        <v>-49972.41</v>
      </c>
      <c r="P137" s="660">
        <v>-362300</v>
      </c>
      <c r="Q137" s="548"/>
      <c r="R137" s="660">
        <v>-283666.84000000003</v>
      </c>
      <c r="S137" s="549">
        <f t="shared" si="35"/>
        <v>-78633.159999999974</v>
      </c>
      <c r="T137" s="267" t="s">
        <v>1268</v>
      </c>
      <c r="U137" s="267"/>
      <c r="V137" s="93"/>
      <c r="W137" s="267"/>
      <c r="X137" s="267"/>
      <c r="Y137" s="93"/>
      <c r="Z137" s="618"/>
      <c r="AA137" s="424"/>
      <c r="AB137" s="480"/>
      <c r="AC137" s="424"/>
      <c r="AD137" s="425"/>
      <c r="AE137" s="424"/>
      <c r="AF137" s="424"/>
      <c r="AG137" s="396"/>
      <c r="AH137" s="361"/>
      <c r="AI137" s="313"/>
      <c r="AJ137" s="331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352"/>
      <c r="AU137" s="352"/>
    </row>
    <row r="138" spans="1:47" s="351" customFormat="1" ht="12.75" customHeight="1" x14ac:dyDescent="0.2">
      <c r="A138" s="423">
        <f t="shared" si="36"/>
        <v>137</v>
      </c>
      <c r="B138" s="657" t="s">
        <v>2082</v>
      </c>
      <c r="C138" s="655">
        <v>521502</v>
      </c>
      <c r="D138" s="658">
        <v>5611</v>
      </c>
      <c r="E138" s="655" t="s">
        <v>225</v>
      </c>
      <c r="F138" s="546">
        <v>2017</v>
      </c>
      <c r="G138" s="659">
        <v>42802</v>
      </c>
      <c r="H138" s="655" t="s">
        <v>778</v>
      </c>
      <c r="I138" s="655" t="s">
        <v>2302</v>
      </c>
      <c r="J138" s="655" t="s">
        <v>729</v>
      </c>
      <c r="K138" s="655" t="s">
        <v>2450</v>
      </c>
      <c r="L138" s="655" t="s">
        <v>2600</v>
      </c>
      <c r="M138" s="660">
        <v>379112.61</v>
      </c>
      <c r="N138" s="660">
        <v>17439.11</v>
      </c>
      <c r="O138" s="660">
        <v>63448.28</v>
      </c>
      <c r="P138" s="660">
        <v>460000</v>
      </c>
      <c r="Q138" s="548"/>
      <c r="R138" s="660">
        <v>335727.72</v>
      </c>
      <c r="S138" s="549">
        <f t="shared" si="35"/>
        <v>124272.28000000003</v>
      </c>
      <c r="T138" s="267" t="s">
        <v>1268</v>
      </c>
      <c r="U138" s="267"/>
      <c r="V138" s="93"/>
      <c r="W138" s="267"/>
      <c r="X138" s="267"/>
      <c r="Y138" s="93"/>
      <c r="Z138" s="618"/>
      <c r="AA138" s="424"/>
      <c r="AB138" s="480"/>
      <c r="AC138" s="424"/>
      <c r="AD138" s="425"/>
      <c r="AE138" s="424"/>
      <c r="AF138" s="424"/>
      <c r="AG138" s="396"/>
      <c r="AH138" s="361"/>
      <c r="AI138" s="313"/>
      <c r="AJ138" s="331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352"/>
      <c r="AU138" s="352"/>
    </row>
    <row r="139" spans="1:47" s="351" customFormat="1" ht="12.75" customHeight="1" x14ac:dyDescent="0.2">
      <c r="A139" s="423">
        <f t="shared" si="36"/>
        <v>138</v>
      </c>
      <c r="B139" s="657" t="s">
        <v>2089</v>
      </c>
      <c r="C139" s="655">
        <v>521502</v>
      </c>
      <c r="D139" s="658">
        <v>5611</v>
      </c>
      <c r="E139" s="655" t="s">
        <v>225</v>
      </c>
      <c r="F139" s="546">
        <v>2017</v>
      </c>
      <c r="G139" s="659">
        <v>42809</v>
      </c>
      <c r="H139" s="655" t="s">
        <v>778</v>
      </c>
      <c r="I139" s="655" t="s">
        <v>2302</v>
      </c>
      <c r="J139" s="655" t="s">
        <v>729</v>
      </c>
      <c r="K139" s="655" t="s">
        <v>2450</v>
      </c>
      <c r="L139" s="655" t="s">
        <v>2600</v>
      </c>
      <c r="M139" s="660">
        <v>-379112.61</v>
      </c>
      <c r="N139" s="660">
        <v>-17439.11</v>
      </c>
      <c r="O139" s="660">
        <v>-63448.28</v>
      </c>
      <c r="P139" s="660">
        <v>-460000</v>
      </c>
      <c r="Q139" s="548"/>
      <c r="R139" s="660">
        <v>-335727.72</v>
      </c>
      <c r="S139" s="549">
        <f t="shared" si="35"/>
        <v>-124272.28000000003</v>
      </c>
      <c r="T139" s="113" t="s">
        <v>1268</v>
      </c>
      <c r="AB139" s="670"/>
      <c r="AI139" s="313"/>
      <c r="AJ139" s="331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352"/>
      <c r="AU139" s="352"/>
    </row>
    <row r="140" spans="1:47" s="291" customFormat="1" ht="12.75" customHeight="1" x14ac:dyDescent="0.2">
      <c r="A140" s="423">
        <f t="shared" si="36"/>
        <v>139</v>
      </c>
      <c r="B140" s="657" t="s">
        <v>2083</v>
      </c>
      <c r="C140" s="655">
        <v>521502</v>
      </c>
      <c r="D140" s="658">
        <v>5611</v>
      </c>
      <c r="E140" s="655" t="s">
        <v>225</v>
      </c>
      <c r="F140" s="546">
        <v>2017</v>
      </c>
      <c r="G140" s="659">
        <v>42807</v>
      </c>
      <c r="H140" s="655" t="s">
        <v>747</v>
      </c>
      <c r="I140" s="655" t="s">
        <v>1616</v>
      </c>
      <c r="J140" s="655" t="s">
        <v>729</v>
      </c>
      <c r="K140" s="655" t="s">
        <v>1736</v>
      </c>
      <c r="L140" s="655" t="s">
        <v>1878</v>
      </c>
      <c r="M140" s="660">
        <v>-379112.61</v>
      </c>
      <c r="N140" s="660">
        <v>-17439.11</v>
      </c>
      <c r="O140" s="660">
        <v>-63448.28</v>
      </c>
      <c r="P140" s="660">
        <v>-460000</v>
      </c>
      <c r="Q140" s="548"/>
      <c r="R140" s="660">
        <v>-335727.72</v>
      </c>
      <c r="S140" s="549">
        <f t="shared" si="35"/>
        <v>-124272.28000000003</v>
      </c>
      <c r="T140" s="113" t="s">
        <v>1268</v>
      </c>
      <c r="AB140" s="667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x14ac:dyDescent="0.2">
      <c r="A141" s="423">
        <f t="shared" si="36"/>
        <v>140</v>
      </c>
      <c r="B141" s="657" t="s">
        <v>2084</v>
      </c>
      <c r="C141" s="655">
        <v>521502</v>
      </c>
      <c r="D141" s="658">
        <v>5611</v>
      </c>
      <c r="E141" s="655" t="s">
        <v>225</v>
      </c>
      <c r="F141" s="546">
        <v>2017</v>
      </c>
      <c r="G141" s="659">
        <v>42807</v>
      </c>
      <c r="H141" s="655" t="s">
        <v>747</v>
      </c>
      <c r="I141" s="655" t="s">
        <v>1616</v>
      </c>
      <c r="J141" s="655" t="s">
        <v>729</v>
      </c>
      <c r="K141" s="655" t="s">
        <v>2451</v>
      </c>
      <c r="L141" s="655" t="s">
        <v>1878</v>
      </c>
      <c r="M141" s="660">
        <v>379112.61</v>
      </c>
      <c r="N141" s="660">
        <v>17439.11</v>
      </c>
      <c r="O141" s="660">
        <v>63448.28</v>
      </c>
      <c r="P141" s="660">
        <v>460000</v>
      </c>
      <c r="Q141" s="548"/>
      <c r="R141" s="660">
        <v>335727.72</v>
      </c>
      <c r="S141" s="549">
        <f t="shared" si="35"/>
        <v>124272.28000000003</v>
      </c>
      <c r="T141" s="444" t="s">
        <v>1268</v>
      </c>
      <c r="AB141" s="667"/>
      <c r="AI141" s="313"/>
      <c r="AK141" s="296"/>
      <c r="AL141" s="374"/>
      <c r="AM141" s="374"/>
    </row>
    <row r="142" spans="1:47" s="291" customFormat="1" ht="12.75" customHeight="1" x14ac:dyDescent="0.2">
      <c r="A142" s="423">
        <f t="shared" si="36"/>
        <v>141</v>
      </c>
      <c r="B142" s="657" t="s">
        <v>2081</v>
      </c>
      <c r="C142" s="655">
        <v>521502</v>
      </c>
      <c r="D142" s="658">
        <v>5611</v>
      </c>
      <c r="E142" s="655" t="s">
        <v>225</v>
      </c>
      <c r="F142" s="546">
        <v>2017</v>
      </c>
      <c r="G142" s="659">
        <v>42797</v>
      </c>
      <c r="H142" s="655" t="s">
        <v>817</v>
      </c>
      <c r="I142" s="655" t="s">
        <v>1617</v>
      </c>
      <c r="J142" s="655" t="s">
        <v>729</v>
      </c>
      <c r="K142" s="655" t="s">
        <v>1737</v>
      </c>
      <c r="L142" s="655" t="s">
        <v>1879</v>
      </c>
      <c r="M142" s="660">
        <v>-379112.61</v>
      </c>
      <c r="N142" s="660">
        <v>-17439.11</v>
      </c>
      <c r="O142" s="660">
        <v>-63448.28</v>
      </c>
      <c r="P142" s="660">
        <v>-460000</v>
      </c>
      <c r="Q142" s="548"/>
      <c r="R142" s="660">
        <v>-335727.72</v>
      </c>
      <c r="S142" s="549">
        <f t="shared" si="35"/>
        <v>-124272.28000000003</v>
      </c>
      <c r="T142" s="113" t="s">
        <v>1268</v>
      </c>
      <c r="AB142" s="667"/>
      <c r="AI142" s="313"/>
      <c r="AK142" s="296"/>
      <c r="AL142" s="374"/>
      <c r="AM142" s="374"/>
    </row>
    <row r="143" spans="1:47" s="291" customFormat="1" ht="12.75" customHeight="1" x14ac:dyDescent="0.2">
      <c r="A143" s="423">
        <f>+A95+1</f>
        <v>93</v>
      </c>
      <c r="B143" s="657" t="s">
        <v>2094</v>
      </c>
      <c r="C143" s="655">
        <v>521502</v>
      </c>
      <c r="D143" s="658">
        <v>5611</v>
      </c>
      <c r="E143" s="655" t="s">
        <v>225</v>
      </c>
      <c r="F143" s="546">
        <v>2017</v>
      </c>
      <c r="G143" s="659">
        <v>42816</v>
      </c>
      <c r="H143" s="655" t="s">
        <v>908</v>
      </c>
      <c r="I143" s="655" t="s">
        <v>1617</v>
      </c>
      <c r="J143" s="655" t="s">
        <v>729</v>
      </c>
      <c r="K143" s="655" t="s">
        <v>2457</v>
      </c>
      <c r="L143" s="655" t="s">
        <v>1879</v>
      </c>
      <c r="M143" s="660">
        <v>379112.61</v>
      </c>
      <c r="N143" s="660">
        <v>17439.11</v>
      </c>
      <c r="O143" s="660">
        <v>63448.28</v>
      </c>
      <c r="P143" s="660">
        <v>460000</v>
      </c>
      <c r="Q143" s="548"/>
      <c r="R143" s="660">
        <v>335727.72</v>
      </c>
      <c r="S143" s="549">
        <f t="shared" si="35"/>
        <v>124272.28000000003</v>
      </c>
      <c r="T143" s="267" t="s">
        <v>1268</v>
      </c>
      <c r="AB143" s="667"/>
      <c r="AI143" s="313"/>
      <c r="AJ143" s="374"/>
      <c r="AK143" s="374"/>
      <c r="AL143" s="374"/>
      <c r="AM143" s="374"/>
    </row>
    <row r="144" spans="1:47" s="348" customFormat="1" ht="12.75" customHeight="1" x14ac:dyDescent="0.2">
      <c r="A144" s="423">
        <f>+A98+1</f>
        <v>97</v>
      </c>
      <c r="B144" s="657" t="s">
        <v>2086</v>
      </c>
      <c r="C144" s="655">
        <v>521502</v>
      </c>
      <c r="D144" s="658">
        <v>5611</v>
      </c>
      <c r="E144" s="655" t="s">
        <v>225</v>
      </c>
      <c r="F144" s="546">
        <v>2017</v>
      </c>
      <c r="G144" s="659">
        <v>42808</v>
      </c>
      <c r="H144" s="655" t="s">
        <v>747</v>
      </c>
      <c r="I144" s="655" t="s">
        <v>2304</v>
      </c>
      <c r="J144" s="655" t="s">
        <v>729</v>
      </c>
      <c r="K144" s="655" t="s">
        <v>2453</v>
      </c>
      <c r="L144" s="655" t="s">
        <v>2602</v>
      </c>
      <c r="M144" s="660">
        <v>-379112.61</v>
      </c>
      <c r="N144" s="660">
        <v>-17439.11</v>
      </c>
      <c r="O144" s="660">
        <v>-63448.28</v>
      </c>
      <c r="P144" s="660">
        <v>-460000</v>
      </c>
      <c r="Q144" s="548"/>
      <c r="R144" s="660">
        <v>-335727.72</v>
      </c>
      <c r="S144" s="549">
        <f t="shared" si="35"/>
        <v>-124272.28000000003</v>
      </c>
      <c r="T144" s="113" t="s">
        <v>1268</v>
      </c>
      <c r="AB144" s="671"/>
      <c r="AI144" s="363"/>
      <c r="AJ144" s="330"/>
      <c r="AK144" s="330"/>
      <c r="AL144" s="330"/>
      <c r="AM144" s="330"/>
    </row>
    <row r="145" spans="1:45" s="351" customFormat="1" x14ac:dyDescent="0.2">
      <c r="A145" s="423">
        <f>+A142+1</f>
        <v>142</v>
      </c>
      <c r="B145" s="657" t="s">
        <v>2087</v>
      </c>
      <c r="C145" s="655">
        <v>521502</v>
      </c>
      <c r="D145" s="658">
        <v>5611</v>
      </c>
      <c r="E145" s="655" t="s">
        <v>225</v>
      </c>
      <c r="F145" s="546">
        <v>2017</v>
      </c>
      <c r="G145" s="659">
        <v>42808</v>
      </c>
      <c r="H145" s="655" t="s">
        <v>747</v>
      </c>
      <c r="I145" s="655" t="s">
        <v>2304</v>
      </c>
      <c r="J145" s="655" t="s">
        <v>729</v>
      </c>
      <c r="K145" s="655" t="s">
        <v>2453</v>
      </c>
      <c r="L145" s="655" t="s">
        <v>2602</v>
      </c>
      <c r="M145" s="660">
        <v>379112.61</v>
      </c>
      <c r="N145" s="660">
        <v>17439.11</v>
      </c>
      <c r="O145" s="660">
        <v>63448.28</v>
      </c>
      <c r="P145" s="660">
        <v>460000</v>
      </c>
      <c r="Q145" s="548"/>
      <c r="R145" s="660">
        <v>335727.72</v>
      </c>
      <c r="S145" s="549">
        <f t="shared" si="35"/>
        <v>124272.28000000003</v>
      </c>
      <c r="T145" s="444" t="s">
        <v>1268</v>
      </c>
      <c r="AB145" s="670"/>
      <c r="AI145" s="313"/>
      <c r="AJ145" s="374"/>
      <c r="AK145" s="374"/>
      <c r="AL145" s="374"/>
      <c r="AM145" s="374"/>
      <c r="AN145" s="291"/>
      <c r="AO145" s="291"/>
      <c r="AP145" s="291"/>
      <c r="AQ145" s="291"/>
      <c r="AR145" s="291"/>
      <c r="AS145" s="291"/>
    </row>
    <row r="146" spans="1:45" s="348" customFormat="1" x14ac:dyDescent="0.2">
      <c r="A146" s="423">
        <f t="shared" si="36"/>
        <v>143</v>
      </c>
      <c r="B146" s="657" t="s">
        <v>2031</v>
      </c>
      <c r="C146" s="655">
        <v>521802</v>
      </c>
      <c r="D146" s="658">
        <v>2202</v>
      </c>
      <c r="E146" s="655" t="s">
        <v>703</v>
      </c>
      <c r="F146" s="546">
        <v>2017</v>
      </c>
      <c r="G146" s="659">
        <v>42804</v>
      </c>
      <c r="H146" s="655" t="s">
        <v>792</v>
      </c>
      <c r="I146" s="655" t="s">
        <v>2274</v>
      </c>
      <c r="J146" s="655" t="s">
        <v>729</v>
      </c>
      <c r="K146" s="655" t="s">
        <v>2434</v>
      </c>
      <c r="L146" s="655" t="s">
        <v>2572</v>
      </c>
      <c r="M146" s="660">
        <v>201982.76</v>
      </c>
      <c r="N146" s="660">
        <v>0</v>
      </c>
      <c r="O146" s="660">
        <v>32317.24</v>
      </c>
      <c r="P146" s="660">
        <v>234300</v>
      </c>
      <c r="Q146" s="548"/>
      <c r="R146" s="660">
        <v>182856.49</v>
      </c>
      <c r="S146" s="549">
        <f t="shared" si="35"/>
        <v>51443.510000000009</v>
      </c>
      <c r="T146" s="267" t="s">
        <v>1268</v>
      </c>
      <c r="AB146" s="671"/>
      <c r="AI146" s="313"/>
      <c r="AJ146" s="331"/>
      <c r="AK146" s="330"/>
      <c r="AL146" s="330"/>
      <c r="AM146" s="330"/>
    </row>
    <row r="147" spans="1:45" s="291" customFormat="1" x14ac:dyDescent="0.2">
      <c r="A147" s="423">
        <f t="shared" si="36"/>
        <v>144</v>
      </c>
      <c r="B147" s="657" t="s">
        <v>2032</v>
      </c>
      <c r="C147" s="655">
        <v>521802</v>
      </c>
      <c r="D147" s="658">
        <v>2202</v>
      </c>
      <c r="E147" s="655" t="s">
        <v>703</v>
      </c>
      <c r="F147" s="546">
        <v>2017</v>
      </c>
      <c r="G147" s="659">
        <v>42815</v>
      </c>
      <c r="H147" s="655" t="s">
        <v>792</v>
      </c>
      <c r="I147" s="655" t="s">
        <v>2274</v>
      </c>
      <c r="J147" s="655" t="s">
        <v>729</v>
      </c>
      <c r="K147" s="655" t="s">
        <v>2434</v>
      </c>
      <c r="L147" s="655" t="s">
        <v>2572</v>
      </c>
      <c r="M147" s="660">
        <v>-201982.76</v>
      </c>
      <c r="N147" s="660">
        <v>0</v>
      </c>
      <c r="O147" s="660">
        <v>-32317.24</v>
      </c>
      <c r="P147" s="660">
        <v>-234300</v>
      </c>
      <c r="Q147" s="548"/>
      <c r="R147" s="660">
        <v>-182856.49</v>
      </c>
      <c r="S147" s="549">
        <f t="shared" si="35"/>
        <v>-51443.510000000009</v>
      </c>
      <c r="T147" s="113" t="s">
        <v>1268</v>
      </c>
      <c r="AB147" s="667"/>
      <c r="AI147" s="313"/>
      <c r="AJ147" s="331"/>
      <c r="AK147" s="374"/>
      <c r="AL147" s="374"/>
      <c r="AM147" s="374"/>
    </row>
    <row r="148" spans="1:45" s="351" customFormat="1" x14ac:dyDescent="0.2">
      <c r="A148" s="423">
        <f t="shared" si="36"/>
        <v>145</v>
      </c>
      <c r="B148" s="657" t="s">
        <v>2033</v>
      </c>
      <c r="C148" s="655">
        <v>521802</v>
      </c>
      <c r="D148" s="658">
        <v>2202</v>
      </c>
      <c r="E148" s="655" t="s">
        <v>703</v>
      </c>
      <c r="F148" s="546">
        <v>2017</v>
      </c>
      <c r="G148" s="659">
        <v>42817</v>
      </c>
      <c r="H148" s="655" t="s">
        <v>810</v>
      </c>
      <c r="I148" s="655" t="s">
        <v>1587</v>
      </c>
      <c r="J148" s="655" t="s">
        <v>729</v>
      </c>
      <c r="K148" s="655" t="s">
        <v>1714</v>
      </c>
      <c r="L148" s="655" t="s">
        <v>1849</v>
      </c>
      <c r="M148" s="660">
        <v>-201982.76</v>
      </c>
      <c r="N148" s="660">
        <v>0</v>
      </c>
      <c r="O148" s="660">
        <v>-32317.24</v>
      </c>
      <c r="P148" s="660">
        <v>-234300</v>
      </c>
      <c r="Q148" s="548"/>
      <c r="R148" s="660">
        <v>-182856.5</v>
      </c>
      <c r="S148" s="549">
        <f t="shared" si="35"/>
        <v>-51443.5</v>
      </c>
      <c r="T148" s="267" t="s">
        <v>1268</v>
      </c>
      <c r="AB148" s="670"/>
      <c r="AI148" s="313"/>
      <c r="AJ148" s="330"/>
      <c r="AK148" s="374"/>
      <c r="AL148" s="374"/>
      <c r="AM148" s="374"/>
      <c r="AN148" s="291"/>
      <c r="AO148" s="291"/>
      <c r="AP148" s="291"/>
      <c r="AQ148" s="291"/>
      <c r="AR148" s="291"/>
      <c r="AS148" s="291"/>
    </row>
    <row r="149" spans="1:45" s="348" customFormat="1" x14ac:dyDescent="0.2">
      <c r="A149" s="423">
        <f t="shared" si="36"/>
        <v>146</v>
      </c>
      <c r="B149" s="657" t="s">
        <v>2034</v>
      </c>
      <c r="C149" s="655">
        <v>521802</v>
      </c>
      <c r="D149" s="658">
        <v>2202</v>
      </c>
      <c r="E149" s="655" t="s">
        <v>703</v>
      </c>
      <c r="F149" s="546">
        <v>2017</v>
      </c>
      <c r="G149" s="659">
        <v>42817</v>
      </c>
      <c r="H149" s="655" t="s">
        <v>810</v>
      </c>
      <c r="I149" s="655" t="s">
        <v>1587</v>
      </c>
      <c r="J149" s="655" t="s">
        <v>729</v>
      </c>
      <c r="K149" s="655" t="s">
        <v>1714</v>
      </c>
      <c r="L149" s="655" t="s">
        <v>1849</v>
      </c>
      <c r="M149" s="660">
        <v>201982.76</v>
      </c>
      <c r="N149" s="660">
        <v>0</v>
      </c>
      <c r="O149" s="660">
        <v>32317.24</v>
      </c>
      <c r="P149" s="660">
        <v>234300</v>
      </c>
      <c r="Q149" s="548"/>
      <c r="R149" s="660">
        <v>182856.5</v>
      </c>
      <c r="S149" s="549">
        <f t="shared" si="35"/>
        <v>51443.5</v>
      </c>
      <c r="T149" s="113" t="s">
        <v>1268</v>
      </c>
      <c r="AB149" s="671"/>
      <c r="AI149" s="313"/>
      <c r="AJ149" s="374"/>
      <c r="AK149" s="330"/>
      <c r="AL149" s="330"/>
      <c r="AM149" s="330"/>
    </row>
    <row r="150" spans="1:45" s="291" customFormat="1" x14ac:dyDescent="0.2">
      <c r="A150" s="423">
        <f t="shared" si="36"/>
        <v>147</v>
      </c>
      <c r="B150" s="657" t="s">
        <v>2113</v>
      </c>
      <c r="C150" s="655">
        <v>1520104</v>
      </c>
      <c r="D150" s="658">
        <v>7493</v>
      </c>
      <c r="E150" s="655" t="s">
        <v>711</v>
      </c>
      <c r="F150" s="546">
        <v>2017</v>
      </c>
      <c r="G150" s="659">
        <v>42817</v>
      </c>
      <c r="H150" s="655" t="s">
        <v>2213</v>
      </c>
      <c r="I150" s="655" t="s">
        <v>2324</v>
      </c>
      <c r="J150" s="655" t="s">
        <v>724</v>
      </c>
      <c r="K150" s="655" t="s">
        <v>2470</v>
      </c>
      <c r="L150" s="655" t="s">
        <v>2622</v>
      </c>
      <c r="M150" s="660">
        <v>238095.24</v>
      </c>
      <c r="N150" s="660">
        <v>11904.76</v>
      </c>
      <c r="O150" s="660">
        <v>40000</v>
      </c>
      <c r="P150" s="660">
        <v>290000</v>
      </c>
      <c r="Q150" s="548"/>
      <c r="R150" s="660">
        <v>218561.35</v>
      </c>
      <c r="S150" s="549">
        <f t="shared" si="35"/>
        <v>71438.649999999994</v>
      </c>
      <c r="T150" s="113" t="s">
        <v>1268</v>
      </c>
      <c r="AB150" s="667"/>
      <c r="AI150" s="313"/>
      <c r="AJ150" s="331"/>
      <c r="AK150" s="374"/>
      <c r="AL150" s="374"/>
      <c r="AM150" s="374"/>
    </row>
    <row r="151" spans="1:45" s="291" customFormat="1" x14ac:dyDescent="0.2">
      <c r="A151" s="423">
        <f t="shared" si="36"/>
        <v>148</v>
      </c>
      <c r="B151" s="657" t="s">
        <v>2114</v>
      </c>
      <c r="C151" s="655">
        <v>1520104</v>
      </c>
      <c r="D151" s="658">
        <v>7493</v>
      </c>
      <c r="E151" s="655" t="s">
        <v>711</v>
      </c>
      <c r="F151" s="546">
        <v>2017</v>
      </c>
      <c r="G151" s="659">
        <v>42818</v>
      </c>
      <c r="H151" s="655" t="s">
        <v>2213</v>
      </c>
      <c r="I151" s="655" t="s">
        <v>2324</v>
      </c>
      <c r="J151" s="655" t="s">
        <v>724</v>
      </c>
      <c r="K151" s="655" t="s">
        <v>2470</v>
      </c>
      <c r="L151" s="655" t="s">
        <v>2622</v>
      </c>
      <c r="M151" s="660">
        <v>-238095.24</v>
      </c>
      <c r="N151" s="660">
        <v>-11904.76</v>
      </c>
      <c r="O151" s="660">
        <v>-40000</v>
      </c>
      <c r="P151" s="660">
        <v>-290000</v>
      </c>
      <c r="Q151" s="548"/>
      <c r="R151" s="660">
        <v>-218561.35</v>
      </c>
      <c r="S151" s="549">
        <f t="shared" si="35"/>
        <v>-71438.649999999994</v>
      </c>
      <c r="T151" s="267" t="s">
        <v>1268</v>
      </c>
      <c r="AB151" s="667"/>
      <c r="AI151" s="313"/>
      <c r="AJ151" s="374"/>
      <c r="AK151" s="374"/>
      <c r="AL151" s="374"/>
      <c r="AM151" s="374"/>
    </row>
    <row r="152" spans="1:45" s="348" customFormat="1" x14ac:dyDescent="0.2">
      <c r="A152" s="423">
        <f t="shared" si="36"/>
        <v>149</v>
      </c>
      <c r="B152" s="657" t="s">
        <v>2137</v>
      </c>
      <c r="C152" s="655">
        <v>1520604</v>
      </c>
      <c r="D152" s="658">
        <v>7495</v>
      </c>
      <c r="E152" s="655" t="s">
        <v>718</v>
      </c>
      <c r="F152" s="546">
        <v>2017</v>
      </c>
      <c r="G152" s="659">
        <v>42807</v>
      </c>
      <c r="H152" s="655" t="s">
        <v>2217</v>
      </c>
      <c r="I152" s="655" t="s">
        <v>2343</v>
      </c>
      <c r="J152" s="655" t="s">
        <v>729</v>
      </c>
      <c r="K152" s="655" t="s">
        <v>119</v>
      </c>
      <c r="L152" s="655" t="s">
        <v>2641</v>
      </c>
      <c r="M152" s="660">
        <v>-282019.7</v>
      </c>
      <c r="N152" s="660">
        <v>-14100.99</v>
      </c>
      <c r="O152" s="660">
        <v>-47379.31</v>
      </c>
      <c r="P152" s="660">
        <v>-343500</v>
      </c>
      <c r="Q152" s="548"/>
      <c r="R152" s="660">
        <v>-255426.86</v>
      </c>
      <c r="S152" s="549">
        <f t="shared" si="35"/>
        <v>-88073.140000000014</v>
      </c>
      <c r="T152" s="113" t="s">
        <v>1268</v>
      </c>
      <c r="AB152" s="671"/>
      <c r="AI152" s="313"/>
      <c r="AJ152" s="331"/>
      <c r="AK152" s="374"/>
      <c r="AL152" s="374"/>
      <c r="AM152" s="374"/>
      <c r="AN152" s="291"/>
      <c r="AO152" s="291"/>
      <c r="AP152" s="291"/>
      <c r="AQ152" s="291"/>
      <c r="AR152" s="291"/>
      <c r="AS152" s="291"/>
    </row>
    <row r="153" spans="1:45" s="348" customFormat="1" x14ac:dyDescent="0.2">
      <c r="A153" s="423">
        <f t="shared" si="36"/>
        <v>150</v>
      </c>
      <c r="B153" s="657" t="s">
        <v>2138</v>
      </c>
      <c r="C153" s="655">
        <v>1520604</v>
      </c>
      <c r="D153" s="658">
        <v>7495</v>
      </c>
      <c r="E153" s="655" t="s">
        <v>718</v>
      </c>
      <c r="F153" s="546">
        <v>2017</v>
      </c>
      <c r="G153" s="659">
        <v>42807</v>
      </c>
      <c r="H153" s="655" t="s">
        <v>2217</v>
      </c>
      <c r="I153" s="655" t="s">
        <v>2343</v>
      </c>
      <c r="J153" s="655" t="s">
        <v>729</v>
      </c>
      <c r="K153" s="655" t="s">
        <v>119</v>
      </c>
      <c r="L153" s="655" t="s">
        <v>2641</v>
      </c>
      <c r="M153" s="660">
        <v>282019.7</v>
      </c>
      <c r="N153" s="660">
        <v>14100.99</v>
      </c>
      <c r="O153" s="660">
        <v>47379.31</v>
      </c>
      <c r="P153" s="660">
        <v>343500</v>
      </c>
      <c r="Q153" s="548"/>
      <c r="R153" s="660">
        <v>255426.86</v>
      </c>
      <c r="S153" s="549">
        <f t="shared" si="35"/>
        <v>88073.140000000014</v>
      </c>
      <c r="T153" s="267" t="s">
        <v>1268</v>
      </c>
      <c r="AB153" s="671"/>
      <c r="AI153" s="313"/>
      <c r="AJ153" s="374"/>
      <c r="AK153" s="330"/>
      <c r="AL153" s="330"/>
      <c r="AM153" s="330"/>
    </row>
    <row r="154" spans="1:45" s="348" customFormat="1" x14ac:dyDescent="0.2">
      <c r="A154" s="423">
        <f t="shared" si="36"/>
        <v>151</v>
      </c>
      <c r="B154" s="657" t="s">
        <v>2135</v>
      </c>
      <c r="C154" s="655">
        <v>1520604</v>
      </c>
      <c r="D154" s="658">
        <v>7495</v>
      </c>
      <c r="E154" s="655" t="s">
        <v>718</v>
      </c>
      <c r="F154" s="546">
        <v>2017</v>
      </c>
      <c r="G154" s="659">
        <v>42804</v>
      </c>
      <c r="H154" s="655" t="s">
        <v>727</v>
      </c>
      <c r="I154" s="655" t="s">
        <v>2341</v>
      </c>
      <c r="J154" s="655" t="s">
        <v>729</v>
      </c>
      <c r="K154" s="655" t="s">
        <v>2479</v>
      </c>
      <c r="L154" s="655" t="s">
        <v>2639</v>
      </c>
      <c r="M154" s="660">
        <v>282019.7</v>
      </c>
      <c r="N154" s="660">
        <v>14100.99</v>
      </c>
      <c r="O154" s="660">
        <v>47379.31</v>
      </c>
      <c r="P154" s="660">
        <v>343500</v>
      </c>
      <c r="Q154" s="548"/>
      <c r="R154" s="660">
        <v>255426.86</v>
      </c>
      <c r="S154" s="549">
        <f t="shared" si="35"/>
        <v>88073.140000000014</v>
      </c>
      <c r="T154" s="444" t="s">
        <v>1268</v>
      </c>
      <c r="U154" s="360"/>
      <c r="V154" s="360"/>
      <c r="W154" s="358"/>
      <c r="X154" s="331"/>
      <c r="Y154" s="360"/>
      <c r="Z154" s="334"/>
      <c r="AA154" s="334"/>
      <c r="AB154" s="672"/>
      <c r="AC154" s="349"/>
      <c r="AD154" s="335"/>
      <c r="AE154" s="349"/>
      <c r="AF154" s="349"/>
      <c r="AG154" s="349"/>
      <c r="AH154" s="313"/>
      <c r="AI154" s="313"/>
      <c r="AJ154" s="374"/>
      <c r="AK154" s="330"/>
      <c r="AL154" s="330"/>
      <c r="AM154" s="330"/>
    </row>
    <row r="155" spans="1:45" s="348" customFormat="1" x14ac:dyDescent="0.2">
      <c r="A155" s="423">
        <f t="shared" si="36"/>
        <v>152</v>
      </c>
      <c r="B155" s="657" t="s">
        <v>2141</v>
      </c>
      <c r="C155" s="655">
        <v>1520604</v>
      </c>
      <c r="D155" s="658">
        <v>7495</v>
      </c>
      <c r="E155" s="655" t="s">
        <v>718</v>
      </c>
      <c r="F155" s="546">
        <v>2017</v>
      </c>
      <c r="G155" s="659">
        <v>42807</v>
      </c>
      <c r="H155" s="655" t="s">
        <v>727</v>
      </c>
      <c r="I155" s="655" t="s">
        <v>2341</v>
      </c>
      <c r="J155" s="655" t="s">
        <v>729</v>
      </c>
      <c r="K155" s="655" t="s">
        <v>2479</v>
      </c>
      <c r="L155" s="655" t="s">
        <v>2639</v>
      </c>
      <c r="M155" s="660">
        <v>-282019.7</v>
      </c>
      <c r="N155" s="660">
        <v>-14100.99</v>
      </c>
      <c r="O155" s="660">
        <v>-47379.31</v>
      </c>
      <c r="P155" s="660">
        <v>-343500</v>
      </c>
      <c r="Q155" s="548"/>
      <c r="R155" s="660">
        <v>-255426.86</v>
      </c>
      <c r="S155" s="549">
        <f t="shared" si="35"/>
        <v>-88073.140000000014</v>
      </c>
      <c r="T155" s="113" t="s">
        <v>1268</v>
      </c>
      <c r="U155" s="370"/>
      <c r="V155" s="370"/>
      <c r="W155" s="375"/>
      <c r="X155" s="374"/>
      <c r="Y155" s="370"/>
      <c r="Z155" s="371"/>
      <c r="AA155" s="371"/>
      <c r="AB155" s="673"/>
      <c r="AC155" s="270"/>
      <c r="AD155" s="372"/>
      <c r="AE155" s="270"/>
      <c r="AF155" s="270"/>
      <c r="AG155" s="270"/>
      <c r="AH155" s="313"/>
      <c r="AI155" s="313"/>
      <c r="AJ155" s="374"/>
      <c r="AK155" s="330"/>
      <c r="AL155" s="330"/>
      <c r="AM155" s="330"/>
    </row>
    <row r="156" spans="1:45" s="353" customFormat="1" x14ac:dyDescent="0.2">
      <c r="A156" s="423">
        <f t="shared" si="36"/>
        <v>153</v>
      </c>
      <c r="B156" s="657" t="s">
        <v>2151</v>
      </c>
      <c r="C156" s="655">
        <v>1520604</v>
      </c>
      <c r="D156" s="658">
        <v>7495</v>
      </c>
      <c r="E156" s="655" t="s">
        <v>718</v>
      </c>
      <c r="F156" s="546">
        <v>2017</v>
      </c>
      <c r="G156" s="659">
        <v>42823</v>
      </c>
      <c r="H156" s="655" t="s">
        <v>2213</v>
      </c>
      <c r="I156" s="655" t="s">
        <v>2352</v>
      </c>
      <c r="J156" s="655" t="s">
        <v>729</v>
      </c>
      <c r="K156" s="655" t="s">
        <v>2486</v>
      </c>
      <c r="L156" s="655" t="s">
        <v>2650</v>
      </c>
      <c r="M156" s="660">
        <v>282019.7</v>
      </c>
      <c r="N156" s="660">
        <v>14100.99</v>
      </c>
      <c r="O156" s="660">
        <v>47379.31</v>
      </c>
      <c r="P156" s="660">
        <v>343500</v>
      </c>
      <c r="Q156" s="548"/>
      <c r="R156" s="660">
        <v>255426.86</v>
      </c>
      <c r="S156" s="549">
        <f t="shared" si="35"/>
        <v>88073.140000000014</v>
      </c>
      <c r="T156" s="444" t="s">
        <v>1268</v>
      </c>
      <c r="U156" s="370"/>
      <c r="V156" s="370"/>
      <c r="W156" s="375"/>
      <c r="X156" s="374"/>
      <c r="Y156" s="370"/>
      <c r="Z156" s="371"/>
      <c r="AA156" s="371"/>
      <c r="AB156" s="673"/>
      <c r="AC156" s="270"/>
      <c r="AD156" s="372"/>
      <c r="AE156" s="270"/>
      <c r="AF156" s="270"/>
      <c r="AG156" s="270"/>
      <c r="AH156" s="313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</row>
    <row r="157" spans="1:45" s="291" customFormat="1" x14ac:dyDescent="0.2">
      <c r="A157" s="423">
        <f t="shared" si="36"/>
        <v>154</v>
      </c>
      <c r="B157" s="657" t="s">
        <v>2156</v>
      </c>
      <c r="C157" s="655">
        <v>1520604</v>
      </c>
      <c r="D157" s="658">
        <v>7495</v>
      </c>
      <c r="E157" s="655" t="s">
        <v>718</v>
      </c>
      <c r="F157" s="546">
        <v>2017</v>
      </c>
      <c r="G157" s="659">
        <v>42825</v>
      </c>
      <c r="H157" s="655" t="s">
        <v>2213</v>
      </c>
      <c r="I157" s="655" t="s">
        <v>2352</v>
      </c>
      <c r="J157" s="655" t="s">
        <v>729</v>
      </c>
      <c r="K157" s="655" t="s">
        <v>2486</v>
      </c>
      <c r="L157" s="655" t="s">
        <v>2650</v>
      </c>
      <c r="M157" s="660">
        <v>-282019.7</v>
      </c>
      <c r="N157" s="660">
        <v>-14100.99</v>
      </c>
      <c r="O157" s="660">
        <v>-47379.31</v>
      </c>
      <c r="P157" s="660">
        <v>-343500</v>
      </c>
      <c r="Q157" s="548"/>
      <c r="R157" s="660">
        <v>-255426.86</v>
      </c>
      <c r="S157" s="549">
        <f t="shared" si="35"/>
        <v>-88073.140000000014</v>
      </c>
      <c r="T157" s="113" t="s">
        <v>1268</v>
      </c>
      <c r="U157" s="354"/>
      <c r="V157" s="354"/>
      <c r="W157" s="355"/>
      <c r="X157" s="330"/>
      <c r="Y157" s="354"/>
      <c r="Z157" s="328"/>
      <c r="AA157" s="328"/>
      <c r="AB157" s="674"/>
      <c r="AC157" s="346"/>
      <c r="AD157" s="333"/>
      <c r="AE157" s="346"/>
      <c r="AF157" s="346"/>
      <c r="AG157" s="346"/>
      <c r="AH157" s="313"/>
      <c r="AI157" s="313"/>
      <c r="AJ157" s="374"/>
      <c r="AK157" s="374"/>
      <c r="AL157" s="374"/>
      <c r="AM157" s="374"/>
    </row>
    <row r="158" spans="1:45" s="291" customFormat="1" x14ac:dyDescent="0.2">
      <c r="A158" s="423">
        <f>+A65+1</f>
        <v>61</v>
      </c>
      <c r="B158" s="657" t="s">
        <v>2148</v>
      </c>
      <c r="C158" s="655">
        <v>1520604</v>
      </c>
      <c r="D158" s="658">
        <v>7495</v>
      </c>
      <c r="E158" s="655" t="s">
        <v>718</v>
      </c>
      <c r="F158" s="546">
        <v>2017</v>
      </c>
      <c r="G158" s="659">
        <v>42823</v>
      </c>
      <c r="H158" s="655" t="s">
        <v>908</v>
      </c>
      <c r="I158" s="655" t="s">
        <v>2351</v>
      </c>
      <c r="J158" s="655" t="s">
        <v>729</v>
      </c>
      <c r="K158" s="655" t="s">
        <v>2485</v>
      </c>
      <c r="L158" s="655" t="s">
        <v>2649</v>
      </c>
      <c r="M158" s="660">
        <v>-282019.7</v>
      </c>
      <c r="N158" s="660">
        <v>-14100.99</v>
      </c>
      <c r="O158" s="660">
        <v>-47379.31</v>
      </c>
      <c r="P158" s="660">
        <v>-343500</v>
      </c>
      <c r="Q158" s="548"/>
      <c r="R158" s="660">
        <v>-255426.86</v>
      </c>
      <c r="S158" s="549">
        <f t="shared" si="35"/>
        <v>-88073.140000000014</v>
      </c>
      <c r="T158" s="113" t="s">
        <v>1268</v>
      </c>
      <c r="U158" s="360"/>
      <c r="V158" s="360"/>
      <c r="W158" s="358"/>
      <c r="X158" s="331"/>
      <c r="Y158" s="360"/>
      <c r="Z158" s="334"/>
      <c r="AA158" s="334"/>
      <c r="AB158" s="672"/>
      <c r="AC158" s="349"/>
      <c r="AD158" s="335"/>
      <c r="AE158" s="349"/>
      <c r="AF158" s="349"/>
      <c r="AG158" s="349"/>
      <c r="AH158" s="313"/>
      <c r="AI158" s="313"/>
      <c r="AJ158" s="374"/>
      <c r="AK158" s="374"/>
      <c r="AL158" s="374"/>
      <c r="AM158" s="374"/>
    </row>
    <row r="159" spans="1:45" s="291" customFormat="1" x14ac:dyDescent="0.2">
      <c r="A159" s="423">
        <f>+A158+1</f>
        <v>62</v>
      </c>
      <c r="B159" s="657" t="s">
        <v>2149</v>
      </c>
      <c r="C159" s="655">
        <v>1520604</v>
      </c>
      <c r="D159" s="658">
        <v>7495</v>
      </c>
      <c r="E159" s="655" t="s">
        <v>718</v>
      </c>
      <c r="F159" s="546">
        <v>2017</v>
      </c>
      <c r="G159" s="659">
        <v>42823</v>
      </c>
      <c r="H159" s="655" t="s">
        <v>908</v>
      </c>
      <c r="I159" s="655" t="s">
        <v>2351</v>
      </c>
      <c r="J159" s="655" t="s">
        <v>729</v>
      </c>
      <c r="K159" s="655" t="s">
        <v>2485</v>
      </c>
      <c r="L159" s="655" t="s">
        <v>2649</v>
      </c>
      <c r="M159" s="660">
        <v>282019.7</v>
      </c>
      <c r="N159" s="660">
        <v>14100.99</v>
      </c>
      <c r="O159" s="660">
        <v>47379.31</v>
      </c>
      <c r="P159" s="660">
        <v>343500</v>
      </c>
      <c r="Q159" s="548"/>
      <c r="R159" s="660">
        <v>255426.86</v>
      </c>
      <c r="S159" s="549">
        <f t="shared" si="35"/>
        <v>88073.140000000014</v>
      </c>
      <c r="T159" s="113" t="s">
        <v>1268</v>
      </c>
      <c r="U159" s="360"/>
      <c r="V159" s="360"/>
      <c r="W159" s="358"/>
      <c r="X159" s="331"/>
      <c r="Y159" s="360"/>
      <c r="Z159" s="334"/>
      <c r="AA159" s="334"/>
      <c r="AB159" s="672"/>
      <c r="AC159" s="349"/>
      <c r="AD159" s="335"/>
      <c r="AE159" s="349"/>
      <c r="AF159" s="349"/>
      <c r="AG159" s="349"/>
      <c r="AH159" s="363"/>
      <c r="AI159" s="363"/>
      <c r="AJ159" s="374"/>
      <c r="AK159" s="374"/>
      <c r="AL159" s="374"/>
      <c r="AM159" s="374"/>
    </row>
    <row r="160" spans="1:45" s="348" customFormat="1" x14ac:dyDescent="0.2">
      <c r="A160" s="423">
        <f>+A157+1</f>
        <v>155</v>
      </c>
      <c r="B160" s="657" t="s">
        <v>1993</v>
      </c>
      <c r="C160" s="655">
        <v>521707</v>
      </c>
      <c r="D160" s="658">
        <v>2006</v>
      </c>
      <c r="E160" s="655" t="s">
        <v>702</v>
      </c>
      <c r="F160" s="546">
        <v>2017</v>
      </c>
      <c r="G160" s="659">
        <v>42804</v>
      </c>
      <c r="H160" s="655" t="s">
        <v>1038</v>
      </c>
      <c r="I160" s="655" t="s">
        <v>2256</v>
      </c>
      <c r="J160" s="655" t="s">
        <v>729</v>
      </c>
      <c r="K160" s="655" t="s">
        <v>2414</v>
      </c>
      <c r="L160" s="655" t="s">
        <v>2554</v>
      </c>
      <c r="M160" s="660">
        <v>195172.41</v>
      </c>
      <c r="N160" s="660">
        <v>0</v>
      </c>
      <c r="O160" s="660">
        <v>31227.59</v>
      </c>
      <c r="P160" s="660">
        <v>226400</v>
      </c>
      <c r="Q160" s="548"/>
      <c r="R160" s="660">
        <v>176916.14</v>
      </c>
      <c r="S160" s="549">
        <f t="shared" si="35"/>
        <v>49483.859999999986</v>
      </c>
      <c r="T160" s="267" t="s">
        <v>1268</v>
      </c>
      <c r="U160" s="360"/>
      <c r="V160" s="360"/>
      <c r="W160" s="358"/>
      <c r="X160" s="331"/>
      <c r="Y160" s="360"/>
      <c r="Z160" s="334"/>
      <c r="AA160" s="334"/>
      <c r="AB160" s="672"/>
      <c r="AC160" s="349"/>
      <c r="AD160" s="335"/>
      <c r="AE160" s="349"/>
      <c r="AF160" s="349"/>
      <c r="AG160" s="349"/>
      <c r="AH160" s="272"/>
      <c r="AI160" s="313"/>
      <c r="AJ160" s="331"/>
      <c r="AK160" s="330"/>
      <c r="AL160" s="330"/>
      <c r="AM160" s="330"/>
    </row>
    <row r="161" spans="1:39" s="291" customFormat="1" x14ac:dyDescent="0.2">
      <c r="A161" s="423">
        <f t="shared" si="36"/>
        <v>156</v>
      </c>
      <c r="B161" s="657" t="s">
        <v>1994</v>
      </c>
      <c r="C161" s="655">
        <v>521707</v>
      </c>
      <c r="D161" s="658">
        <v>2006</v>
      </c>
      <c r="E161" s="655" t="s">
        <v>702</v>
      </c>
      <c r="F161" s="546">
        <v>2017</v>
      </c>
      <c r="G161" s="659">
        <v>42805</v>
      </c>
      <c r="H161" s="655" t="s">
        <v>1038</v>
      </c>
      <c r="I161" s="655" t="s">
        <v>2256</v>
      </c>
      <c r="J161" s="655" t="s">
        <v>729</v>
      </c>
      <c r="K161" s="655" t="s">
        <v>2414</v>
      </c>
      <c r="L161" s="655" t="s">
        <v>2554</v>
      </c>
      <c r="M161" s="660">
        <v>-195172.41</v>
      </c>
      <c r="N161" s="660">
        <v>0</v>
      </c>
      <c r="O161" s="660">
        <v>-31227.59</v>
      </c>
      <c r="P161" s="660">
        <v>-226400</v>
      </c>
      <c r="Q161" s="548"/>
      <c r="R161" s="660">
        <v>-176916.14</v>
      </c>
      <c r="S161" s="549">
        <f t="shared" si="35"/>
        <v>-49483.859999999986</v>
      </c>
      <c r="T161" s="267" t="s">
        <v>1268</v>
      </c>
      <c r="U161" s="370"/>
      <c r="V161" s="370"/>
      <c r="W161" s="375"/>
      <c r="X161" s="374"/>
      <c r="Y161" s="370"/>
      <c r="Z161" s="371"/>
      <c r="AA161" s="371"/>
      <c r="AB161" s="673"/>
      <c r="AC161" s="270"/>
      <c r="AD161" s="372"/>
      <c r="AE161" s="270"/>
      <c r="AF161" s="270"/>
      <c r="AG161" s="270"/>
      <c r="AH161" s="347"/>
      <c r="AI161" s="363"/>
      <c r="AJ161" s="331"/>
      <c r="AK161" s="374"/>
      <c r="AL161" s="374"/>
      <c r="AM161" s="374"/>
    </row>
    <row r="162" spans="1:39" s="291" customFormat="1" x14ac:dyDescent="0.2">
      <c r="A162" s="423">
        <f t="shared" si="36"/>
        <v>157</v>
      </c>
      <c r="B162" s="657" t="s">
        <v>1999</v>
      </c>
      <c r="C162" s="655">
        <v>521707</v>
      </c>
      <c r="D162" s="658">
        <v>2006</v>
      </c>
      <c r="E162" s="655" t="s">
        <v>702</v>
      </c>
      <c r="F162" s="546">
        <v>2017</v>
      </c>
      <c r="G162" s="659">
        <v>42809</v>
      </c>
      <c r="H162" s="655" t="s">
        <v>760</v>
      </c>
      <c r="I162" s="655" t="s">
        <v>2259</v>
      </c>
      <c r="J162" s="655" t="s">
        <v>729</v>
      </c>
      <c r="K162" s="655" t="s">
        <v>2418</v>
      </c>
      <c r="L162" s="655" t="s">
        <v>2557</v>
      </c>
      <c r="M162" s="660">
        <v>-195172.41</v>
      </c>
      <c r="N162" s="660">
        <v>0</v>
      </c>
      <c r="O162" s="660">
        <v>-31227.59</v>
      </c>
      <c r="P162" s="660">
        <v>-226400</v>
      </c>
      <c r="Q162" s="548"/>
      <c r="R162" s="660">
        <v>-176916.14</v>
      </c>
      <c r="S162" s="549">
        <f t="shared" si="35"/>
        <v>-49483.859999999986</v>
      </c>
      <c r="T162" s="113" t="s">
        <v>1268</v>
      </c>
      <c r="U162" s="360"/>
      <c r="V162" s="360"/>
      <c r="W162" s="358"/>
      <c r="X162" s="331"/>
      <c r="Y162" s="360"/>
      <c r="Z162" s="334"/>
      <c r="AA162" s="334"/>
      <c r="AB162" s="672"/>
      <c r="AC162" s="349"/>
      <c r="AD162" s="335"/>
      <c r="AE162" s="349"/>
      <c r="AF162" s="349"/>
      <c r="AG162" s="349"/>
      <c r="AH162" s="350"/>
      <c r="AI162" s="313"/>
      <c r="AJ162" s="331"/>
      <c r="AK162" s="374"/>
      <c r="AL162" s="374"/>
      <c r="AM162" s="374"/>
    </row>
    <row r="163" spans="1:39" s="291" customFormat="1" x14ac:dyDescent="0.2">
      <c r="A163" s="423">
        <f t="shared" si="36"/>
        <v>158</v>
      </c>
      <c r="B163" s="657" t="s">
        <v>2000</v>
      </c>
      <c r="C163" s="655">
        <v>521707</v>
      </c>
      <c r="D163" s="658">
        <v>2006</v>
      </c>
      <c r="E163" s="655" t="s">
        <v>702</v>
      </c>
      <c r="F163" s="546">
        <v>2017</v>
      </c>
      <c r="G163" s="659">
        <v>42809</v>
      </c>
      <c r="H163" s="655" t="s">
        <v>760</v>
      </c>
      <c r="I163" s="655" t="s">
        <v>2259</v>
      </c>
      <c r="J163" s="655" t="s">
        <v>729</v>
      </c>
      <c r="K163" s="655" t="s">
        <v>2418</v>
      </c>
      <c r="L163" s="655" t="s">
        <v>2557</v>
      </c>
      <c r="M163" s="660">
        <v>195172.41</v>
      </c>
      <c r="N163" s="660">
        <v>0</v>
      </c>
      <c r="O163" s="660">
        <v>31227.59</v>
      </c>
      <c r="P163" s="660">
        <v>226400</v>
      </c>
      <c r="Q163" s="548"/>
      <c r="R163" s="660">
        <v>176916.14</v>
      </c>
      <c r="S163" s="549">
        <f t="shared" si="35"/>
        <v>49483.859999999986</v>
      </c>
      <c r="T163" s="113" t="s">
        <v>1268</v>
      </c>
      <c r="U163" s="370"/>
      <c r="V163" s="370"/>
      <c r="W163" s="375"/>
      <c r="X163" s="374"/>
      <c r="Y163" s="370"/>
      <c r="Z163" s="371"/>
      <c r="AA163" s="371"/>
      <c r="AB163" s="673"/>
      <c r="AC163" s="270"/>
      <c r="AD163" s="372"/>
      <c r="AE163" s="270"/>
      <c r="AF163" s="270"/>
      <c r="AG163" s="270"/>
      <c r="AH163" s="272"/>
      <c r="AI163" s="313"/>
      <c r="AJ163" s="331"/>
      <c r="AK163" s="374"/>
      <c r="AL163" s="374"/>
      <c r="AM163" s="374"/>
    </row>
    <row r="164" spans="1:39" s="291" customFormat="1" x14ac:dyDescent="0.2">
      <c r="A164" s="423">
        <f t="shared" si="36"/>
        <v>159</v>
      </c>
      <c r="B164" s="657" t="s">
        <v>2001</v>
      </c>
      <c r="C164" s="655">
        <v>521707</v>
      </c>
      <c r="D164" s="658">
        <v>2006</v>
      </c>
      <c r="E164" s="655" t="s">
        <v>702</v>
      </c>
      <c r="F164" s="546">
        <v>2017</v>
      </c>
      <c r="G164" s="659">
        <v>42809</v>
      </c>
      <c r="H164" s="655" t="s">
        <v>760</v>
      </c>
      <c r="I164" s="655" t="s">
        <v>2259</v>
      </c>
      <c r="J164" s="655" t="s">
        <v>729</v>
      </c>
      <c r="K164" s="655" t="s">
        <v>2419</v>
      </c>
      <c r="L164" s="655" t="s">
        <v>2557</v>
      </c>
      <c r="M164" s="660">
        <v>195172.41</v>
      </c>
      <c r="N164" s="660">
        <v>0</v>
      </c>
      <c r="O164" s="660">
        <v>31227.59</v>
      </c>
      <c r="P164" s="660">
        <v>226400</v>
      </c>
      <c r="Q164" s="548"/>
      <c r="R164" s="660">
        <v>176916.14</v>
      </c>
      <c r="S164" s="549">
        <f t="shared" si="35"/>
        <v>49483.859999999986</v>
      </c>
      <c r="T164" s="267" t="s">
        <v>1268</v>
      </c>
      <c r="U164" s="370"/>
      <c r="V164" s="370"/>
      <c r="W164" s="375"/>
      <c r="X164" s="374"/>
      <c r="Y164" s="370"/>
      <c r="Z164" s="371"/>
      <c r="AA164" s="371"/>
      <c r="AB164" s="673"/>
      <c r="AC164" s="270"/>
      <c r="AD164" s="372"/>
      <c r="AE164" s="270"/>
      <c r="AF164" s="270"/>
      <c r="AG164" s="270"/>
      <c r="AH164" s="272"/>
      <c r="AI164" s="313"/>
      <c r="AJ164" s="331"/>
      <c r="AK164" s="374"/>
      <c r="AL164" s="374"/>
      <c r="AM164" s="374"/>
    </row>
    <row r="165" spans="1:39" s="291" customFormat="1" x14ac:dyDescent="0.2">
      <c r="A165" s="423">
        <f t="shared" si="36"/>
        <v>160</v>
      </c>
      <c r="B165" s="657" t="s">
        <v>2004</v>
      </c>
      <c r="C165" s="655">
        <v>521707</v>
      </c>
      <c r="D165" s="658">
        <v>2006</v>
      </c>
      <c r="E165" s="655" t="s">
        <v>702</v>
      </c>
      <c r="F165" s="546">
        <v>2017</v>
      </c>
      <c r="G165" s="659">
        <v>42822</v>
      </c>
      <c r="H165" s="655" t="s">
        <v>760</v>
      </c>
      <c r="I165" s="655" t="s">
        <v>2259</v>
      </c>
      <c r="J165" s="655" t="s">
        <v>729</v>
      </c>
      <c r="K165" s="655" t="s">
        <v>2419</v>
      </c>
      <c r="L165" s="655" t="s">
        <v>2557</v>
      </c>
      <c r="M165" s="660">
        <v>-195172.41</v>
      </c>
      <c r="N165" s="660">
        <v>0</v>
      </c>
      <c r="O165" s="660">
        <v>-31227.59</v>
      </c>
      <c r="P165" s="660">
        <v>-226400</v>
      </c>
      <c r="Q165" s="548"/>
      <c r="R165" s="660">
        <v>-176916.14</v>
      </c>
      <c r="S165" s="549">
        <f t="shared" si="35"/>
        <v>-49483.859999999986</v>
      </c>
      <c r="T165" s="267" t="s">
        <v>1268</v>
      </c>
      <c r="U165" s="360"/>
      <c r="V165" s="360"/>
      <c r="W165" s="358"/>
      <c r="X165" s="331"/>
      <c r="Y165" s="360"/>
      <c r="Z165" s="334"/>
      <c r="AA165" s="334"/>
      <c r="AB165" s="672"/>
      <c r="AC165" s="349"/>
      <c r="AD165" s="335"/>
      <c r="AE165" s="349"/>
      <c r="AF165" s="349"/>
      <c r="AG165" s="349"/>
      <c r="AH165" s="350"/>
      <c r="AI165" s="365"/>
      <c r="AJ165" s="331"/>
      <c r="AK165" s="374"/>
      <c r="AL165" s="374"/>
      <c r="AM165" s="374"/>
    </row>
    <row r="166" spans="1:39" s="291" customFormat="1" x14ac:dyDescent="0.2">
      <c r="A166" s="423">
        <f t="shared" si="36"/>
        <v>161</v>
      </c>
      <c r="B166" s="657" t="s">
        <v>1997</v>
      </c>
      <c r="C166" s="655">
        <v>521707</v>
      </c>
      <c r="D166" s="658">
        <v>2006</v>
      </c>
      <c r="E166" s="655" t="s">
        <v>702</v>
      </c>
      <c r="F166" s="546">
        <v>2017</v>
      </c>
      <c r="G166" s="659">
        <v>42808</v>
      </c>
      <c r="H166" s="655" t="s">
        <v>2213</v>
      </c>
      <c r="I166" s="655" t="s">
        <v>2258</v>
      </c>
      <c r="J166" s="655" t="s">
        <v>729</v>
      </c>
      <c r="K166" s="655" t="s">
        <v>2390</v>
      </c>
      <c r="L166" s="655" t="s">
        <v>2556</v>
      </c>
      <c r="M166" s="660">
        <v>-195172.41</v>
      </c>
      <c r="N166" s="660">
        <v>0</v>
      </c>
      <c r="O166" s="660">
        <v>-31227.59</v>
      </c>
      <c r="P166" s="660">
        <v>-226400</v>
      </c>
      <c r="Q166" s="548"/>
      <c r="R166" s="660">
        <v>-176916.14</v>
      </c>
      <c r="S166" s="549">
        <f t="shared" si="35"/>
        <v>-49483.859999999986</v>
      </c>
      <c r="T166" s="113" t="s">
        <v>1268</v>
      </c>
      <c r="U166" s="360"/>
      <c r="V166" s="360"/>
      <c r="W166" s="358"/>
      <c r="X166" s="331"/>
      <c r="Y166" s="360"/>
      <c r="Z166" s="334"/>
      <c r="AA166" s="334"/>
      <c r="AB166" s="672"/>
      <c r="AC166" s="349"/>
      <c r="AD166" s="335"/>
      <c r="AE166" s="349"/>
      <c r="AF166" s="349"/>
      <c r="AG166" s="349"/>
      <c r="AH166" s="350"/>
      <c r="AI166" s="365"/>
      <c r="AJ166" s="331"/>
      <c r="AK166" s="374"/>
      <c r="AL166" s="374"/>
      <c r="AM166" s="374"/>
    </row>
    <row r="167" spans="1:39" s="291" customFormat="1" x14ac:dyDescent="0.2">
      <c r="A167" s="423">
        <f t="shared" si="36"/>
        <v>162</v>
      </c>
      <c r="B167" s="657" t="s">
        <v>1998</v>
      </c>
      <c r="C167" s="655">
        <v>521707</v>
      </c>
      <c r="D167" s="658">
        <v>2006</v>
      </c>
      <c r="E167" s="655" t="s">
        <v>702</v>
      </c>
      <c r="F167" s="546">
        <v>2017</v>
      </c>
      <c r="G167" s="659">
        <v>42808</v>
      </c>
      <c r="H167" s="655" t="s">
        <v>2213</v>
      </c>
      <c r="I167" s="655" t="s">
        <v>2258</v>
      </c>
      <c r="J167" s="655" t="s">
        <v>729</v>
      </c>
      <c r="K167" s="655" t="s">
        <v>2390</v>
      </c>
      <c r="L167" s="655" t="s">
        <v>2556</v>
      </c>
      <c r="M167" s="660">
        <v>195172.41</v>
      </c>
      <c r="N167" s="660">
        <v>0</v>
      </c>
      <c r="O167" s="660">
        <v>31227.59</v>
      </c>
      <c r="P167" s="660">
        <v>226400</v>
      </c>
      <c r="Q167" s="548"/>
      <c r="R167" s="660">
        <v>176916.14</v>
      </c>
      <c r="S167" s="549">
        <f t="shared" si="35"/>
        <v>49483.859999999986</v>
      </c>
      <c r="T167" s="267" t="s">
        <v>1268</v>
      </c>
      <c r="U167" s="354"/>
      <c r="V167" s="354"/>
      <c r="W167" s="355"/>
      <c r="X167" s="330"/>
      <c r="Y167" s="354"/>
      <c r="Z167" s="328"/>
      <c r="AA167" s="328"/>
      <c r="AB167" s="674"/>
      <c r="AC167" s="346"/>
      <c r="AD167" s="333"/>
      <c r="AE167" s="346"/>
      <c r="AF167" s="346"/>
      <c r="AG167" s="346"/>
      <c r="AH167" s="272"/>
      <c r="AI167" s="313"/>
      <c r="AJ167" s="331"/>
      <c r="AK167" s="374"/>
      <c r="AL167" s="374"/>
      <c r="AM167" s="374"/>
    </row>
    <row r="168" spans="1:39" s="291" customFormat="1" x14ac:dyDescent="0.2">
      <c r="A168" s="423">
        <f t="shared" si="36"/>
        <v>163</v>
      </c>
      <c r="B168" s="657" t="s">
        <v>2007</v>
      </c>
      <c r="C168" s="655">
        <v>521707</v>
      </c>
      <c r="D168" s="658">
        <v>2006</v>
      </c>
      <c r="E168" s="655" t="s">
        <v>702</v>
      </c>
      <c r="F168" s="546">
        <v>2017</v>
      </c>
      <c r="G168" s="659">
        <v>42824</v>
      </c>
      <c r="H168" s="655" t="s">
        <v>743</v>
      </c>
      <c r="I168" s="655" t="s">
        <v>2262</v>
      </c>
      <c r="J168" s="655" t="s">
        <v>729</v>
      </c>
      <c r="K168" s="655" t="s">
        <v>2423</v>
      </c>
      <c r="L168" s="655" t="s">
        <v>2560</v>
      </c>
      <c r="M168" s="660">
        <v>195172.41</v>
      </c>
      <c r="N168" s="660">
        <v>0</v>
      </c>
      <c r="O168" s="660">
        <v>31227.59</v>
      </c>
      <c r="P168" s="660">
        <v>226400</v>
      </c>
      <c r="Q168" s="548"/>
      <c r="R168" s="660">
        <v>176916.14</v>
      </c>
      <c r="S168" s="549">
        <f t="shared" si="35"/>
        <v>49483.859999999986</v>
      </c>
      <c r="T168" s="267" t="s">
        <v>1268</v>
      </c>
      <c r="U168" s="370"/>
      <c r="V168" s="370"/>
      <c r="W168" s="375"/>
      <c r="X168" s="374"/>
      <c r="Y168" s="370"/>
      <c r="Z168" s="371"/>
      <c r="AA168" s="371"/>
      <c r="AB168" s="673"/>
      <c r="AC168" s="270"/>
      <c r="AD168" s="372"/>
      <c r="AE168" s="270"/>
      <c r="AF168" s="270"/>
      <c r="AG168" s="270"/>
      <c r="AH168" s="272"/>
      <c r="AI168" s="313"/>
      <c r="AJ168" s="331"/>
      <c r="AK168" s="374"/>
      <c r="AL168" s="374"/>
      <c r="AM168" s="374"/>
    </row>
    <row r="169" spans="1:39" s="291" customFormat="1" x14ac:dyDescent="0.2">
      <c r="A169" s="423">
        <f t="shared" si="36"/>
        <v>164</v>
      </c>
      <c r="B169" s="657" t="s">
        <v>2008</v>
      </c>
      <c r="C169" s="655">
        <v>521707</v>
      </c>
      <c r="D169" s="658">
        <v>2006</v>
      </c>
      <c r="E169" s="655" t="s">
        <v>702</v>
      </c>
      <c r="F169" s="546">
        <v>2017</v>
      </c>
      <c r="G169" s="659">
        <v>42825</v>
      </c>
      <c r="H169" s="655" t="s">
        <v>743</v>
      </c>
      <c r="I169" s="655" t="s">
        <v>2262</v>
      </c>
      <c r="J169" s="655" t="s">
        <v>729</v>
      </c>
      <c r="K169" s="655" t="s">
        <v>2423</v>
      </c>
      <c r="L169" s="655" t="s">
        <v>2560</v>
      </c>
      <c r="M169" s="660">
        <v>-195172.41</v>
      </c>
      <c r="N169" s="660">
        <v>0</v>
      </c>
      <c r="O169" s="660">
        <v>-31227.59</v>
      </c>
      <c r="P169" s="660">
        <v>-226400</v>
      </c>
      <c r="Q169" s="548"/>
      <c r="R169" s="660">
        <v>-176916.14</v>
      </c>
      <c r="S169" s="549">
        <f t="shared" si="35"/>
        <v>-49483.859999999986</v>
      </c>
      <c r="T169" s="444" t="s">
        <v>1268</v>
      </c>
      <c r="U169" s="360"/>
      <c r="V169" s="360"/>
      <c r="W169" s="358"/>
      <c r="X169" s="331"/>
      <c r="Y169" s="360"/>
      <c r="Z169" s="334"/>
      <c r="AA169" s="334"/>
      <c r="AB169" s="672"/>
      <c r="AC169" s="349"/>
      <c r="AD169" s="335"/>
      <c r="AE169" s="349"/>
      <c r="AF169" s="349"/>
      <c r="AG169" s="349"/>
      <c r="AH169" s="350"/>
      <c r="AI169" s="365"/>
      <c r="AJ169" s="331"/>
      <c r="AK169" s="374"/>
      <c r="AL169" s="374"/>
      <c r="AM169" s="374"/>
    </row>
    <row r="170" spans="1:39" s="291" customFormat="1" x14ac:dyDescent="0.2">
      <c r="A170" s="423">
        <f t="shared" si="36"/>
        <v>165</v>
      </c>
      <c r="B170" s="657" t="s">
        <v>1984</v>
      </c>
      <c r="C170" s="655">
        <v>521702</v>
      </c>
      <c r="D170" s="658">
        <v>2005</v>
      </c>
      <c r="E170" s="655" t="s">
        <v>701</v>
      </c>
      <c r="F170" s="546">
        <v>2017</v>
      </c>
      <c r="G170" s="659">
        <v>42800</v>
      </c>
      <c r="H170" s="655" t="s">
        <v>743</v>
      </c>
      <c r="I170" s="655" t="s">
        <v>1561</v>
      </c>
      <c r="J170" s="655" t="s">
        <v>729</v>
      </c>
      <c r="K170" s="655" t="s">
        <v>1696</v>
      </c>
      <c r="L170" s="655" t="s">
        <v>1823</v>
      </c>
      <c r="M170" s="660">
        <v>-177413.79</v>
      </c>
      <c r="N170" s="660">
        <v>0</v>
      </c>
      <c r="O170" s="660">
        <v>-28386.21</v>
      </c>
      <c r="P170" s="660">
        <v>-205800</v>
      </c>
      <c r="Q170" s="548"/>
      <c r="R170" s="660">
        <v>-160915.62</v>
      </c>
      <c r="S170" s="549">
        <f t="shared" si="35"/>
        <v>-44884.380000000005</v>
      </c>
      <c r="T170" s="113" t="s">
        <v>1268</v>
      </c>
      <c r="U170" s="370"/>
      <c r="V170" s="370"/>
      <c r="W170" s="375"/>
      <c r="X170" s="374"/>
      <c r="Y170" s="370"/>
      <c r="Z170" s="371"/>
      <c r="AA170" s="371"/>
      <c r="AB170" s="673"/>
      <c r="AC170" s="270"/>
      <c r="AD170" s="372"/>
      <c r="AE170" s="270"/>
      <c r="AF170" s="270"/>
      <c r="AG170" s="270"/>
      <c r="AH170" s="272"/>
      <c r="AI170" s="313"/>
      <c r="AJ170" s="331"/>
      <c r="AK170" s="374"/>
      <c r="AL170" s="374"/>
      <c r="AM170" s="374"/>
    </row>
    <row r="171" spans="1:39" s="291" customFormat="1" x14ac:dyDescent="0.2">
      <c r="A171" s="423">
        <f t="shared" si="36"/>
        <v>166</v>
      </c>
      <c r="B171" s="657" t="s">
        <v>1985</v>
      </c>
      <c r="C171" s="655">
        <v>521702</v>
      </c>
      <c r="D171" s="658">
        <v>2005</v>
      </c>
      <c r="E171" s="655" t="s">
        <v>701</v>
      </c>
      <c r="F171" s="546">
        <v>2017</v>
      </c>
      <c r="G171" s="659">
        <v>42803</v>
      </c>
      <c r="H171" s="655" t="s">
        <v>743</v>
      </c>
      <c r="I171" s="655" t="s">
        <v>1561</v>
      </c>
      <c r="J171" s="655" t="s">
        <v>729</v>
      </c>
      <c r="K171" s="655" t="s">
        <v>2412</v>
      </c>
      <c r="L171" s="655" t="s">
        <v>1823</v>
      </c>
      <c r="M171" s="660">
        <v>177413.79</v>
      </c>
      <c r="N171" s="660">
        <v>0</v>
      </c>
      <c r="O171" s="660">
        <v>28386.21</v>
      </c>
      <c r="P171" s="660">
        <v>205800</v>
      </c>
      <c r="Q171" s="548"/>
      <c r="R171" s="660">
        <v>160915.62</v>
      </c>
      <c r="S171" s="549">
        <f t="shared" si="35"/>
        <v>44884.380000000005</v>
      </c>
      <c r="T171" s="267" t="s">
        <v>1268</v>
      </c>
      <c r="U171" s="370"/>
      <c r="V171" s="370"/>
      <c r="W171" s="375"/>
      <c r="X171" s="374"/>
      <c r="Y171" s="370"/>
      <c r="Z171" s="371"/>
      <c r="AA171" s="371"/>
      <c r="AB171" s="673"/>
      <c r="AC171" s="270"/>
      <c r="AD171" s="372"/>
      <c r="AE171" s="270"/>
      <c r="AF171" s="270"/>
      <c r="AG171" s="270"/>
      <c r="AH171" s="272"/>
      <c r="AI171" s="313"/>
      <c r="AJ171" s="331"/>
      <c r="AK171" s="374"/>
      <c r="AL171" s="374"/>
      <c r="AM171" s="374"/>
    </row>
    <row r="172" spans="1:39" s="291" customFormat="1" x14ac:dyDescent="0.2">
      <c r="A172" s="423">
        <f t="shared" si="36"/>
        <v>167</v>
      </c>
      <c r="B172" s="657" t="s">
        <v>1986</v>
      </c>
      <c r="C172" s="655">
        <v>521702</v>
      </c>
      <c r="D172" s="658">
        <v>2005</v>
      </c>
      <c r="E172" s="655" t="s">
        <v>701</v>
      </c>
      <c r="F172" s="546">
        <v>2017</v>
      </c>
      <c r="G172" s="659">
        <v>42804</v>
      </c>
      <c r="H172" s="655" t="s">
        <v>743</v>
      </c>
      <c r="I172" s="655" t="s">
        <v>1561</v>
      </c>
      <c r="J172" s="655" t="s">
        <v>729</v>
      </c>
      <c r="K172" s="655" t="s">
        <v>2412</v>
      </c>
      <c r="L172" s="655" t="s">
        <v>1823</v>
      </c>
      <c r="M172" s="660">
        <v>-177413.79</v>
      </c>
      <c r="N172" s="660">
        <v>0</v>
      </c>
      <c r="O172" s="660">
        <v>-28386.21</v>
      </c>
      <c r="P172" s="660">
        <v>-205800</v>
      </c>
      <c r="Q172" s="548"/>
      <c r="R172" s="660">
        <v>-160915.62</v>
      </c>
      <c r="S172" s="549">
        <f t="shared" si="35"/>
        <v>-44884.380000000005</v>
      </c>
      <c r="T172" s="113" t="s">
        <v>1268</v>
      </c>
      <c r="U172" s="370"/>
      <c r="V172" s="370"/>
      <c r="W172" s="375"/>
      <c r="X172" s="374"/>
      <c r="Y172" s="370"/>
      <c r="Z172" s="371"/>
      <c r="AA172" s="371"/>
      <c r="AB172" s="673"/>
      <c r="AC172" s="270"/>
      <c r="AD172" s="372"/>
      <c r="AE172" s="270"/>
      <c r="AF172" s="270"/>
      <c r="AG172" s="270"/>
      <c r="AH172" s="347"/>
      <c r="AI172" s="363"/>
      <c r="AJ172" s="331"/>
      <c r="AK172" s="374"/>
      <c r="AL172" s="374"/>
      <c r="AM172" s="374"/>
    </row>
    <row r="173" spans="1:39" s="291" customFormat="1" x14ac:dyDescent="0.2">
      <c r="A173" s="423">
        <f t="shared" si="36"/>
        <v>168</v>
      </c>
      <c r="B173" s="657" t="s">
        <v>1987</v>
      </c>
      <c r="C173" s="655">
        <v>521702</v>
      </c>
      <c r="D173" s="658">
        <v>2005</v>
      </c>
      <c r="E173" s="655" t="s">
        <v>701</v>
      </c>
      <c r="F173" s="546">
        <v>2017</v>
      </c>
      <c r="G173" s="659">
        <v>42804</v>
      </c>
      <c r="H173" s="655" t="s">
        <v>727</v>
      </c>
      <c r="I173" s="655" t="s">
        <v>1561</v>
      </c>
      <c r="J173" s="655" t="s">
        <v>729</v>
      </c>
      <c r="K173" s="655" t="s">
        <v>2413</v>
      </c>
      <c r="L173" s="655" t="s">
        <v>1823</v>
      </c>
      <c r="M173" s="660">
        <v>177413.79</v>
      </c>
      <c r="N173" s="660">
        <v>0</v>
      </c>
      <c r="O173" s="660">
        <v>28386.21</v>
      </c>
      <c r="P173" s="660">
        <v>205800</v>
      </c>
      <c r="Q173" s="548"/>
      <c r="R173" s="660">
        <v>160915.62</v>
      </c>
      <c r="S173" s="549">
        <f t="shared" si="35"/>
        <v>44884.380000000005</v>
      </c>
      <c r="T173" s="267" t="s">
        <v>1268</v>
      </c>
      <c r="U173" s="370"/>
      <c r="V173" s="370"/>
      <c r="W173" s="375"/>
      <c r="X173" s="374"/>
      <c r="Y173" s="370"/>
      <c r="Z173" s="371"/>
      <c r="AA173" s="371"/>
      <c r="AB173" s="673"/>
      <c r="AC173" s="270"/>
      <c r="AD173" s="372"/>
      <c r="AE173" s="270"/>
      <c r="AF173" s="270"/>
      <c r="AG173" s="270"/>
      <c r="AH173" s="350"/>
      <c r="AI173" s="365"/>
      <c r="AJ173" s="331"/>
      <c r="AK173" s="374"/>
      <c r="AL173" s="374"/>
      <c r="AM173" s="374"/>
    </row>
    <row r="174" spans="1:39" s="291" customFormat="1" x14ac:dyDescent="0.2">
      <c r="A174" s="423">
        <f t="shared" si="36"/>
        <v>169</v>
      </c>
      <c r="B174" s="657" t="s">
        <v>2019</v>
      </c>
      <c r="C174" s="655">
        <v>520909</v>
      </c>
      <c r="D174" s="658">
        <v>2009</v>
      </c>
      <c r="E174" s="655" t="s">
        <v>698</v>
      </c>
      <c r="F174" s="546">
        <v>2017</v>
      </c>
      <c r="G174" s="659">
        <v>42812</v>
      </c>
      <c r="H174" s="655" t="s">
        <v>908</v>
      </c>
      <c r="I174" s="655" t="s">
        <v>2266</v>
      </c>
      <c r="J174" s="655" t="s">
        <v>724</v>
      </c>
      <c r="K174" s="655" t="s">
        <v>2428</v>
      </c>
      <c r="L174" s="655" t="s">
        <v>2564</v>
      </c>
      <c r="M174" s="660">
        <v>213965.52</v>
      </c>
      <c r="N174" s="660">
        <v>0</v>
      </c>
      <c r="O174" s="660">
        <v>34234.480000000003</v>
      </c>
      <c r="P174" s="660">
        <v>248200</v>
      </c>
      <c r="Q174" s="548"/>
      <c r="R174" s="660">
        <v>193995.46</v>
      </c>
      <c r="S174" s="549">
        <f t="shared" si="35"/>
        <v>54204.540000000008</v>
      </c>
      <c r="T174" s="267" t="s">
        <v>1268</v>
      </c>
      <c r="U174" s="370"/>
      <c r="V174" s="370"/>
      <c r="W174" s="375"/>
      <c r="X174" s="374"/>
      <c r="Y174" s="370"/>
      <c r="Z174" s="371"/>
      <c r="AA174" s="371"/>
      <c r="AB174" s="673"/>
      <c r="AC174" s="270"/>
      <c r="AD174" s="372"/>
      <c r="AE174" s="270"/>
      <c r="AF174" s="270"/>
      <c r="AG174" s="270"/>
      <c r="AH174" s="350"/>
      <c r="AI174" s="365"/>
      <c r="AJ174" s="331"/>
      <c r="AK174" s="374"/>
      <c r="AL174" s="374"/>
      <c r="AM174" s="374"/>
    </row>
    <row r="175" spans="1:39" s="348" customFormat="1" x14ac:dyDescent="0.2">
      <c r="A175" s="423">
        <f t="shared" si="36"/>
        <v>170</v>
      </c>
      <c r="B175" s="657" t="s">
        <v>2021</v>
      </c>
      <c r="C175" s="655">
        <v>520909</v>
      </c>
      <c r="D175" s="658">
        <v>2009</v>
      </c>
      <c r="E175" s="655" t="s">
        <v>698</v>
      </c>
      <c r="F175" s="546">
        <v>2017</v>
      </c>
      <c r="G175" s="659">
        <v>42816</v>
      </c>
      <c r="H175" s="655" t="s">
        <v>908</v>
      </c>
      <c r="I175" s="655" t="s">
        <v>2266</v>
      </c>
      <c r="J175" s="655" t="s">
        <v>724</v>
      </c>
      <c r="K175" s="655" t="s">
        <v>2428</v>
      </c>
      <c r="L175" s="655" t="s">
        <v>2564</v>
      </c>
      <c r="M175" s="660">
        <v>-213965.52</v>
      </c>
      <c r="N175" s="660">
        <v>0</v>
      </c>
      <c r="O175" s="660">
        <v>-34234.480000000003</v>
      </c>
      <c r="P175" s="660">
        <v>-248200</v>
      </c>
      <c r="Q175" s="548"/>
      <c r="R175" s="660">
        <v>-193995.46</v>
      </c>
      <c r="S175" s="549">
        <f t="shared" si="35"/>
        <v>-54204.540000000008</v>
      </c>
      <c r="T175" s="113" t="s">
        <v>1268</v>
      </c>
      <c r="U175" s="370"/>
      <c r="V175" s="370"/>
      <c r="W175" s="375"/>
      <c r="X175" s="374"/>
      <c r="Y175" s="370"/>
      <c r="Z175" s="371"/>
      <c r="AA175" s="371"/>
      <c r="AB175" s="673"/>
      <c r="AC175" s="270"/>
      <c r="AD175" s="372"/>
      <c r="AE175" s="270"/>
      <c r="AF175" s="270"/>
      <c r="AG175" s="270"/>
      <c r="AH175" s="350"/>
      <c r="AI175" s="365"/>
      <c r="AJ175" s="330"/>
      <c r="AK175" s="330"/>
      <c r="AL175" s="330"/>
      <c r="AM175" s="330"/>
    </row>
    <row r="176" spans="1:39" s="348" customFormat="1" x14ac:dyDescent="0.2">
      <c r="A176" s="423">
        <f t="shared" si="36"/>
        <v>171</v>
      </c>
      <c r="B176" s="657" t="s">
        <v>2010</v>
      </c>
      <c r="C176" s="655">
        <v>520906</v>
      </c>
      <c r="D176" s="658">
        <v>2007</v>
      </c>
      <c r="E176" s="655" t="s">
        <v>2208</v>
      </c>
      <c r="F176" s="546">
        <v>2017</v>
      </c>
      <c r="G176" s="659">
        <v>42798</v>
      </c>
      <c r="H176" s="655" t="s">
        <v>743</v>
      </c>
      <c r="I176" s="655" t="s">
        <v>2263</v>
      </c>
      <c r="J176" s="655" t="s">
        <v>724</v>
      </c>
      <c r="K176" s="655" t="s">
        <v>2424</v>
      </c>
      <c r="L176" s="655" t="s">
        <v>2561</v>
      </c>
      <c r="M176" s="660">
        <v>-178189.66</v>
      </c>
      <c r="N176" s="660">
        <v>0</v>
      </c>
      <c r="O176" s="660">
        <v>-28510.34</v>
      </c>
      <c r="P176" s="660">
        <v>-206700</v>
      </c>
      <c r="Q176" s="548"/>
      <c r="R176" s="660">
        <v>-161798.18</v>
      </c>
      <c r="S176" s="549">
        <f t="shared" si="35"/>
        <v>-44901.820000000007</v>
      </c>
      <c r="T176" s="113" t="s">
        <v>1268</v>
      </c>
      <c r="U176" s="370"/>
      <c r="V176" s="370"/>
      <c r="W176" s="375"/>
      <c r="X176" s="374"/>
      <c r="Y176" s="370"/>
      <c r="Z176" s="371"/>
      <c r="AA176" s="371"/>
      <c r="AB176" s="673"/>
      <c r="AC176" s="270"/>
      <c r="AD176" s="372"/>
      <c r="AE176" s="270"/>
      <c r="AF176" s="270"/>
      <c r="AG176" s="270"/>
      <c r="AH176" s="350"/>
      <c r="AI176" s="365"/>
      <c r="AJ176" s="331"/>
      <c r="AK176" s="330"/>
      <c r="AL176" s="330"/>
      <c r="AM176" s="330"/>
    </row>
    <row r="177" spans="1:39" s="348" customFormat="1" x14ac:dyDescent="0.2">
      <c r="A177" s="423">
        <f t="shared" si="36"/>
        <v>172</v>
      </c>
      <c r="B177" s="657" t="s">
        <v>2011</v>
      </c>
      <c r="C177" s="655">
        <v>520906</v>
      </c>
      <c r="D177" s="658">
        <v>2007</v>
      </c>
      <c r="E177" s="655" t="s">
        <v>2208</v>
      </c>
      <c r="F177" s="546">
        <v>2017</v>
      </c>
      <c r="G177" s="659">
        <v>42798</v>
      </c>
      <c r="H177" s="655" t="s">
        <v>743</v>
      </c>
      <c r="I177" s="655" t="s">
        <v>2263</v>
      </c>
      <c r="J177" s="655" t="s">
        <v>724</v>
      </c>
      <c r="K177" s="655" t="s">
        <v>2424</v>
      </c>
      <c r="L177" s="655" t="s">
        <v>2561</v>
      </c>
      <c r="M177" s="660">
        <v>178189.66</v>
      </c>
      <c r="N177" s="660">
        <v>0</v>
      </c>
      <c r="O177" s="660">
        <v>28510.34</v>
      </c>
      <c r="P177" s="660">
        <v>206700</v>
      </c>
      <c r="Q177" s="548"/>
      <c r="R177" s="660">
        <v>161798.18</v>
      </c>
      <c r="S177" s="549">
        <f t="shared" si="35"/>
        <v>44901.820000000007</v>
      </c>
      <c r="T177" s="267" t="s">
        <v>1268</v>
      </c>
      <c r="U177" s="370"/>
      <c r="V177" s="370"/>
      <c r="W177" s="375"/>
      <c r="X177" s="374"/>
      <c r="Y177" s="370"/>
      <c r="Z177" s="371"/>
      <c r="AA177" s="371"/>
      <c r="AB177" s="673"/>
      <c r="AC177" s="270"/>
      <c r="AD177" s="372"/>
      <c r="AE177" s="270"/>
      <c r="AF177" s="270"/>
      <c r="AG177" s="270"/>
      <c r="AH177" s="347"/>
      <c r="AI177" s="363"/>
      <c r="AJ177" s="330"/>
      <c r="AK177" s="330"/>
      <c r="AL177" s="330"/>
      <c r="AM177" s="330"/>
    </row>
    <row r="178" spans="1:39" s="291" customFormat="1" x14ac:dyDescent="0.2">
      <c r="A178" s="423">
        <f t="shared" si="36"/>
        <v>173</v>
      </c>
      <c r="B178" s="657" t="s">
        <v>2012</v>
      </c>
      <c r="C178" s="655">
        <v>520906</v>
      </c>
      <c r="D178" s="658">
        <v>2007</v>
      </c>
      <c r="E178" s="655" t="s">
        <v>2208</v>
      </c>
      <c r="F178" s="546">
        <v>2017</v>
      </c>
      <c r="G178" s="659">
        <v>42798</v>
      </c>
      <c r="H178" s="655" t="s">
        <v>743</v>
      </c>
      <c r="I178" s="655" t="s">
        <v>2263</v>
      </c>
      <c r="J178" s="655" t="s">
        <v>724</v>
      </c>
      <c r="K178" s="655" t="s">
        <v>2424</v>
      </c>
      <c r="L178" s="655" t="s">
        <v>2561</v>
      </c>
      <c r="M178" s="660">
        <v>178189.66</v>
      </c>
      <c r="N178" s="660">
        <v>0</v>
      </c>
      <c r="O178" s="660">
        <v>28510.34</v>
      </c>
      <c r="P178" s="660">
        <v>206700</v>
      </c>
      <c r="Q178" s="548"/>
      <c r="R178" s="660">
        <v>161798.18</v>
      </c>
      <c r="S178" s="549">
        <f t="shared" si="35"/>
        <v>44901.820000000007</v>
      </c>
      <c r="T178" s="267" t="s">
        <v>1268</v>
      </c>
      <c r="U178" s="370"/>
      <c r="V178" s="370"/>
      <c r="W178" s="375"/>
      <c r="X178" s="374"/>
      <c r="Y178" s="370"/>
      <c r="Z178" s="371"/>
      <c r="AA178" s="371"/>
      <c r="AB178" s="673"/>
      <c r="AC178" s="270"/>
      <c r="AD178" s="372"/>
      <c r="AE178" s="270"/>
      <c r="AF178" s="270"/>
      <c r="AG178" s="270"/>
      <c r="AH178" s="272"/>
      <c r="AI178" s="313"/>
      <c r="AJ178" s="331"/>
      <c r="AK178" s="374"/>
      <c r="AL178" s="374"/>
      <c r="AM178" s="374"/>
    </row>
    <row r="179" spans="1:39" s="291" customFormat="1" x14ac:dyDescent="0.2">
      <c r="A179" s="423">
        <f t="shared" si="36"/>
        <v>174</v>
      </c>
      <c r="B179" s="657" t="s">
        <v>2013</v>
      </c>
      <c r="C179" s="655">
        <v>520906</v>
      </c>
      <c r="D179" s="658">
        <v>2007</v>
      </c>
      <c r="E179" s="655" t="s">
        <v>2208</v>
      </c>
      <c r="F179" s="546">
        <v>2017</v>
      </c>
      <c r="G179" s="659">
        <v>42804</v>
      </c>
      <c r="H179" s="655" t="s">
        <v>743</v>
      </c>
      <c r="I179" s="655" t="s">
        <v>2263</v>
      </c>
      <c r="J179" s="655" t="s">
        <v>724</v>
      </c>
      <c r="K179" s="655" t="s">
        <v>2424</v>
      </c>
      <c r="L179" s="655" t="s">
        <v>2561</v>
      </c>
      <c r="M179" s="660">
        <v>-178189.66</v>
      </c>
      <c r="N179" s="660">
        <v>0</v>
      </c>
      <c r="O179" s="660">
        <v>-28510.34</v>
      </c>
      <c r="P179" s="660">
        <v>-206700</v>
      </c>
      <c r="Q179" s="548"/>
      <c r="R179" s="660">
        <v>-161798.18</v>
      </c>
      <c r="S179" s="549">
        <f t="shared" si="35"/>
        <v>-44901.820000000007</v>
      </c>
      <c r="T179" s="113" t="s">
        <v>1268</v>
      </c>
      <c r="U179" s="370"/>
      <c r="V179" s="370"/>
      <c r="W179" s="375"/>
      <c r="X179" s="374"/>
      <c r="Y179" s="370"/>
      <c r="Z179" s="371"/>
      <c r="AA179" s="371"/>
      <c r="AB179" s="673"/>
      <c r="AC179" s="270"/>
      <c r="AD179" s="372"/>
      <c r="AE179" s="270"/>
      <c r="AF179" s="270"/>
      <c r="AG179" s="270"/>
      <c r="AH179" s="350"/>
      <c r="AI179" s="365"/>
      <c r="AJ179" s="330"/>
      <c r="AK179" s="374"/>
      <c r="AL179" s="374"/>
      <c r="AM179" s="374"/>
    </row>
    <row r="180" spans="1:39" s="291" customFormat="1" x14ac:dyDescent="0.2">
      <c r="A180" s="423">
        <f t="shared" si="36"/>
        <v>175</v>
      </c>
      <c r="B180" s="657" t="s">
        <v>2014</v>
      </c>
      <c r="C180" s="655">
        <v>520906</v>
      </c>
      <c r="D180" s="658">
        <v>2007</v>
      </c>
      <c r="E180" s="655" t="s">
        <v>2208</v>
      </c>
      <c r="F180" s="546">
        <v>2017</v>
      </c>
      <c r="G180" s="659">
        <v>42804</v>
      </c>
      <c r="H180" s="655" t="s">
        <v>743</v>
      </c>
      <c r="I180" s="655" t="s">
        <v>2264</v>
      </c>
      <c r="J180" s="655" t="s">
        <v>724</v>
      </c>
      <c r="K180" s="655" t="s">
        <v>2424</v>
      </c>
      <c r="L180" s="655" t="s">
        <v>2562</v>
      </c>
      <c r="M180" s="660">
        <v>178189.66</v>
      </c>
      <c r="N180" s="660">
        <v>0</v>
      </c>
      <c r="O180" s="660">
        <v>28510.34</v>
      </c>
      <c r="P180" s="660">
        <v>206700</v>
      </c>
      <c r="Q180" s="548"/>
      <c r="R180" s="660">
        <v>161797.18</v>
      </c>
      <c r="S180" s="549">
        <f t="shared" si="35"/>
        <v>44902.820000000007</v>
      </c>
      <c r="T180" s="267" t="s">
        <v>1268</v>
      </c>
      <c r="U180" s="360"/>
      <c r="V180" s="360"/>
      <c r="W180" s="358"/>
      <c r="X180" s="331"/>
      <c r="Y180" s="360"/>
      <c r="Z180" s="334"/>
      <c r="AA180" s="334"/>
      <c r="AB180" s="672"/>
      <c r="AC180" s="349"/>
      <c r="AD180" s="335"/>
      <c r="AE180" s="349"/>
      <c r="AF180" s="349"/>
      <c r="AG180" s="349"/>
      <c r="AH180" s="272"/>
      <c r="AI180" s="313"/>
      <c r="AJ180" s="331"/>
      <c r="AK180" s="374"/>
      <c r="AL180" s="374"/>
      <c r="AM180" s="374"/>
    </row>
    <row r="181" spans="1:39" s="291" customFormat="1" x14ac:dyDescent="0.2">
      <c r="A181" s="423">
        <f t="shared" si="36"/>
        <v>176</v>
      </c>
      <c r="B181" s="657" t="s">
        <v>2017</v>
      </c>
      <c r="C181" s="655">
        <v>520906</v>
      </c>
      <c r="D181" s="658">
        <v>2007</v>
      </c>
      <c r="E181" s="655" t="s">
        <v>2208</v>
      </c>
      <c r="F181" s="546">
        <v>2017</v>
      </c>
      <c r="G181" s="659">
        <v>42810</v>
      </c>
      <c r="H181" s="655" t="s">
        <v>743</v>
      </c>
      <c r="I181" s="655" t="s">
        <v>2264</v>
      </c>
      <c r="J181" s="655" t="s">
        <v>724</v>
      </c>
      <c r="K181" s="655" t="s">
        <v>2424</v>
      </c>
      <c r="L181" s="655" t="s">
        <v>2562</v>
      </c>
      <c r="M181" s="660">
        <v>-178189.66</v>
      </c>
      <c r="N181" s="660">
        <v>0</v>
      </c>
      <c r="O181" s="660">
        <v>-28510.34</v>
      </c>
      <c r="P181" s="660">
        <v>-206700</v>
      </c>
      <c r="Q181" s="548"/>
      <c r="R181" s="660">
        <v>-161797.18</v>
      </c>
      <c r="S181" s="549">
        <f t="shared" si="35"/>
        <v>-44902.820000000007</v>
      </c>
      <c r="T181" s="113" t="s">
        <v>1268</v>
      </c>
      <c r="U181" s="360"/>
      <c r="V181" s="360"/>
      <c r="W181" s="358"/>
      <c r="X181" s="331"/>
      <c r="Y181" s="360"/>
      <c r="Z181" s="334"/>
      <c r="AA181" s="334"/>
      <c r="AB181" s="672"/>
      <c r="AC181" s="349"/>
      <c r="AD181" s="335"/>
      <c r="AE181" s="349"/>
      <c r="AF181" s="349"/>
      <c r="AG181" s="349"/>
      <c r="AH181" s="350"/>
      <c r="AI181" s="365"/>
      <c r="AJ181" s="330"/>
      <c r="AK181" s="374"/>
      <c r="AL181" s="374"/>
      <c r="AM181" s="374"/>
    </row>
    <row r="182" spans="1:39" s="291" customFormat="1" x14ac:dyDescent="0.2">
      <c r="A182" s="423">
        <f t="shared" si="36"/>
        <v>177</v>
      </c>
      <c r="B182" s="657" t="s">
        <v>1942</v>
      </c>
      <c r="C182" s="655">
        <v>522401</v>
      </c>
      <c r="D182" s="658">
        <v>1062</v>
      </c>
      <c r="E182" s="655" t="s">
        <v>709</v>
      </c>
      <c r="F182" s="546">
        <v>2017</v>
      </c>
      <c r="G182" s="659">
        <v>42809</v>
      </c>
      <c r="H182" s="655"/>
      <c r="I182" s="655" t="s">
        <v>2225</v>
      </c>
      <c r="J182" s="655" t="s">
        <v>729</v>
      </c>
      <c r="K182" s="655" t="s">
        <v>1688</v>
      </c>
      <c r="L182" s="655" t="s">
        <v>2523</v>
      </c>
      <c r="M182" s="660">
        <v>203013.78</v>
      </c>
      <c r="N182" s="660">
        <v>0</v>
      </c>
      <c r="O182" s="660">
        <v>32482.2</v>
      </c>
      <c r="P182" s="660">
        <v>235495.98</v>
      </c>
      <c r="Q182" s="548"/>
      <c r="R182" s="660">
        <v>202658.43</v>
      </c>
      <c r="S182" s="549">
        <f t="shared" si="35"/>
        <v>32837.550000000017</v>
      </c>
      <c r="T182" s="444" t="s">
        <v>283</v>
      </c>
      <c r="U182" s="370"/>
      <c r="V182" s="370"/>
      <c r="W182" s="375"/>
      <c r="X182" s="374"/>
      <c r="Y182" s="370"/>
      <c r="Z182" s="371"/>
      <c r="AA182" s="371"/>
      <c r="AB182" s="673"/>
      <c r="AC182" s="270"/>
      <c r="AD182" s="372"/>
      <c r="AE182" s="270"/>
      <c r="AF182" s="270"/>
      <c r="AG182" s="270"/>
      <c r="AH182" s="350"/>
      <c r="AI182" s="365"/>
      <c r="AJ182" s="374"/>
      <c r="AK182" s="374"/>
      <c r="AL182" s="374"/>
      <c r="AM182" s="374"/>
    </row>
    <row r="183" spans="1:39" s="348" customFormat="1" x14ac:dyDescent="0.2">
      <c r="A183" s="423">
        <f t="shared" si="36"/>
        <v>178</v>
      </c>
      <c r="B183" s="657" t="s">
        <v>1950</v>
      </c>
      <c r="C183" s="655">
        <v>521101</v>
      </c>
      <c r="D183" s="658">
        <v>1251</v>
      </c>
      <c r="E183" s="655" t="s">
        <v>700</v>
      </c>
      <c r="F183" s="546">
        <v>2017</v>
      </c>
      <c r="G183" s="659">
        <v>42801</v>
      </c>
      <c r="H183" s="655"/>
      <c r="I183" s="655" t="s">
        <v>2230</v>
      </c>
      <c r="J183" s="655" t="s">
        <v>729</v>
      </c>
      <c r="K183" s="655" t="s">
        <v>1670</v>
      </c>
      <c r="L183" s="655" t="s">
        <v>2528</v>
      </c>
      <c r="M183" s="660">
        <v>284022.18</v>
      </c>
      <c r="N183" s="660">
        <v>0</v>
      </c>
      <c r="O183" s="660">
        <v>45443.55</v>
      </c>
      <c r="P183" s="660">
        <v>329465.73</v>
      </c>
      <c r="Q183" s="548"/>
      <c r="R183" s="660">
        <v>283666.84000000003</v>
      </c>
      <c r="S183" s="549">
        <f t="shared" si="35"/>
        <v>45798.889999999956</v>
      </c>
      <c r="T183" s="113" t="s">
        <v>283</v>
      </c>
      <c r="U183" s="360"/>
      <c r="V183" s="360"/>
      <c r="W183" s="358"/>
      <c r="X183" s="331"/>
      <c r="Y183" s="360"/>
      <c r="Z183" s="334"/>
      <c r="AA183" s="334"/>
      <c r="AB183" s="672"/>
      <c r="AC183" s="349"/>
      <c r="AD183" s="335"/>
      <c r="AE183" s="349"/>
      <c r="AF183" s="349"/>
      <c r="AG183" s="349"/>
      <c r="AH183" s="272"/>
      <c r="AI183" s="313"/>
      <c r="AJ183" s="374"/>
      <c r="AK183" s="330"/>
      <c r="AL183" s="330"/>
      <c r="AM183" s="330"/>
    </row>
    <row r="184" spans="1:39" s="291" customFormat="1" x14ac:dyDescent="0.2">
      <c r="A184" s="423">
        <f t="shared" si="36"/>
        <v>179</v>
      </c>
      <c r="B184" s="657" t="s">
        <v>1954</v>
      </c>
      <c r="C184" s="655">
        <v>521101</v>
      </c>
      <c r="D184" s="658">
        <v>1251</v>
      </c>
      <c r="E184" s="655" t="s">
        <v>700</v>
      </c>
      <c r="F184" s="546">
        <v>2017</v>
      </c>
      <c r="G184" s="659">
        <v>42815</v>
      </c>
      <c r="H184" s="655"/>
      <c r="I184" s="655" t="s">
        <v>2232</v>
      </c>
      <c r="J184" s="655" t="s">
        <v>729</v>
      </c>
      <c r="K184" s="655" t="s">
        <v>135</v>
      </c>
      <c r="L184" s="655" t="s">
        <v>2530</v>
      </c>
      <c r="M184" s="660">
        <v>284022.18</v>
      </c>
      <c r="N184" s="660">
        <v>0</v>
      </c>
      <c r="O184" s="660">
        <v>45443.55</v>
      </c>
      <c r="P184" s="660">
        <v>329465.73</v>
      </c>
      <c r="Q184" s="548"/>
      <c r="R184" s="660">
        <v>283666.84000000003</v>
      </c>
      <c r="S184" s="549">
        <f t="shared" si="35"/>
        <v>45798.889999999956</v>
      </c>
      <c r="T184" s="113" t="s">
        <v>283</v>
      </c>
      <c r="U184" s="360"/>
      <c r="V184" s="360"/>
      <c r="W184" s="358"/>
      <c r="X184" s="331"/>
      <c r="Y184" s="360"/>
      <c r="Z184" s="334"/>
      <c r="AA184" s="334"/>
      <c r="AB184" s="672"/>
      <c r="AC184" s="349"/>
      <c r="AD184" s="335"/>
      <c r="AE184" s="349"/>
      <c r="AF184" s="349"/>
      <c r="AG184" s="349"/>
      <c r="AH184" s="350"/>
      <c r="AI184" s="365"/>
      <c r="AJ184" s="374"/>
      <c r="AK184" s="374"/>
      <c r="AL184" s="374"/>
      <c r="AM184" s="374"/>
    </row>
    <row r="185" spans="1:39" s="291" customFormat="1" x14ac:dyDescent="0.2">
      <c r="A185" s="423">
        <f t="shared" si="36"/>
        <v>180</v>
      </c>
      <c r="B185" s="657" t="s">
        <v>1961</v>
      </c>
      <c r="C185" s="655">
        <v>521101</v>
      </c>
      <c r="D185" s="658">
        <v>1253</v>
      </c>
      <c r="E185" s="655" t="s">
        <v>30</v>
      </c>
      <c r="F185" s="546">
        <v>2017</v>
      </c>
      <c r="G185" s="659">
        <v>42816</v>
      </c>
      <c r="H185" s="655"/>
      <c r="I185" s="655" t="s">
        <v>2234</v>
      </c>
      <c r="J185" s="655" t="s">
        <v>729</v>
      </c>
      <c r="K185" s="655" t="s">
        <v>1155</v>
      </c>
      <c r="L185" s="655" t="s">
        <v>2532</v>
      </c>
      <c r="M185" s="660">
        <v>326375.90999999997</v>
      </c>
      <c r="N185" s="660">
        <v>0</v>
      </c>
      <c r="O185" s="660">
        <v>52220.14</v>
      </c>
      <c r="P185" s="660">
        <v>378596.05</v>
      </c>
      <c r="Q185" s="548"/>
      <c r="R185" s="660">
        <v>326020.56</v>
      </c>
      <c r="S185" s="549">
        <f t="shared" si="35"/>
        <v>52575.489999999991</v>
      </c>
      <c r="T185" s="113" t="s">
        <v>283</v>
      </c>
      <c r="U185" s="354"/>
      <c r="V185" s="354"/>
      <c r="W185" s="355"/>
      <c r="X185" s="330"/>
      <c r="Y185" s="354"/>
      <c r="Z185" s="328"/>
      <c r="AA185" s="328"/>
      <c r="AB185" s="674"/>
      <c r="AC185" s="346"/>
      <c r="AD185" s="333"/>
      <c r="AE185" s="346"/>
      <c r="AF185" s="346"/>
      <c r="AG185" s="346"/>
      <c r="AH185" s="350"/>
      <c r="AI185" s="365"/>
      <c r="AJ185" s="374"/>
      <c r="AK185" s="374"/>
      <c r="AL185" s="374"/>
      <c r="AM185" s="374"/>
    </row>
    <row r="186" spans="1:39" s="291" customFormat="1" x14ac:dyDescent="0.2">
      <c r="A186" s="423">
        <f t="shared" si="36"/>
        <v>181</v>
      </c>
      <c r="B186" s="657" t="s">
        <v>1969</v>
      </c>
      <c r="C186" s="655">
        <v>520224</v>
      </c>
      <c r="D186" s="658">
        <v>1781</v>
      </c>
      <c r="E186" s="655" t="s">
        <v>690</v>
      </c>
      <c r="F186" s="546">
        <v>2017</v>
      </c>
      <c r="G186" s="659">
        <v>42822</v>
      </c>
      <c r="H186" s="655"/>
      <c r="I186" s="655" t="s">
        <v>2238</v>
      </c>
      <c r="J186" s="655" t="s">
        <v>724</v>
      </c>
      <c r="K186" s="655" t="s">
        <v>2404</v>
      </c>
      <c r="L186" s="655" t="s">
        <v>2536</v>
      </c>
      <c r="M186" s="660">
        <v>238420.08</v>
      </c>
      <c r="N186" s="660">
        <v>0</v>
      </c>
      <c r="O186" s="660">
        <v>38147.21</v>
      </c>
      <c r="P186" s="660">
        <v>276567.28999999998</v>
      </c>
      <c r="Q186" s="548"/>
      <c r="R186" s="660">
        <v>238419.22</v>
      </c>
      <c r="S186" s="549">
        <f t="shared" si="35"/>
        <v>38148.069999999978</v>
      </c>
      <c r="T186" s="444" t="s">
        <v>283</v>
      </c>
      <c r="U186" s="370"/>
      <c r="V186" s="370"/>
      <c r="W186" s="375"/>
      <c r="X186" s="374"/>
      <c r="Y186" s="370"/>
      <c r="Z186" s="371"/>
      <c r="AA186" s="371"/>
      <c r="AB186" s="673"/>
      <c r="AC186" s="270"/>
      <c r="AD186" s="372"/>
      <c r="AE186" s="270"/>
      <c r="AF186" s="270"/>
      <c r="AG186" s="270"/>
      <c r="AH186" s="347"/>
      <c r="AI186" s="363"/>
      <c r="AJ186" s="374"/>
      <c r="AK186" s="374"/>
      <c r="AL186" s="374"/>
      <c r="AM186" s="374"/>
    </row>
    <row r="187" spans="1:39" s="291" customFormat="1" x14ac:dyDescent="0.2">
      <c r="A187" s="423">
        <f t="shared" si="36"/>
        <v>182</v>
      </c>
      <c r="B187" s="657" t="s">
        <v>1972</v>
      </c>
      <c r="C187" s="655">
        <v>520226</v>
      </c>
      <c r="D187" s="658">
        <v>1783</v>
      </c>
      <c r="E187" s="655" t="s">
        <v>692</v>
      </c>
      <c r="F187" s="546">
        <v>2017</v>
      </c>
      <c r="G187" s="659">
        <v>42825</v>
      </c>
      <c r="H187" s="655"/>
      <c r="I187" s="655" t="s">
        <v>2241</v>
      </c>
      <c r="J187" s="655" t="s">
        <v>729</v>
      </c>
      <c r="K187" s="655" t="s">
        <v>1147</v>
      </c>
      <c r="L187" s="655" t="s">
        <v>2539</v>
      </c>
      <c r="M187" s="660">
        <v>265024.34000000003</v>
      </c>
      <c r="N187" s="660">
        <v>0</v>
      </c>
      <c r="O187" s="660">
        <v>42403.9</v>
      </c>
      <c r="P187" s="660">
        <v>307428.24</v>
      </c>
      <c r="Q187" s="548"/>
      <c r="R187" s="660">
        <v>264669</v>
      </c>
      <c r="S187" s="549">
        <f t="shared" si="35"/>
        <v>42759.239999999991</v>
      </c>
      <c r="T187" s="267" t="s">
        <v>283</v>
      </c>
      <c r="U187" s="370"/>
      <c r="V187" s="370"/>
      <c r="W187" s="375"/>
      <c r="X187" s="374"/>
      <c r="Y187" s="370"/>
      <c r="Z187" s="371"/>
      <c r="AA187" s="371"/>
      <c r="AB187" s="673"/>
      <c r="AC187" s="270"/>
      <c r="AD187" s="372"/>
      <c r="AE187" s="270"/>
      <c r="AF187" s="270"/>
      <c r="AG187" s="270"/>
      <c r="AH187" s="272"/>
      <c r="AI187" s="313"/>
      <c r="AJ187" s="374"/>
      <c r="AK187" s="374"/>
      <c r="AL187" s="374"/>
      <c r="AM187" s="374"/>
    </row>
    <row r="188" spans="1:39" s="291" customFormat="1" x14ac:dyDescent="0.2">
      <c r="A188" s="423">
        <f t="shared" si="36"/>
        <v>183</v>
      </c>
      <c r="B188" s="657" t="s">
        <v>1978</v>
      </c>
      <c r="C188" s="655">
        <v>520220</v>
      </c>
      <c r="D188" s="658">
        <v>1794</v>
      </c>
      <c r="E188" s="655" t="s">
        <v>687</v>
      </c>
      <c r="F188" s="546">
        <v>2017</v>
      </c>
      <c r="G188" s="659">
        <v>42818</v>
      </c>
      <c r="H188" s="655"/>
      <c r="I188" s="655" t="s">
        <v>2245</v>
      </c>
      <c r="J188" s="655" t="s">
        <v>729</v>
      </c>
      <c r="K188" s="655" t="s">
        <v>357</v>
      </c>
      <c r="L188" s="655" t="s">
        <v>2543</v>
      </c>
      <c r="M188" s="660">
        <v>230840.27</v>
      </c>
      <c r="N188" s="660">
        <v>0</v>
      </c>
      <c r="O188" s="660">
        <v>36934.44</v>
      </c>
      <c r="P188" s="660">
        <v>267774.71000000002</v>
      </c>
      <c r="Q188" s="548"/>
      <c r="R188" s="660">
        <v>230484.92</v>
      </c>
      <c r="S188" s="549">
        <f t="shared" si="35"/>
        <v>37289.790000000008</v>
      </c>
      <c r="T188" s="113" t="s">
        <v>283</v>
      </c>
      <c r="U188" s="370"/>
      <c r="V188" s="370"/>
      <c r="W188" s="375"/>
      <c r="X188" s="374"/>
      <c r="Y188" s="370"/>
      <c r="Z188" s="371"/>
      <c r="AA188" s="371"/>
      <c r="AB188" s="673"/>
      <c r="AC188" s="270"/>
      <c r="AD188" s="372"/>
      <c r="AE188" s="270"/>
      <c r="AF188" s="270"/>
      <c r="AG188" s="270"/>
      <c r="AH188" s="350"/>
      <c r="AI188" s="365"/>
      <c r="AJ188" s="374"/>
      <c r="AK188" s="374"/>
      <c r="AL188" s="374"/>
      <c r="AM188" s="374"/>
    </row>
    <row r="189" spans="1:39" s="291" customFormat="1" x14ac:dyDescent="0.2">
      <c r="A189" s="423">
        <f t="shared" si="36"/>
        <v>184</v>
      </c>
      <c r="B189" s="657" t="s">
        <v>1980</v>
      </c>
      <c r="C189" s="655">
        <v>520220</v>
      </c>
      <c r="D189" s="658">
        <v>1794</v>
      </c>
      <c r="E189" s="655" t="s">
        <v>687</v>
      </c>
      <c r="F189" s="546">
        <v>2017</v>
      </c>
      <c r="G189" s="659">
        <v>42825</v>
      </c>
      <c r="H189" s="655"/>
      <c r="I189" s="655" t="s">
        <v>2247</v>
      </c>
      <c r="J189" s="655" t="s">
        <v>729</v>
      </c>
      <c r="K189" s="655" t="s">
        <v>1698</v>
      </c>
      <c r="L189" s="655" t="s">
        <v>2545</v>
      </c>
      <c r="M189" s="660">
        <v>230831.09</v>
      </c>
      <c r="N189" s="660">
        <v>0</v>
      </c>
      <c r="O189" s="660">
        <v>36932.97</v>
      </c>
      <c r="P189" s="660">
        <v>267764.06</v>
      </c>
      <c r="Q189" s="548"/>
      <c r="R189" s="660">
        <v>230475.74</v>
      </c>
      <c r="S189" s="549">
        <f t="shared" si="35"/>
        <v>37288.320000000007</v>
      </c>
      <c r="T189" s="362" t="s">
        <v>283</v>
      </c>
      <c r="U189" s="370"/>
      <c r="V189" s="370"/>
      <c r="W189" s="375"/>
      <c r="X189" s="374"/>
      <c r="Y189" s="370"/>
      <c r="Z189" s="371"/>
      <c r="AA189" s="371"/>
      <c r="AB189" s="673"/>
      <c r="AC189" s="270"/>
      <c r="AD189" s="372"/>
      <c r="AE189" s="270"/>
      <c r="AF189" s="270"/>
      <c r="AG189" s="270"/>
      <c r="AH189" s="272"/>
      <c r="AI189" s="313"/>
      <c r="AJ189" s="374"/>
      <c r="AK189" s="374"/>
      <c r="AL189" s="374"/>
      <c r="AM189" s="374"/>
    </row>
    <row r="190" spans="1:39" s="291" customFormat="1" x14ac:dyDescent="0.2">
      <c r="A190" s="423">
        <f t="shared" si="36"/>
        <v>185</v>
      </c>
      <c r="B190" s="657" t="s">
        <v>1982</v>
      </c>
      <c r="C190" s="655">
        <v>520222</v>
      </c>
      <c r="D190" s="658">
        <v>1797</v>
      </c>
      <c r="E190" s="655" t="s">
        <v>688</v>
      </c>
      <c r="F190" s="546">
        <v>2017</v>
      </c>
      <c r="G190" s="659">
        <v>42809</v>
      </c>
      <c r="H190" s="655"/>
      <c r="I190" s="655" t="s">
        <v>2249</v>
      </c>
      <c r="J190" s="655" t="s">
        <v>729</v>
      </c>
      <c r="K190" s="655" t="s">
        <v>2411</v>
      </c>
      <c r="L190" s="655" t="s">
        <v>2547</v>
      </c>
      <c r="M190" s="660">
        <v>204308.66</v>
      </c>
      <c r="N190" s="660">
        <v>0</v>
      </c>
      <c r="O190" s="660">
        <v>32689.38</v>
      </c>
      <c r="P190" s="660">
        <v>236998.04</v>
      </c>
      <c r="Q190" s="548"/>
      <c r="R190" s="660">
        <v>203953.31</v>
      </c>
      <c r="S190" s="549">
        <f t="shared" si="35"/>
        <v>33044.73000000001</v>
      </c>
      <c r="T190" s="113" t="s">
        <v>283</v>
      </c>
      <c r="U190" s="360"/>
      <c r="V190" s="360"/>
      <c r="W190" s="358"/>
      <c r="X190" s="331"/>
      <c r="Y190" s="360"/>
      <c r="Z190" s="334"/>
      <c r="AA190" s="334"/>
      <c r="AB190" s="672"/>
      <c r="AC190" s="349"/>
      <c r="AD190" s="335"/>
      <c r="AE190" s="349"/>
      <c r="AF190" s="349"/>
      <c r="AG190" s="349"/>
      <c r="AH190" s="350"/>
      <c r="AI190" s="365"/>
      <c r="AJ190" s="374"/>
      <c r="AK190" s="374"/>
      <c r="AL190" s="374"/>
      <c r="AM190" s="374"/>
    </row>
    <row r="191" spans="1:39" s="291" customFormat="1" x14ac:dyDescent="0.2">
      <c r="A191" s="423">
        <f t="shared" si="36"/>
        <v>186</v>
      </c>
      <c r="B191" s="657" t="s">
        <v>1990</v>
      </c>
      <c r="C191" s="655">
        <v>521702</v>
      </c>
      <c r="D191" s="658">
        <v>2005</v>
      </c>
      <c r="E191" s="655" t="s">
        <v>701</v>
      </c>
      <c r="F191" s="546">
        <v>2017</v>
      </c>
      <c r="G191" s="659">
        <v>42816</v>
      </c>
      <c r="H191" s="655"/>
      <c r="I191" s="655" t="s">
        <v>2253</v>
      </c>
      <c r="J191" s="655" t="s">
        <v>729</v>
      </c>
      <c r="K191" s="655" t="s">
        <v>62</v>
      </c>
      <c r="L191" s="655" t="s">
        <v>2551</v>
      </c>
      <c r="M191" s="660">
        <v>161270.97</v>
      </c>
      <c r="N191" s="660">
        <v>0</v>
      </c>
      <c r="O191" s="660">
        <v>25803.35</v>
      </c>
      <c r="P191" s="660">
        <v>187074.32</v>
      </c>
      <c r="Q191" s="548"/>
      <c r="R191" s="660">
        <v>160915.62</v>
      </c>
      <c r="S191" s="549">
        <f t="shared" si="35"/>
        <v>26158.700000000012</v>
      </c>
      <c r="T191" s="267" t="s">
        <v>283</v>
      </c>
      <c r="U191" s="360"/>
      <c r="V191" s="360"/>
      <c r="W191" s="358"/>
      <c r="X191" s="331"/>
      <c r="Y191" s="360"/>
      <c r="Z191" s="334"/>
      <c r="AA191" s="334"/>
      <c r="AB191" s="672"/>
      <c r="AC191" s="349"/>
      <c r="AD191" s="335"/>
      <c r="AE191" s="349"/>
      <c r="AF191" s="349"/>
      <c r="AG191" s="349"/>
      <c r="AH191" s="272"/>
      <c r="AI191" s="313"/>
      <c r="AJ191" s="374"/>
      <c r="AK191" s="374"/>
      <c r="AL191" s="374"/>
      <c r="AM191" s="374"/>
    </row>
    <row r="192" spans="1:39" s="291" customFormat="1" x14ac:dyDescent="0.2">
      <c r="A192" s="423">
        <f t="shared" si="36"/>
        <v>187</v>
      </c>
      <c r="B192" s="657" t="s">
        <v>2023</v>
      </c>
      <c r="C192" s="655">
        <v>520909</v>
      </c>
      <c r="D192" s="658">
        <v>2009</v>
      </c>
      <c r="E192" s="655" t="s">
        <v>698</v>
      </c>
      <c r="F192" s="546">
        <v>2017</v>
      </c>
      <c r="G192" s="659">
        <v>42825</v>
      </c>
      <c r="H192" s="655"/>
      <c r="I192" s="655" t="s">
        <v>2268</v>
      </c>
      <c r="J192" s="655" t="s">
        <v>724</v>
      </c>
      <c r="K192" s="655" t="s">
        <v>2430</v>
      </c>
      <c r="L192" s="655" t="s">
        <v>2566</v>
      </c>
      <c r="M192" s="660">
        <v>193997.34</v>
      </c>
      <c r="N192" s="660">
        <v>0</v>
      </c>
      <c r="O192" s="660">
        <v>31039.57</v>
      </c>
      <c r="P192" s="660">
        <v>225036.91</v>
      </c>
      <c r="Q192" s="548"/>
      <c r="R192" s="660">
        <v>193996.47</v>
      </c>
      <c r="S192" s="549">
        <f t="shared" si="35"/>
        <v>31040.440000000002</v>
      </c>
      <c r="T192" s="113" t="s">
        <v>283</v>
      </c>
      <c r="U192" s="370"/>
      <c r="V192" s="370"/>
      <c r="W192" s="375"/>
      <c r="X192" s="374"/>
      <c r="Y192" s="370"/>
      <c r="Z192" s="371"/>
      <c r="AA192" s="371"/>
      <c r="AB192" s="673"/>
      <c r="AC192" s="270"/>
      <c r="AD192" s="372"/>
      <c r="AE192" s="270"/>
      <c r="AF192" s="270"/>
      <c r="AG192" s="270"/>
      <c r="AH192" s="272"/>
      <c r="AI192" s="313"/>
      <c r="AJ192" s="374"/>
      <c r="AK192" s="374"/>
      <c r="AL192" s="374"/>
      <c r="AM192" s="374"/>
    </row>
    <row r="193" spans="1:39" s="291" customFormat="1" x14ac:dyDescent="0.2">
      <c r="A193" s="423">
        <f t="shared" si="36"/>
        <v>188</v>
      </c>
      <c r="B193" s="657" t="s">
        <v>2025</v>
      </c>
      <c r="C193" s="655">
        <v>521801</v>
      </c>
      <c r="D193" s="658">
        <v>2201</v>
      </c>
      <c r="E193" s="655" t="s">
        <v>704</v>
      </c>
      <c r="F193" s="546">
        <v>2017</v>
      </c>
      <c r="G193" s="659">
        <v>42809</v>
      </c>
      <c r="H193" s="655"/>
      <c r="I193" s="655" t="s">
        <v>2270</v>
      </c>
      <c r="J193" s="655" t="s">
        <v>729</v>
      </c>
      <c r="K193" s="655" t="s">
        <v>1155</v>
      </c>
      <c r="L193" s="655" t="s">
        <v>2568</v>
      </c>
      <c r="M193" s="660">
        <v>179254.95</v>
      </c>
      <c r="N193" s="660">
        <v>0</v>
      </c>
      <c r="O193" s="660">
        <v>28680.79</v>
      </c>
      <c r="P193" s="660">
        <v>207935.74</v>
      </c>
      <c r="Q193" s="548"/>
      <c r="R193" s="660">
        <v>178899.6</v>
      </c>
      <c r="S193" s="549">
        <f t="shared" si="35"/>
        <v>29036.139999999985</v>
      </c>
      <c r="T193" s="113" t="s">
        <v>283</v>
      </c>
      <c r="U193" s="360"/>
      <c r="V193" s="360"/>
      <c r="W193" s="358"/>
      <c r="X193" s="331"/>
      <c r="Y193" s="360"/>
      <c r="Z193" s="334"/>
      <c r="AA193" s="334"/>
      <c r="AB193" s="672"/>
      <c r="AC193" s="349"/>
      <c r="AD193" s="335"/>
      <c r="AE193" s="349"/>
      <c r="AF193" s="349"/>
      <c r="AG193" s="349"/>
      <c r="AH193" s="272"/>
      <c r="AI193" s="313"/>
      <c r="AJ193" s="374"/>
      <c r="AK193" s="374"/>
      <c r="AL193" s="374"/>
      <c r="AM193" s="374"/>
    </row>
    <row r="194" spans="1:39" s="291" customFormat="1" x14ac:dyDescent="0.2">
      <c r="A194" s="423">
        <f t="shared" si="36"/>
        <v>189</v>
      </c>
      <c r="B194" s="657" t="s">
        <v>2026</v>
      </c>
      <c r="C194" s="655">
        <v>521801</v>
      </c>
      <c r="D194" s="658">
        <v>2201</v>
      </c>
      <c r="E194" s="655" t="s">
        <v>704</v>
      </c>
      <c r="F194" s="546">
        <v>2017</v>
      </c>
      <c r="G194" s="659">
        <v>42818</v>
      </c>
      <c r="H194" s="655"/>
      <c r="I194" s="655" t="s">
        <v>2271</v>
      </c>
      <c r="J194" s="655" t="s">
        <v>729</v>
      </c>
      <c r="K194" s="655" t="s">
        <v>99</v>
      </c>
      <c r="L194" s="655" t="s">
        <v>2569</v>
      </c>
      <c r="M194" s="660">
        <v>-179254.95</v>
      </c>
      <c r="N194" s="660">
        <v>0</v>
      </c>
      <c r="O194" s="660">
        <v>-28680.79</v>
      </c>
      <c r="P194" s="660">
        <v>-207935.74</v>
      </c>
      <c r="Q194" s="548"/>
      <c r="R194" s="660">
        <v>-178899.6</v>
      </c>
      <c r="S194" s="549">
        <f t="shared" si="35"/>
        <v>-29036.139999999985</v>
      </c>
      <c r="T194" s="113" t="s">
        <v>283</v>
      </c>
      <c r="U194" s="360"/>
      <c r="V194" s="360"/>
      <c r="W194" s="358"/>
      <c r="X194" s="331"/>
      <c r="Y194" s="360"/>
      <c r="Z194" s="334"/>
      <c r="AA194" s="334"/>
      <c r="AB194" s="672"/>
      <c r="AC194" s="349"/>
      <c r="AD194" s="335"/>
      <c r="AE194" s="349"/>
      <c r="AF194" s="349"/>
      <c r="AG194" s="349"/>
      <c r="AH194" s="272"/>
      <c r="AI194" s="313"/>
      <c r="AJ194" s="374"/>
      <c r="AK194" s="374"/>
      <c r="AL194" s="374"/>
      <c r="AM194" s="374"/>
    </row>
    <row r="195" spans="1:39" s="291" customFormat="1" x14ac:dyDescent="0.2">
      <c r="A195" s="423">
        <f t="shared" si="36"/>
        <v>190</v>
      </c>
      <c r="B195" s="657" t="s">
        <v>2027</v>
      </c>
      <c r="C195" s="655">
        <v>521801</v>
      </c>
      <c r="D195" s="658">
        <v>2201</v>
      </c>
      <c r="E195" s="655" t="s">
        <v>704</v>
      </c>
      <c r="F195" s="546">
        <v>2017</v>
      </c>
      <c r="G195" s="659">
        <v>42818</v>
      </c>
      <c r="H195" s="655"/>
      <c r="I195" s="655" t="s">
        <v>2271</v>
      </c>
      <c r="J195" s="655" t="s">
        <v>729</v>
      </c>
      <c r="K195" s="655" t="s">
        <v>99</v>
      </c>
      <c r="L195" s="655" t="s">
        <v>2569</v>
      </c>
      <c r="M195" s="660">
        <v>179254.95</v>
      </c>
      <c r="N195" s="660">
        <v>0</v>
      </c>
      <c r="O195" s="660">
        <v>28680.79</v>
      </c>
      <c r="P195" s="660">
        <v>207935.74</v>
      </c>
      <c r="Q195" s="548"/>
      <c r="R195" s="660">
        <v>178899.6</v>
      </c>
      <c r="S195" s="549">
        <f t="shared" si="35"/>
        <v>29036.139999999985</v>
      </c>
      <c r="T195" s="113" t="s">
        <v>283</v>
      </c>
      <c r="U195" s="370"/>
      <c r="V195" s="370"/>
      <c r="W195" s="375"/>
      <c r="X195" s="374"/>
      <c r="Y195" s="370"/>
      <c r="Z195" s="371"/>
      <c r="AA195" s="371"/>
      <c r="AB195" s="673"/>
      <c r="AC195" s="270"/>
      <c r="AD195" s="372"/>
      <c r="AE195" s="270"/>
      <c r="AF195" s="270"/>
      <c r="AG195" s="270"/>
      <c r="AH195" s="272"/>
      <c r="AI195" s="313"/>
      <c r="AJ195" s="374"/>
      <c r="AK195" s="374"/>
      <c r="AL195" s="374"/>
      <c r="AM195" s="374"/>
    </row>
    <row r="196" spans="1:39" s="291" customFormat="1" x14ac:dyDescent="0.2">
      <c r="A196" s="423">
        <f t="shared" si="36"/>
        <v>191</v>
      </c>
      <c r="B196" s="657" t="s">
        <v>2028</v>
      </c>
      <c r="C196" s="655">
        <v>521801</v>
      </c>
      <c r="D196" s="658">
        <v>2201</v>
      </c>
      <c r="E196" s="655" t="s">
        <v>704</v>
      </c>
      <c r="F196" s="546">
        <v>2017</v>
      </c>
      <c r="G196" s="659">
        <v>42818</v>
      </c>
      <c r="H196" s="655"/>
      <c r="I196" s="655" t="s">
        <v>2271</v>
      </c>
      <c r="J196" s="655" t="s">
        <v>729</v>
      </c>
      <c r="K196" s="655" t="s">
        <v>1730</v>
      </c>
      <c r="L196" s="655" t="s">
        <v>2569</v>
      </c>
      <c r="M196" s="660">
        <v>179254.95</v>
      </c>
      <c r="N196" s="660">
        <v>0</v>
      </c>
      <c r="O196" s="660">
        <v>28680.79</v>
      </c>
      <c r="P196" s="660">
        <v>207935.74</v>
      </c>
      <c r="Q196" s="548"/>
      <c r="R196" s="660">
        <v>178899.6</v>
      </c>
      <c r="S196" s="549">
        <f t="shared" si="35"/>
        <v>29036.139999999985</v>
      </c>
      <c r="T196" s="113" t="s">
        <v>283</v>
      </c>
      <c r="U196" s="360"/>
      <c r="V196" s="360"/>
      <c r="W196" s="358"/>
      <c r="X196" s="331"/>
      <c r="Y196" s="360"/>
      <c r="Z196" s="334"/>
      <c r="AA196" s="334"/>
      <c r="AB196" s="672"/>
      <c r="AC196" s="349"/>
      <c r="AD196" s="335"/>
      <c r="AE196" s="349"/>
      <c r="AF196" s="349"/>
      <c r="AG196" s="349"/>
      <c r="AH196" s="350"/>
      <c r="AI196" s="365"/>
      <c r="AJ196" s="374"/>
      <c r="AK196" s="374"/>
      <c r="AL196" s="374"/>
      <c r="AM196" s="374"/>
    </row>
    <row r="197" spans="1:39" s="291" customFormat="1" x14ac:dyDescent="0.2">
      <c r="A197" s="423">
        <f t="shared" si="36"/>
        <v>192</v>
      </c>
      <c r="B197" s="657" t="s">
        <v>2035</v>
      </c>
      <c r="C197" s="655">
        <v>521802</v>
      </c>
      <c r="D197" s="658">
        <v>2202</v>
      </c>
      <c r="E197" s="655" t="s">
        <v>703</v>
      </c>
      <c r="F197" s="546">
        <v>2017</v>
      </c>
      <c r="G197" s="659">
        <v>42818</v>
      </c>
      <c r="H197" s="655"/>
      <c r="I197" s="655" t="s">
        <v>2275</v>
      </c>
      <c r="J197" s="655" t="s">
        <v>729</v>
      </c>
      <c r="K197" s="655" t="s">
        <v>99</v>
      </c>
      <c r="L197" s="655" t="s">
        <v>2573</v>
      </c>
      <c r="M197" s="660">
        <v>183211.84</v>
      </c>
      <c r="N197" s="660">
        <v>0</v>
      </c>
      <c r="O197" s="660">
        <v>29313.9</v>
      </c>
      <c r="P197" s="660">
        <v>212525.74</v>
      </c>
      <c r="Q197" s="548"/>
      <c r="R197" s="660">
        <v>182856.5</v>
      </c>
      <c r="S197" s="549">
        <f t="shared" si="35"/>
        <v>29669.239999999991</v>
      </c>
      <c r="T197" s="113" t="s">
        <v>283</v>
      </c>
      <c r="U197" s="370"/>
      <c r="V197" s="370"/>
      <c r="W197" s="375"/>
      <c r="X197" s="374"/>
      <c r="Y197" s="313"/>
      <c r="Z197" s="371"/>
      <c r="AA197" s="371"/>
      <c r="AB197" s="673"/>
      <c r="AC197" s="371"/>
      <c r="AD197" s="372"/>
      <c r="AE197" s="371"/>
      <c r="AF197" s="371"/>
      <c r="AG197" s="270"/>
      <c r="AH197" s="350"/>
      <c r="AI197" s="365"/>
      <c r="AJ197" s="374"/>
      <c r="AK197" s="374"/>
      <c r="AL197" s="374"/>
      <c r="AM197" s="374"/>
    </row>
    <row r="198" spans="1:39" s="291" customFormat="1" x14ac:dyDescent="0.2">
      <c r="A198" s="423">
        <f t="shared" si="36"/>
        <v>193</v>
      </c>
      <c r="B198" s="657" t="s">
        <v>2037</v>
      </c>
      <c r="C198" s="655">
        <v>521802</v>
      </c>
      <c r="D198" s="658">
        <v>2202</v>
      </c>
      <c r="E198" s="655" t="s">
        <v>703</v>
      </c>
      <c r="F198" s="546">
        <v>2017</v>
      </c>
      <c r="G198" s="659">
        <v>42823</v>
      </c>
      <c r="H198" s="655"/>
      <c r="I198" s="655" t="s">
        <v>2277</v>
      </c>
      <c r="J198" s="655" t="s">
        <v>729</v>
      </c>
      <c r="K198" s="655" t="s">
        <v>1730</v>
      </c>
      <c r="L198" s="655" t="s">
        <v>2575</v>
      </c>
      <c r="M198" s="660">
        <v>183211.84</v>
      </c>
      <c r="N198" s="660">
        <v>0</v>
      </c>
      <c r="O198" s="660">
        <v>29313.9</v>
      </c>
      <c r="P198" s="660">
        <v>212525.74</v>
      </c>
      <c r="Q198" s="548"/>
      <c r="R198" s="660">
        <v>182856.5</v>
      </c>
      <c r="S198" s="549">
        <f t="shared" ref="S198:S261" si="37">+P198-R198</f>
        <v>29669.239999999991</v>
      </c>
      <c r="T198" s="113" t="s">
        <v>283</v>
      </c>
      <c r="U198" s="370"/>
      <c r="V198" s="370"/>
      <c r="W198" s="375"/>
      <c r="X198" s="374"/>
      <c r="Y198" s="313"/>
      <c r="Z198" s="371"/>
      <c r="AA198" s="371"/>
      <c r="AB198" s="673"/>
      <c r="AC198" s="371"/>
      <c r="AD198" s="372"/>
      <c r="AE198" s="371"/>
      <c r="AF198" s="371"/>
      <c r="AG198" s="270"/>
      <c r="AH198" s="350"/>
      <c r="AI198" s="365"/>
      <c r="AJ198" s="374"/>
      <c r="AK198" s="374"/>
      <c r="AL198" s="374"/>
      <c r="AM198" s="374"/>
    </row>
    <row r="199" spans="1:39" s="291" customFormat="1" x14ac:dyDescent="0.2">
      <c r="A199" s="423">
        <f t="shared" si="36"/>
        <v>194</v>
      </c>
      <c r="B199" s="657" t="s">
        <v>2038</v>
      </c>
      <c r="C199" s="655">
        <v>1520701</v>
      </c>
      <c r="D199" s="658">
        <v>2203</v>
      </c>
      <c r="E199" s="655" t="s">
        <v>719</v>
      </c>
      <c r="F199" s="546">
        <v>2017</v>
      </c>
      <c r="G199" s="659">
        <v>42824</v>
      </c>
      <c r="H199" s="655"/>
      <c r="I199" s="655" t="s">
        <v>2278</v>
      </c>
      <c r="J199" s="655" t="s">
        <v>729</v>
      </c>
      <c r="K199" s="655" t="s">
        <v>1155</v>
      </c>
      <c r="L199" s="655" t="s">
        <v>2576</v>
      </c>
      <c r="M199" s="660">
        <v>159470.47</v>
      </c>
      <c r="N199" s="660">
        <v>0</v>
      </c>
      <c r="O199" s="660">
        <v>25515.27</v>
      </c>
      <c r="P199" s="660">
        <v>184985.74</v>
      </c>
      <c r="Q199" s="548"/>
      <c r="R199" s="660">
        <v>159115.12</v>
      </c>
      <c r="S199" s="549">
        <f t="shared" si="37"/>
        <v>25870.619999999995</v>
      </c>
      <c r="T199" s="113" t="s">
        <v>283</v>
      </c>
      <c r="U199" s="370"/>
      <c r="V199" s="370"/>
      <c r="W199" s="375"/>
      <c r="X199" s="374"/>
      <c r="Y199" s="313"/>
      <c r="Z199" s="371"/>
      <c r="AA199" s="371"/>
      <c r="AB199" s="673"/>
      <c r="AC199" s="371"/>
      <c r="AD199" s="372"/>
      <c r="AE199" s="371"/>
      <c r="AF199" s="371"/>
      <c r="AG199" s="270"/>
      <c r="AH199" s="350"/>
      <c r="AI199" s="365"/>
      <c r="AJ199" s="374"/>
      <c r="AK199" s="374"/>
      <c r="AL199" s="374"/>
      <c r="AM199" s="374"/>
    </row>
    <row r="200" spans="1:39" s="291" customFormat="1" x14ac:dyDescent="0.2">
      <c r="A200" s="423">
        <f t="shared" ref="A200:A248" si="38">+A199+1</f>
        <v>195</v>
      </c>
      <c r="B200" s="657" t="s">
        <v>2040</v>
      </c>
      <c r="C200" s="655">
        <v>521802</v>
      </c>
      <c r="D200" s="658">
        <v>2204</v>
      </c>
      <c r="E200" s="655" t="s">
        <v>705</v>
      </c>
      <c r="F200" s="546">
        <v>2017</v>
      </c>
      <c r="G200" s="659">
        <v>42824</v>
      </c>
      <c r="H200" s="655"/>
      <c r="I200" s="655" t="s">
        <v>2280</v>
      </c>
      <c r="J200" s="655" t="s">
        <v>729</v>
      </c>
      <c r="K200" s="655" t="s">
        <v>2437</v>
      </c>
      <c r="L200" s="655" t="s">
        <v>2578</v>
      </c>
      <c r="M200" s="660">
        <v>-205013.57</v>
      </c>
      <c r="N200" s="660">
        <v>0</v>
      </c>
      <c r="O200" s="660">
        <v>-32802.17</v>
      </c>
      <c r="P200" s="660">
        <v>-237815.74</v>
      </c>
      <c r="Q200" s="548"/>
      <c r="R200" s="660">
        <v>-204658.22</v>
      </c>
      <c r="S200" s="549">
        <f t="shared" si="37"/>
        <v>-33157.51999999999</v>
      </c>
      <c r="T200" s="267" t="s">
        <v>283</v>
      </c>
      <c r="U200" s="370"/>
      <c r="V200" s="370"/>
      <c r="W200" s="375"/>
      <c r="X200" s="374"/>
      <c r="Y200" s="313"/>
      <c r="Z200" s="371"/>
      <c r="AA200" s="371"/>
      <c r="AB200" s="673"/>
      <c r="AC200" s="371"/>
      <c r="AD200" s="372"/>
      <c r="AE200" s="371"/>
      <c r="AF200" s="371"/>
      <c r="AG200" s="270"/>
      <c r="AH200" s="350"/>
      <c r="AI200" s="365"/>
      <c r="AJ200" s="374"/>
      <c r="AK200" s="374"/>
      <c r="AL200" s="374"/>
      <c r="AM200" s="374"/>
    </row>
    <row r="201" spans="1:39" s="291" customFormat="1" x14ac:dyDescent="0.2">
      <c r="A201" s="423">
        <f t="shared" si="38"/>
        <v>196</v>
      </c>
      <c r="B201" s="657" t="s">
        <v>2041</v>
      </c>
      <c r="C201" s="655">
        <v>521802</v>
      </c>
      <c r="D201" s="658">
        <v>2204</v>
      </c>
      <c r="E201" s="655" t="s">
        <v>705</v>
      </c>
      <c r="F201" s="546">
        <v>2017</v>
      </c>
      <c r="G201" s="659">
        <v>42824</v>
      </c>
      <c r="H201" s="655"/>
      <c r="I201" s="655" t="s">
        <v>2280</v>
      </c>
      <c r="J201" s="655" t="s">
        <v>729</v>
      </c>
      <c r="K201" s="655" t="s">
        <v>2438</v>
      </c>
      <c r="L201" s="655" t="s">
        <v>2578</v>
      </c>
      <c r="M201" s="660">
        <v>-205013.57</v>
      </c>
      <c r="N201" s="660">
        <v>0</v>
      </c>
      <c r="O201" s="660">
        <v>-32802.17</v>
      </c>
      <c r="P201" s="660">
        <v>-237815.74</v>
      </c>
      <c r="Q201" s="548"/>
      <c r="R201" s="660">
        <v>-204658.22</v>
      </c>
      <c r="S201" s="549">
        <f t="shared" si="37"/>
        <v>-33157.51999999999</v>
      </c>
      <c r="T201" s="267" t="s">
        <v>283</v>
      </c>
      <c r="U201" s="370"/>
      <c r="V201" s="370"/>
      <c r="W201" s="375"/>
      <c r="X201" s="374"/>
      <c r="Y201" s="313"/>
      <c r="Z201" s="371"/>
      <c r="AA201" s="371"/>
      <c r="AB201" s="673"/>
      <c r="AC201" s="371"/>
      <c r="AD201" s="372"/>
      <c r="AE201" s="371"/>
      <c r="AF201" s="371"/>
      <c r="AG201" s="270"/>
      <c r="AH201" s="350"/>
      <c r="AI201" s="365"/>
      <c r="AJ201" s="374"/>
      <c r="AK201" s="374"/>
      <c r="AL201" s="374"/>
      <c r="AM201" s="374"/>
    </row>
    <row r="202" spans="1:39" s="291" customFormat="1" x14ac:dyDescent="0.2">
      <c r="A202" s="423">
        <f t="shared" si="38"/>
        <v>197</v>
      </c>
      <c r="B202" s="657" t="s">
        <v>2042</v>
      </c>
      <c r="C202" s="655">
        <v>521802</v>
      </c>
      <c r="D202" s="658">
        <v>2204</v>
      </c>
      <c r="E202" s="655" t="s">
        <v>705</v>
      </c>
      <c r="F202" s="546">
        <v>2017</v>
      </c>
      <c r="G202" s="659">
        <v>42824</v>
      </c>
      <c r="H202" s="655"/>
      <c r="I202" s="655" t="s">
        <v>2280</v>
      </c>
      <c r="J202" s="655" t="s">
        <v>729</v>
      </c>
      <c r="K202" s="655" t="s">
        <v>2437</v>
      </c>
      <c r="L202" s="655" t="s">
        <v>2578</v>
      </c>
      <c r="M202" s="660">
        <v>205013.57</v>
      </c>
      <c r="N202" s="660">
        <v>0</v>
      </c>
      <c r="O202" s="660">
        <v>32802.17</v>
      </c>
      <c r="P202" s="660">
        <v>237815.74</v>
      </c>
      <c r="Q202" s="548"/>
      <c r="R202" s="660">
        <v>204658.22</v>
      </c>
      <c r="S202" s="549">
        <f t="shared" si="37"/>
        <v>33157.51999999999</v>
      </c>
      <c r="T202" s="113" t="s">
        <v>283</v>
      </c>
      <c r="U202" s="370"/>
      <c r="V202" s="370"/>
      <c r="W202" s="375"/>
      <c r="X202" s="374"/>
      <c r="Y202" s="313"/>
      <c r="Z202" s="371"/>
      <c r="AA202" s="371"/>
      <c r="AB202" s="673"/>
      <c r="AC202" s="371"/>
      <c r="AD202" s="372"/>
      <c r="AE202" s="371"/>
      <c r="AF202" s="371"/>
      <c r="AG202" s="270"/>
      <c r="AH202" s="350"/>
      <c r="AI202" s="365"/>
      <c r="AJ202" s="374"/>
      <c r="AK202" s="374"/>
      <c r="AL202" s="374"/>
      <c r="AM202" s="374"/>
    </row>
    <row r="203" spans="1:39" s="291" customFormat="1" x14ac:dyDescent="0.2">
      <c r="A203" s="423">
        <f t="shared" si="38"/>
        <v>198</v>
      </c>
      <c r="B203" s="657" t="s">
        <v>2043</v>
      </c>
      <c r="C203" s="655">
        <v>521802</v>
      </c>
      <c r="D203" s="658">
        <v>2204</v>
      </c>
      <c r="E203" s="655" t="s">
        <v>705</v>
      </c>
      <c r="F203" s="546">
        <v>2017</v>
      </c>
      <c r="G203" s="659">
        <v>42824</v>
      </c>
      <c r="H203" s="655"/>
      <c r="I203" s="655" t="s">
        <v>2280</v>
      </c>
      <c r="J203" s="655" t="s">
        <v>729</v>
      </c>
      <c r="K203" s="655" t="s">
        <v>2438</v>
      </c>
      <c r="L203" s="655" t="s">
        <v>2578</v>
      </c>
      <c r="M203" s="660">
        <v>205013.57</v>
      </c>
      <c r="N203" s="660">
        <v>0</v>
      </c>
      <c r="O203" s="660">
        <v>32802.17</v>
      </c>
      <c r="P203" s="660">
        <v>237815.74</v>
      </c>
      <c r="Q203" s="548"/>
      <c r="R203" s="660">
        <v>204658.22</v>
      </c>
      <c r="S203" s="549">
        <f t="shared" si="37"/>
        <v>33157.51999999999</v>
      </c>
      <c r="T203" s="113" t="s">
        <v>283</v>
      </c>
      <c r="U203" s="370"/>
      <c r="V203" s="370"/>
      <c r="W203" s="375"/>
      <c r="X203" s="374"/>
      <c r="Y203" s="313"/>
      <c r="Z203" s="371"/>
      <c r="AA203" s="371"/>
      <c r="AB203" s="673"/>
      <c r="AC203" s="371"/>
      <c r="AD203" s="372"/>
      <c r="AE203" s="371"/>
      <c r="AF203" s="371"/>
      <c r="AG203" s="270"/>
      <c r="AH203" s="350"/>
      <c r="AI203" s="365"/>
      <c r="AJ203" s="374"/>
      <c r="AK203" s="374"/>
      <c r="AL203" s="374"/>
      <c r="AM203" s="374"/>
    </row>
    <row r="204" spans="1:39" s="291" customFormat="1" x14ac:dyDescent="0.2">
      <c r="A204" s="423">
        <f t="shared" si="38"/>
        <v>199</v>
      </c>
      <c r="B204" s="657" t="s">
        <v>2044</v>
      </c>
      <c r="C204" s="655">
        <v>521802</v>
      </c>
      <c r="D204" s="658">
        <v>2204</v>
      </c>
      <c r="E204" s="655" t="s">
        <v>705</v>
      </c>
      <c r="F204" s="546">
        <v>2017</v>
      </c>
      <c r="G204" s="659">
        <v>42824</v>
      </c>
      <c r="H204" s="655"/>
      <c r="I204" s="655" t="s">
        <v>2280</v>
      </c>
      <c r="J204" s="655" t="s">
        <v>729</v>
      </c>
      <c r="K204" s="655" t="s">
        <v>2438</v>
      </c>
      <c r="L204" s="655" t="s">
        <v>2578</v>
      </c>
      <c r="M204" s="660">
        <v>205013.57</v>
      </c>
      <c r="N204" s="660">
        <v>0</v>
      </c>
      <c r="O204" s="660">
        <v>32802.17</v>
      </c>
      <c r="P204" s="660">
        <v>237815.74</v>
      </c>
      <c r="Q204" s="548"/>
      <c r="R204" s="660">
        <v>204658.22</v>
      </c>
      <c r="S204" s="549">
        <f t="shared" si="37"/>
        <v>33157.51999999999</v>
      </c>
      <c r="T204" s="267" t="s">
        <v>283</v>
      </c>
      <c r="U204" s="370"/>
      <c r="V204" s="370"/>
      <c r="W204" s="375"/>
      <c r="X204" s="374"/>
      <c r="Y204" s="313"/>
      <c r="Z204" s="371"/>
      <c r="AA204" s="371"/>
      <c r="AB204" s="673"/>
      <c r="AC204" s="371"/>
      <c r="AD204" s="372"/>
      <c r="AE204" s="371"/>
      <c r="AF204" s="371"/>
      <c r="AG204" s="270"/>
      <c r="AH204" s="350"/>
      <c r="AI204" s="365"/>
      <c r="AJ204" s="374"/>
      <c r="AK204" s="374"/>
      <c r="AL204" s="374"/>
      <c r="AM204" s="374"/>
    </row>
    <row r="205" spans="1:39" s="291" customFormat="1" x14ac:dyDescent="0.2">
      <c r="A205" s="423">
        <f t="shared" si="38"/>
        <v>200</v>
      </c>
      <c r="B205" s="657" t="s">
        <v>2045</v>
      </c>
      <c r="C205" s="655">
        <v>521802</v>
      </c>
      <c r="D205" s="658">
        <v>2204</v>
      </c>
      <c r="E205" s="655" t="s">
        <v>705</v>
      </c>
      <c r="F205" s="546">
        <v>2017</v>
      </c>
      <c r="G205" s="659">
        <v>42824</v>
      </c>
      <c r="H205" s="655"/>
      <c r="I205" s="655" t="s">
        <v>2281</v>
      </c>
      <c r="J205" s="655" t="s">
        <v>729</v>
      </c>
      <c r="K205" s="655" t="s">
        <v>1173</v>
      </c>
      <c r="L205" s="655" t="s">
        <v>2579</v>
      </c>
      <c r="M205" s="660">
        <v>205013.57</v>
      </c>
      <c r="N205" s="660">
        <v>0</v>
      </c>
      <c r="O205" s="660">
        <v>32802.17</v>
      </c>
      <c r="P205" s="660">
        <v>237815.74</v>
      </c>
      <c r="Q205" s="548"/>
      <c r="R205" s="660">
        <v>204658.22</v>
      </c>
      <c r="S205" s="549">
        <f t="shared" si="37"/>
        <v>33157.51999999999</v>
      </c>
      <c r="T205" s="113" t="s">
        <v>283</v>
      </c>
      <c r="U205" s="370"/>
      <c r="V205" s="370"/>
      <c r="W205" s="375"/>
      <c r="X205" s="374"/>
      <c r="Y205" s="313"/>
      <c r="Z205" s="371"/>
      <c r="AA205" s="371"/>
      <c r="AB205" s="673"/>
      <c r="AC205" s="371"/>
      <c r="AD205" s="372"/>
      <c r="AE205" s="371"/>
      <c r="AF205" s="371"/>
      <c r="AG205" s="270"/>
      <c r="AH205" s="350"/>
      <c r="AI205" s="365"/>
      <c r="AJ205" s="374"/>
      <c r="AK205" s="374"/>
      <c r="AL205" s="374"/>
      <c r="AM205" s="374"/>
    </row>
    <row r="206" spans="1:39" s="291" customFormat="1" x14ac:dyDescent="0.2">
      <c r="A206" s="423">
        <f t="shared" si="38"/>
        <v>201</v>
      </c>
      <c r="B206" s="657" t="s">
        <v>2047</v>
      </c>
      <c r="C206" s="655">
        <v>520111</v>
      </c>
      <c r="D206" s="658">
        <v>2592</v>
      </c>
      <c r="E206" s="655" t="s">
        <v>684</v>
      </c>
      <c r="F206" s="546">
        <v>2017</v>
      </c>
      <c r="G206" s="659">
        <v>42825</v>
      </c>
      <c r="H206" s="655"/>
      <c r="I206" s="655" t="s">
        <v>2283</v>
      </c>
      <c r="J206" s="655" t="s">
        <v>729</v>
      </c>
      <c r="K206" s="655" t="s">
        <v>1706</v>
      </c>
      <c r="L206" s="655" t="s">
        <v>2581</v>
      </c>
      <c r="M206" s="660">
        <v>263058.05</v>
      </c>
      <c r="N206" s="660">
        <v>0</v>
      </c>
      <c r="O206" s="660">
        <v>42089.29</v>
      </c>
      <c r="P206" s="660">
        <v>305147.34000000003</v>
      </c>
      <c r="Q206" s="548"/>
      <c r="R206" s="660">
        <v>262702.71000000002</v>
      </c>
      <c r="S206" s="549">
        <f t="shared" si="37"/>
        <v>42444.630000000005</v>
      </c>
      <c r="T206" s="444" t="s">
        <v>283</v>
      </c>
      <c r="U206" s="370"/>
      <c r="V206" s="370"/>
      <c r="W206" s="375"/>
      <c r="X206" s="374"/>
      <c r="Y206" s="313"/>
      <c r="Z206" s="371"/>
      <c r="AA206" s="371"/>
      <c r="AB206" s="673"/>
      <c r="AC206" s="371"/>
      <c r="AD206" s="372"/>
      <c r="AE206" s="371"/>
      <c r="AF206" s="371"/>
      <c r="AG206" s="270"/>
      <c r="AH206" s="350"/>
      <c r="AI206" s="365"/>
      <c r="AJ206" s="374"/>
      <c r="AK206" s="374"/>
      <c r="AL206" s="374"/>
      <c r="AM206" s="374"/>
    </row>
    <row r="207" spans="1:39" s="291" customFormat="1" x14ac:dyDescent="0.2">
      <c r="A207" s="423">
        <f t="shared" si="38"/>
        <v>202</v>
      </c>
      <c r="B207" s="657" t="s">
        <v>2051</v>
      </c>
      <c r="C207" s="655">
        <v>520814</v>
      </c>
      <c r="D207" s="658">
        <v>4493</v>
      </c>
      <c r="E207" s="655" t="s">
        <v>693</v>
      </c>
      <c r="F207" s="546">
        <v>2017</v>
      </c>
      <c r="G207" s="659">
        <v>42818</v>
      </c>
      <c r="H207" s="655"/>
      <c r="I207" s="655" t="s">
        <v>2287</v>
      </c>
      <c r="J207" s="655" t="s">
        <v>729</v>
      </c>
      <c r="K207" s="655" t="s">
        <v>1144</v>
      </c>
      <c r="L207" s="655" t="s">
        <v>2585</v>
      </c>
      <c r="M207" s="660">
        <v>269501.46999999997</v>
      </c>
      <c r="N207" s="660">
        <v>0</v>
      </c>
      <c r="O207" s="660">
        <v>43120.23</v>
      </c>
      <c r="P207" s="660">
        <v>312621.7</v>
      </c>
      <c r="Q207" s="548"/>
      <c r="R207" s="660">
        <v>269146.12</v>
      </c>
      <c r="S207" s="549">
        <f t="shared" si="37"/>
        <v>43475.580000000016</v>
      </c>
      <c r="T207" s="113" t="s">
        <v>283</v>
      </c>
      <c r="U207" s="370"/>
      <c r="V207" s="370"/>
      <c r="W207" s="375"/>
      <c r="X207" s="374"/>
      <c r="Y207" s="313"/>
      <c r="Z207" s="371"/>
      <c r="AA207" s="371"/>
      <c r="AB207" s="673"/>
      <c r="AC207" s="371"/>
      <c r="AD207" s="372"/>
      <c r="AE207" s="371"/>
      <c r="AF207" s="371"/>
      <c r="AG207" s="270"/>
      <c r="AH207" s="350"/>
      <c r="AI207" s="365"/>
      <c r="AJ207" s="374"/>
      <c r="AK207" s="374"/>
      <c r="AL207" s="374"/>
      <c r="AM207" s="374"/>
    </row>
    <row r="208" spans="1:39" s="291" customFormat="1" x14ac:dyDescent="0.2">
      <c r="A208" s="423">
        <f t="shared" si="38"/>
        <v>203</v>
      </c>
      <c r="B208" s="657" t="s">
        <v>2052</v>
      </c>
      <c r="C208" s="655">
        <v>520814</v>
      </c>
      <c r="D208" s="658">
        <v>4493</v>
      </c>
      <c r="E208" s="655" t="s">
        <v>693</v>
      </c>
      <c r="F208" s="546">
        <v>2017</v>
      </c>
      <c r="G208" s="659">
        <v>42818</v>
      </c>
      <c r="H208" s="655"/>
      <c r="I208" s="655" t="s">
        <v>2288</v>
      </c>
      <c r="J208" s="655" t="s">
        <v>724</v>
      </c>
      <c r="K208" s="655" t="s">
        <v>1144</v>
      </c>
      <c r="L208" s="655" t="s">
        <v>2586</v>
      </c>
      <c r="M208" s="660">
        <v>-269451.42</v>
      </c>
      <c r="N208" s="660">
        <v>0</v>
      </c>
      <c r="O208" s="660">
        <v>-43112.23</v>
      </c>
      <c r="P208" s="660">
        <v>-312563.65000000002</v>
      </c>
      <c r="Q208" s="548"/>
      <c r="R208" s="660">
        <v>-269450.56</v>
      </c>
      <c r="S208" s="549">
        <f t="shared" si="37"/>
        <v>-43113.090000000026</v>
      </c>
      <c r="T208" s="267" t="s">
        <v>283</v>
      </c>
      <c r="U208" s="370"/>
      <c r="V208" s="370"/>
      <c r="W208" s="375"/>
      <c r="X208" s="374"/>
      <c r="Y208" s="313"/>
      <c r="Z208" s="371"/>
      <c r="AA208" s="371"/>
      <c r="AB208" s="673"/>
      <c r="AC208" s="371"/>
      <c r="AD208" s="372"/>
      <c r="AE208" s="371"/>
      <c r="AF208" s="371"/>
      <c r="AG208" s="270"/>
      <c r="AH208" s="350"/>
      <c r="AI208" s="365"/>
      <c r="AJ208" s="374"/>
      <c r="AK208" s="374"/>
      <c r="AL208" s="374"/>
      <c r="AM208" s="374"/>
    </row>
    <row r="209" spans="1:39" s="291" customFormat="1" x14ac:dyDescent="0.2">
      <c r="A209" s="423">
        <f t="shared" si="38"/>
        <v>204</v>
      </c>
      <c r="B209" s="657" t="s">
        <v>2053</v>
      </c>
      <c r="C209" s="655">
        <v>520814</v>
      </c>
      <c r="D209" s="658">
        <v>4493</v>
      </c>
      <c r="E209" s="655" t="s">
        <v>693</v>
      </c>
      <c r="F209" s="546">
        <v>2017</v>
      </c>
      <c r="G209" s="659">
        <v>42818</v>
      </c>
      <c r="H209" s="655"/>
      <c r="I209" s="655" t="s">
        <v>2288</v>
      </c>
      <c r="J209" s="655" t="s">
        <v>724</v>
      </c>
      <c r="K209" s="655" t="s">
        <v>1147</v>
      </c>
      <c r="L209" s="655" t="s">
        <v>2586</v>
      </c>
      <c r="M209" s="660">
        <v>-269452.28000000003</v>
      </c>
      <c r="N209" s="660">
        <v>0</v>
      </c>
      <c r="O209" s="660">
        <v>-43112.37</v>
      </c>
      <c r="P209" s="660">
        <v>-312564.65000000002</v>
      </c>
      <c r="Q209" s="548"/>
      <c r="R209" s="660">
        <v>-269450.56</v>
      </c>
      <c r="S209" s="549">
        <f t="shared" si="37"/>
        <v>-43114.090000000026</v>
      </c>
      <c r="T209" s="267" t="s">
        <v>283</v>
      </c>
      <c r="U209" s="370"/>
      <c r="V209" s="370"/>
      <c r="W209" s="375"/>
      <c r="X209" s="374"/>
      <c r="Y209" s="313"/>
      <c r="Z209" s="371"/>
      <c r="AA209" s="371"/>
      <c r="AB209" s="673"/>
      <c r="AC209" s="371"/>
      <c r="AD209" s="372"/>
      <c r="AE209" s="371"/>
      <c r="AF209" s="371"/>
      <c r="AG209" s="270"/>
      <c r="AH209" s="350"/>
      <c r="AI209" s="365"/>
      <c r="AJ209" s="374"/>
      <c r="AK209" s="374"/>
      <c r="AL209" s="374"/>
      <c r="AM209" s="374"/>
    </row>
    <row r="210" spans="1:39" s="291" customFormat="1" x14ac:dyDescent="0.2">
      <c r="A210" s="423">
        <f t="shared" si="38"/>
        <v>205</v>
      </c>
      <c r="B210" s="657" t="s">
        <v>2054</v>
      </c>
      <c r="C210" s="655">
        <v>520814</v>
      </c>
      <c r="D210" s="658">
        <v>4493</v>
      </c>
      <c r="E210" s="655" t="s">
        <v>693</v>
      </c>
      <c r="F210" s="546">
        <v>2017</v>
      </c>
      <c r="G210" s="659">
        <v>42818</v>
      </c>
      <c r="H210" s="655"/>
      <c r="I210" s="655" t="s">
        <v>2288</v>
      </c>
      <c r="J210" s="655" t="s">
        <v>724</v>
      </c>
      <c r="K210" s="655" t="s">
        <v>1144</v>
      </c>
      <c r="L210" s="655" t="s">
        <v>2586</v>
      </c>
      <c r="M210" s="660">
        <v>269451.42</v>
      </c>
      <c r="N210" s="660">
        <v>0</v>
      </c>
      <c r="O210" s="660">
        <v>43112.23</v>
      </c>
      <c r="P210" s="660">
        <v>312563.65000000002</v>
      </c>
      <c r="Q210" s="548"/>
      <c r="R210" s="660">
        <v>269450.56</v>
      </c>
      <c r="S210" s="549">
        <f t="shared" si="37"/>
        <v>43113.090000000026</v>
      </c>
      <c r="T210" s="113" t="s">
        <v>283</v>
      </c>
      <c r="U210" s="370"/>
      <c r="V210" s="370"/>
      <c r="W210" s="375"/>
      <c r="X210" s="374"/>
      <c r="Y210" s="313"/>
      <c r="Z210" s="371"/>
      <c r="AA210" s="371"/>
      <c r="AB210" s="673"/>
      <c r="AC210" s="371"/>
      <c r="AD210" s="372"/>
      <c r="AE210" s="371"/>
      <c r="AF210" s="371"/>
      <c r="AG210" s="270"/>
      <c r="AH210" s="350"/>
      <c r="AI210" s="365"/>
      <c r="AJ210" s="374"/>
      <c r="AK210" s="374"/>
      <c r="AL210" s="374"/>
      <c r="AM210" s="374"/>
    </row>
    <row r="211" spans="1:39" s="291" customFormat="1" x14ac:dyDescent="0.2">
      <c r="A211" s="423">
        <f t="shared" si="38"/>
        <v>206</v>
      </c>
      <c r="B211" s="657" t="s">
        <v>2055</v>
      </c>
      <c r="C211" s="655">
        <v>520814</v>
      </c>
      <c r="D211" s="658">
        <v>4493</v>
      </c>
      <c r="E211" s="655" t="s">
        <v>693</v>
      </c>
      <c r="F211" s="546">
        <v>2017</v>
      </c>
      <c r="G211" s="659">
        <v>42818</v>
      </c>
      <c r="H211" s="655"/>
      <c r="I211" s="655" t="s">
        <v>2288</v>
      </c>
      <c r="J211" s="655" t="s">
        <v>724</v>
      </c>
      <c r="K211" s="655" t="s">
        <v>1147</v>
      </c>
      <c r="L211" s="655" t="s">
        <v>2586</v>
      </c>
      <c r="M211" s="660">
        <v>269452.28000000003</v>
      </c>
      <c r="N211" s="660">
        <v>0</v>
      </c>
      <c r="O211" s="660">
        <v>43112.37</v>
      </c>
      <c r="P211" s="660">
        <v>312564.65000000002</v>
      </c>
      <c r="Q211" s="548"/>
      <c r="R211" s="660">
        <v>269450.56</v>
      </c>
      <c r="S211" s="549">
        <f t="shared" si="37"/>
        <v>43114.090000000026</v>
      </c>
      <c r="T211" s="113" t="s">
        <v>283</v>
      </c>
      <c r="U211" s="320"/>
      <c r="V211" s="354"/>
      <c r="W211" s="355"/>
      <c r="X211" s="355"/>
      <c r="Y211" s="355"/>
      <c r="Z211" s="328"/>
      <c r="AA211" s="328"/>
      <c r="AB211" s="674"/>
      <c r="AC211" s="328"/>
      <c r="AD211" s="333"/>
      <c r="AE211" s="328"/>
      <c r="AF211" s="328"/>
      <c r="AG211" s="346"/>
      <c r="AH211" s="347"/>
      <c r="AI211" s="363"/>
      <c r="AJ211" s="374"/>
      <c r="AK211" s="374"/>
      <c r="AL211" s="374"/>
      <c r="AM211" s="374"/>
    </row>
    <row r="212" spans="1:39" s="291" customFormat="1" x14ac:dyDescent="0.2">
      <c r="A212" s="423">
        <f t="shared" si="38"/>
        <v>207</v>
      </c>
      <c r="B212" s="657" t="s">
        <v>2056</v>
      </c>
      <c r="C212" s="655">
        <v>520814</v>
      </c>
      <c r="D212" s="658">
        <v>4493</v>
      </c>
      <c r="E212" s="655" t="s">
        <v>693</v>
      </c>
      <c r="F212" s="546">
        <v>2017</v>
      </c>
      <c r="G212" s="659">
        <v>42818</v>
      </c>
      <c r="H212" s="655"/>
      <c r="I212" s="655" t="s">
        <v>2288</v>
      </c>
      <c r="J212" s="655" t="s">
        <v>724</v>
      </c>
      <c r="K212" s="655" t="s">
        <v>1147</v>
      </c>
      <c r="L212" s="655" t="s">
        <v>2586</v>
      </c>
      <c r="M212" s="660">
        <v>269452.28000000003</v>
      </c>
      <c r="N212" s="660">
        <v>0</v>
      </c>
      <c r="O212" s="660">
        <v>43112.37</v>
      </c>
      <c r="P212" s="660">
        <v>312564.65000000002</v>
      </c>
      <c r="Q212" s="548"/>
      <c r="R212" s="660">
        <v>269450.56</v>
      </c>
      <c r="S212" s="549">
        <f t="shared" si="37"/>
        <v>43114.090000000026</v>
      </c>
      <c r="T212" s="267" t="s">
        <v>283</v>
      </c>
      <c r="U212" s="370"/>
      <c r="V212" s="370"/>
      <c r="W212" s="375"/>
      <c r="X212" s="374"/>
      <c r="Y212" s="313"/>
      <c r="Z212" s="371"/>
      <c r="AA212" s="371"/>
      <c r="AB212" s="673"/>
      <c r="AC212" s="371"/>
      <c r="AD212" s="372"/>
      <c r="AE212" s="371"/>
      <c r="AF212" s="371"/>
      <c r="AG212" s="270"/>
      <c r="AH212" s="350"/>
      <c r="AI212" s="365"/>
      <c r="AJ212" s="374"/>
      <c r="AK212" s="374"/>
      <c r="AL212" s="374"/>
      <c r="AM212" s="374"/>
    </row>
    <row r="213" spans="1:39" s="291" customFormat="1" x14ac:dyDescent="0.2">
      <c r="A213" s="423">
        <f t="shared" si="38"/>
        <v>208</v>
      </c>
      <c r="B213" s="657" t="s">
        <v>2058</v>
      </c>
      <c r="C213" s="655">
        <v>520819</v>
      </c>
      <c r="D213" s="658">
        <v>4498</v>
      </c>
      <c r="E213" s="655" t="s">
        <v>696</v>
      </c>
      <c r="F213" s="546">
        <v>2017</v>
      </c>
      <c r="G213" s="659">
        <v>42815</v>
      </c>
      <c r="H213" s="655"/>
      <c r="I213" s="655" t="s">
        <v>2290</v>
      </c>
      <c r="J213" s="655" t="s">
        <v>729</v>
      </c>
      <c r="K213" s="655" t="s">
        <v>1189</v>
      </c>
      <c r="L213" s="655" t="s">
        <v>2588</v>
      </c>
      <c r="M213" s="660">
        <v>327612.7</v>
      </c>
      <c r="N213" s="660">
        <v>0</v>
      </c>
      <c r="O213" s="660">
        <v>52418.03</v>
      </c>
      <c r="P213" s="660">
        <v>380030.73</v>
      </c>
      <c r="Q213" s="548"/>
      <c r="R213" s="660">
        <v>327257.34999999998</v>
      </c>
      <c r="S213" s="549">
        <f t="shared" si="37"/>
        <v>52773.380000000005</v>
      </c>
      <c r="T213" s="267" t="s">
        <v>283</v>
      </c>
      <c r="U213" s="369"/>
      <c r="V213" s="370"/>
      <c r="W213" s="375"/>
      <c r="X213" s="375"/>
      <c r="Y213" s="375"/>
      <c r="Z213" s="371"/>
      <c r="AA213" s="371"/>
      <c r="AB213" s="673"/>
      <c r="AC213" s="371"/>
      <c r="AD213" s="372"/>
      <c r="AE213" s="371"/>
      <c r="AF213" s="371"/>
      <c r="AG213" s="270"/>
      <c r="AH213" s="347"/>
      <c r="AI213" s="363"/>
      <c r="AJ213" s="374"/>
      <c r="AK213" s="374"/>
      <c r="AL213" s="374"/>
      <c r="AM213" s="374"/>
    </row>
    <row r="214" spans="1:39" s="291" customFormat="1" x14ac:dyDescent="0.2">
      <c r="A214" s="423">
        <f t="shared" si="38"/>
        <v>209</v>
      </c>
      <c r="B214" s="657" t="s">
        <v>2065</v>
      </c>
      <c r="C214" s="655">
        <v>520513</v>
      </c>
      <c r="D214" s="658">
        <v>5396</v>
      </c>
      <c r="E214" s="655" t="s">
        <v>132</v>
      </c>
      <c r="F214" s="546">
        <v>2017</v>
      </c>
      <c r="G214" s="659">
        <v>42824</v>
      </c>
      <c r="H214" s="655"/>
      <c r="I214" s="655" t="s">
        <v>2293</v>
      </c>
      <c r="J214" s="655" t="s">
        <v>729</v>
      </c>
      <c r="K214" s="655" t="s">
        <v>1147</v>
      </c>
      <c r="L214" s="655" t="s">
        <v>2591</v>
      </c>
      <c r="M214" s="660">
        <v>416755.42</v>
      </c>
      <c r="N214" s="660">
        <v>0</v>
      </c>
      <c r="O214" s="660">
        <v>66680.87</v>
      </c>
      <c r="P214" s="660">
        <v>483436.29</v>
      </c>
      <c r="Q214" s="548"/>
      <c r="R214" s="660">
        <v>416400.08</v>
      </c>
      <c r="S214" s="549">
        <f t="shared" si="37"/>
        <v>67036.209999999963</v>
      </c>
      <c r="T214" s="267" t="s">
        <v>283</v>
      </c>
      <c r="U214" s="370"/>
      <c r="V214" s="370"/>
      <c r="W214" s="375"/>
      <c r="X214" s="374"/>
      <c r="Y214" s="313"/>
      <c r="Z214" s="371"/>
      <c r="AA214" s="371"/>
      <c r="AB214" s="673"/>
      <c r="AC214" s="371"/>
      <c r="AD214" s="372"/>
      <c r="AE214" s="371"/>
      <c r="AF214" s="371"/>
      <c r="AG214" s="270"/>
      <c r="AH214" s="350"/>
      <c r="AI214" s="365"/>
      <c r="AJ214" s="374"/>
      <c r="AK214" s="374"/>
      <c r="AL214" s="374"/>
      <c r="AM214" s="374"/>
    </row>
    <row r="215" spans="1:39" s="291" customFormat="1" x14ac:dyDescent="0.2">
      <c r="A215" s="423">
        <f t="shared" si="38"/>
        <v>210</v>
      </c>
      <c r="B215" s="657" t="s">
        <v>2079</v>
      </c>
      <c r="C215" s="655">
        <v>1520202</v>
      </c>
      <c r="D215" s="658">
        <v>5601</v>
      </c>
      <c r="E215" s="655" t="s">
        <v>221</v>
      </c>
      <c r="F215" s="546">
        <v>2017</v>
      </c>
      <c r="G215" s="659">
        <v>42801</v>
      </c>
      <c r="H215" s="655"/>
      <c r="I215" s="655" t="s">
        <v>1610</v>
      </c>
      <c r="J215" s="655" t="s">
        <v>729</v>
      </c>
      <c r="K215" s="655" t="s">
        <v>1730</v>
      </c>
      <c r="L215" s="655" t="s">
        <v>1872</v>
      </c>
      <c r="M215" s="660">
        <v>-279990.18</v>
      </c>
      <c r="N215" s="660">
        <v>0</v>
      </c>
      <c r="O215" s="660">
        <v>-44798.43</v>
      </c>
      <c r="P215" s="660">
        <v>-324788.61</v>
      </c>
      <c r="Q215" s="548"/>
      <c r="R215" s="660">
        <v>-279634.84000000003</v>
      </c>
      <c r="S215" s="549">
        <f t="shared" si="37"/>
        <v>-45153.76999999996</v>
      </c>
      <c r="T215" s="113" t="s">
        <v>283</v>
      </c>
      <c r="U215" s="369"/>
      <c r="V215" s="370"/>
      <c r="W215" s="375"/>
      <c r="X215" s="375"/>
      <c r="Y215" s="375"/>
      <c r="Z215" s="371"/>
      <c r="AA215" s="371"/>
      <c r="AB215" s="673"/>
      <c r="AC215" s="371"/>
      <c r="AD215" s="372"/>
      <c r="AE215" s="371"/>
      <c r="AF215" s="371"/>
      <c r="AG215" s="270"/>
      <c r="AH215" s="347"/>
      <c r="AI215" s="363"/>
      <c r="AJ215" s="374"/>
      <c r="AK215" s="374"/>
      <c r="AL215" s="374"/>
      <c r="AM215" s="374"/>
    </row>
    <row r="216" spans="1:39" s="291" customFormat="1" x14ac:dyDescent="0.2">
      <c r="A216" s="423">
        <f t="shared" si="38"/>
        <v>211</v>
      </c>
      <c r="B216" s="657" t="s">
        <v>2080</v>
      </c>
      <c r="C216" s="655">
        <v>1520202</v>
      </c>
      <c r="D216" s="658">
        <v>5601</v>
      </c>
      <c r="E216" s="655" t="s">
        <v>221</v>
      </c>
      <c r="F216" s="546">
        <v>2017</v>
      </c>
      <c r="G216" s="659">
        <v>42801</v>
      </c>
      <c r="H216" s="655"/>
      <c r="I216" s="655" t="s">
        <v>1610</v>
      </c>
      <c r="J216" s="655" t="s">
        <v>729</v>
      </c>
      <c r="K216" s="655" t="s">
        <v>1730</v>
      </c>
      <c r="L216" s="655" t="s">
        <v>1872</v>
      </c>
      <c r="M216" s="660">
        <v>279990.18</v>
      </c>
      <c r="N216" s="660">
        <v>0</v>
      </c>
      <c r="O216" s="660">
        <v>44798.43</v>
      </c>
      <c r="P216" s="660">
        <v>324788.61</v>
      </c>
      <c r="Q216" s="548"/>
      <c r="R216" s="660">
        <v>279634.84000000003</v>
      </c>
      <c r="S216" s="549">
        <f t="shared" si="37"/>
        <v>45153.76999999996</v>
      </c>
      <c r="T216" s="267" t="s">
        <v>283</v>
      </c>
      <c r="U216" s="370"/>
      <c r="V216" s="370"/>
      <c r="W216" s="375"/>
      <c r="X216" s="374"/>
      <c r="Y216" s="313"/>
      <c r="Z216" s="371"/>
      <c r="AA216" s="371"/>
      <c r="AB216" s="673"/>
      <c r="AC216" s="371"/>
      <c r="AD216" s="372"/>
      <c r="AE216" s="371"/>
      <c r="AF216" s="371"/>
      <c r="AG216" s="270"/>
      <c r="AH216" s="350"/>
      <c r="AI216" s="365"/>
      <c r="AJ216" s="374"/>
      <c r="AK216" s="374"/>
      <c r="AL216" s="374"/>
      <c r="AM216" s="374"/>
    </row>
    <row r="217" spans="1:39" s="291" customFormat="1" x14ac:dyDescent="0.2">
      <c r="A217" s="423">
        <f t="shared" si="38"/>
        <v>212</v>
      </c>
      <c r="B217" s="657" t="s">
        <v>2091</v>
      </c>
      <c r="C217" s="655">
        <v>521502</v>
      </c>
      <c r="D217" s="658">
        <v>5611</v>
      </c>
      <c r="E217" s="655" t="s">
        <v>225</v>
      </c>
      <c r="F217" s="546">
        <v>2017</v>
      </c>
      <c r="G217" s="659">
        <v>42809</v>
      </c>
      <c r="H217" s="655"/>
      <c r="I217" s="655" t="s">
        <v>2305</v>
      </c>
      <c r="J217" s="655" t="s">
        <v>729</v>
      </c>
      <c r="K217" s="655" t="s">
        <v>1672</v>
      </c>
      <c r="L217" s="655" t="s">
        <v>2603</v>
      </c>
      <c r="M217" s="660">
        <v>336170.86</v>
      </c>
      <c r="N217" s="660">
        <v>0</v>
      </c>
      <c r="O217" s="660">
        <v>53787.34</v>
      </c>
      <c r="P217" s="660">
        <v>389958.2</v>
      </c>
      <c r="Q217" s="548"/>
      <c r="R217" s="660">
        <v>335727.72</v>
      </c>
      <c r="S217" s="549">
        <f t="shared" si="37"/>
        <v>54230.48000000004</v>
      </c>
      <c r="T217" s="113" t="s">
        <v>283</v>
      </c>
      <c r="U217" s="369"/>
      <c r="V217" s="370"/>
      <c r="W217" s="375"/>
      <c r="X217" s="375"/>
      <c r="Y217" s="375"/>
      <c r="Z217" s="371"/>
      <c r="AA217" s="371"/>
      <c r="AB217" s="673"/>
      <c r="AC217" s="371"/>
      <c r="AD217" s="372"/>
      <c r="AE217" s="371"/>
      <c r="AF217" s="371"/>
      <c r="AG217" s="270"/>
      <c r="AH217" s="347"/>
      <c r="AI217" s="363"/>
      <c r="AJ217" s="374"/>
      <c r="AK217" s="374"/>
      <c r="AL217" s="374"/>
      <c r="AM217" s="374"/>
    </row>
    <row r="218" spans="1:39" s="296" customFormat="1" x14ac:dyDescent="0.2">
      <c r="A218" s="423">
        <f t="shared" si="38"/>
        <v>213</v>
      </c>
      <c r="B218" s="657" t="s">
        <v>2102</v>
      </c>
      <c r="C218" s="655">
        <v>521909</v>
      </c>
      <c r="D218" s="658">
        <v>6987</v>
      </c>
      <c r="E218" s="655" t="s">
        <v>708</v>
      </c>
      <c r="F218" s="546">
        <v>2017</v>
      </c>
      <c r="G218" s="659">
        <v>42818</v>
      </c>
      <c r="H218" s="655"/>
      <c r="I218" s="655" t="s">
        <v>2315</v>
      </c>
      <c r="J218" s="655" t="s">
        <v>729</v>
      </c>
      <c r="K218" s="655" t="s">
        <v>365</v>
      </c>
      <c r="L218" s="655" t="s">
        <v>2613</v>
      </c>
      <c r="M218" s="660">
        <v>478612.2</v>
      </c>
      <c r="N218" s="660">
        <v>0</v>
      </c>
      <c r="O218" s="660">
        <v>76577.95</v>
      </c>
      <c r="P218" s="660">
        <v>555190.15</v>
      </c>
      <c r="Q218" s="548"/>
      <c r="R218" s="660">
        <v>478256.85</v>
      </c>
      <c r="S218" s="549">
        <f t="shared" si="37"/>
        <v>76933.300000000047</v>
      </c>
      <c r="T218" s="113" t="s">
        <v>283</v>
      </c>
      <c r="U218" s="370"/>
      <c r="V218" s="370"/>
      <c r="W218" s="375"/>
      <c r="X218" s="374"/>
      <c r="Y218" s="313"/>
      <c r="Z218" s="371"/>
      <c r="AA218" s="371"/>
      <c r="AB218" s="673"/>
      <c r="AC218" s="371"/>
      <c r="AD218" s="372"/>
      <c r="AE218" s="371"/>
      <c r="AF218" s="371"/>
      <c r="AG218" s="270"/>
      <c r="AH218" s="272"/>
      <c r="AI218" s="313"/>
      <c r="AJ218" s="374"/>
      <c r="AK218" s="374"/>
      <c r="AL218" s="374"/>
      <c r="AM218" s="374"/>
    </row>
    <row r="219" spans="1:39" s="291" customFormat="1" x14ac:dyDescent="0.2">
      <c r="A219" s="423">
        <f t="shared" si="38"/>
        <v>214</v>
      </c>
      <c r="B219" s="657" t="s">
        <v>2116</v>
      </c>
      <c r="C219" s="655">
        <v>1520105</v>
      </c>
      <c r="D219" s="658">
        <v>7494</v>
      </c>
      <c r="E219" s="655" t="s">
        <v>712</v>
      </c>
      <c r="F219" s="546">
        <v>2017</v>
      </c>
      <c r="G219" s="659">
        <v>42797</v>
      </c>
      <c r="H219" s="655"/>
      <c r="I219" s="655" t="s">
        <v>2325</v>
      </c>
      <c r="J219" s="655" t="s">
        <v>729</v>
      </c>
      <c r="K219" s="655" t="s">
        <v>2404</v>
      </c>
      <c r="L219" s="655" t="s">
        <v>2623</v>
      </c>
      <c r="M219" s="660">
        <v>205538.34</v>
      </c>
      <c r="N219" s="660">
        <v>0</v>
      </c>
      <c r="O219" s="660">
        <v>32886.14</v>
      </c>
      <c r="P219" s="660">
        <v>238424.48</v>
      </c>
      <c r="Q219" s="548"/>
      <c r="R219" s="660">
        <v>205183</v>
      </c>
      <c r="S219" s="549">
        <f t="shared" si="37"/>
        <v>33241.48000000001</v>
      </c>
      <c r="T219" s="113" t="s">
        <v>283</v>
      </c>
      <c r="U219" s="369"/>
      <c r="V219" s="370"/>
      <c r="W219" s="375"/>
      <c r="X219" s="375"/>
      <c r="Y219" s="375"/>
      <c r="Z219" s="371"/>
      <c r="AA219" s="371"/>
      <c r="AB219" s="673"/>
      <c r="AC219" s="371"/>
      <c r="AD219" s="372"/>
      <c r="AE219" s="371"/>
      <c r="AF219" s="371"/>
      <c r="AG219" s="270"/>
      <c r="AH219" s="272"/>
      <c r="AI219" s="313"/>
      <c r="AJ219" s="374"/>
      <c r="AK219" s="374"/>
      <c r="AL219" s="374"/>
      <c r="AM219" s="374"/>
    </row>
    <row r="220" spans="1:39" s="291" customFormat="1" x14ac:dyDescent="0.2">
      <c r="A220" s="423">
        <f t="shared" si="38"/>
        <v>215</v>
      </c>
      <c r="B220" s="657" t="s">
        <v>2117</v>
      </c>
      <c r="C220" s="655">
        <v>1520105</v>
      </c>
      <c r="D220" s="658">
        <v>7494</v>
      </c>
      <c r="E220" s="655" t="s">
        <v>712</v>
      </c>
      <c r="F220" s="546">
        <v>2017</v>
      </c>
      <c r="G220" s="659">
        <v>42801</v>
      </c>
      <c r="H220" s="655"/>
      <c r="I220" s="655" t="s">
        <v>2326</v>
      </c>
      <c r="J220" s="655" t="s">
        <v>729</v>
      </c>
      <c r="K220" s="655" t="s">
        <v>99</v>
      </c>
      <c r="L220" s="655" t="s">
        <v>2624</v>
      </c>
      <c r="M220" s="660">
        <v>205538.34</v>
      </c>
      <c r="N220" s="660">
        <v>0</v>
      </c>
      <c r="O220" s="660">
        <v>32886.14</v>
      </c>
      <c r="P220" s="660">
        <v>238424.48</v>
      </c>
      <c r="Q220" s="548"/>
      <c r="R220" s="660">
        <v>205183</v>
      </c>
      <c r="S220" s="549">
        <f t="shared" si="37"/>
        <v>33241.48000000001</v>
      </c>
      <c r="T220" s="113" t="s">
        <v>283</v>
      </c>
      <c r="U220" s="370"/>
      <c r="V220" s="370"/>
      <c r="W220" s="375"/>
      <c r="X220" s="374"/>
      <c r="Y220" s="313"/>
      <c r="Z220" s="371"/>
      <c r="AA220" s="371"/>
      <c r="AB220" s="673"/>
      <c r="AC220" s="371"/>
      <c r="AD220" s="372"/>
      <c r="AE220" s="371"/>
      <c r="AF220" s="371"/>
      <c r="AG220" s="270"/>
      <c r="AH220" s="272"/>
      <c r="AI220" s="313"/>
      <c r="AJ220" s="374"/>
      <c r="AK220" s="374"/>
      <c r="AL220" s="374"/>
      <c r="AM220" s="374"/>
    </row>
    <row r="221" spans="1:39" s="291" customFormat="1" x14ac:dyDescent="0.2">
      <c r="A221" s="423">
        <f t="shared" si="38"/>
        <v>216</v>
      </c>
      <c r="B221" s="657" t="s">
        <v>2118</v>
      </c>
      <c r="C221" s="655">
        <v>1520105</v>
      </c>
      <c r="D221" s="658">
        <v>7494</v>
      </c>
      <c r="E221" s="655" t="s">
        <v>712</v>
      </c>
      <c r="F221" s="546">
        <v>2017</v>
      </c>
      <c r="G221" s="659">
        <v>42808</v>
      </c>
      <c r="H221" s="655"/>
      <c r="I221" s="655" t="s">
        <v>2327</v>
      </c>
      <c r="J221" s="655" t="s">
        <v>729</v>
      </c>
      <c r="K221" s="655" t="s">
        <v>135</v>
      </c>
      <c r="L221" s="655" t="s">
        <v>2625</v>
      </c>
      <c r="M221" s="660">
        <v>205538.62</v>
      </c>
      <c r="N221" s="660">
        <v>0</v>
      </c>
      <c r="O221" s="660">
        <v>32886.18</v>
      </c>
      <c r="P221" s="660">
        <v>238424.8</v>
      </c>
      <c r="Q221" s="548"/>
      <c r="R221" s="660">
        <v>205183</v>
      </c>
      <c r="S221" s="549">
        <f t="shared" si="37"/>
        <v>33241.799999999988</v>
      </c>
      <c r="T221" s="113" t="s">
        <v>283</v>
      </c>
      <c r="U221" s="369"/>
      <c r="V221" s="370"/>
      <c r="W221" s="375"/>
      <c r="X221" s="375"/>
      <c r="Y221" s="375"/>
      <c r="Z221" s="371"/>
      <c r="AA221" s="371"/>
      <c r="AB221" s="673"/>
      <c r="AC221" s="371"/>
      <c r="AD221" s="372"/>
      <c r="AE221" s="371"/>
      <c r="AF221" s="371"/>
      <c r="AG221" s="270"/>
      <c r="AH221" s="272"/>
      <c r="AI221" s="313"/>
      <c r="AJ221" s="374"/>
      <c r="AK221" s="374"/>
      <c r="AL221" s="374"/>
      <c r="AM221" s="374"/>
    </row>
    <row r="222" spans="1:39" s="291" customFormat="1" x14ac:dyDescent="0.2">
      <c r="A222" s="423">
        <f t="shared" si="38"/>
        <v>217</v>
      </c>
      <c r="B222" s="657" t="s">
        <v>2119</v>
      </c>
      <c r="C222" s="655">
        <v>1520105</v>
      </c>
      <c r="D222" s="658">
        <v>7494</v>
      </c>
      <c r="E222" s="655" t="s">
        <v>712</v>
      </c>
      <c r="F222" s="546">
        <v>2017</v>
      </c>
      <c r="G222" s="659">
        <v>42809</v>
      </c>
      <c r="H222" s="655"/>
      <c r="I222" s="655" t="s">
        <v>2328</v>
      </c>
      <c r="J222" s="655" t="s">
        <v>729</v>
      </c>
      <c r="K222" s="655" t="s">
        <v>1155</v>
      </c>
      <c r="L222" s="655" t="s">
        <v>2626</v>
      </c>
      <c r="M222" s="660">
        <v>205538.34</v>
      </c>
      <c r="N222" s="660">
        <v>0</v>
      </c>
      <c r="O222" s="660">
        <v>32886.14</v>
      </c>
      <c r="P222" s="660">
        <v>238424.48</v>
      </c>
      <c r="Q222" s="548"/>
      <c r="R222" s="660">
        <v>205183</v>
      </c>
      <c r="S222" s="549">
        <f t="shared" si="37"/>
        <v>33241.48000000001</v>
      </c>
      <c r="T222" s="267" t="s">
        <v>283</v>
      </c>
      <c r="U222" s="369"/>
      <c r="V222" s="370"/>
      <c r="W222" s="375"/>
      <c r="X222" s="375"/>
      <c r="Y222" s="375"/>
      <c r="Z222" s="371"/>
      <c r="AA222" s="371"/>
      <c r="AB222" s="673"/>
      <c r="AC222" s="371"/>
      <c r="AD222" s="372"/>
      <c r="AE222" s="371"/>
      <c r="AF222" s="371"/>
      <c r="AG222" s="270"/>
      <c r="AH222" s="350"/>
      <c r="AI222" s="365"/>
      <c r="AJ222" s="374"/>
      <c r="AK222" s="374"/>
      <c r="AL222" s="374"/>
      <c r="AM222" s="374"/>
    </row>
    <row r="223" spans="1:39" s="291" customFormat="1" x14ac:dyDescent="0.2">
      <c r="A223" s="423">
        <f t="shared" si="38"/>
        <v>218</v>
      </c>
      <c r="B223" s="657" t="s">
        <v>2120</v>
      </c>
      <c r="C223" s="655">
        <v>1520105</v>
      </c>
      <c r="D223" s="658">
        <v>7494</v>
      </c>
      <c r="E223" s="655" t="s">
        <v>712</v>
      </c>
      <c r="F223" s="546">
        <v>2017</v>
      </c>
      <c r="G223" s="659">
        <v>42809</v>
      </c>
      <c r="H223" s="655"/>
      <c r="I223" s="655" t="s">
        <v>2327</v>
      </c>
      <c r="J223" s="655" t="s">
        <v>729</v>
      </c>
      <c r="K223" s="655" t="s">
        <v>135</v>
      </c>
      <c r="L223" s="655" t="s">
        <v>2625</v>
      </c>
      <c r="M223" s="660">
        <v>-205538.62</v>
      </c>
      <c r="N223" s="660">
        <v>0</v>
      </c>
      <c r="O223" s="660">
        <v>-32886.18</v>
      </c>
      <c r="P223" s="660">
        <v>-238424.8</v>
      </c>
      <c r="Q223" s="548"/>
      <c r="R223" s="660">
        <v>-205183</v>
      </c>
      <c r="S223" s="549">
        <f t="shared" si="37"/>
        <v>-33241.799999999988</v>
      </c>
      <c r="T223" s="113" t="s">
        <v>283</v>
      </c>
      <c r="U223" s="369"/>
      <c r="V223" s="370"/>
      <c r="W223" s="375"/>
      <c r="X223" s="375"/>
      <c r="Y223" s="375"/>
      <c r="Z223" s="371"/>
      <c r="AA223" s="371"/>
      <c r="AB223" s="673"/>
      <c r="AC223" s="371"/>
      <c r="AD223" s="372"/>
      <c r="AE223" s="371"/>
      <c r="AF223" s="371"/>
      <c r="AG223" s="270"/>
      <c r="AH223" s="350"/>
      <c r="AI223" s="365"/>
      <c r="AJ223" s="374"/>
      <c r="AK223" s="374"/>
      <c r="AL223" s="374"/>
      <c r="AM223" s="374"/>
    </row>
    <row r="224" spans="1:39" s="291" customFormat="1" x14ac:dyDescent="0.2">
      <c r="A224" s="423">
        <f t="shared" si="38"/>
        <v>219</v>
      </c>
      <c r="B224" s="657" t="s">
        <v>2121</v>
      </c>
      <c r="C224" s="655">
        <v>1520105</v>
      </c>
      <c r="D224" s="658">
        <v>7494</v>
      </c>
      <c r="E224" s="655" t="s">
        <v>712</v>
      </c>
      <c r="F224" s="546">
        <v>2017</v>
      </c>
      <c r="G224" s="659">
        <v>42809</v>
      </c>
      <c r="H224" s="655"/>
      <c r="I224" s="655" t="s">
        <v>2327</v>
      </c>
      <c r="J224" s="655" t="s">
        <v>729</v>
      </c>
      <c r="K224" s="655" t="s">
        <v>1730</v>
      </c>
      <c r="L224" s="655" t="s">
        <v>2625</v>
      </c>
      <c r="M224" s="660">
        <v>205538.62</v>
      </c>
      <c r="N224" s="660">
        <v>0</v>
      </c>
      <c r="O224" s="660">
        <v>32886.18</v>
      </c>
      <c r="P224" s="660">
        <v>238424.8</v>
      </c>
      <c r="Q224" s="548"/>
      <c r="R224" s="660">
        <v>205183</v>
      </c>
      <c r="S224" s="549">
        <f t="shared" si="37"/>
        <v>33241.799999999988</v>
      </c>
      <c r="T224" s="445" t="s">
        <v>283</v>
      </c>
      <c r="U224" s="370"/>
      <c r="V224" s="370"/>
      <c r="W224" s="375"/>
      <c r="X224" s="374"/>
      <c r="Y224" s="313"/>
      <c r="Z224" s="371"/>
      <c r="AA224" s="371"/>
      <c r="AB224" s="673"/>
      <c r="AC224" s="371"/>
      <c r="AD224" s="372"/>
      <c r="AE224" s="371"/>
      <c r="AF224" s="371"/>
      <c r="AG224" s="270"/>
      <c r="AH224" s="272"/>
      <c r="AI224" s="313"/>
      <c r="AJ224" s="374"/>
      <c r="AK224" s="374"/>
      <c r="AL224" s="374"/>
      <c r="AM224" s="374"/>
    </row>
    <row r="225" spans="1:39" s="291" customFormat="1" x14ac:dyDescent="0.2">
      <c r="A225" s="423">
        <f t="shared" si="38"/>
        <v>220</v>
      </c>
      <c r="B225" s="657" t="s">
        <v>2122</v>
      </c>
      <c r="C225" s="655">
        <v>1520105</v>
      </c>
      <c r="D225" s="658">
        <v>7494</v>
      </c>
      <c r="E225" s="655" t="s">
        <v>712</v>
      </c>
      <c r="F225" s="546">
        <v>2017</v>
      </c>
      <c r="G225" s="659">
        <v>42809</v>
      </c>
      <c r="H225" s="655"/>
      <c r="I225" s="655" t="s">
        <v>2329</v>
      </c>
      <c r="J225" s="655" t="s">
        <v>729</v>
      </c>
      <c r="K225" s="655" t="s">
        <v>135</v>
      </c>
      <c r="L225" s="655" t="s">
        <v>2627</v>
      </c>
      <c r="M225" s="660">
        <v>205538.34</v>
      </c>
      <c r="N225" s="660">
        <v>0</v>
      </c>
      <c r="O225" s="660">
        <v>32886.14</v>
      </c>
      <c r="P225" s="660">
        <v>238424.48</v>
      </c>
      <c r="Q225" s="548"/>
      <c r="R225" s="660">
        <v>205183</v>
      </c>
      <c r="S225" s="549">
        <f t="shared" si="37"/>
        <v>33241.48000000001</v>
      </c>
      <c r="T225" s="113" t="s">
        <v>283</v>
      </c>
      <c r="U225" s="369"/>
      <c r="V225" s="370"/>
      <c r="W225" s="375"/>
      <c r="X225" s="375"/>
      <c r="Y225" s="375"/>
      <c r="Z225" s="371"/>
      <c r="AA225" s="371"/>
      <c r="AB225" s="673"/>
      <c r="AC225" s="371"/>
      <c r="AD225" s="372"/>
      <c r="AE225" s="371"/>
      <c r="AF225" s="371"/>
      <c r="AG225" s="270"/>
      <c r="AH225" s="350"/>
      <c r="AI225" s="365"/>
      <c r="AJ225" s="374"/>
      <c r="AK225" s="374"/>
      <c r="AL225" s="374"/>
      <c r="AM225" s="374"/>
    </row>
    <row r="226" spans="1:39" s="296" customFormat="1" x14ac:dyDescent="0.2">
      <c r="A226" s="423">
        <f t="shared" si="38"/>
        <v>221</v>
      </c>
      <c r="B226" s="657" t="s">
        <v>2124</v>
      </c>
      <c r="C226" s="655">
        <v>1520105</v>
      </c>
      <c r="D226" s="658">
        <v>7494</v>
      </c>
      <c r="E226" s="655" t="s">
        <v>712</v>
      </c>
      <c r="F226" s="546">
        <v>2017</v>
      </c>
      <c r="G226" s="659">
        <v>42815</v>
      </c>
      <c r="H226" s="655"/>
      <c r="I226" s="655" t="s">
        <v>2330</v>
      </c>
      <c r="J226" s="655" t="s">
        <v>729</v>
      </c>
      <c r="K226" s="655" t="s">
        <v>99</v>
      </c>
      <c r="L226" s="655" t="s">
        <v>2628</v>
      </c>
      <c r="M226" s="660">
        <v>205538.34</v>
      </c>
      <c r="N226" s="660">
        <v>0</v>
      </c>
      <c r="O226" s="660">
        <v>32886.14</v>
      </c>
      <c r="P226" s="660">
        <v>238424.48</v>
      </c>
      <c r="Q226" s="548"/>
      <c r="R226" s="660">
        <v>205183</v>
      </c>
      <c r="S226" s="549">
        <f t="shared" si="37"/>
        <v>33241.48000000001</v>
      </c>
      <c r="T226" s="113" t="s">
        <v>283</v>
      </c>
      <c r="U226" s="369"/>
      <c r="V226" s="370"/>
      <c r="W226" s="375"/>
      <c r="X226" s="375"/>
      <c r="Y226" s="375"/>
      <c r="Z226" s="371"/>
      <c r="AA226" s="371"/>
      <c r="AB226" s="673"/>
      <c r="AC226" s="371"/>
      <c r="AD226" s="372"/>
      <c r="AE226" s="371"/>
      <c r="AF226" s="371"/>
      <c r="AG226" s="270"/>
      <c r="AH226" s="350"/>
      <c r="AI226" s="365"/>
      <c r="AJ226" s="374"/>
      <c r="AK226" s="374"/>
      <c r="AL226" s="374"/>
      <c r="AM226" s="374"/>
    </row>
    <row r="227" spans="1:39" s="291" customFormat="1" x14ac:dyDescent="0.2">
      <c r="A227" s="423">
        <f t="shared" si="38"/>
        <v>222</v>
      </c>
      <c r="B227" s="657" t="s">
        <v>2125</v>
      </c>
      <c r="C227" s="655">
        <v>1520105</v>
      </c>
      <c r="D227" s="658">
        <v>7494</v>
      </c>
      <c r="E227" s="655" t="s">
        <v>712</v>
      </c>
      <c r="F227" s="546">
        <v>2017</v>
      </c>
      <c r="G227" s="659">
        <v>42815</v>
      </c>
      <c r="H227" s="655"/>
      <c r="I227" s="655" t="s">
        <v>2331</v>
      </c>
      <c r="J227" s="655" t="s">
        <v>729</v>
      </c>
      <c r="K227" s="655" t="s">
        <v>2404</v>
      </c>
      <c r="L227" s="655" t="s">
        <v>2629</v>
      </c>
      <c r="M227" s="660">
        <v>205688.04</v>
      </c>
      <c r="N227" s="660">
        <v>0</v>
      </c>
      <c r="O227" s="660">
        <v>32910.089999999997</v>
      </c>
      <c r="P227" s="660">
        <v>238598.13</v>
      </c>
      <c r="Q227" s="548"/>
      <c r="R227" s="660">
        <v>205332.7</v>
      </c>
      <c r="S227" s="549">
        <f t="shared" si="37"/>
        <v>33265.429999999993</v>
      </c>
      <c r="T227" s="113" t="s">
        <v>283</v>
      </c>
      <c r="U227" s="369"/>
      <c r="V227" s="370"/>
      <c r="W227" s="375"/>
      <c r="X227" s="375"/>
      <c r="Y227" s="375"/>
      <c r="Z227" s="371"/>
      <c r="AA227" s="371"/>
      <c r="AB227" s="673"/>
      <c r="AC227" s="371"/>
      <c r="AD227" s="372"/>
      <c r="AE227" s="371"/>
      <c r="AF227" s="371"/>
      <c r="AG227" s="270"/>
      <c r="AH227" s="350"/>
      <c r="AI227" s="365"/>
      <c r="AJ227" s="374"/>
      <c r="AK227" s="374"/>
      <c r="AL227" s="374"/>
      <c r="AM227" s="374"/>
    </row>
    <row r="228" spans="1:39" s="348" customFormat="1" x14ac:dyDescent="0.2">
      <c r="A228" s="423">
        <f t="shared" si="38"/>
        <v>223</v>
      </c>
      <c r="B228" s="657" t="s">
        <v>2144</v>
      </c>
      <c r="C228" s="655">
        <v>1520604</v>
      </c>
      <c r="D228" s="658">
        <v>7495</v>
      </c>
      <c r="E228" s="655" t="s">
        <v>718</v>
      </c>
      <c r="F228" s="546">
        <v>2017</v>
      </c>
      <c r="G228" s="659">
        <v>42815</v>
      </c>
      <c r="H228" s="655"/>
      <c r="I228" s="655" t="s">
        <v>2347</v>
      </c>
      <c r="J228" s="655" t="s">
        <v>729</v>
      </c>
      <c r="K228" s="655" t="s">
        <v>1745</v>
      </c>
      <c r="L228" s="655" t="s">
        <v>2645</v>
      </c>
      <c r="M228" s="660">
        <v>255782.21</v>
      </c>
      <c r="N228" s="660">
        <v>0</v>
      </c>
      <c r="O228" s="660">
        <v>40925.15</v>
      </c>
      <c r="P228" s="660">
        <v>296707.36</v>
      </c>
      <c r="Q228" s="548"/>
      <c r="R228" s="660">
        <v>255426.86</v>
      </c>
      <c r="S228" s="549">
        <f t="shared" si="37"/>
        <v>41280.5</v>
      </c>
      <c r="T228" s="113" t="s">
        <v>283</v>
      </c>
      <c r="U228" s="369"/>
      <c r="V228" s="370"/>
      <c r="W228" s="375"/>
      <c r="X228" s="375"/>
      <c r="Y228" s="375"/>
      <c r="Z228" s="371"/>
      <c r="AA228" s="371"/>
      <c r="AB228" s="673"/>
      <c r="AC228" s="371"/>
      <c r="AD228" s="372"/>
      <c r="AE228" s="371"/>
      <c r="AF228" s="371"/>
      <c r="AG228" s="270"/>
      <c r="AH228" s="350"/>
      <c r="AI228" s="365"/>
      <c r="AJ228" s="374"/>
      <c r="AK228" s="330"/>
      <c r="AL228" s="330"/>
      <c r="AM228" s="330"/>
    </row>
    <row r="229" spans="1:39" s="291" customFormat="1" x14ac:dyDescent="0.2">
      <c r="A229" s="423">
        <f t="shared" si="38"/>
        <v>224</v>
      </c>
      <c r="B229" s="657" t="s">
        <v>2145</v>
      </c>
      <c r="C229" s="655">
        <v>1520604</v>
      </c>
      <c r="D229" s="658">
        <v>7495</v>
      </c>
      <c r="E229" s="655" t="s">
        <v>718</v>
      </c>
      <c r="F229" s="546">
        <v>2017</v>
      </c>
      <c r="G229" s="659">
        <v>42821</v>
      </c>
      <c r="H229" s="655"/>
      <c r="I229" s="655" t="s">
        <v>2348</v>
      </c>
      <c r="J229" s="655" t="s">
        <v>729</v>
      </c>
      <c r="K229" s="655" t="s">
        <v>1745</v>
      </c>
      <c r="L229" s="655" t="s">
        <v>2646</v>
      </c>
      <c r="M229" s="660">
        <v>255782.21</v>
      </c>
      <c r="N229" s="660">
        <v>0</v>
      </c>
      <c r="O229" s="660">
        <v>40925.15</v>
      </c>
      <c r="P229" s="660">
        <v>296707.36</v>
      </c>
      <c r="Q229" s="548"/>
      <c r="R229" s="660">
        <v>255426.86</v>
      </c>
      <c r="S229" s="549">
        <f t="shared" si="37"/>
        <v>41280.5</v>
      </c>
      <c r="T229" s="113" t="s">
        <v>283</v>
      </c>
      <c r="U229" s="369"/>
      <c r="V229" s="370"/>
      <c r="W229" s="375"/>
      <c r="X229" s="375"/>
      <c r="Y229" s="375"/>
      <c r="Z229" s="371"/>
      <c r="AA229" s="371"/>
      <c r="AB229" s="673"/>
      <c r="AC229" s="371"/>
      <c r="AD229" s="372"/>
      <c r="AE229" s="371"/>
      <c r="AF229" s="371"/>
      <c r="AG229" s="270"/>
      <c r="AH229" s="350"/>
      <c r="AI229" s="365"/>
      <c r="AJ229" s="374"/>
      <c r="AK229" s="374"/>
      <c r="AL229" s="374"/>
      <c r="AM229" s="374"/>
    </row>
    <row r="230" spans="1:39" s="348" customFormat="1" x14ac:dyDescent="0.2">
      <c r="A230" s="423">
        <f t="shared" si="38"/>
        <v>225</v>
      </c>
      <c r="B230" s="657" t="s">
        <v>2146</v>
      </c>
      <c r="C230" s="655">
        <v>1520604</v>
      </c>
      <c r="D230" s="658">
        <v>7495</v>
      </c>
      <c r="E230" s="655" t="s">
        <v>718</v>
      </c>
      <c r="F230" s="546">
        <v>2017</v>
      </c>
      <c r="G230" s="659">
        <v>42821</v>
      </c>
      <c r="H230" s="655"/>
      <c r="I230" s="655" t="s">
        <v>2349</v>
      </c>
      <c r="J230" s="655" t="s">
        <v>729</v>
      </c>
      <c r="K230" s="655" t="s">
        <v>2404</v>
      </c>
      <c r="L230" s="655" t="s">
        <v>2647</v>
      </c>
      <c r="M230" s="660">
        <v>255782.21</v>
      </c>
      <c r="N230" s="660">
        <v>0</v>
      </c>
      <c r="O230" s="660">
        <v>40925.15</v>
      </c>
      <c r="P230" s="660">
        <v>296707.36</v>
      </c>
      <c r="Q230" s="548"/>
      <c r="R230" s="660">
        <v>255426.86</v>
      </c>
      <c r="S230" s="549">
        <f t="shared" si="37"/>
        <v>41280.5</v>
      </c>
      <c r="T230" s="267" t="s">
        <v>283</v>
      </c>
      <c r="U230" s="369"/>
      <c r="V230" s="370"/>
      <c r="W230" s="375"/>
      <c r="X230" s="375"/>
      <c r="Y230" s="375"/>
      <c r="Z230" s="371"/>
      <c r="AA230" s="371"/>
      <c r="AB230" s="673"/>
      <c r="AC230" s="371"/>
      <c r="AD230" s="372"/>
      <c r="AE230" s="371"/>
      <c r="AF230" s="371"/>
      <c r="AG230" s="270"/>
      <c r="AH230" s="350"/>
      <c r="AI230" s="365"/>
      <c r="AJ230" s="330"/>
      <c r="AK230" s="330"/>
      <c r="AL230" s="330"/>
      <c r="AM230" s="330"/>
    </row>
    <row r="231" spans="1:39" s="291" customFormat="1" x14ac:dyDescent="0.2">
      <c r="A231" s="423">
        <f t="shared" si="38"/>
        <v>226</v>
      </c>
      <c r="B231" s="657" t="s">
        <v>2152</v>
      </c>
      <c r="C231" s="655">
        <v>1520604</v>
      </c>
      <c r="D231" s="658">
        <v>7495</v>
      </c>
      <c r="E231" s="655" t="s">
        <v>718</v>
      </c>
      <c r="F231" s="546">
        <v>2017</v>
      </c>
      <c r="G231" s="659">
        <v>42824</v>
      </c>
      <c r="H231" s="655"/>
      <c r="I231" s="655" t="s">
        <v>2353</v>
      </c>
      <c r="J231" s="655" t="s">
        <v>729</v>
      </c>
      <c r="K231" s="655" t="s">
        <v>1672</v>
      </c>
      <c r="L231" s="655" t="s">
        <v>2651</v>
      </c>
      <c r="M231" s="660">
        <v>255782.21</v>
      </c>
      <c r="N231" s="660">
        <v>0</v>
      </c>
      <c r="O231" s="660">
        <v>40925.15</v>
      </c>
      <c r="P231" s="660">
        <v>296707.36</v>
      </c>
      <c r="Q231" s="548"/>
      <c r="R231" s="660">
        <v>255426.86</v>
      </c>
      <c r="S231" s="549">
        <f t="shared" si="37"/>
        <v>41280.5</v>
      </c>
      <c r="T231" s="267" t="s">
        <v>283</v>
      </c>
      <c r="U231" s="369"/>
      <c r="V231" s="370"/>
      <c r="W231" s="375"/>
      <c r="X231" s="375"/>
      <c r="Y231" s="375"/>
      <c r="Z231" s="371"/>
      <c r="AA231" s="371"/>
      <c r="AB231" s="673"/>
      <c r="AC231" s="371"/>
      <c r="AD231" s="372"/>
      <c r="AE231" s="371"/>
      <c r="AF231" s="371"/>
      <c r="AG231" s="270"/>
      <c r="AH231" s="350"/>
      <c r="AI231" s="365"/>
      <c r="AJ231" s="374"/>
      <c r="AK231" s="374"/>
      <c r="AL231" s="374"/>
      <c r="AM231" s="374"/>
    </row>
    <row r="232" spans="1:39" s="291" customFormat="1" x14ac:dyDescent="0.2">
      <c r="A232" s="423">
        <f t="shared" si="38"/>
        <v>227</v>
      </c>
      <c r="B232" s="657" t="s">
        <v>2159</v>
      </c>
      <c r="C232" s="655">
        <v>521005</v>
      </c>
      <c r="D232" s="658">
        <v>7986</v>
      </c>
      <c r="E232" s="655" t="s">
        <v>2209</v>
      </c>
      <c r="F232" s="546">
        <v>2017</v>
      </c>
      <c r="G232" s="659">
        <v>42809</v>
      </c>
      <c r="H232" s="655"/>
      <c r="I232" s="655" t="s">
        <v>2357</v>
      </c>
      <c r="J232" s="655" t="s">
        <v>729</v>
      </c>
      <c r="K232" s="655" t="s">
        <v>1146</v>
      </c>
      <c r="L232" s="655" t="s">
        <v>2655</v>
      </c>
      <c r="M232" s="660">
        <v>596684.68999999994</v>
      </c>
      <c r="N232" s="660">
        <v>0</v>
      </c>
      <c r="O232" s="660">
        <v>95469.55</v>
      </c>
      <c r="P232" s="660">
        <v>692154.24</v>
      </c>
      <c r="Q232" s="548"/>
      <c r="R232" s="660">
        <v>582736.73</v>
      </c>
      <c r="S232" s="549">
        <f t="shared" si="37"/>
        <v>109417.51000000001</v>
      </c>
      <c r="T232" s="113" t="s">
        <v>283</v>
      </c>
      <c r="U232" s="369"/>
      <c r="V232" s="370"/>
      <c r="W232" s="375"/>
      <c r="X232" s="375"/>
      <c r="Y232" s="375"/>
      <c r="Z232" s="371"/>
      <c r="AA232" s="371"/>
      <c r="AB232" s="673"/>
      <c r="AC232" s="371"/>
      <c r="AD232" s="372"/>
      <c r="AE232" s="371"/>
      <c r="AF232" s="371"/>
      <c r="AG232" s="270"/>
      <c r="AH232" s="350"/>
      <c r="AI232" s="365"/>
      <c r="AJ232" s="374"/>
      <c r="AK232" s="374"/>
      <c r="AL232" s="374"/>
      <c r="AM232" s="374"/>
    </row>
    <row r="233" spans="1:39" s="291" customFormat="1" x14ac:dyDescent="0.2">
      <c r="A233" s="423">
        <f t="shared" si="38"/>
        <v>228</v>
      </c>
      <c r="B233" s="657" t="s">
        <v>2163</v>
      </c>
      <c r="C233" s="655">
        <v>54101</v>
      </c>
      <c r="D233" s="658" t="s">
        <v>721</v>
      </c>
      <c r="E233" s="655" t="s">
        <v>2210</v>
      </c>
      <c r="F233" s="546">
        <v>2017</v>
      </c>
      <c r="G233" s="659">
        <v>42797</v>
      </c>
      <c r="H233" s="655" t="s">
        <v>1207</v>
      </c>
      <c r="I233" s="655" t="s">
        <v>2358</v>
      </c>
      <c r="J233" s="655" t="s">
        <v>724</v>
      </c>
      <c r="K233" s="655" t="s">
        <v>2492</v>
      </c>
      <c r="L233" s="655" t="s">
        <v>2656</v>
      </c>
      <c r="M233" s="660">
        <v>115862.07</v>
      </c>
      <c r="N233" s="660">
        <v>0</v>
      </c>
      <c r="O233" s="660">
        <v>4137.93</v>
      </c>
      <c r="P233" s="660">
        <v>120000</v>
      </c>
      <c r="Q233" s="548"/>
      <c r="R233" s="660">
        <v>90000</v>
      </c>
      <c r="S233" s="549">
        <f t="shared" si="37"/>
        <v>30000</v>
      </c>
      <c r="T233" s="267" t="s">
        <v>263</v>
      </c>
      <c r="U233" s="369"/>
      <c r="V233" s="370"/>
      <c r="W233" s="375"/>
      <c r="X233" s="375"/>
      <c r="Y233" s="375"/>
      <c r="Z233" s="371"/>
      <c r="AA233" s="371"/>
      <c r="AB233" s="673"/>
      <c r="AC233" s="371"/>
      <c r="AD233" s="372"/>
      <c r="AE233" s="371"/>
      <c r="AF233" s="371"/>
      <c r="AG233" s="270"/>
      <c r="AH233" s="350"/>
      <c r="AI233" s="365"/>
      <c r="AJ233" s="374"/>
      <c r="AK233" s="374"/>
      <c r="AL233" s="374"/>
      <c r="AM233" s="374"/>
    </row>
    <row r="234" spans="1:39" s="291" customFormat="1" x14ac:dyDescent="0.2">
      <c r="A234" s="423">
        <f t="shared" si="38"/>
        <v>229</v>
      </c>
      <c r="B234" s="657" t="s">
        <v>2164</v>
      </c>
      <c r="C234" s="655">
        <v>44610</v>
      </c>
      <c r="D234" s="658" t="s">
        <v>721</v>
      </c>
      <c r="E234" s="655" t="s">
        <v>2210</v>
      </c>
      <c r="F234" s="546">
        <v>2017</v>
      </c>
      <c r="G234" s="659">
        <v>42801</v>
      </c>
      <c r="H234" s="655" t="s">
        <v>1211</v>
      </c>
      <c r="I234" s="655" t="s">
        <v>2359</v>
      </c>
      <c r="J234" s="655" t="s">
        <v>724</v>
      </c>
      <c r="K234" s="655" t="s">
        <v>2493</v>
      </c>
      <c r="L234" s="655" t="s">
        <v>2657</v>
      </c>
      <c r="M234" s="660">
        <v>109482.76</v>
      </c>
      <c r="N234" s="660">
        <v>0</v>
      </c>
      <c r="O234" s="660">
        <v>17517.240000000002</v>
      </c>
      <c r="P234" s="660">
        <v>127000</v>
      </c>
      <c r="Q234" s="548"/>
      <c r="R234" s="660">
        <v>91718.1</v>
      </c>
      <c r="S234" s="549">
        <f t="shared" si="37"/>
        <v>35281.899999999994</v>
      </c>
      <c r="T234" s="267" t="s">
        <v>263</v>
      </c>
      <c r="U234" s="369"/>
      <c r="V234" s="370"/>
      <c r="W234" s="375"/>
      <c r="X234" s="375"/>
      <c r="Y234" s="375"/>
      <c r="Z234" s="371"/>
      <c r="AA234" s="371"/>
      <c r="AB234" s="673"/>
      <c r="AC234" s="371"/>
      <c r="AD234" s="372"/>
      <c r="AE234" s="371"/>
      <c r="AF234" s="371"/>
      <c r="AG234" s="270"/>
      <c r="AH234" s="350"/>
      <c r="AI234" s="365"/>
      <c r="AJ234" s="374"/>
      <c r="AK234" s="374"/>
      <c r="AL234" s="374"/>
      <c r="AM234" s="374"/>
    </row>
    <row r="235" spans="1:39" s="291" customFormat="1" x14ac:dyDescent="0.2">
      <c r="A235" s="423">
        <f t="shared" si="38"/>
        <v>230</v>
      </c>
      <c r="B235" s="657" t="s">
        <v>2165</v>
      </c>
      <c r="C235" s="655">
        <v>66502</v>
      </c>
      <c r="D235" s="658" t="s">
        <v>721</v>
      </c>
      <c r="E235" s="655" t="s">
        <v>2210</v>
      </c>
      <c r="F235" s="546">
        <v>2017</v>
      </c>
      <c r="G235" s="659">
        <v>42803</v>
      </c>
      <c r="H235" s="655" t="s">
        <v>912</v>
      </c>
      <c r="I235" s="655" t="s">
        <v>2360</v>
      </c>
      <c r="J235" s="655" t="s">
        <v>724</v>
      </c>
      <c r="K235" s="655" t="s">
        <v>2494</v>
      </c>
      <c r="L235" s="655" t="s">
        <v>2658</v>
      </c>
      <c r="M235" s="660">
        <v>159482.76</v>
      </c>
      <c r="N235" s="660">
        <v>0</v>
      </c>
      <c r="O235" s="660">
        <v>25517.24</v>
      </c>
      <c r="P235" s="660">
        <v>185000</v>
      </c>
      <c r="Q235" s="548"/>
      <c r="R235" s="660">
        <v>127715.52</v>
      </c>
      <c r="S235" s="549">
        <f t="shared" si="37"/>
        <v>57284.479999999996</v>
      </c>
      <c r="T235" s="113" t="s">
        <v>263</v>
      </c>
      <c r="U235" s="369"/>
      <c r="V235" s="370"/>
      <c r="W235" s="375"/>
      <c r="X235" s="375"/>
      <c r="Y235" s="375"/>
      <c r="Z235" s="371"/>
      <c r="AA235" s="371"/>
      <c r="AB235" s="673"/>
      <c r="AC235" s="371"/>
      <c r="AD235" s="372"/>
      <c r="AE235" s="371"/>
      <c r="AF235" s="371"/>
      <c r="AG235" s="270"/>
      <c r="AH235" s="350"/>
      <c r="AI235" s="365"/>
      <c r="AJ235" s="374"/>
      <c r="AK235" s="374"/>
      <c r="AL235" s="374"/>
      <c r="AM235" s="374"/>
    </row>
    <row r="236" spans="1:39" s="291" customFormat="1" x14ac:dyDescent="0.2">
      <c r="A236" s="423">
        <f t="shared" si="38"/>
        <v>231</v>
      </c>
      <c r="B236" s="657" t="s">
        <v>2166</v>
      </c>
      <c r="C236" s="655">
        <v>44707</v>
      </c>
      <c r="D236" s="658" t="s">
        <v>721</v>
      </c>
      <c r="E236" s="655" t="s">
        <v>2210</v>
      </c>
      <c r="F236" s="546">
        <v>2017</v>
      </c>
      <c r="G236" s="659">
        <v>42804</v>
      </c>
      <c r="H236" s="655" t="s">
        <v>912</v>
      </c>
      <c r="I236" s="655" t="s">
        <v>2361</v>
      </c>
      <c r="J236" s="655" t="s">
        <v>724</v>
      </c>
      <c r="K236" s="655" t="s">
        <v>2495</v>
      </c>
      <c r="L236" s="655" t="s">
        <v>2659</v>
      </c>
      <c r="M236" s="660">
        <v>125000</v>
      </c>
      <c r="N236" s="660">
        <v>0</v>
      </c>
      <c r="O236" s="660">
        <v>20000</v>
      </c>
      <c r="P236" s="660">
        <v>145000</v>
      </c>
      <c r="Q236" s="548"/>
      <c r="R236" s="660">
        <v>107758.63</v>
      </c>
      <c r="S236" s="549">
        <f t="shared" si="37"/>
        <v>37241.369999999995</v>
      </c>
      <c r="T236" s="267" t="s">
        <v>263</v>
      </c>
      <c r="U236" s="369"/>
      <c r="V236" s="370"/>
      <c r="W236" s="375"/>
      <c r="X236" s="375"/>
      <c r="Y236" s="375"/>
      <c r="Z236" s="371"/>
      <c r="AA236" s="371"/>
      <c r="AB236" s="673"/>
      <c r="AC236" s="371"/>
      <c r="AD236" s="372"/>
      <c r="AE236" s="371"/>
      <c r="AF236" s="371"/>
      <c r="AG236" s="270"/>
      <c r="AH236" s="350"/>
      <c r="AI236" s="365"/>
      <c r="AJ236" s="374"/>
      <c r="AK236" s="374"/>
      <c r="AL236" s="374"/>
      <c r="AM236" s="374"/>
    </row>
    <row r="237" spans="1:39" s="291" customFormat="1" x14ac:dyDescent="0.2">
      <c r="A237" s="423">
        <f t="shared" si="38"/>
        <v>232</v>
      </c>
      <c r="B237" s="657" t="s">
        <v>2167</v>
      </c>
      <c r="C237" s="655">
        <v>44707</v>
      </c>
      <c r="D237" s="658" t="s">
        <v>721</v>
      </c>
      <c r="E237" s="655" t="s">
        <v>2210</v>
      </c>
      <c r="F237" s="546">
        <v>2017</v>
      </c>
      <c r="G237" s="659">
        <v>42805</v>
      </c>
      <c r="H237" s="655" t="s">
        <v>912</v>
      </c>
      <c r="I237" s="655" t="s">
        <v>2361</v>
      </c>
      <c r="J237" s="655" t="s">
        <v>724</v>
      </c>
      <c r="K237" s="655" t="s">
        <v>2495</v>
      </c>
      <c r="L237" s="655" t="s">
        <v>2659</v>
      </c>
      <c r="M237" s="660">
        <v>-125000</v>
      </c>
      <c r="N237" s="660">
        <v>0</v>
      </c>
      <c r="O237" s="660">
        <v>-20000</v>
      </c>
      <c r="P237" s="660">
        <v>-145000</v>
      </c>
      <c r="Q237" s="548"/>
      <c r="R237" s="660">
        <v>-107758.63</v>
      </c>
      <c r="S237" s="549">
        <f t="shared" si="37"/>
        <v>-37241.369999999995</v>
      </c>
      <c r="T237" s="267" t="s">
        <v>263</v>
      </c>
      <c r="U237" s="369"/>
      <c r="V237" s="370"/>
      <c r="W237" s="375"/>
      <c r="X237" s="375"/>
      <c r="Y237" s="375"/>
      <c r="Z237" s="371"/>
      <c r="AA237" s="371"/>
      <c r="AB237" s="673"/>
      <c r="AC237" s="371"/>
      <c r="AD237" s="372"/>
      <c r="AE237" s="371"/>
      <c r="AF237" s="371"/>
      <c r="AG237" s="270"/>
      <c r="AH237" s="350"/>
      <c r="AI237" s="365"/>
      <c r="AJ237" s="374"/>
      <c r="AK237" s="374"/>
      <c r="AL237" s="374"/>
      <c r="AM237" s="374"/>
    </row>
    <row r="238" spans="1:39" s="348" customFormat="1" x14ac:dyDescent="0.2">
      <c r="A238" s="423">
        <f t="shared" si="38"/>
        <v>233</v>
      </c>
      <c r="B238" s="657" t="s">
        <v>2168</v>
      </c>
      <c r="C238" s="655">
        <v>44707</v>
      </c>
      <c r="D238" s="658" t="s">
        <v>721</v>
      </c>
      <c r="E238" s="655" t="s">
        <v>2210</v>
      </c>
      <c r="F238" s="546">
        <v>2017</v>
      </c>
      <c r="G238" s="659">
        <v>42805</v>
      </c>
      <c r="H238" s="655" t="s">
        <v>912</v>
      </c>
      <c r="I238" s="655" t="s">
        <v>2361</v>
      </c>
      <c r="J238" s="655" t="s">
        <v>724</v>
      </c>
      <c r="K238" s="655" t="s">
        <v>2495</v>
      </c>
      <c r="L238" s="655" t="s">
        <v>2659</v>
      </c>
      <c r="M238" s="660">
        <v>125000</v>
      </c>
      <c r="N238" s="660">
        <v>0</v>
      </c>
      <c r="O238" s="660">
        <v>20000</v>
      </c>
      <c r="P238" s="660">
        <v>145000</v>
      </c>
      <c r="Q238" s="548"/>
      <c r="R238" s="660">
        <v>107758.63</v>
      </c>
      <c r="S238" s="549">
        <f t="shared" si="37"/>
        <v>37241.369999999995</v>
      </c>
      <c r="T238" s="113" t="s">
        <v>263</v>
      </c>
      <c r="U238" s="369"/>
      <c r="V238" s="370"/>
      <c r="W238" s="375"/>
      <c r="X238" s="375"/>
      <c r="Y238" s="375"/>
      <c r="Z238" s="371"/>
      <c r="AA238" s="371"/>
      <c r="AB238" s="673"/>
      <c r="AC238" s="371"/>
      <c r="AD238" s="372"/>
      <c r="AE238" s="371"/>
      <c r="AF238" s="371"/>
      <c r="AG238" s="270"/>
      <c r="AH238" s="350"/>
      <c r="AI238" s="365"/>
      <c r="AJ238" s="374"/>
      <c r="AK238" s="330"/>
      <c r="AL238" s="330"/>
      <c r="AM238" s="330"/>
    </row>
    <row r="239" spans="1:39" s="348" customFormat="1" x14ac:dyDescent="0.2">
      <c r="A239" s="423">
        <f t="shared" si="38"/>
        <v>234</v>
      </c>
      <c r="B239" s="657" t="s">
        <v>2169</v>
      </c>
      <c r="C239" s="655">
        <v>570605</v>
      </c>
      <c r="D239" s="658" t="s">
        <v>721</v>
      </c>
      <c r="E239" s="655" t="s">
        <v>2210</v>
      </c>
      <c r="F239" s="546">
        <v>2017</v>
      </c>
      <c r="G239" s="659">
        <v>42807</v>
      </c>
      <c r="H239" s="655" t="s">
        <v>764</v>
      </c>
      <c r="I239" s="655" t="s">
        <v>2362</v>
      </c>
      <c r="J239" s="655" t="s">
        <v>724</v>
      </c>
      <c r="K239" s="655" t="s">
        <v>2496</v>
      </c>
      <c r="L239" s="655" t="s">
        <v>2660</v>
      </c>
      <c r="M239" s="660">
        <v>132241.38</v>
      </c>
      <c r="N239" s="660">
        <v>0</v>
      </c>
      <c r="O239" s="660">
        <v>2758.62</v>
      </c>
      <c r="P239" s="660">
        <v>135000</v>
      </c>
      <c r="Q239" s="548"/>
      <c r="R239" s="660">
        <v>115000</v>
      </c>
      <c r="S239" s="549">
        <f t="shared" si="37"/>
        <v>20000</v>
      </c>
      <c r="T239" s="267" t="s">
        <v>263</v>
      </c>
      <c r="U239" s="369"/>
      <c r="V239" s="370"/>
      <c r="W239" s="375"/>
      <c r="X239" s="375"/>
      <c r="Y239" s="375"/>
      <c r="Z239" s="371"/>
      <c r="AA239" s="371"/>
      <c r="AB239" s="673"/>
      <c r="AC239" s="371"/>
      <c r="AD239" s="372"/>
      <c r="AE239" s="371"/>
      <c r="AF239" s="371"/>
      <c r="AG239" s="270"/>
      <c r="AH239" s="350"/>
      <c r="AI239" s="365"/>
      <c r="AJ239" s="330"/>
      <c r="AK239" s="330"/>
      <c r="AL239" s="330"/>
      <c r="AM239" s="330"/>
    </row>
    <row r="240" spans="1:39" s="291" customFormat="1" x14ac:dyDescent="0.2">
      <c r="A240" s="423">
        <f t="shared" si="38"/>
        <v>235</v>
      </c>
      <c r="B240" s="657" t="s">
        <v>2170</v>
      </c>
      <c r="C240" s="655">
        <v>31919</v>
      </c>
      <c r="D240" s="658" t="s">
        <v>721</v>
      </c>
      <c r="E240" s="655" t="s">
        <v>2210</v>
      </c>
      <c r="F240" s="546">
        <v>2016</v>
      </c>
      <c r="G240" s="659">
        <v>42807</v>
      </c>
      <c r="H240" s="655" t="s">
        <v>2218</v>
      </c>
      <c r="I240" s="655" t="s">
        <v>2363</v>
      </c>
      <c r="J240" s="655" t="s">
        <v>724</v>
      </c>
      <c r="K240" s="655" t="s">
        <v>2497</v>
      </c>
      <c r="L240" s="655" t="s">
        <v>2661</v>
      </c>
      <c r="M240" s="660">
        <v>224137.93</v>
      </c>
      <c r="N240" s="660">
        <v>0</v>
      </c>
      <c r="O240" s="660">
        <v>35862.07</v>
      </c>
      <c r="P240" s="660">
        <v>260000</v>
      </c>
      <c r="Q240" s="548"/>
      <c r="R240" s="660">
        <v>211206.9</v>
      </c>
      <c r="S240" s="549">
        <f t="shared" si="37"/>
        <v>48793.100000000006</v>
      </c>
      <c r="T240" s="267" t="s">
        <v>263</v>
      </c>
      <c r="U240" s="369"/>
      <c r="V240" s="370"/>
      <c r="W240" s="375"/>
      <c r="X240" s="375"/>
      <c r="Y240" s="375"/>
      <c r="Z240" s="371"/>
      <c r="AA240" s="371"/>
      <c r="AB240" s="673"/>
      <c r="AC240" s="371"/>
      <c r="AD240" s="372"/>
      <c r="AE240" s="371"/>
      <c r="AF240" s="371"/>
      <c r="AG240" s="270"/>
      <c r="AH240" s="350"/>
      <c r="AI240" s="365"/>
      <c r="AJ240" s="374"/>
      <c r="AK240" s="374"/>
      <c r="AL240" s="374"/>
      <c r="AM240" s="374"/>
    </row>
    <row r="241" spans="1:39" s="291" customFormat="1" x14ac:dyDescent="0.2">
      <c r="A241" s="423">
        <f t="shared" si="38"/>
        <v>236</v>
      </c>
      <c r="B241" s="657" t="s">
        <v>2171</v>
      </c>
      <c r="C241" s="655">
        <v>730301</v>
      </c>
      <c r="D241" s="658" t="s">
        <v>721</v>
      </c>
      <c r="E241" s="655" t="s">
        <v>2210</v>
      </c>
      <c r="F241" s="546">
        <v>2017</v>
      </c>
      <c r="G241" s="659">
        <v>42808</v>
      </c>
      <c r="H241" s="655" t="s">
        <v>747</v>
      </c>
      <c r="I241" s="655" t="s">
        <v>2364</v>
      </c>
      <c r="J241" s="655" t="s">
        <v>724</v>
      </c>
      <c r="K241" s="655" t="s">
        <v>2498</v>
      </c>
      <c r="L241" s="655" t="s">
        <v>2662</v>
      </c>
      <c r="M241" s="660">
        <v>219137.93</v>
      </c>
      <c r="N241" s="660">
        <v>0</v>
      </c>
      <c r="O241" s="660">
        <v>5862.07</v>
      </c>
      <c r="P241" s="660">
        <v>225000</v>
      </c>
      <c r="Q241" s="548"/>
      <c r="R241" s="660">
        <v>182500</v>
      </c>
      <c r="S241" s="549">
        <f t="shared" si="37"/>
        <v>42500</v>
      </c>
      <c r="T241" s="267" t="s">
        <v>263</v>
      </c>
      <c r="U241" s="369"/>
      <c r="V241" s="370"/>
      <c r="W241" s="375"/>
      <c r="X241" s="375"/>
      <c r="Y241" s="375"/>
      <c r="Z241" s="371"/>
      <c r="AA241" s="371"/>
      <c r="AB241" s="673"/>
      <c r="AC241" s="371"/>
      <c r="AD241" s="372"/>
      <c r="AE241" s="371"/>
      <c r="AF241" s="371"/>
      <c r="AG241" s="270"/>
      <c r="AH241" s="350"/>
      <c r="AI241" s="365"/>
      <c r="AJ241" s="330"/>
      <c r="AK241" s="374"/>
      <c r="AL241" s="374"/>
      <c r="AM241" s="374"/>
    </row>
    <row r="242" spans="1:39" s="291" customFormat="1" x14ac:dyDescent="0.2">
      <c r="A242" s="423">
        <f t="shared" si="38"/>
        <v>237</v>
      </c>
      <c r="B242" s="657" t="s">
        <v>2172</v>
      </c>
      <c r="C242" s="655">
        <v>520515</v>
      </c>
      <c r="D242" s="658" t="s">
        <v>721</v>
      </c>
      <c r="E242" s="655" t="s">
        <v>2210</v>
      </c>
      <c r="F242" s="546">
        <v>2016</v>
      </c>
      <c r="G242" s="659">
        <v>42808</v>
      </c>
      <c r="H242" s="655" t="s">
        <v>735</v>
      </c>
      <c r="I242" s="655" t="s">
        <v>2365</v>
      </c>
      <c r="J242" s="655" t="s">
        <v>724</v>
      </c>
      <c r="K242" s="655" t="s">
        <v>2499</v>
      </c>
      <c r="L242" s="655" t="s">
        <v>2663</v>
      </c>
      <c r="M242" s="660">
        <v>426034.48</v>
      </c>
      <c r="N242" s="660">
        <v>0</v>
      </c>
      <c r="O242" s="660">
        <v>8965.52</v>
      </c>
      <c r="P242" s="660">
        <v>435000</v>
      </c>
      <c r="Q242" s="548"/>
      <c r="R242" s="660">
        <v>370000</v>
      </c>
      <c r="S242" s="549">
        <f t="shared" si="37"/>
        <v>65000</v>
      </c>
      <c r="T242" s="113" t="s">
        <v>263</v>
      </c>
      <c r="U242" s="369"/>
      <c r="V242" s="370"/>
      <c r="W242" s="375"/>
      <c r="X242" s="375"/>
      <c r="Y242" s="375"/>
      <c r="Z242" s="371"/>
      <c r="AA242" s="371"/>
      <c r="AB242" s="673"/>
      <c r="AC242" s="371"/>
      <c r="AD242" s="372"/>
      <c r="AE242" s="371"/>
      <c r="AF242" s="371"/>
      <c r="AG242" s="270"/>
      <c r="AH242" s="350"/>
      <c r="AI242" s="365"/>
      <c r="AJ242" s="374"/>
      <c r="AK242" s="374"/>
      <c r="AL242" s="374"/>
      <c r="AM242" s="374"/>
    </row>
    <row r="243" spans="1:39" s="348" customFormat="1" x14ac:dyDescent="0.2">
      <c r="A243" s="423">
        <f t="shared" si="38"/>
        <v>238</v>
      </c>
      <c r="B243" s="657" t="s">
        <v>2173</v>
      </c>
      <c r="C243" s="655">
        <v>38113</v>
      </c>
      <c r="D243" s="658" t="s">
        <v>721</v>
      </c>
      <c r="E243" s="655" t="s">
        <v>2210</v>
      </c>
      <c r="F243" s="546">
        <v>2017</v>
      </c>
      <c r="G243" s="659">
        <v>42809</v>
      </c>
      <c r="H243" s="655" t="s">
        <v>1211</v>
      </c>
      <c r="I243" s="655" t="s">
        <v>2366</v>
      </c>
      <c r="J243" s="655" t="s">
        <v>724</v>
      </c>
      <c r="K243" s="655" t="s">
        <v>2500</v>
      </c>
      <c r="L243" s="655" t="s">
        <v>2664</v>
      </c>
      <c r="M243" s="660">
        <v>112068.97</v>
      </c>
      <c r="N243" s="660">
        <v>0</v>
      </c>
      <c r="O243" s="660">
        <v>17931.03</v>
      </c>
      <c r="P243" s="660">
        <v>130000</v>
      </c>
      <c r="Q243" s="548"/>
      <c r="R243" s="660">
        <v>85972.41</v>
      </c>
      <c r="S243" s="549">
        <f t="shared" si="37"/>
        <v>44027.59</v>
      </c>
      <c r="T243" s="267" t="s">
        <v>263</v>
      </c>
      <c r="U243" s="369"/>
      <c r="V243" s="370"/>
      <c r="W243" s="375"/>
      <c r="X243" s="375"/>
      <c r="Y243" s="375"/>
      <c r="Z243" s="371"/>
      <c r="AA243" s="371"/>
      <c r="AB243" s="673"/>
      <c r="AC243" s="371"/>
      <c r="AD243" s="372"/>
      <c r="AE243" s="371"/>
      <c r="AF243" s="371"/>
      <c r="AG243" s="270"/>
      <c r="AH243" s="350"/>
      <c r="AI243" s="365"/>
      <c r="AJ243" s="330"/>
      <c r="AK243" s="330"/>
      <c r="AL243" s="330"/>
      <c r="AM243" s="330"/>
    </row>
    <row r="244" spans="1:39" s="291" customFormat="1" x14ac:dyDescent="0.2">
      <c r="A244" s="423">
        <f t="shared" si="38"/>
        <v>239</v>
      </c>
      <c r="B244" s="657" t="s">
        <v>2174</v>
      </c>
      <c r="C244" s="655">
        <v>38113</v>
      </c>
      <c r="D244" s="658" t="s">
        <v>721</v>
      </c>
      <c r="E244" s="655" t="s">
        <v>2210</v>
      </c>
      <c r="F244" s="546">
        <v>2017</v>
      </c>
      <c r="G244" s="659">
        <v>42810</v>
      </c>
      <c r="H244" s="655" t="s">
        <v>1211</v>
      </c>
      <c r="I244" s="655" t="s">
        <v>2366</v>
      </c>
      <c r="J244" s="655" t="s">
        <v>724</v>
      </c>
      <c r="K244" s="655" t="s">
        <v>2500</v>
      </c>
      <c r="L244" s="655" t="s">
        <v>2664</v>
      </c>
      <c r="M244" s="660">
        <v>-112068.97</v>
      </c>
      <c r="N244" s="660">
        <v>0</v>
      </c>
      <c r="O244" s="660">
        <v>-17931.03</v>
      </c>
      <c r="P244" s="660">
        <v>-130000</v>
      </c>
      <c r="Q244" s="548"/>
      <c r="R244" s="660">
        <v>-85972.41</v>
      </c>
      <c r="S244" s="549">
        <f t="shared" si="37"/>
        <v>-44027.59</v>
      </c>
      <c r="T244" s="113" t="s">
        <v>263</v>
      </c>
      <c r="U244" s="369"/>
      <c r="V244" s="370"/>
      <c r="W244" s="375"/>
      <c r="X244" s="375"/>
      <c r="Y244" s="375"/>
      <c r="Z244" s="371"/>
      <c r="AA244" s="371"/>
      <c r="AB244" s="673"/>
      <c r="AC244" s="371"/>
      <c r="AD244" s="372"/>
      <c r="AE244" s="371"/>
      <c r="AF244" s="371"/>
      <c r="AG244" s="270"/>
      <c r="AH244" s="350"/>
      <c r="AI244" s="365"/>
      <c r="AJ244" s="374"/>
      <c r="AK244" s="374"/>
      <c r="AL244" s="374"/>
      <c r="AM244" s="374"/>
    </row>
    <row r="245" spans="1:39" s="291" customFormat="1" x14ac:dyDescent="0.2">
      <c r="A245" s="423">
        <f t="shared" si="38"/>
        <v>240</v>
      </c>
      <c r="B245" s="657" t="s">
        <v>2175</v>
      </c>
      <c r="C245" s="655">
        <v>38113</v>
      </c>
      <c r="D245" s="658" t="s">
        <v>721</v>
      </c>
      <c r="E245" s="655" t="s">
        <v>2210</v>
      </c>
      <c r="F245" s="546">
        <v>2017</v>
      </c>
      <c r="G245" s="659">
        <v>42810</v>
      </c>
      <c r="H245" s="655" t="s">
        <v>1211</v>
      </c>
      <c r="I245" s="655" t="s">
        <v>2366</v>
      </c>
      <c r="J245" s="655" t="s">
        <v>724</v>
      </c>
      <c r="K245" s="655" t="s">
        <v>2500</v>
      </c>
      <c r="L245" s="655" t="s">
        <v>2664</v>
      </c>
      <c r="M245" s="660">
        <v>105172.41</v>
      </c>
      <c r="N245" s="660">
        <v>0</v>
      </c>
      <c r="O245" s="660">
        <v>16827.59</v>
      </c>
      <c r="P245" s="660">
        <v>122000</v>
      </c>
      <c r="Q245" s="548"/>
      <c r="R245" s="660">
        <v>85972.41</v>
      </c>
      <c r="S245" s="549">
        <f t="shared" si="37"/>
        <v>36027.589999999997</v>
      </c>
      <c r="T245" s="267" t="s">
        <v>263</v>
      </c>
      <c r="U245" s="369"/>
      <c r="V245" s="370"/>
      <c r="W245" s="375"/>
      <c r="X245" s="375"/>
      <c r="Y245" s="375"/>
      <c r="Z245" s="371"/>
      <c r="AA245" s="371"/>
      <c r="AB245" s="673"/>
      <c r="AC245" s="371"/>
      <c r="AD245" s="372"/>
      <c r="AE245" s="371"/>
      <c r="AF245" s="371"/>
      <c r="AG245" s="270"/>
      <c r="AH245" s="350"/>
      <c r="AI245" s="365"/>
      <c r="AJ245" s="374"/>
      <c r="AK245" s="374"/>
      <c r="AL245" s="374"/>
      <c r="AM245" s="374"/>
    </row>
    <row r="246" spans="1:39" s="291" customFormat="1" x14ac:dyDescent="0.2">
      <c r="A246" s="423">
        <f t="shared" si="38"/>
        <v>241</v>
      </c>
      <c r="B246" s="657" t="s">
        <v>2176</v>
      </c>
      <c r="C246" s="655">
        <v>590108</v>
      </c>
      <c r="D246" s="658" t="s">
        <v>721</v>
      </c>
      <c r="E246" s="655" t="s">
        <v>2210</v>
      </c>
      <c r="F246" s="546">
        <v>2017</v>
      </c>
      <c r="G246" s="659">
        <v>42810</v>
      </c>
      <c r="H246" s="655" t="s">
        <v>1211</v>
      </c>
      <c r="I246" s="655" t="s">
        <v>2367</v>
      </c>
      <c r="J246" s="655" t="s">
        <v>724</v>
      </c>
      <c r="K246" s="655" t="s">
        <v>2501</v>
      </c>
      <c r="L246" s="655" t="s">
        <v>2665</v>
      </c>
      <c r="M246" s="660">
        <v>179137.93</v>
      </c>
      <c r="N246" s="660">
        <v>0</v>
      </c>
      <c r="O246" s="660">
        <v>3862.07</v>
      </c>
      <c r="P246" s="660">
        <v>183000</v>
      </c>
      <c r="Q246" s="548"/>
      <c r="R246" s="660">
        <v>155000</v>
      </c>
      <c r="S246" s="549">
        <f t="shared" si="37"/>
        <v>28000</v>
      </c>
      <c r="T246" s="113" t="s">
        <v>263</v>
      </c>
      <c r="U246" s="369"/>
      <c r="V246" s="370"/>
      <c r="W246" s="375"/>
      <c r="X246" s="375"/>
      <c r="Y246" s="375"/>
      <c r="Z246" s="371"/>
      <c r="AA246" s="371"/>
      <c r="AB246" s="673"/>
      <c r="AC246" s="371"/>
      <c r="AD246" s="372"/>
      <c r="AE246" s="371"/>
      <c r="AF246" s="371"/>
      <c r="AG246" s="270"/>
      <c r="AH246" s="350"/>
      <c r="AI246" s="365"/>
      <c r="AJ246" s="330"/>
      <c r="AK246" s="374"/>
      <c r="AL246" s="374"/>
      <c r="AM246" s="374"/>
    </row>
    <row r="247" spans="1:39" s="348" customFormat="1" x14ac:dyDescent="0.2">
      <c r="A247" s="423">
        <f t="shared" si="38"/>
        <v>242</v>
      </c>
      <c r="B247" s="657" t="s">
        <v>2177</v>
      </c>
      <c r="C247" s="655">
        <v>1041551</v>
      </c>
      <c r="D247" s="658" t="s">
        <v>721</v>
      </c>
      <c r="E247" s="655" t="s">
        <v>2210</v>
      </c>
      <c r="F247" s="546">
        <v>2017</v>
      </c>
      <c r="G247" s="659">
        <v>42810</v>
      </c>
      <c r="H247" s="655" t="s">
        <v>1211</v>
      </c>
      <c r="I247" s="655" t="s">
        <v>2368</v>
      </c>
      <c r="J247" s="655" t="s">
        <v>724</v>
      </c>
      <c r="K247" s="655" t="s">
        <v>2502</v>
      </c>
      <c r="L247" s="655" t="s">
        <v>2666</v>
      </c>
      <c r="M247" s="660">
        <v>172413.79</v>
      </c>
      <c r="N247" s="660">
        <v>0</v>
      </c>
      <c r="O247" s="660">
        <v>27586.21</v>
      </c>
      <c r="P247" s="660">
        <v>200000</v>
      </c>
      <c r="Q247" s="548"/>
      <c r="R247" s="660">
        <v>146551.72</v>
      </c>
      <c r="S247" s="549">
        <f t="shared" si="37"/>
        <v>53448.28</v>
      </c>
      <c r="T247" s="113" t="s">
        <v>263</v>
      </c>
      <c r="U247" s="369"/>
      <c r="V247" s="370"/>
      <c r="W247" s="375"/>
      <c r="X247" s="375"/>
      <c r="Y247" s="375"/>
      <c r="Z247" s="371"/>
      <c r="AA247" s="371"/>
      <c r="AB247" s="673"/>
      <c r="AC247" s="371"/>
      <c r="AD247" s="372"/>
      <c r="AE247" s="371"/>
      <c r="AF247" s="371"/>
      <c r="AG247" s="270"/>
      <c r="AH247" s="350"/>
      <c r="AI247" s="365"/>
      <c r="AJ247" s="374"/>
      <c r="AK247" s="330"/>
      <c r="AL247" s="330"/>
      <c r="AM247" s="330"/>
    </row>
    <row r="248" spans="1:39" s="291" customFormat="1" x14ac:dyDescent="0.2">
      <c r="A248" s="423">
        <f t="shared" si="38"/>
        <v>243</v>
      </c>
      <c r="B248" s="657" t="s">
        <v>2178</v>
      </c>
      <c r="C248" s="655">
        <v>56502</v>
      </c>
      <c r="D248" s="658" t="s">
        <v>721</v>
      </c>
      <c r="E248" s="655" t="s">
        <v>2210</v>
      </c>
      <c r="F248" s="546">
        <v>2017</v>
      </c>
      <c r="G248" s="659">
        <v>42811</v>
      </c>
      <c r="H248" s="655" t="s">
        <v>1211</v>
      </c>
      <c r="I248" s="655" t="s">
        <v>2369</v>
      </c>
      <c r="J248" s="655" t="s">
        <v>724</v>
      </c>
      <c r="K248" s="655" t="s">
        <v>2503</v>
      </c>
      <c r="L248" s="655" t="s">
        <v>2667</v>
      </c>
      <c r="M248" s="660">
        <v>166379.31</v>
      </c>
      <c r="N248" s="660">
        <v>0</v>
      </c>
      <c r="O248" s="660">
        <v>26620.69</v>
      </c>
      <c r="P248" s="660">
        <v>193000</v>
      </c>
      <c r="Q248" s="548"/>
      <c r="R248" s="660">
        <v>140917.24</v>
      </c>
      <c r="S248" s="549">
        <f t="shared" si="37"/>
        <v>52082.760000000009</v>
      </c>
      <c r="T248" s="267" t="s">
        <v>263</v>
      </c>
      <c r="U248" s="369"/>
      <c r="V248" s="370"/>
      <c r="W248" s="375"/>
      <c r="X248" s="375"/>
      <c r="Y248" s="375"/>
      <c r="Z248" s="371"/>
      <c r="AA248" s="371"/>
      <c r="AB248" s="673"/>
      <c r="AC248" s="371"/>
      <c r="AD248" s="372"/>
      <c r="AE248" s="371"/>
      <c r="AF248" s="371"/>
      <c r="AG248" s="270"/>
      <c r="AH248" s="350"/>
      <c r="AI248" s="365"/>
      <c r="AJ248" s="374"/>
      <c r="AK248" s="374"/>
      <c r="AL248" s="374"/>
      <c r="AM248" s="374"/>
    </row>
    <row r="249" spans="1:39" s="291" customFormat="1" x14ac:dyDescent="0.2">
      <c r="A249" s="423"/>
      <c r="B249" s="657" t="s">
        <v>2179</v>
      </c>
      <c r="C249" s="655">
        <v>1041551</v>
      </c>
      <c r="D249" s="658" t="s">
        <v>721</v>
      </c>
      <c r="E249" s="655" t="s">
        <v>2210</v>
      </c>
      <c r="F249" s="546">
        <v>2017</v>
      </c>
      <c r="G249" s="659">
        <v>42811</v>
      </c>
      <c r="H249" s="655" t="s">
        <v>1211</v>
      </c>
      <c r="I249" s="655" t="s">
        <v>2368</v>
      </c>
      <c r="J249" s="655" t="s">
        <v>724</v>
      </c>
      <c r="K249" s="655" t="s">
        <v>2502</v>
      </c>
      <c r="L249" s="655" t="s">
        <v>2666</v>
      </c>
      <c r="M249" s="660">
        <v>-172413.79</v>
      </c>
      <c r="N249" s="660">
        <v>0</v>
      </c>
      <c r="O249" s="660">
        <v>-27586.21</v>
      </c>
      <c r="P249" s="660">
        <v>-200000</v>
      </c>
      <c r="Q249" s="548"/>
      <c r="R249" s="660">
        <v>-146551.72</v>
      </c>
      <c r="S249" s="549">
        <f t="shared" si="37"/>
        <v>-53448.28</v>
      </c>
      <c r="T249" s="267" t="s">
        <v>263</v>
      </c>
      <c r="U249" s="369"/>
      <c r="V249" s="370"/>
      <c r="W249" s="375"/>
      <c r="X249" s="375"/>
      <c r="Y249" s="375"/>
      <c r="Z249" s="371"/>
      <c r="AA249" s="371"/>
      <c r="AB249" s="673"/>
      <c r="AC249" s="371"/>
      <c r="AD249" s="372"/>
      <c r="AE249" s="371"/>
      <c r="AF249" s="371"/>
      <c r="AG249" s="270"/>
      <c r="AH249" s="350"/>
      <c r="AI249" s="365"/>
      <c r="AJ249" s="374"/>
      <c r="AK249" s="374"/>
      <c r="AL249" s="374"/>
      <c r="AM249" s="374"/>
    </row>
    <row r="250" spans="1:39" s="291" customFormat="1" x14ac:dyDescent="0.2">
      <c r="A250" s="423"/>
      <c r="B250" s="657" t="s">
        <v>2180</v>
      </c>
      <c r="C250" s="655">
        <v>1041551</v>
      </c>
      <c r="D250" s="658" t="s">
        <v>721</v>
      </c>
      <c r="E250" s="655" t="s">
        <v>2210</v>
      </c>
      <c r="F250" s="546">
        <v>2017</v>
      </c>
      <c r="G250" s="659">
        <v>42811</v>
      </c>
      <c r="H250" s="655" t="s">
        <v>1211</v>
      </c>
      <c r="I250" s="655" t="s">
        <v>2368</v>
      </c>
      <c r="J250" s="655" t="s">
        <v>724</v>
      </c>
      <c r="K250" s="655" t="s">
        <v>2502</v>
      </c>
      <c r="L250" s="655" t="s">
        <v>2666</v>
      </c>
      <c r="M250" s="660">
        <v>-172413.79</v>
      </c>
      <c r="N250" s="660">
        <v>0</v>
      </c>
      <c r="O250" s="660">
        <v>-27586.21</v>
      </c>
      <c r="P250" s="660">
        <v>-200000</v>
      </c>
      <c r="Q250" s="548"/>
      <c r="R250" s="660">
        <v>-146551.72</v>
      </c>
      <c r="S250" s="549">
        <f t="shared" si="37"/>
        <v>-53448.28</v>
      </c>
      <c r="T250" s="267" t="s">
        <v>263</v>
      </c>
      <c r="U250" s="369"/>
      <c r="V250" s="370"/>
      <c r="W250" s="375"/>
      <c r="X250" s="375"/>
      <c r="Y250" s="375"/>
      <c r="Z250" s="371"/>
      <c r="AA250" s="371"/>
      <c r="AB250" s="673"/>
      <c r="AC250" s="371"/>
      <c r="AD250" s="372"/>
      <c r="AE250" s="371"/>
      <c r="AF250" s="371"/>
      <c r="AG250" s="270"/>
      <c r="AH250" s="350"/>
      <c r="AI250" s="365"/>
      <c r="AJ250" s="374"/>
      <c r="AK250" s="374"/>
      <c r="AL250" s="374"/>
      <c r="AM250" s="374"/>
    </row>
    <row r="251" spans="1:39" s="291" customFormat="1" x14ac:dyDescent="0.2">
      <c r="A251" s="423"/>
      <c r="B251" s="657" t="s">
        <v>2181</v>
      </c>
      <c r="C251" s="655">
        <v>1041551</v>
      </c>
      <c r="D251" s="658" t="s">
        <v>721</v>
      </c>
      <c r="E251" s="655" t="s">
        <v>2210</v>
      </c>
      <c r="F251" s="546">
        <v>2017</v>
      </c>
      <c r="G251" s="659">
        <v>42811</v>
      </c>
      <c r="H251" s="655" t="s">
        <v>1211</v>
      </c>
      <c r="I251" s="655" t="s">
        <v>2368</v>
      </c>
      <c r="J251" s="655" t="s">
        <v>724</v>
      </c>
      <c r="K251" s="655" t="s">
        <v>2502</v>
      </c>
      <c r="L251" s="655" t="s">
        <v>2666</v>
      </c>
      <c r="M251" s="660">
        <v>172413.79</v>
      </c>
      <c r="N251" s="660">
        <v>0</v>
      </c>
      <c r="O251" s="660">
        <v>27586.21</v>
      </c>
      <c r="P251" s="660">
        <v>200000</v>
      </c>
      <c r="Q251" s="548"/>
      <c r="R251" s="660">
        <v>146551.72</v>
      </c>
      <c r="S251" s="549">
        <f t="shared" si="37"/>
        <v>53448.28</v>
      </c>
      <c r="T251" s="267" t="s">
        <v>263</v>
      </c>
      <c r="U251" s="369"/>
      <c r="V251" s="370"/>
      <c r="W251" s="375"/>
      <c r="X251" s="375"/>
      <c r="Y251" s="375"/>
      <c r="Z251" s="371"/>
      <c r="AA251" s="371"/>
      <c r="AB251" s="673"/>
      <c r="AC251" s="371"/>
      <c r="AD251" s="372"/>
      <c r="AE251" s="371"/>
      <c r="AF251" s="371"/>
      <c r="AG251" s="270"/>
      <c r="AH251" s="350"/>
      <c r="AI251" s="365"/>
      <c r="AJ251" s="374"/>
      <c r="AK251" s="374"/>
      <c r="AL251" s="374"/>
      <c r="AM251" s="374"/>
    </row>
    <row r="252" spans="1:39" s="291" customFormat="1" x14ac:dyDescent="0.2">
      <c r="A252" s="423"/>
      <c r="B252" s="657" t="s">
        <v>2182</v>
      </c>
      <c r="C252" s="655">
        <v>1041551</v>
      </c>
      <c r="D252" s="658" t="s">
        <v>721</v>
      </c>
      <c r="E252" s="655" t="s">
        <v>2210</v>
      </c>
      <c r="F252" s="546">
        <v>2017</v>
      </c>
      <c r="G252" s="659">
        <v>42811</v>
      </c>
      <c r="H252" s="655" t="s">
        <v>1211</v>
      </c>
      <c r="I252" s="655" t="s">
        <v>2368</v>
      </c>
      <c r="J252" s="655" t="s">
        <v>724</v>
      </c>
      <c r="K252" s="655" t="s">
        <v>2502</v>
      </c>
      <c r="L252" s="655" t="s">
        <v>2666</v>
      </c>
      <c r="M252" s="660">
        <v>172413.79</v>
      </c>
      <c r="N252" s="660">
        <v>0</v>
      </c>
      <c r="O252" s="660">
        <v>27586.21</v>
      </c>
      <c r="P252" s="660">
        <v>200000</v>
      </c>
      <c r="Q252" s="548"/>
      <c r="R252" s="660">
        <v>146551.72</v>
      </c>
      <c r="S252" s="549">
        <f t="shared" si="37"/>
        <v>53448.28</v>
      </c>
      <c r="T252" s="267" t="s">
        <v>263</v>
      </c>
      <c r="U252" s="369"/>
      <c r="V252" s="370"/>
      <c r="W252" s="375"/>
      <c r="X252" s="375"/>
      <c r="Y252" s="375"/>
      <c r="Z252" s="371"/>
      <c r="AA252" s="371"/>
      <c r="AB252" s="673"/>
      <c r="AC252" s="371"/>
      <c r="AD252" s="372"/>
      <c r="AE252" s="371"/>
      <c r="AF252" s="371"/>
      <c r="AG252" s="270"/>
      <c r="AH252" s="350"/>
      <c r="AI252" s="365"/>
      <c r="AJ252" s="374"/>
      <c r="AK252" s="374"/>
      <c r="AL252" s="374"/>
      <c r="AM252" s="374"/>
    </row>
    <row r="253" spans="1:39" s="291" customFormat="1" x14ac:dyDescent="0.2">
      <c r="A253" s="423"/>
      <c r="B253" s="657" t="s">
        <v>2183</v>
      </c>
      <c r="C253" s="655">
        <v>250718</v>
      </c>
      <c r="D253" s="658" t="s">
        <v>721</v>
      </c>
      <c r="E253" s="655" t="s">
        <v>2210</v>
      </c>
      <c r="F253" s="546">
        <v>2017</v>
      </c>
      <c r="G253" s="659">
        <v>42812</v>
      </c>
      <c r="H253" s="655" t="s">
        <v>2219</v>
      </c>
      <c r="I253" s="655" t="s">
        <v>2370</v>
      </c>
      <c r="J253" s="655" t="s">
        <v>724</v>
      </c>
      <c r="K253" s="655" t="s">
        <v>2504</v>
      </c>
      <c r="L253" s="655" t="s">
        <v>2668</v>
      </c>
      <c r="M253" s="660">
        <v>-265172.40999999997</v>
      </c>
      <c r="N253" s="660">
        <v>0</v>
      </c>
      <c r="O253" s="660">
        <v>-4827.59</v>
      </c>
      <c r="P253" s="660">
        <v>-270000</v>
      </c>
      <c r="Q253" s="548"/>
      <c r="R253" s="660">
        <v>-235000</v>
      </c>
      <c r="S253" s="549">
        <f t="shared" si="37"/>
        <v>-35000</v>
      </c>
      <c r="T253" s="267" t="s">
        <v>263</v>
      </c>
      <c r="U253" s="369"/>
      <c r="V253" s="370"/>
      <c r="W253" s="375"/>
      <c r="X253" s="375"/>
      <c r="Y253" s="375"/>
      <c r="Z253" s="371"/>
      <c r="AA253" s="371"/>
      <c r="AB253" s="673"/>
      <c r="AC253" s="371"/>
      <c r="AD253" s="372"/>
      <c r="AE253" s="371"/>
      <c r="AF253" s="371"/>
      <c r="AG253" s="270"/>
      <c r="AH253" s="350"/>
      <c r="AI253" s="365"/>
      <c r="AJ253" s="374"/>
      <c r="AK253" s="374"/>
      <c r="AL253" s="374"/>
      <c r="AM253" s="374"/>
    </row>
    <row r="254" spans="1:39" s="291" customFormat="1" x14ac:dyDescent="0.2">
      <c r="A254" s="423"/>
      <c r="B254" s="657" t="s">
        <v>2184</v>
      </c>
      <c r="C254" s="655">
        <v>250718</v>
      </c>
      <c r="D254" s="658" t="s">
        <v>721</v>
      </c>
      <c r="E254" s="655" t="s">
        <v>2210</v>
      </c>
      <c r="F254" s="546">
        <v>2017</v>
      </c>
      <c r="G254" s="659">
        <v>42812</v>
      </c>
      <c r="H254" s="655" t="s">
        <v>2219</v>
      </c>
      <c r="I254" s="655" t="s">
        <v>2370</v>
      </c>
      <c r="J254" s="655" t="s">
        <v>724</v>
      </c>
      <c r="K254" s="655" t="s">
        <v>2504</v>
      </c>
      <c r="L254" s="655" t="s">
        <v>2668</v>
      </c>
      <c r="M254" s="660">
        <v>265172.40999999997</v>
      </c>
      <c r="N254" s="660">
        <v>0</v>
      </c>
      <c r="O254" s="660">
        <v>4827.59</v>
      </c>
      <c r="P254" s="660">
        <v>270000</v>
      </c>
      <c r="Q254" s="548"/>
      <c r="R254" s="660">
        <v>235000</v>
      </c>
      <c r="S254" s="549">
        <f t="shared" si="37"/>
        <v>35000</v>
      </c>
      <c r="T254" s="267" t="s">
        <v>263</v>
      </c>
      <c r="U254" s="369"/>
      <c r="V254" s="370"/>
      <c r="W254" s="375"/>
      <c r="X254" s="375"/>
      <c r="Y254" s="375"/>
      <c r="Z254" s="371"/>
      <c r="AA254" s="371"/>
      <c r="AB254" s="673"/>
      <c r="AC254" s="371"/>
      <c r="AD254" s="372"/>
      <c r="AE254" s="371"/>
      <c r="AF254" s="371"/>
      <c r="AG254" s="270"/>
      <c r="AH254" s="350"/>
      <c r="AI254" s="365"/>
      <c r="AJ254" s="374"/>
      <c r="AK254" s="374"/>
      <c r="AL254" s="374"/>
      <c r="AM254" s="374"/>
    </row>
    <row r="255" spans="1:39" s="291" customFormat="1" x14ac:dyDescent="0.2">
      <c r="A255" s="423"/>
      <c r="B255" s="657" t="s">
        <v>2185</v>
      </c>
      <c r="C255" s="655">
        <v>250718</v>
      </c>
      <c r="D255" s="658" t="s">
        <v>721</v>
      </c>
      <c r="E255" s="655" t="s">
        <v>2210</v>
      </c>
      <c r="F255" s="546">
        <v>2017</v>
      </c>
      <c r="G255" s="659">
        <v>42812</v>
      </c>
      <c r="H255" s="655" t="s">
        <v>2219</v>
      </c>
      <c r="I255" s="655" t="s">
        <v>2370</v>
      </c>
      <c r="J255" s="655" t="s">
        <v>724</v>
      </c>
      <c r="K255" s="655" t="s">
        <v>2504</v>
      </c>
      <c r="L255" s="655" t="s">
        <v>2668</v>
      </c>
      <c r="M255" s="660">
        <v>265172.40999999997</v>
      </c>
      <c r="N255" s="660">
        <v>0</v>
      </c>
      <c r="O255" s="660">
        <v>4827.59</v>
      </c>
      <c r="P255" s="660">
        <v>270000</v>
      </c>
      <c r="Q255" s="548"/>
      <c r="R255" s="660">
        <v>235000</v>
      </c>
      <c r="S255" s="549">
        <f t="shared" si="37"/>
        <v>35000</v>
      </c>
      <c r="T255" s="267" t="s">
        <v>263</v>
      </c>
      <c r="U255" s="369"/>
      <c r="V255" s="370"/>
      <c r="W255" s="375"/>
      <c r="X255" s="375"/>
      <c r="Y255" s="375"/>
      <c r="Z255" s="371"/>
      <c r="AA255" s="371"/>
      <c r="AB255" s="673"/>
      <c r="AC255" s="371"/>
      <c r="AD255" s="372"/>
      <c r="AE255" s="371"/>
      <c r="AF255" s="371"/>
      <c r="AG255" s="270"/>
      <c r="AH255" s="350"/>
      <c r="AI255" s="365"/>
      <c r="AJ255" s="374"/>
      <c r="AK255" s="374"/>
      <c r="AL255" s="374"/>
      <c r="AM255" s="374"/>
    </row>
    <row r="256" spans="1:39" s="291" customFormat="1" x14ac:dyDescent="0.2">
      <c r="A256" s="423"/>
      <c r="B256" s="657" t="s">
        <v>2186</v>
      </c>
      <c r="C256" s="655">
        <v>250718</v>
      </c>
      <c r="D256" s="658" t="s">
        <v>721</v>
      </c>
      <c r="E256" s="655" t="s">
        <v>2210</v>
      </c>
      <c r="F256" s="546">
        <v>2017</v>
      </c>
      <c r="G256" s="659">
        <v>42815</v>
      </c>
      <c r="H256" s="655" t="s">
        <v>2219</v>
      </c>
      <c r="I256" s="655" t="s">
        <v>2370</v>
      </c>
      <c r="J256" s="655" t="s">
        <v>724</v>
      </c>
      <c r="K256" s="655" t="s">
        <v>2504</v>
      </c>
      <c r="L256" s="655" t="s">
        <v>2668</v>
      </c>
      <c r="M256" s="660">
        <v>-265172.40999999997</v>
      </c>
      <c r="N256" s="660">
        <v>0</v>
      </c>
      <c r="O256" s="660">
        <v>-4827.59</v>
      </c>
      <c r="P256" s="660">
        <v>-270000</v>
      </c>
      <c r="Q256" s="548"/>
      <c r="R256" s="660">
        <v>-235000</v>
      </c>
      <c r="S256" s="549">
        <f t="shared" si="37"/>
        <v>-35000</v>
      </c>
      <c r="T256" s="267" t="s">
        <v>263</v>
      </c>
      <c r="U256" s="369"/>
      <c r="V256" s="370"/>
      <c r="W256" s="375"/>
      <c r="X256" s="375"/>
      <c r="Y256" s="375"/>
      <c r="Z256" s="371"/>
      <c r="AA256" s="371"/>
      <c r="AB256" s="673"/>
      <c r="AC256" s="371"/>
      <c r="AD256" s="372"/>
      <c r="AE256" s="371"/>
      <c r="AF256" s="371"/>
      <c r="AG256" s="270"/>
      <c r="AH256" s="350"/>
      <c r="AI256" s="365"/>
      <c r="AJ256" s="374"/>
      <c r="AK256" s="374"/>
      <c r="AL256" s="374"/>
      <c r="AM256" s="374"/>
    </row>
    <row r="257" spans="1:39" s="291" customFormat="1" x14ac:dyDescent="0.2">
      <c r="A257" s="423"/>
      <c r="B257" s="657" t="s">
        <v>2187</v>
      </c>
      <c r="C257" s="655">
        <v>250718</v>
      </c>
      <c r="D257" s="658" t="s">
        <v>721</v>
      </c>
      <c r="E257" s="655" t="s">
        <v>2210</v>
      </c>
      <c r="F257" s="546">
        <v>2017</v>
      </c>
      <c r="G257" s="659">
        <v>42815</v>
      </c>
      <c r="H257" s="655" t="s">
        <v>2219</v>
      </c>
      <c r="I257" s="655" t="s">
        <v>2370</v>
      </c>
      <c r="J257" s="655" t="s">
        <v>724</v>
      </c>
      <c r="K257" s="655" t="s">
        <v>2504</v>
      </c>
      <c r="L257" s="655" t="s">
        <v>2668</v>
      </c>
      <c r="M257" s="660">
        <v>265172.40999999997</v>
      </c>
      <c r="N257" s="660">
        <v>0</v>
      </c>
      <c r="O257" s="660">
        <v>4827.59</v>
      </c>
      <c r="P257" s="660">
        <v>270000</v>
      </c>
      <c r="Q257" s="548"/>
      <c r="R257" s="660">
        <v>235000</v>
      </c>
      <c r="S257" s="549">
        <f t="shared" si="37"/>
        <v>35000</v>
      </c>
      <c r="T257" s="267" t="s">
        <v>263</v>
      </c>
      <c r="U257" s="369"/>
      <c r="V257" s="370"/>
      <c r="W257" s="375"/>
      <c r="X257" s="375"/>
      <c r="Y257" s="375"/>
      <c r="Z257" s="371"/>
      <c r="AA257" s="371"/>
      <c r="AB257" s="673"/>
      <c r="AC257" s="371"/>
      <c r="AD257" s="372"/>
      <c r="AE257" s="371"/>
      <c r="AF257" s="371"/>
      <c r="AG257" s="270"/>
      <c r="AH257" s="350"/>
      <c r="AI257" s="365"/>
      <c r="AJ257" s="374"/>
      <c r="AK257" s="374"/>
      <c r="AL257" s="374"/>
      <c r="AM257" s="374"/>
    </row>
    <row r="258" spans="1:39" s="291" customFormat="1" x14ac:dyDescent="0.2">
      <c r="A258" s="423"/>
      <c r="B258" s="657" t="s">
        <v>2188</v>
      </c>
      <c r="C258" s="655">
        <v>72505</v>
      </c>
      <c r="D258" s="658" t="s">
        <v>721</v>
      </c>
      <c r="E258" s="655" t="s">
        <v>2210</v>
      </c>
      <c r="F258" s="546">
        <v>2017</v>
      </c>
      <c r="G258" s="659">
        <v>42816</v>
      </c>
      <c r="H258" s="655" t="s">
        <v>764</v>
      </c>
      <c r="I258" s="655" t="s">
        <v>2371</v>
      </c>
      <c r="J258" s="655" t="s">
        <v>724</v>
      </c>
      <c r="K258" s="655" t="s">
        <v>2505</v>
      </c>
      <c r="L258" s="655" t="s">
        <v>2669</v>
      </c>
      <c r="M258" s="660">
        <v>210172.41</v>
      </c>
      <c r="N258" s="660">
        <v>0</v>
      </c>
      <c r="O258" s="660">
        <v>4827.59</v>
      </c>
      <c r="P258" s="660">
        <v>215000</v>
      </c>
      <c r="Q258" s="548"/>
      <c r="R258" s="660">
        <v>180000</v>
      </c>
      <c r="S258" s="549">
        <f t="shared" si="37"/>
        <v>35000</v>
      </c>
      <c r="T258" s="267" t="s">
        <v>263</v>
      </c>
      <c r="U258" s="369"/>
      <c r="V258" s="370"/>
      <c r="W258" s="375"/>
      <c r="X258" s="375"/>
      <c r="Y258" s="375"/>
      <c r="Z258" s="371"/>
      <c r="AA258" s="371"/>
      <c r="AB258" s="673"/>
      <c r="AC258" s="371"/>
      <c r="AD258" s="372"/>
      <c r="AE258" s="371"/>
      <c r="AF258" s="371"/>
      <c r="AG258" s="270"/>
      <c r="AH258" s="350"/>
      <c r="AI258" s="365"/>
      <c r="AJ258" s="374"/>
      <c r="AK258" s="374"/>
      <c r="AL258" s="374"/>
      <c r="AM258" s="374"/>
    </row>
    <row r="259" spans="1:39" s="291" customFormat="1" x14ac:dyDescent="0.2">
      <c r="A259" s="423"/>
      <c r="B259" s="657" t="s">
        <v>2189</v>
      </c>
      <c r="C259" s="655">
        <v>56602</v>
      </c>
      <c r="D259" s="658" t="s">
        <v>721</v>
      </c>
      <c r="E259" s="655" t="s">
        <v>2210</v>
      </c>
      <c r="F259" s="546">
        <v>2017</v>
      </c>
      <c r="G259" s="659">
        <v>42816</v>
      </c>
      <c r="H259" s="655" t="s">
        <v>1191</v>
      </c>
      <c r="I259" s="655" t="s">
        <v>2372</v>
      </c>
      <c r="J259" s="655" t="s">
        <v>724</v>
      </c>
      <c r="K259" s="655" t="s">
        <v>1766</v>
      </c>
      <c r="L259" s="655" t="s">
        <v>2670</v>
      </c>
      <c r="M259" s="660">
        <v>130689.66</v>
      </c>
      <c r="N259" s="660">
        <v>0</v>
      </c>
      <c r="O259" s="660">
        <v>3310.34</v>
      </c>
      <c r="P259" s="660">
        <v>134000</v>
      </c>
      <c r="Q259" s="548"/>
      <c r="R259" s="660">
        <v>110000</v>
      </c>
      <c r="S259" s="549">
        <f t="shared" si="37"/>
        <v>24000</v>
      </c>
      <c r="T259" s="267" t="s">
        <v>263</v>
      </c>
      <c r="U259" s="369"/>
      <c r="V259" s="370"/>
      <c r="W259" s="375"/>
      <c r="X259" s="375"/>
      <c r="Y259" s="375"/>
      <c r="Z259" s="371"/>
      <c r="AA259" s="371"/>
      <c r="AB259" s="673"/>
      <c r="AC259" s="371"/>
      <c r="AD259" s="372"/>
      <c r="AE259" s="371"/>
      <c r="AF259" s="371"/>
      <c r="AG259" s="270"/>
      <c r="AH259" s="350"/>
      <c r="AI259" s="365"/>
      <c r="AJ259" s="374"/>
      <c r="AK259" s="374"/>
      <c r="AL259" s="374"/>
      <c r="AM259" s="374"/>
    </row>
    <row r="260" spans="1:39" s="291" customFormat="1" x14ac:dyDescent="0.2">
      <c r="A260" s="423"/>
      <c r="B260" s="657" t="s">
        <v>2190</v>
      </c>
      <c r="C260" s="655">
        <v>39502</v>
      </c>
      <c r="D260" s="658" t="s">
        <v>721</v>
      </c>
      <c r="E260" s="655" t="s">
        <v>2210</v>
      </c>
      <c r="F260" s="546">
        <v>2017</v>
      </c>
      <c r="G260" s="659">
        <v>42816</v>
      </c>
      <c r="H260" s="655" t="s">
        <v>912</v>
      </c>
      <c r="I260" s="655" t="s">
        <v>2373</v>
      </c>
      <c r="J260" s="655" t="s">
        <v>724</v>
      </c>
      <c r="K260" s="655" t="s">
        <v>2506</v>
      </c>
      <c r="L260" s="655" t="s">
        <v>2671</v>
      </c>
      <c r="M260" s="660">
        <v>221896.55</v>
      </c>
      <c r="N260" s="660">
        <v>0</v>
      </c>
      <c r="O260" s="660">
        <v>5103.45</v>
      </c>
      <c r="P260" s="660">
        <v>227000</v>
      </c>
      <c r="Q260" s="548"/>
      <c r="R260" s="660">
        <v>190000</v>
      </c>
      <c r="S260" s="549">
        <f t="shared" si="37"/>
        <v>37000</v>
      </c>
      <c r="T260" s="267" t="s">
        <v>263</v>
      </c>
      <c r="U260" s="369"/>
      <c r="V260" s="370"/>
      <c r="W260" s="375"/>
      <c r="X260" s="375"/>
      <c r="Y260" s="375"/>
      <c r="Z260" s="371"/>
      <c r="AA260" s="371"/>
      <c r="AB260" s="673"/>
      <c r="AC260" s="371"/>
      <c r="AD260" s="372"/>
      <c r="AE260" s="371"/>
      <c r="AF260" s="371"/>
      <c r="AG260" s="270"/>
      <c r="AH260" s="350"/>
      <c r="AI260" s="365"/>
      <c r="AJ260" s="374"/>
      <c r="AK260" s="374"/>
      <c r="AL260" s="374"/>
      <c r="AM260" s="374"/>
    </row>
    <row r="261" spans="1:39" s="291" customFormat="1" x14ac:dyDescent="0.2">
      <c r="A261" s="423"/>
      <c r="B261" s="657" t="s">
        <v>2191</v>
      </c>
      <c r="C261" s="655">
        <v>11063</v>
      </c>
      <c r="D261" s="658" t="s">
        <v>721</v>
      </c>
      <c r="E261" s="655" t="s">
        <v>2210</v>
      </c>
      <c r="F261" s="546">
        <v>2016</v>
      </c>
      <c r="G261" s="659">
        <v>42816</v>
      </c>
      <c r="H261" s="655" t="s">
        <v>1207</v>
      </c>
      <c r="I261" s="655" t="s">
        <v>2374</v>
      </c>
      <c r="J261" s="655" t="s">
        <v>724</v>
      </c>
      <c r="K261" s="655" t="s">
        <v>2507</v>
      </c>
      <c r="L261" s="655" t="s">
        <v>2672</v>
      </c>
      <c r="M261" s="660">
        <v>189655.17</v>
      </c>
      <c r="N261" s="660">
        <v>0</v>
      </c>
      <c r="O261" s="660">
        <v>30344.83</v>
      </c>
      <c r="P261" s="660">
        <v>220000</v>
      </c>
      <c r="Q261" s="548"/>
      <c r="R261" s="660">
        <v>157758.62</v>
      </c>
      <c r="S261" s="549">
        <f t="shared" si="37"/>
        <v>62241.380000000005</v>
      </c>
      <c r="T261" s="267" t="s">
        <v>263</v>
      </c>
      <c r="U261" s="369"/>
      <c r="V261" s="370"/>
      <c r="W261" s="375"/>
      <c r="X261" s="375"/>
      <c r="Y261" s="375"/>
      <c r="Z261" s="371"/>
      <c r="AA261" s="371"/>
      <c r="AB261" s="673"/>
      <c r="AC261" s="371"/>
      <c r="AD261" s="372"/>
      <c r="AE261" s="371"/>
      <c r="AF261" s="371"/>
      <c r="AG261" s="270"/>
      <c r="AH261" s="350"/>
      <c r="AI261" s="365"/>
      <c r="AJ261" s="374"/>
      <c r="AK261" s="374"/>
      <c r="AL261" s="374"/>
      <c r="AM261" s="374"/>
    </row>
    <row r="262" spans="1:39" s="291" customFormat="1" x14ac:dyDescent="0.2">
      <c r="A262" s="423"/>
      <c r="B262" s="657" t="s">
        <v>2192</v>
      </c>
      <c r="C262" s="655">
        <v>72402</v>
      </c>
      <c r="D262" s="658" t="s">
        <v>721</v>
      </c>
      <c r="E262" s="655" t="s">
        <v>2210</v>
      </c>
      <c r="F262" s="546">
        <v>2017</v>
      </c>
      <c r="G262" s="659">
        <v>42818</v>
      </c>
      <c r="H262" s="655" t="s">
        <v>912</v>
      </c>
      <c r="I262" s="655" t="s">
        <v>2375</v>
      </c>
      <c r="J262" s="655" t="s">
        <v>724</v>
      </c>
      <c r="K262" s="655" t="s">
        <v>2508</v>
      </c>
      <c r="L262" s="655" t="s">
        <v>2673</v>
      </c>
      <c r="M262" s="660">
        <v>127586.21</v>
      </c>
      <c r="N262" s="660">
        <v>0</v>
      </c>
      <c r="O262" s="660">
        <v>20413.79</v>
      </c>
      <c r="P262" s="660">
        <v>148000</v>
      </c>
      <c r="Q262" s="548"/>
      <c r="R262" s="660">
        <v>125150</v>
      </c>
      <c r="S262" s="549">
        <f t="shared" ref="S262:S276" si="39">+P262-R262</f>
        <v>22850</v>
      </c>
      <c r="T262" s="267" t="s">
        <v>263</v>
      </c>
      <c r="U262" s="369"/>
      <c r="V262" s="370"/>
      <c r="W262" s="375"/>
      <c r="X262" s="375"/>
      <c r="Y262" s="375"/>
      <c r="Z262" s="371"/>
      <c r="AA262" s="371"/>
      <c r="AB262" s="673"/>
      <c r="AC262" s="371"/>
      <c r="AD262" s="372"/>
      <c r="AE262" s="371"/>
      <c r="AF262" s="371"/>
      <c r="AG262" s="270"/>
      <c r="AH262" s="350"/>
      <c r="AI262" s="365"/>
      <c r="AJ262" s="374"/>
      <c r="AK262" s="374"/>
      <c r="AL262" s="374"/>
      <c r="AM262" s="374"/>
    </row>
    <row r="263" spans="1:39" s="291" customFormat="1" x14ac:dyDescent="0.2">
      <c r="A263" s="423"/>
      <c r="B263" s="657" t="s">
        <v>2193</v>
      </c>
      <c r="C263" s="655">
        <v>38504</v>
      </c>
      <c r="D263" s="658" t="s">
        <v>721</v>
      </c>
      <c r="E263" s="655" t="s">
        <v>2210</v>
      </c>
      <c r="F263" s="546">
        <v>2017</v>
      </c>
      <c r="G263" s="659">
        <v>42819</v>
      </c>
      <c r="H263" s="655" t="s">
        <v>735</v>
      </c>
      <c r="I263" s="655" t="s">
        <v>2376</v>
      </c>
      <c r="J263" s="655" t="s">
        <v>724</v>
      </c>
      <c r="K263" s="655" t="s">
        <v>2509</v>
      </c>
      <c r="L263" s="655" t="s">
        <v>2674</v>
      </c>
      <c r="M263" s="660">
        <v>120862.07</v>
      </c>
      <c r="N263" s="660">
        <v>0</v>
      </c>
      <c r="O263" s="660">
        <v>4137.93</v>
      </c>
      <c r="P263" s="660">
        <v>125000</v>
      </c>
      <c r="Q263" s="548"/>
      <c r="R263" s="660">
        <v>95000</v>
      </c>
      <c r="S263" s="549">
        <f t="shared" si="39"/>
        <v>30000</v>
      </c>
      <c r="T263" s="267" t="s">
        <v>263</v>
      </c>
      <c r="U263" s="369"/>
      <c r="V263" s="370"/>
      <c r="W263" s="375"/>
      <c r="X263" s="375"/>
      <c r="Y263" s="375"/>
      <c r="Z263" s="371"/>
      <c r="AA263" s="371"/>
      <c r="AB263" s="673"/>
      <c r="AC263" s="371"/>
      <c r="AD263" s="372"/>
      <c r="AE263" s="371"/>
      <c r="AF263" s="371"/>
      <c r="AG263" s="270"/>
      <c r="AH263" s="350"/>
      <c r="AI263" s="365"/>
      <c r="AJ263" s="374"/>
      <c r="AK263" s="374"/>
      <c r="AL263" s="374"/>
      <c r="AM263" s="374"/>
    </row>
    <row r="264" spans="1:39" s="291" customFormat="1" x14ac:dyDescent="0.2">
      <c r="A264" s="423"/>
      <c r="B264" s="657" t="s">
        <v>2194</v>
      </c>
      <c r="C264" s="655">
        <v>38110</v>
      </c>
      <c r="D264" s="658" t="s">
        <v>721</v>
      </c>
      <c r="E264" s="655" t="s">
        <v>2210</v>
      </c>
      <c r="F264" s="546">
        <v>2017</v>
      </c>
      <c r="G264" s="659">
        <v>42819</v>
      </c>
      <c r="H264" s="655" t="s">
        <v>912</v>
      </c>
      <c r="I264" s="655" t="s">
        <v>2377</v>
      </c>
      <c r="J264" s="655" t="s">
        <v>724</v>
      </c>
      <c r="K264" s="655" t="s">
        <v>2508</v>
      </c>
      <c r="L264" s="655" t="s">
        <v>2675</v>
      </c>
      <c r="M264" s="660">
        <v>143862.07</v>
      </c>
      <c r="N264" s="660">
        <v>0</v>
      </c>
      <c r="O264" s="660">
        <v>4137.93</v>
      </c>
      <c r="P264" s="660">
        <v>148000</v>
      </c>
      <c r="Q264" s="548"/>
      <c r="R264" s="660">
        <v>118000</v>
      </c>
      <c r="S264" s="549">
        <f t="shared" si="39"/>
        <v>30000</v>
      </c>
      <c r="T264" s="267" t="s">
        <v>263</v>
      </c>
      <c r="U264" s="369"/>
      <c r="V264" s="370"/>
      <c r="W264" s="375"/>
      <c r="X264" s="375"/>
      <c r="Y264" s="375"/>
      <c r="Z264" s="371"/>
      <c r="AA264" s="371"/>
      <c r="AB264" s="673"/>
      <c r="AC264" s="371"/>
      <c r="AD264" s="372"/>
      <c r="AE264" s="371"/>
      <c r="AF264" s="371"/>
      <c r="AG264" s="270"/>
      <c r="AH264" s="350"/>
      <c r="AI264" s="365"/>
      <c r="AJ264" s="374"/>
      <c r="AK264" s="374"/>
      <c r="AL264" s="374"/>
      <c r="AM264" s="374"/>
    </row>
    <row r="265" spans="1:39" s="291" customFormat="1" x14ac:dyDescent="0.2">
      <c r="A265" s="423"/>
      <c r="B265" s="657" t="s">
        <v>2195</v>
      </c>
      <c r="C265" s="655">
        <v>72402</v>
      </c>
      <c r="D265" s="658" t="s">
        <v>721</v>
      </c>
      <c r="E265" s="655" t="s">
        <v>2210</v>
      </c>
      <c r="F265" s="546">
        <v>2017</v>
      </c>
      <c r="G265" s="659">
        <v>42819</v>
      </c>
      <c r="H265" s="655" t="s">
        <v>912</v>
      </c>
      <c r="I265" s="655" t="s">
        <v>2375</v>
      </c>
      <c r="J265" s="655" t="s">
        <v>724</v>
      </c>
      <c r="K265" s="655" t="s">
        <v>2508</v>
      </c>
      <c r="L265" s="655" t="s">
        <v>2673</v>
      </c>
      <c r="M265" s="660">
        <v>-127586.21</v>
      </c>
      <c r="N265" s="660">
        <v>0</v>
      </c>
      <c r="O265" s="660">
        <v>-20413.79</v>
      </c>
      <c r="P265" s="660">
        <v>-148000</v>
      </c>
      <c r="Q265" s="548"/>
      <c r="R265" s="660">
        <v>-125150</v>
      </c>
      <c r="S265" s="549">
        <f t="shared" si="39"/>
        <v>-22850</v>
      </c>
      <c r="T265" s="267" t="s">
        <v>263</v>
      </c>
      <c r="U265" s="369"/>
      <c r="V265" s="370"/>
      <c r="W265" s="375"/>
      <c r="X265" s="375"/>
      <c r="Y265" s="375"/>
      <c r="Z265" s="371"/>
      <c r="AA265" s="371"/>
      <c r="AB265" s="673"/>
      <c r="AC265" s="371"/>
      <c r="AD265" s="372"/>
      <c r="AE265" s="371"/>
      <c r="AF265" s="371"/>
      <c r="AG265" s="270"/>
      <c r="AH265" s="350"/>
      <c r="AI265" s="365"/>
      <c r="AJ265" s="374"/>
      <c r="AK265" s="374"/>
      <c r="AL265" s="374"/>
      <c r="AM265" s="374"/>
    </row>
    <row r="266" spans="1:39" s="291" customFormat="1" x14ac:dyDescent="0.2">
      <c r="A266" s="423"/>
      <c r="B266" s="657" t="s">
        <v>2196</v>
      </c>
      <c r="C266" s="655">
        <v>1033301</v>
      </c>
      <c r="D266" s="658" t="s">
        <v>721</v>
      </c>
      <c r="E266" s="655" t="s">
        <v>2210</v>
      </c>
      <c r="F266" s="546">
        <v>2017</v>
      </c>
      <c r="G266" s="659">
        <v>42819</v>
      </c>
      <c r="H266" s="655" t="s">
        <v>1207</v>
      </c>
      <c r="I266" s="655" t="s">
        <v>2378</v>
      </c>
      <c r="J266" s="655" t="s">
        <v>724</v>
      </c>
      <c r="K266" s="655" t="s">
        <v>2510</v>
      </c>
      <c r="L266" s="655" t="s">
        <v>2676</v>
      </c>
      <c r="M266" s="660">
        <v>215517.24</v>
      </c>
      <c r="N266" s="660">
        <v>0</v>
      </c>
      <c r="O266" s="660">
        <v>34482.76</v>
      </c>
      <c r="P266" s="660">
        <v>250000</v>
      </c>
      <c r="Q266" s="548"/>
      <c r="R266" s="660">
        <v>172413.8</v>
      </c>
      <c r="S266" s="549">
        <f t="shared" si="39"/>
        <v>77586.200000000012</v>
      </c>
      <c r="T266" s="267" t="s">
        <v>263</v>
      </c>
      <c r="U266" s="369"/>
      <c r="V266" s="370"/>
      <c r="W266" s="375"/>
      <c r="X266" s="375"/>
      <c r="Y266" s="375"/>
      <c r="Z266" s="371"/>
      <c r="AA266" s="371"/>
      <c r="AB266" s="673"/>
      <c r="AC266" s="371"/>
      <c r="AD266" s="372"/>
      <c r="AE266" s="371"/>
      <c r="AF266" s="371"/>
      <c r="AG266" s="270"/>
      <c r="AH266" s="350"/>
      <c r="AI266" s="365"/>
      <c r="AJ266" s="374"/>
      <c r="AK266" s="374"/>
      <c r="AL266" s="374"/>
      <c r="AM266" s="374"/>
    </row>
    <row r="267" spans="1:39" s="291" customFormat="1" x14ac:dyDescent="0.2">
      <c r="A267" s="423"/>
      <c r="B267" s="657" t="s">
        <v>2197</v>
      </c>
      <c r="C267" s="655">
        <v>39003</v>
      </c>
      <c r="D267" s="658" t="s">
        <v>721</v>
      </c>
      <c r="E267" s="655" t="s">
        <v>2210</v>
      </c>
      <c r="F267" s="546">
        <v>2017</v>
      </c>
      <c r="G267" s="659">
        <v>42821</v>
      </c>
      <c r="H267" s="655" t="s">
        <v>2220</v>
      </c>
      <c r="I267" s="655" t="s">
        <v>2379</v>
      </c>
      <c r="J267" s="655" t="s">
        <v>724</v>
      </c>
      <c r="K267" s="655" t="s">
        <v>2511</v>
      </c>
      <c r="L267" s="655" t="s">
        <v>2677</v>
      </c>
      <c r="M267" s="660">
        <v>98965.52</v>
      </c>
      <c r="N267" s="660">
        <v>0</v>
      </c>
      <c r="O267" s="660">
        <v>3034.48</v>
      </c>
      <c r="P267" s="660">
        <v>102000</v>
      </c>
      <c r="Q267" s="548"/>
      <c r="R267" s="660">
        <v>80000</v>
      </c>
      <c r="S267" s="549">
        <f t="shared" si="39"/>
        <v>22000</v>
      </c>
      <c r="T267" s="267" t="s">
        <v>263</v>
      </c>
      <c r="U267" s="369"/>
      <c r="V267" s="370"/>
      <c r="W267" s="375"/>
      <c r="X267" s="375"/>
      <c r="Y267" s="375"/>
      <c r="Z267" s="371"/>
      <c r="AA267" s="371"/>
      <c r="AB267" s="673"/>
      <c r="AC267" s="371"/>
      <c r="AD267" s="372"/>
      <c r="AE267" s="371"/>
      <c r="AF267" s="371"/>
      <c r="AG267" s="270"/>
      <c r="AH267" s="350"/>
      <c r="AI267" s="365"/>
      <c r="AJ267" s="374"/>
      <c r="AK267" s="374"/>
      <c r="AL267" s="374"/>
      <c r="AM267" s="374"/>
    </row>
    <row r="268" spans="1:39" s="291" customFormat="1" x14ac:dyDescent="0.2">
      <c r="A268" s="423"/>
      <c r="B268" s="657" t="s">
        <v>2198</v>
      </c>
      <c r="C268" s="655">
        <v>39006</v>
      </c>
      <c r="D268" s="658" t="s">
        <v>721</v>
      </c>
      <c r="E268" s="655" t="s">
        <v>2210</v>
      </c>
      <c r="F268" s="546">
        <v>2017</v>
      </c>
      <c r="G268" s="659">
        <v>42821</v>
      </c>
      <c r="H268" s="655" t="s">
        <v>1191</v>
      </c>
      <c r="I268" s="655" t="s">
        <v>2380</v>
      </c>
      <c r="J268" s="655" t="s">
        <v>724</v>
      </c>
      <c r="K268" s="655" t="s">
        <v>2512</v>
      </c>
      <c r="L268" s="655" t="s">
        <v>2678</v>
      </c>
      <c r="M268" s="660">
        <v>136551.72</v>
      </c>
      <c r="N268" s="660">
        <v>0</v>
      </c>
      <c r="O268" s="660">
        <v>3448.28</v>
      </c>
      <c r="P268" s="660">
        <v>140000</v>
      </c>
      <c r="Q268" s="548"/>
      <c r="R268" s="660">
        <v>115000</v>
      </c>
      <c r="S268" s="549">
        <f t="shared" si="39"/>
        <v>25000</v>
      </c>
      <c r="T268" s="267" t="s">
        <v>263</v>
      </c>
      <c r="U268" s="369"/>
      <c r="V268" s="370"/>
      <c r="W268" s="375"/>
      <c r="X268" s="375"/>
      <c r="Y268" s="375"/>
      <c r="Z268" s="371"/>
      <c r="AA268" s="371"/>
      <c r="AB268" s="673"/>
      <c r="AC268" s="371"/>
      <c r="AD268" s="372"/>
      <c r="AE268" s="371"/>
      <c r="AF268" s="371"/>
      <c r="AG268" s="270"/>
      <c r="AH268" s="350"/>
      <c r="AI268" s="365"/>
      <c r="AJ268" s="374"/>
      <c r="AK268" s="374"/>
      <c r="AL268" s="374"/>
      <c r="AM268" s="374"/>
    </row>
    <row r="269" spans="1:39" s="291" customFormat="1" x14ac:dyDescent="0.2">
      <c r="A269" s="423"/>
      <c r="B269" s="657" t="s">
        <v>2199</v>
      </c>
      <c r="C269" s="655">
        <v>490508</v>
      </c>
      <c r="D269" s="658" t="s">
        <v>721</v>
      </c>
      <c r="E269" s="655" t="s">
        <v>2210</v>
      </c>
      <c r="F269" s="546">
        <v>2017</v>
      </c>
      <c r="G269" s="659">
        <v>42821</v>
      </c>
      <c r="H269" s="655" t="s">
        <v>751</v>
      </c>
      <c r="I269" s="655" t="s">
        <v>2381</v>
      </c>
      <c r="J269" s="655" t="s">
        <v>724</v>
      </c>
      <c r="K269" s="655" t="s">
        <v>2513</v>
      </c>
      <c r="L269" s="655" t="s">
        <v>2679</v>
      </c>
      <c r="M269" s="660">
        <v>67931.03</v>
      </c>
      <c r="N269" s="660">
        <v>0</v>
      </c>
      <c r="O269" s="660">
        <v>2068.9699999999998</v>
      </c>
      <c r="P269" s="660">
        <v>70000</v>
      </c>
      <c r="Q269" s="548"/>
      <c r="R269" s="660">
        <v>55000</v>
      </c>
      <c r="S269" s="549">
        <f t="shared" si="39"/>
        <v>15000</v>
      </c>
      <c r="T269" s="267" t="s">
        <v>263</v>
      </c>
      <c r="U269" s="369"/>
      <c r="V269" s="370"/>
      <c r="W269" s="375"/>
      <c r="X269" s="375"/>
      <c r="Y269" s="375"/>
      <c r="Z269" s="371"/>
      <c r="AA269" s="371"/>
      <c r="AB269" s="673"/>
      <c r="AC269" s="371"/>
      <c r="AD269" s="372"/>
      <c r="AE269" s="371"/>
      <c r="AF269" s="371"/>
      <c r="AG269" s="270"/>
      <c r="AH269" s="350"/>
      <c r="AI269" s="365"/>
      <c r="AJ269" s="374"/>
      <c r="AK269" s="374"/>
      <c r="AL269" s="374"/>
      <c r="AM269" s="374"/>
    </row>
    <row r="270" spans="1:39" s="291" customFormat="1" x14ac:dyDescent="0.2">
      <c r="A270" s="423"/>
      <c r="B270" s="657" t="s">
        <v>2200</v>
      </c>
      <c r="C270" s="655">
        <v>570405</v>
      </c>
      <c r="D270" s="658" t="s">
        <v>721</v>
      </c>
      <c r="E270" s="655" t="s">
        <v>2210</v>
      </c>
      <c r="F270" s="546">
        <v>2017</v>
      </c>
      <c r="G270" s="659">
        <v>42822</v>
      </c>
      <c r="H270" s="655" t="s">
        <v>1211</v>
      </c>
      <c r="I270" s="655" t="s">
        <v>2382</v>
      </c>
      <c r="J270" s="655" t="s">
        <v>724</v>
      </c>
      <c r="K270" s="655" t="s">
        <v>2514</v>
      </c>
      <c r="L270" s="655" t="s">
        <v>2680</v>
      </c>
      <c r="M270" s="660">
        <v>210172.41</v>
      </c>
      <c r="N270" s="660">
        <v>0</v>
      </c>
      <c r="O270" s="660">
        <v>4827.59</v>
      </c>
      <c r="P270" s="660">
        <v>215000</v>
      </c>
      <c r="Q270" s="548"/>
      <c r="R270" s="660">
        <v>180000</v>
      </c>
      <c r="S270" s="549">
        <f t="shared" si="39"/>
        <v>35000</v>
      </c>
      <c r="T270" s="267" t="s">
        <v>263</v>
      </c>
      <c r="U270" s="369"/>
      <c r="V270" s="370"/>
      <c r="W270" s="375"/>
      <c r="X270" s="375"/>
      <c r="Y270" s="375"/>
      <c r="Z270" s="371"/>
      <c r="AA270" s="371"/>
      <c r="AB270" s="673"/>
      <c r="AC270" s="371"/>
      <c r="AD270" s="372"/>
      <c r="AE270" s="371"/>
      <c r="AF270" s="371"/>
      <c r="AG270" s="270"/>
      <c r="AH270" s="350"/>
      <c r="AI270" s="365"/>
      <c r="AJ270" s="374"/>
      <c r="AK270" s="374"/>
      <c r="AL270" s="374"/>
      <c r="AM270" s="374"/>
    </row>
    <row r="271" spans="1:39" s="291" customFormat="1" x14ac:dyDescent="0.2">
      <c r="A271" s="423"/>
      <c r="B271" s="657" t="s">
        <v>2201</v>
      </c>
      <c r="C271" s="655">
        <v>44610</v>
      </c>
      <c r="D271" s="658" t="s">
        <v>721</v>
      </c>
      <c r="E271" s="655" t="s">
        <v>2210</v>
      </c>
      <c r="F271" s="546">
        <v>2017</v>
      </c>
      <c r="G271" s="659">
        <v>42825</v>
      </c>
      <c r="H271" s="655" t="s">
        <v>1211</v>
      </c>
      <c r="I271" s="655" t="s">
        <v>2359</v>
      </c>
      <c r="J271" s="655" t="s">
        <v>724</v>
      </c>
      <c r="K271" s="655" t="s">
        <v>2493</v>
      </c>
      <c r="L271" s="655" t="s">
        <v>2657</v>
      </c>
      <c r="M271" s="660">
        <v>-109482.76</v>
      </c>
      <c r="N271" s="660">
        <v>0</v>
      </c>
      <c r="O271" s="660">
        <v>-17517.240000000002</v>
      </c>
      <c r="P271" s="660">
        <v>-127000</v>
      </c>
      <c r="Q271" s="548"/>
      <c r="R271" s="660">
        <v>-91718.1</v>
      </c>
      <c r="S271" s="549">
        <f t="shared" si="39"/>
        <v>-35281.899999999994</v>
      </c>
      <c r="T271" s="267" t="s">
        <v>263</v>
      </c>
      <c r="U271" s="369"/>
      <c r="V271" s="370"/>
      <c r="W271" s="375"/>
      <c r="X271" s="375"/>
      <c r="Y271" s="375"/>
      <c r="Z271" s="371"/>
      <c r="AA271" s="371"/>
      <c r="AB271" s="673"/>
      <c r="AC271" s="371"/>
      <c r="AD271" s="372"/>
      <c r="AE271" s="371"/>
      <c r="AF271" s="371"/>
      <c r="AG271" s="270"/>
      <c r="AH271" s="350"/>
      <c r="AI271" s="365"/>
      <c r="AJ271" s="374"/>
      <c r="AK271" s="374"/>
      <c r="AL271" s="374"/>
      <c r="AM271" s="374"/>
    </row>
    <row r="272" spans="1:39" s="291" customFormat="1" x14ac:dyDescent="0.2">
      <c r="A272" s="423"/>
      <c r="B272" s="657" t="s">
        <v>2202</v>
      </c>
      <c r="C272" s="655">
        <v>44610</v>
      </c>
      <c r="D272" s="658" t="s">
        <v>721</v>
      </c>
      <c r="E272" s="655" t="s">
        <v>2210</v>
      </c>
      <c r="F272" s="546">
        <v>2017</v>
      </c>
      <c r="G272" s="659">
        <v>42825</v>
      </c>
      <c r="H272" s="655" t="s">
        <v>1211</v>
      </c>
      <c r="I272" s="655" t="s">
        <v>2383</v>
      </c>
      <c r="J272" s="655" t="s">
        <v>724</v>
      </c>
      <c r="K272" s="655" t="s">
        <v>2493</v>
      </c>
      <c r="L272" s="655" t="s">
        <v>2681</v>
      </c>
      <c r="M272" s="660">
        <v>109482.76</v>
      </c>
      <c r="N272" s="660">
        <v>0</v>
      </c>
      <c r="O272" s="660">
        <v>17517.240000000002</v>
      </c>
      <c r="P272" s="660">
        <v>127000</v>
      </c>
      <c r="Q272" s="548"/>
      <c r="R272" s="660">
        <v>91718.1</v>
      </c>
      <c r="S272" s="549">
        <f t="shared" si="39"/>
        <v>35281.899999999994</v>
      </c>
      <c r="T272" s="267" t="s">
        <v>263</v>
      </c>
      <c r="U272" s="369"/>
      <c r="V272" s="370"/>
      <c r="W272" s="375"/>
      <c r="X272" s="375"/>
      <c r="Y272" s="375"/>
      <c r="Z272" s="371"/>
      <c r="AA272" s="371"/>
      <c r="AB272" s="673"/>
      <c r="AC272" s="371"/>
      <c r="AD272" s="372"/>
      <c r="AE272" s="371"/>
      <c r="AF272" s="371"/>
      <c r="AG272" s="270"/>
      <c r="AH272" s="350"/>
      <c r="AI272" s="365"/>
      <c r="AJ272" s="374"/>
      <c r="AK272" s="374"/>
      <c r="AL272" s="374"/>
      <c r="AM272" s="374"/>
    </row>
    <row r="273" spans="1:41" s="291" customFormat="1" x14ac:dyDescent="0.2">
      <c r="A273" s="423"/>
      <c r="B273" s="657" t="s">
        <v>2203</v>
      </c>
      <c r="C273" s="655">
        <v>520225</v>
      </c>
      <c r="D273" s="658" t="s">
        <v>686</v>
      </c>
      <c r="E273" s="655" t="s">
        <v>2211</v>
      </c>
      <c r="F273" s="546">
        <v>2016</v>
      </c>
      <c r="G273" s="659">
        <v>42803</v>
      </c>
      <c r="H273" s="655" t="s">
        <v>735</v>
      </c>
      <c r="I273" s="655" t="s">
        <v>2384</v>
      </c>
      <c r="J273" s="655" t="s">
        <v>724</v>
      </c>
      <c r="K273" s="655" t="s">
        <v>2515</v>
      </c>
      <c r="L273" s="655" t="s">
        <v>2682</v>
      </c>
      <c r="M273" s="660">
        <v>278793.09999999998</v>
      </c>
      <c r="N273" s="660">
        <v>0</v>
      </c>
      <c r="O273" s="660">
        <v>6206.9</v>
      </c>
      <c r="P273" s="660">
        <v>285000</v>
      </c>
      <c r="Q273" s="548"/>
      <c r="R273" s="660">
        <v>240000</v>
      </c>
      <c r="S273" s="549">
        <f t="shared" si="39"/>
        <v>45000</v>
      </c>
      <c r="T273" s="267" t="s">
        <v>263</v>
      </c>
      <c r="U273" s="369"/>
      <c r="V273" s="370"/>
      <c r="W273" s="375"/>
      <c r="X273" s="375"/>
      <c r="Y273" s="375"/>
      <c r="Z273" s="371"/>
      <c r="AA273" s="371"/>
      <c r="AB273" s="673"/>
      <c r="AC273" s="371"/>
      <c r="AD273" s="372"/>
      <c r="AE273" s="371"/>
      <c r="AF273" s="371"/>
      <c r="AG273" s="270"/>
      <c r="AH273" s="350"/>
      <c r="AI273" s="365"/>
      <c r="AJ273" s="374"/>
      <c r="AK273" s="374"/>
      <c r="AL273" s="374"/>
      <c r="AM273" s="374"/>
    </row>
    <row r="274" spans="1:41" s="291" customFormat="1" x14ac:dyDescent="0.2">
      <c r="A274" s="423"/>
      <c r="B274" s="657" t="s">
        <v>2204</v>
      </c>
      <c r="C274" s="655">
        <v>521704</v>
      </c>
      <c r="D274" s="658" t="s">
        <v>686</v>
      </c>
      <c r="E274" s="655" t="s">
        <v>2211</v>
      </c>
      <c r="F274" s="546">
        <v>2017</v>
      </c>
      <c r="G274" s="659">
        <v>42817</v>
      </c>
      <c r="H274" s="655" t="s">
        <v>764</v>
      </c>
      <c r="I274" s="655" t="s">
        <v>2385</v>
      </c>
      <c r="J274" s="655" t="s">
        <v>724</v>
      </c>
      <c r="K274" s="655" t="s">
        <v>2516</v>
      </c>
      <c r="L274" s="655" t="s">
        <v>2683</v>
      </c>
      <c r="M274" s="660">
        <v>164482.76</v>
      </c>
      <c r="N274" s="660">
        <v>0</v>
      </c>
      <c r="O274" s="660">
        <v>3517.24</v>
      </c>
      <c r="P274" s="660">
        <v>168000</v>
      </c>
      <c r="Q274" s="548"/>
      <c r="R274" s="660">
        <v>142500</v>
      </c>
      <c r="S274" s="549">
        <f t="shared" si="39"/>
        <v>25500</v>
      </c>
      <c r="T274" s="267" t="s">
        <v>263</v>
      </c>
      <c r="U274" s="369"/>
      <c r="V274" s="370"/>
      <c r="W274" s="375"/>
      <c r="X274" s="375"/>
      <c r="Y274" s="375"/>
      <c r="Z274" s="371"/>
      <c r="AA274" s="371"/>
      <c r="AB274" s="673"/>
      <c r="AC274" s="371"/>
      <c r="AD274" s="372"/>
      <c r="AE274" s="371"/>
      <c r="AF274" s="371"/>
      <c r="AG274" s="270"/>
      <c r="AH274" s="350"/>
      <c r="AI274" s="365"/>
      <c r="AJ274" s="374"/>
      <c r="AK274" s="374"/>
      <c r="AL274" s="374"/>
      <c r="AM274" s="374"/>
    </row>
    <row r="275" spans="1:41" s="291" customFormat="1" x14ac:dyDescent="0.2">
      <c r="A275" s="423"/>
      <c r="B275" s="657" t="s">
        <v>2205</v>
      </c>
      <c r="C275" s="655">
        <v>1520104</v>
      </c>
      <c r="D275" s="658" t="s">
        <v>686</v>
      </c>
      <c r="E275" s="655" t="s">
        <v>2211</v>
      </c>
      <c r="F275" s="546">
        <v>2017</v>
      </c>
      <c r="G275" s="659">
        <v>42825</v>
      </c>
      <c r="H275" s="655" t="s">
        <v>1211</v>
      </c>
      <c r="I275" s="655" t="s">
        <v>2386</v>
      </c>
      <c r="J275" s="655" t="s">
        <v>724</v>
      </c>
      <c r="K275" s="655" t="s">
        <v>2517</v>
      </c>
      <c r="L275" s="655" t="s">
        <v>2684</v>
      </c>
      <c r="M275" s="660">
        <v>192310.34</v>
      </c>
      <c r="N275" s="660">
        <v>0</v>
      </c>
      <c r="O275" s="660">
        <v>4689.66</v>
      </c>
      <c r="P275" s="660">
        <v>197000</v>
      </c>
      <c r="Q275" s="548"/>
      <c r="R275" s="660">
        <v>163000</v>
      </c>
      <c r="S275" s="549">
        <f t="shared" si="39"/>
        <v>34000</v>
      </c>
      <c r="T275" s="267" t="s">
        <v>263</v>
      </c>
      <c r="U275" s="369"/>
      <c r="V275" s="370"/>
      <c r="W275" s="375"/>
      <c r="X275" s="375"/>
      <c r="Y275" s="375"/>
      <c r="Z275" s="371"/>
      <c r="AA275" s="371"/>
      <c r="AB275" s="673"/>
      <c r="AC275" s="371"/>
      <c r="AD275" s="372"/>
      <c r="AE275" s="371"/>
      <c r="AF275" s="371"/>
      <c r="AG275" s="270"/>
      <c r="AH275" s="350"/>
      <c r="AI275" s="365"/>
      <c r="AJ275" s="374"/>
      <c r="AK275" s="374"/>
      <c r="AL275" s="374"/>
      <c r="AM275" s="374"/>
    </row>
    <row r="276" spans="1:41" s="291" customFormat="1" x14ac:dyDescent="0.2">
      <c r="A276" s="423"/>
      <c r="B276" s="657" t="s">
        <v>2206</v>
      </c>
      <c r="C276" s="655">
        <v>520220</v>
      </c>
      <c r="D276" s="658" t="s">
        <v>686</v>
      </c>
      <c r="E276" s="655" t="s">
        <v>2211</v>
      </c>
      <c r="F276" s="546">
        <v>2017</v>
      </c>
      <c r="G276" s="659">
        <v>42825</v>
      </c>
      <c r="H276" s="655" t="s">
        <v>1207</v>
      </c>
      <c r="I276" s="655" t="s">
        <v>2387</v>
      </c>
      <c r="J276" s="655" t="s">
        <v>724</v>
      </c>
      <c r="K276" s="655" t="s">
        <v>2518</v>
      </c>
      <c r="L276" s="655" t="s">
        <v>2685</v>
      </c>
      <c r="M276" s="660">
        <v>221896.55</v>
      </c>
      <c r="N276" s="660">
        <v>0</v>
      </c>
      <c r="O276" s="660">
        <v>5103.45</v>
      </c>
      <c r="P276" s="660">
        <v>227000</v>
      </c>
      <c r="Q276" s="548"/>
      <c r="R276" s="660">
        <v>190000</v>
      </c>
      <c r="S276" s="549">
        <f t="shared" si="39"/>
        <v>37000</v>
      </c>
      <c r="T276" s="267" t="s">
        <v>263</v>
      </c>
      <c r="U276" s="369"/>
      <c r="V276" s="370"/>
      <c r="W276" s="375"/>
      <c r="X276" s="375"/>
      <c r="Y276" s="375"/>
      <c r="Z276" s="371"/>
      <c r="AA276" s="371"/>
      <c r="AB276" s="673"/>
      <c r="AC276" s="371"/>
      <c r="AD276" s="372"/>
      <c r="AE276" s="371"/>
      <c r="AF276" s="371"/>
      <c r="AG276" s="270"/>
      <c r="AH276" s="350"/>
      <c r="AI276" s="365"/>
      <c r="AJ276" s="374"/>
      <c r="AK276" s="374"/>
      <c r="AL276" s="374"/>
      <c r="AM276" s="374"/>
    </row>
    <row r="277" spans="1:41" s="291" customFormat="1" x14ac:dyDescent="0.2">
      <c r="A277" s="423"/>
      <c r="B277" s="543"/>
      <c r="C277" s="544"/>
      <c r="D277" s="545"/>
      <c r="E277" s="544"/>
      <c r="F277" s="546"/>
      <c r="G277" s="547"/>
      <c r="H277" s="544"/>
      <c r="I277" s="544"/>
      <c r="J277" s="544"/>
      <c r="K277" s="544"/>
      <c r="L277" s="544"/>
      <c r="M277" s="548"/>
      <c r="N277" s="548"/>
      <c r="O277" s="548"/>
      <c r="P277" s="548"/>
      <c r="Q277" s="548"/>
      <c r="R277" s="548"/>
      <c r="S277" s="549"/>
      <c r="T277" s="267"/>
      <c r="U277" s="369"/>
      <c r="V277" s="370"/>
      <c r="W277" s="375"/>
      <c r="X277" s="375"/>
      <c r="Y277" s="375"/>
      <c r="Z277" s="371"/>
      <c r="AA277" s="371"/>
      <c r="AB277" s="673"/>
      <c r="AC277" s="371"/>
      <c r="AD277" s="372"/>
      <c r="AE277" s="371"/>
      <c r="AF277" s="371"/>
      <c r="AG277" s="270"/>
      <c r="AH277" s="350"/>
      <c r="AI277" s="365"/>
      <c r="AJ277" s="374"/>
      <c r="AK277" s="374"/>
      <c r="AL277" s="374"/>
      <c r="AM277" s="374"/>
    </row>
    <row r="278" spans="1:41" s="291" customFormat="1" x14ac:dyDescent="0.2">
      <c r="A278" s="423"/>
      <c r="B278" s="543"/>
      <c r="C278" s="544"/>
      <c r="D278" s="545"/>
      <c r="E278" s="544"/>
      <c r="F278" s="546"/>
      <c r="G278" s="547"/>
      <c r="H278" s="544"/>
      <c r="I278" s="544"/>
      <c r="J278" s="544"/>
      <c r="K278" s="544"/>
      <c r="L278" s="544"/>
      <c r="M278" s="548"/>
      <c r="N278" s="548"/>
      <c r="O278" s="548"/>
      <c r="P278" s="548"/>
      <c r="Q278" s="548"/>
      <c r="R278" s="548"/>
      <c r="S278" s="549"/>
      <c r="T278" s="267"/>
      <c r="U278" s="369"/>
      <c r="V278" s="370"/>
      <c r="W278" s="375"/>
      <c r="X278" s="375"/>
      <c r="Y278" s="375"/>
      <c r="Z278" s="371"/>
      <c r="AA278" s="371"/>
      <c r="AB278" s="673"/>
      <c r="AC278" s="371"/>
      <c r="AD278" s="372"/>
      <c r="AE278" s="371"/>
      <c r="AF278" s="371"/>
      <c r="AG278" s="270"/>
      <c r="AH278" s="350"/>
      <c r="AI278" s="365"/>
      <c r="AJ278" s="374"/>
      <c r="AK278" s="374"/>
      <c r="AL278" s="374"/>
      <c r="AM278" s="374"/>
    </row>
    <row r="279" spans="1:41" s="53" customFormat="1" x14ac:dyDescent="0.2">
      <c r="A279" s="48"/>
      <c r="B279" s="550"/>
      <c r="C279" s="551"/>
      <c r="D279" s="551"/>
      <c r="E279" s="552"/>
      <c r="F279" s="553"/>
      <c r="G279" s="554"/>
      <c r="H279" s="552"/>
      <c r="I279" s="552"/>
      <c r="J279" s="552"/>
      <c r="K279" s="552"/>
      <c r="L279" s="552"/>
      <c r="M279" s="555"/>
      <c r="N279" s="555"/>
      <c r="O279" s="555"/>
      <c r="P279" s="555"/>
      <c r="Q279" s="555"/>
      <c r="R279" s="555"/>
      <c r="S279" s="549"/>
      <c r="T279" s="398"/>
      <c r="U279" s="320"/>
      <c r="V279" s="354"/>
      <c r="W279" s="355"/>
      <c r="X279" s="355"/>
      <c r="Y279" s="355"/>
      <c r="Z279" s="356"/>
      <c r="AA279" s="328"/>
      <c r="AB279" s="674"/>
      <c r="AC279" s="328"/>
      <c r="AD279" s="333"/>
      <c r="AE279" s="328"/>
      <c r="AF279" s="328"/>
      <c r="AG279" s="346"/>
      <c r="AH279" s="272"/>
      <c r="AI279" s="313"/>
      <c r="AJ279" s="21"/>
      <c r="AK279" s="21"/>
      <c r="AL279" s="21"/>
      <c r="AM279" s="21"/>
      <c r="AN279" s="21"/>
      <c r="AO279" s="21"/>
    </row>
    <row r="280" spans="1:41" s="53" customFormat="1" x14ac:dyDescent="0.2">
      <c r="A280" s="48"/>
      <c r="B280" s="550"/>
      <c r="C280" s="551"/>
      <c r="D280" s="551"/>
      <c r="E280" s="552"/>
      <c r="F280" s="553"/>
      <c r="G280" s="556"/>
      <c r="H280" s="552"/>
      <c r="I280" s="552"/>
      <c r="J280" s="552"/>
      <c r="K280" s="552"/>
      <c r="L280" s="552"/>
      <c r="M280" s="555"/>
      <c r="N280" s="555"/>
      <c r="O280" s="555"/>
      <c r="P280" s="555"/>
      <c r="Q280" s="555"/>
      <c r="R280" s="555"/>
      <c r="S280" s="549"/>
      <c r="T280" s="13"/>
      <c r="U280" s="369"/>
      <c r="V280" s="370"/>
      <c r="W280" s="375"/>
      <c r="X280" s="375"/>
      <c r="Y280" s="375"/>
      <c r="Z280" s="376"/>
      <c r="AA280" s="371"/>
      <c r="AB280" s="673"/>
      <c r="AC280" s="371"/>
      <c r="AD280" s="372"/>
      <c r="AE280" s="371"/>
      <c r="AF280" s="371"/>
      <c r="AG280" s="270"/>
      <c r="AH280" s="272"/>
      <c r="AI280" s="313"/>
      <c r="AJ280" s="21"/>
      <c r="AK280" s="21"/>
      <c r="AL280" s="21"/>
      <c r="AM280" s="21"/>
      <c r="AN280" s="21"/>
      <c r="AO280" s="21"/>
    </row>
    <row r="281" spans="1:41" s="53" customFormat="1" ht="13.5" thickBot="1" x14ac:dyDescent="0.25">
      <c r="A281" s="48"/>
      <c r="B281" s="557"/>
      <c r="C281" s="558"/>
      <c r="D281" s="558"/>
      <c r="E281" s="559"/>
      <c r="F281" s="559"/>
      <c r="G281" s="560"/>
      <c r="H281" s="559"/>
      <c r="I281" s="559"/>
      <c r="J281" s="559"/>
      <c r="K281" s="559"/>
      <c r="L281" s="559"/>
      <c r="M281" s="561"/>
      <c r="N281" s="561"/>
      <c r="O281" s="561"/>
      <c r="P281" s="561"/>
      <c r="Q281" s="561"/>
      <c r="R281" s="561"/>
      <c r="S281" s="562"/>
      <c r="T281" s="13"/>
      <c r="U281" s="320"/>
      <c r="V281" s="354"/>
      <c r="W281" s="355"/>
      <c r="X281" s="355"/>
      <c r="Y281" s="355"/>
      <c r="Z281" s="356"/>
      <c r="AA281" s="328"/>
      <c r="AB281" s="674"/>
      <c r="AC281" s="328"/>
      <c r="AD281" s="333"/>
      <c r="AE281" s="328"/>
      <c r="AF281" s="328"/>
      <c r="AG281" s="346"/>
      <c r="AH281" s="272"/>
      <c r="AI281" s="313"/>
      <c r="AJ281" s="21"/>
      <c r="AK281" s="21"/>
      <c r="AL281" s="21"/>
      <c r="AM281" s="21"/>
      <c r="AN281" s="21"/>
      <c r="AO281" s="21"/>
    </row>
    <row r="282" spans="1:41" s="53" customFormat="1" x14ac:dyDescent="0.2">
      <c r="A282" s="48"/>
      <c r="B282" s="592"/>
      <c r="C282" s="593"/>
      <c r="D282" s="593"/>
      <c r="E282" s="593"/>
      <c r="F282" s="594"/>
      <c r="G282" s="595"/>
      <c r="H282" s="596"/>
      <c r="I282" s="597"/>
      <c r="J282" s="598"/>
      <c r="K282" s="598"/>
      <c r="L282" s="594"/>
      <c r="M282" s="599"/>
      <c r="N282" s="600"/>
      <c r="O282" s="601"/>
      <c r="P282" s="601"/>
      <c r="Q282" s="601"/>
      <c r="R282" s="602"/>
      <c r="S282" s="603"/>
      <c r="T282" s="13"/>
      <c r="U282" s="369"/>
      <c r="V282" s="370"/>
      <c r="W282" s="375"/>
      <c r="X282" s="375"/>
      <c r="Y282" s="375"/>
      <c r="Z282" s="376"/>
      <c r="AA282" s="371"/>
      <c r="AB282" s="673"/>
      <c r="AC282" s="371"/>
      <c r="AD282" s="372"/>
      <c r="AE282" s="371"/>
      <c r="AF282" s="371"/>
      <c r="AG282" s="270"/>
      <c r="AH282" s="272"/>
      <c r="AI282" s="313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604"/>
      <c r="C283" s="262"/>
      <c r="D283" s="262"/>
      <c r="E283" s="129"/>
      <c r="F283" s="40"/>
      <c r="G283" s="81"/>
      <c r="H283" s="254"/>
      <c r="I283" s="90"/>
      <c r="J283" s="90"/>
      <c r="K283" s="90"/>
      <c r="L283" s="40"/>
      <c r="M283" s="209">
        <f>SUM(M6:M281)</f>
        <v>42485903.659999959</v>
      </c>
      <c r="N283" s="209">
        <f>SUM(N6:N281)</f>
        <v>1017152.5599999995</v>
      </c>
      <c r="O283" s="209">
        <f>SUM(O6:O281)</f>
        <v>6479529.089999998</v>
      </c>
      <c r="P283" s="209">
        <f>SUM(P6:P281)</f>
        <v>49982585.309999987</v>
      </c>
      <c r="Q283" s="209">
        <f t="shared" ref="Q283" si="40">SUM(Q6:Q281)</f>
        <v>0</v>
      </c>
      <c r="R283" s="209">
        <f>SUM(R6:R281)</f>
        <v>38930708.769999988</v>
      </c>
      <c r="S283" s="605">
        <f>SUM(S6:S281)</f>
        <v>11051876.540000001</v>
      </c>
      <c r="T283" s="13"/>
      <c r="U283" s="369"/>
      <c r="V283" s="370"/>
      <c r="W283" s="375"/>
      <c r="X283" s="375"/>
      <c r="Y283" s="375"/>
      <c r="Z283" s="376"/>
      <c r="AA283" s="371"/>
      <c r="AB283" s="673"/>
      <c r="AC283" s="371"/>
      <c r="AD283" s="372"/>
      <c r="AE283" s="371"/>
      <c r="AF283" s="371"/>
      <c r="AG283" s="270"/>
      <c r="AH283" s="272"/>
      <c r="AI283" s="313"/>
      <c r="AJ283" s="21"/>
      <c r="AK283" s="21"/>
      <c r="AL283" s="21"/>
      <c r="AM283" s="21"/>
      <c r="AN283" s="21"/>
      <c r="AO283" s="21"/>
    </row>
    <row r="284" spans="1:41" s="53" customFormat="1" ht="13.5" thickBot="1" x14ac:dyDescent="0.25">
      <c r="A284" s="48"/>
      <c r="B284" s="606"/>
      <c r="C284" s="607"/>
      <c r="D284" s="607"/>
      <c r="E284" s="607"/>
      <c r="F284" s="608"/>
      <c r="G284" s="609"/>
      <c r="H284" s="610"/>
      <c r="I284" s="611"/>
      <c r="J284" s="612"/>
      <c r="K284" s="612"/>
      <c r="L284" s="608"/>
      <c r="M284" s="613"/>
      <c r="N284" s="614"/>
      <c r="O284" s="615"/>
      <c r="P284" s="615"/>
      <c r="Q284" s="615"/>
      <c r="R284" s="616"/>
      <c r="S284" s="617"/>
      <c r="T284" s="13"/>
      <c r="U284" s="369"/>
      <c r="V284" s="370"/>
      <c r="W284" s="375"/>
      <c r="X284" s="375"/>
      <c r="Y284" s="375"/>
      <c r="Z284" s="376"/>
      <c r="AA284" s="371"/>
      <c r="AB284" s="673"/>
      <c r="AC284" s="371"/>
      <c r="AD284" s="372"/>
      <c r="AE284" s="371"/>
      <c r="AF284" s="371"/>
      <c r="AG284" s="270"/>
      <c r="AH284" s="272"/>
      <c r="AI284" s="313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5"/>
      <c r="C285" s="233"/>
      <c r="D285" s="233"/>
      <c r="E285" s="113"/>
      <c r="F285" s="48"/>
      <c r="G285" s="49"/>
      <c r="H285" s="256"/>
      <c r="I285" s="133"/>
      <c r="J285" s="117"/>
      <c r="K285" s="133" t="s">
        <v>37</v>
      </c>
      <c r="L285" s="8" t="s">
        <v>75</v>
      </c>
      <c r="M285" s="410">
        <v>28146037.039999999</v>
      </c>
      <c r="N285" s="326">
        <f>+N283</f>
        <v>1017152.5599999995</v>
      </c>
      <c r="O285" s="201"/>
      <c r="P285" s="279"/>
      <c r="Q285" s="201"/>
      <c r="R285" s="326">
        <v>27364079.710000001</v>
      </c>
      <c r="S285" s="201">
        <f>SUM(R6:R157)+SUM(Q296:Q297)-R286+Q1</f>
        <v>17874982.539999999</v>
      </c>
      <c r="T285" s="13"/>
      <c r="U285" s="369"/>
      <c r="V285" s="370"/>
      <c r="W285" s="375"/>
      <c r="X285" s="375"/>
      <c r="Y285" s="375"/>
      <c r="Z285" s="376"/>
      <c r="AA285" s="371"/>
      <c r="AB285" s="673"/>
      <c r="AC285" s="371"/>
      <c r="AD285" s="372"/>
      <c r="AE285" s="371"/>
      <c r="AF285" s="371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5"/>
      <c r="C286" s="233"/>
      <c r="D286" s="233"/>
      <c r="E286" s="113"/>
      <c r="F286" s="48"/>
      <c r="G286" s="49"/>
      <c r="H286" s="256"/>
      <c r="I286" s="133"/>
      <c r="J286" s="117"/>
      <c r="K286" s="133" t="s">
        <v>74</v>
      </c>
      <c r="L286" s="8" t="s">
        <v>75</v>
      </c>
      <c r="M286" s="410">
        <v>9336452.8599999994</v>
      </c>
      <c r="N286" s="326"/>
      <c r="O286" s="201"/>
      <c r="P286" s="279"/>
      <c r="Q286" s="201"/>
      <c r="R286" s="326">
        <v>7522946.3200000003</v>
      </c>
      <c r="S286" s="285"/>
      <c r="T286" s="13"/>
      <c r="U286" s="320"/>
      <c r="V286" s="354"/>
      <c r="W286" s="355"/>
      <c r="X286" s="355"/>
      <c r="Y286" s="355"/>
      <c r="Z286" s="356"/>
      <c r="AA286" s="328"/>
      <c r="AB286" s="674"/>
      <c r="AC286" s="328"/>
      <c r="AD286" s="333"/>
      <c r="AE286" s="328"/>
      <c r="AF286" s="328"/>
      <c r="AG286" s="346"/>
      <c r="AH286" s="347"/>
      <c r="AI286" s="363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49"/>
      <c r="H287" s="256"/>
      <c r="I287" s="133"/>
      <c r="J287" s="117"/>
      <c r="K287" s="133" t="s">
        <v>38</v>
      </c>
      <c r="L287" s="8" t="s">
        <v>75</v>
      </c>
      <c r="M287" s="410">
        <v>5003413.76</v>
      </c>
      <c r="N287" s="201"/>
      <c r="O287" s="201"/>
      <c r="P287" s="279"/>
      <c r="Q287" s="332">
        <f>72*360</f>
        <v>25920</v>
      </c>
      <c r="R287" s="326">
        <v>5857317.5899999999</v>
      </c>
      <c r="S287" s="201">
        <f>SUM(R219:R248)</f>
        <v>4865215.3899999997</v>
      </c>
      <c r="T287" s="13"/>
      <c r="U287" s="369"/>
      <c r="V287" s="370"/>
      <c r="W287" s="375"/>
      <c r="X287" s="375"/>
      <c r="Y287" s="375"/>
      <c r="Z287" s="376"/>
      <c r="AA287" s="371"/>
      <c r="AB287" s="673"/>
      <c r="AC287" s="371"/>
      <c r="AD287" s="372"/>
      <c r="AE287" s="371"/>
      <c r="AF287" s="371"/>
      <c r="AG287" s="270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06"/>
      <c r="C288" s="233"/>
      <c r="D288" s="233"/>
      <c r="E288" s="113"/>
      <c r="F288" s="48"/>
      <c r="G288" s="49"/>
      <c r="H288" s="256"/>
      <c r="I288" s="133"/>
      <c r="J288" s="117"/>
      <c r="K288" s="117"/>
      <c r="L288" s="8"/>
      <c r="M288" s="326"/>
      <c r="N288" s="326"/>
      <c r="O288" s="326"/>
      <c r="P288" s="327"/>
      <c r="Q288" s="327"/>
      <c r="R288" s="400">
        <v>8200735.7800000003</v>
      </c>
      <c r="S288" s="401"/>
      <c r="T288" s="380"/>
      <c r="U288" s="369"/>
      <c r="V288" s="370"/>
      <c r="W288" s="375"/>
      <c r="X288" s="375"/>
      <c r="Y288" s="375"/>
      <c r="Z288" s="376"/>
      <c r="AA288" s="371"/>
      <c r="AB288" s="673"/>
      <c r="AC288" s="371"/>
      <c r="AD288" s="372"/>
      <c r="AE288" s="371"/>
      <c r="AF288" s="371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06"/>
      <c r="C289" s="233"/>
      <c r="D289" s="233"/>
      <c r="E289" s="113"/>
      <c r="F289" s="48"/>
      <c r="G289" s="49"/>
      <c r="H289" s="256"/>
      <c r="I289" s="133"/>
      <c r="J289" s="117"/>
      <c r="K289" s="117"/>
      <c r="L289" s="8"/>
      <c r="M289" s="258">
        <v>0</v>
      </c>
      <c r="N289" s="258"/>
      <c r="O289" s="258"/>
      <c r="P289" s="280"/>
      <c r="Q289" s="280"/>
      <c r="R289" s="400">
        <v>604</v>
      </c>
      <c r="S289" s="401"/>
      <c r="T289" s="13"/>
      <c r="U289" s="320"/>
      <c r="V289" s="354"/>
      <c r="W289" s="355"/>
      <c r="X289" s="355"/>
      <c r="Y289" s="355"/>
      <c r="Z289" s="356"/>
      <c r="AA289" s="328"/>
      <c r="AB289" s="674"/>
      <c r="AC289" s="328"/>
      <c r="AD289" s="333"/>
      <c r="AE289" s="328"/>
      <c r="AF289" s="328"/>
      <c r="AG289" s="346"/>
      <c r="AH289" s="347"/>
      <c r="AI289" s="363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06"/>
      <c r="C290" s="233"/>
      <c r="D290" s="233"/>
      <c r="E290" s="113"/>
      <c r="F290" s="48"/>
      <c r="G290" s="51"/>
      <c r="H290" s="257"/>
      <c r="I290" s="133"/>
      <c r="J290" s="117"/>
      <c r="K290" s="117"/>
      <c r="L290" s="8"/>
      <c r="M290" s="204">
        <f>SUM(M285:M289)</f>
        <v>42485903.659999996</v>
      </c>
      <c r="N290" s="204">
        <f>SUM(N285:N289)</f>
        <v>1017152.5599999995</v>
      </c>
      <c r="O290" s="204"/>
      <c r="P290" s="204"/>
      <c r="Q290" s="204">
        <f>+Q283-Q285</f>
        <v>0</v>
      </c>
      <c r="R290" s="402">
        <f>+SUM(R285:R289)</f>
        <v>48945683.400000006</v>
      </c>
      <c r="S290" s="285"/>
      <c r="T290" s="13"/>
      <c r="U290" s="369"/>
      <c r="V290" s="370"/>
      <c r="W290" s="375"/>
      <c r="X290" s="375"/>
      <c r="Y290" s="375"/>
      <c r="Z290" s="376"/>
      <c r="AA290" s="371"/>
      <c r="AB290" s="673"/>
      <c r="AC290" s="371"/>
      <c r="AD290" s="372"/>
      <c r="AE290" s="371"/>
      <c r="AF290" s="371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06"/>
      <c r="C291" s="233"/>
      <c r="D291" s="233"/>
      <c r="E291" s="113"/>
      <c r="F291" s="48"/>
      <c r="G291" s="49"/>
      <c r="H291" s="256"/>
      <c r="I291" s="116"/>
      <c r="J291" s="117"/>
      <c r="K291" s="117"/>
      <c r="L291" s="8"/>
      <c r="M291" s="403"/>
      <c r="N291" s="201"/>
      <c r="O291" s="202"/>
      <c r="P291" s="200"/>
      <c r="Q291" s="200"/>
      <c r="R291" s="52"/>
      <c r="S291" s="285"/>
      <c r="T291" s="13"/>
      <c r="U291" s="369"/>
      <c r="V291" s="370"/>
      <c r="W291" s="375"/>
      <c r="X291" s="375"/>
      <c r="Y291" s="375"/>
      <c r="Z291" s="376"/>
      <c r="AA291" s="371"/>
      <c r="AB291" s="673"/>
      <c r="AC291" s="371"/>
      <c r="AD291" s="372"/>
      <c r="AE291" s="371"/>
      <c r="AF291" s="371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06"/>
      <c r="C292" s="233"/>
      <c r="D292" s="233"/>
      <c r="E292" s="113"/>
      <c r="F292" s="48"/>
      <c r="G292" s="49"/>
      <c r="H292" s="256"/>
      <c r="I292" s="116"/>
      <c r="J292" s="117"/>
      <c r="K292" s="117"/>
      <c r="L292" s="8" t="s">
        <v>40</v>
      </c>
      <c r="M292" s="404">
        <f>+M283-M290</f>
        <v>0</v>
      </c>
      <c r="N292" s="404"/>
      <c r="O292" s="202"/>
      <c r="P292" s="200"/>
      <c r="Q292" s="200"/>
      <c r="R292" s="52"/>
      <c r="S292" s="285"/>
      <c r="T292" s="13"/>
      <c r="U292" s="369"/>
      <c r="V292" s="370"/>
      <c r="W292" s="375"/>
      <c r="X292" s="375"/>
      <c r="Y292" s="375"/>
      <c r="Z292" s="376"/>
      <c r="AA292" s="371"/>
      <c r="AB292" s="673"/>
      <c r="AC292" s="371"/>
      <c r="AD292" s="372"/>
      <c r="AE292" s="371"/>
      <c r="AF292" s="371"/>
      <c r="AG292" s="270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69"/>
      <c r="C293" s="375"/>
      <c r="D293" s="374"/>
      <c r="E293" s="374"/>
      <c r="F293" s="374"/>
      <c r="G293" s="414"/>
      <c r="H293" s="415"/>
      <c r="I293" s="374"/>
      <c r="J293" s="374"/>
      <c r="K293" s="374"/>
      <c r="L293" s="374"/>
      <c r="M293" s="396"/>
      <c r="N293" s="396"/>
      <c r="O293" s="396"/>
      <c r="P293" s="396"/>
      <c r="Q293" s="401"/>
      <c r="R293" s="405"/>
      <c r="S293" s="406"/>
      <c r="T293" s="13"/>
      <c r="U293" s="369"/>
      <c r="V293" s="370"/>
      <c r="W293" s="375"/>
      <c r="X293" s="375"/>
      <c r="Y293" s="375"/>
      <c r="Z293" s="376"/>
      <c r="AA293" s="371"/>
      <c r="AB293" s="673"/>
      <c r="AC293" s="371"/>
      <c r="AD293" s="372"/>
      <c r="AE293" s="371"/>
      <c r="AF293" s="371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69"/>
      <c r="C294" s="375"/>
      <c r="D294" s="374"/>
      <c r="E294" s="374"/>
      <c r="F294" s="374"/>
      <c r="G294" s="414"/>
      <c r="H294" s="318"/>
      <c r="I294" s="374"/>
      <c r="J294" s="374"/>
      <c r="K294" s="374"/>
      <c r="L294" s="374"/>
      <c r="M294" s="396"/>
      <c r="N294" s="396"/>
      <c r="O294" s="396"/>
      <c r="P294" s="396"/>
      <c r="Q294" s="97"/>
      <c r="R294" s="407"/>
      <c r="S294" s="94"/>
      <c r="T294" s="13"/>
      <c r="U294" s="320"/>
      <c r="V294" s="354"/>
      <c r="W294" s="355"/>
      <c r="X294" s="355"/>
      <c r="Y294" s="355"/>
      <c r="Z294" s="356"/>
      <c r="AA294" s="328"/>
      <c r="AB294" s="674"/>
      <c r="AC294" s="328"/>
      <c r="AD294" s="333"/>
      <c r="AE294" s="328"/>
      <c r="AF294" s="328"/>
      <c r="AG294" s="346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69"/>
      <c r="C295" s="375"/>
      <c r="D295" s="374"/>
      <c r="E295" s="374"/>
      <c r="F295" s="374"/>
      <c r="G295" s="414"/>
      <c r="H295" s="318"/>
      <c r="I295" s="374"/>
      <c r="J295" s="374"/>
      <c r="K295" s="374"/>
      <c r="L295" s="297"/>
      <c r="M295" s="396"/>
      <c r="N295" s="396"/>
      <c r="O295" s="396"/>
      <c r="P295" s="396"/>
      <c r="Q295" s="21"/>
      <c r="R295" s="408"/>
      <c r="S295" s="94"/>
      <c r="T295" s="13"/>
      <c r="U295" s="320"/>
      <c r="V295" s="354"/>
      <c r="W295" s="355"/>
      <c r="X295" s="355"/>
      <c r="Y295" s="355"/>
      <c r="Z295" s="356"/>
      <c r="AA295" s="328"/>
      <c r="AB295" s="674"/>
      <c r="AC295" s="328"/>
      <c r="AD295" s="333"/>
      <c r="AE295" s="328"/>
      <c r="AF295" s="328"/>
      <c r="AG295" s="346"/>
      <c r="AH295" s="347"/>
      <c r="AI295" s="363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69"/>
      <c r="C296" s="375"/>
      <c r="D296" s="374"/>
      <c r="E296" s="374"/>
      <c r="F296" s="374"/>
      <c r="G296" s="414"/>
      <c r="H296" s="415"/>
      <c r="I296" s="291"/>
      <c r="J296" s="291"/>
      <c r="K296" s="374"/>
      <c r="L296" s="416"/>
      <c r="M296" s="403"/>
      <c r="N296" s="396"/>
      <c r="O296" s="396"/>
      <c r="P296" s="409"/>
      <c r="Q296" s="50"/>
      <c r="R296" s="407"/>
      <c r="S296" s="97"/>
      <c r="T296" s="13"/>
      <c r="U296" s="369"/>
      <c r="V296" s="370"/>
      <c r="W296" s="375"/>
      <c r="X296" s="375"/>
      <c r="Y296" s="375"/>
      <c r="Z296" s="376"/>
      <c r="AA296" s="371"/>
      <c r="AB296" s="673"/>
      <c r="AC296" s="371"/>
      <c r="AD296" s="372"/>
      <c r="AE296" s="371"/>
      <c r="AF296" s="371"/>
      <c r="AG296" s="270"/>
      <c r="AH296" s="347"/>
      <c r="AI296" s="363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69"/>
      <c r="C297" s="375"/>
      <c r="D297" s="374"/>
      <c r="E297" s="374"/>
      <c r="F297" s="374"/>
      <c r="G297" s="414"/>
      <c r="H297" s="415"/>
      <c r="I297" s="291"/>
      <c r="J297" s="291"/>
      <c r="K297" s="374"/>
      <c r="L297" s="377"/>
      <c r="M297" s="416"/>
      <c r="N297" s="270"/>
      <c r="O297" s="270"/>
      <c r="P297" s="296"/>
      <c r="Q297" s="78"/>
      <c r="S297" s="319"/>
      <c r="T297" s="13"/>
      <c r="U297" s="369"/>
      <c r="V297" s="370"/>
      <c r="W297" s="375"/>
      <c r="X297" s="375"/>
      <c r="Y297" s="375"/>
      <c r="Z297" s="376"/>
      <c r="AA297" s="371"/>
      <c r="AB297" s="673"/>
      <c r="AC297" s="371"/>
      <c r="AD297" s="372"/>
      <c r="AE297" s="371"/>
      <c r="AF297" s="371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9"/>
      <c r="C298" s="375"/>
      <c r="D298" s="374"/>
      <c r="E298" s="374"/>
      <c r="F298" s="374"/>
      <c r="G298" s="414"/>
      <c r="H298" s="415"/>
      <c r="I298" s="291"/>
      <c r="J298" s="291"/>
      <c r="K298" s="374"/>
      <c r="L298" s="291"/>
      <c r="M298" s="291"/>
      <c r="N298" s="270"/>
      <c r="O298" s="270"/>
      <c r="P298" s="387"/>
      <c r="Q298" s="417"/>
      <c r="T298" s="13"/>
      <c r="U298" s="369"/>
      <c r="V298" s="370"/>
      <c r="W298" s="375"/>
      <c r="X298" s="375"/>
      <c r="Y298" s="375"/>
      <c r="Z298" s="376"/>
      <c r="AA298" s="371"/>
      <c r="AB298" s="673"/>
      <c r="AC298" s="371"/>
      <c r="AD298" s="372"/>
      <c r="AE298" s="371"/>
      <c r="AF298" s="371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9"/>
      <c r="C299" s="375"/>
      <c r="D299" s="374"/>
      <c r="E299" s="374"/>
      <c r="F299" s="374"/>
      <c r="G299" s="414"/>
      <c r="H299" s="415"/>
      <c r="I299" s="291"/>
      <c r="J299" s="291"/>
      <c r="L299" s="374"/>
      <c r="M299" s="296"/>
      <c r="N299" s="316"/>
      <c r="O299" s="367"/>
      <c r="P299" s="387"/>
      <c r="Q299" s="417"/>
      <c r="T299" s="13"/>
      <c r="U299" s="369"/>
      <c r="V299" s="370"/>
      <c r="W299" s="375"/>
      <c r="X299" s="375"/>
      <c r="Y299" s="375"/>
      <c r="Z299" s="376"/>
      <c r="AA299" s="371"/>
      <c r="AB299" s="673"/>
      <c r="AC299" s="371"/>
      <c r="AD299" s="372"/>
      <c r="AE299" s="371"/>
      <c r="AF299" s="371"/>
      <c r="AG299" s="270"/>
      <c r="AH299" s="347"/>
      <c r="AI299" s="36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9"/>
      <c r="C300" s="375"/>
      <c r="D300" s="374"/>
      <c r="E300" s="374"/>
      <c r="F300" s="374"/>
      <c r="G300" s="414"/>
      <c r="H300" s="415"/>
      <c r="I300" s="291"/>
      <c r="J300" s="291"/>
      <c r="L300" s="384"/>
      <c r="M300" s="296"/>
      <c r="N300" s="316"/>
      <c r="O300" s="270"/>
      <c r="P300" s="387"/>
      <c r="Q300" s="417"/>
      <c r="T300" s="13"/>
      <c r="U300" s="369"/>
      <c r="V300" s="370"/>
      <c r="W300" s="375"/>
      <c r="X300" s="375"/>
      <c r="Y300" s="375"/>
      <c r="Z300" s="376"/>
      <c r="AA300" s="371"/>
      <c r="AB300" s="673"/>
      <c r="AC300" s="371"/>
      <c r="AD300" s="372"/>
      <c r="AE300" s="371"/>
      <c r="AF300" s="371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9"/>
      <c r="C301" s="375"/>
      <c r="D301" s="374"/>
      <c r="E301" s="374"/>
      <c r="F301" s="374"/>
      <c r="G301" s="414"/>
      <c r="H301" s="415"/>
      <c r="I301" s="291"/>
      <c r="J301" s="291"/>
      <c r="L301" s="374"/>
      <c r="M301" s="296"/>
      <c r="N301" s="316"/>
      <c r="O301" s="270"/>
      <c r="P301" s="387"/>
      <c r="Q301" s="417"/>
      <c r="T301" s="13"/>
      <c r="U301" s="369"/>
      <c r="V301" s="370"/>
      <c r="W301" s="375"/>
      <c r="X301" s="375"/>
      <c r="Y301" s="375"/>
      <c r="Z301" s="376"/>
      <c r="AA301" s="371"/>
      <c r="AB301" s="673"/>
      <c r="AC301" s="371"/>
      <c r="AD301" s="372"/>
      <c r="AE301" s="371"/>
      <c r="AF301" s="371"/>
      <c r="AG301" s="270"/>
      <c r="AH301" s="347"/>
      <c r="AI301" s="36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9"/>
      <c r="C302" s="375"/>
      <c r="D302" s="374"/>
      <c r="E302" s="374"/>
      <c r="F302" s="374"/>
      <c r="G302" s="414"/>
      <c r="H302" s="415"/>
      <c r="I302" s="291"/>
      <c r="J302" s="291"/>
      <c r="L302" s="374"/>
      <c r="M302" s="296"/>
      <c r="N302" s="316"/>
      <c r="O302" s="270"/>
      <c r="P302" s="387"/>
      <c r="Q302" s="417"/>
      <c r="T302" s="13"/>
      <c r="U302" s="369"/>
      <c r="V302" s="370"/>
      <c r="W302" s="375"/>
      <c r="X302" s="375"/>
      <c r="Y302" s="375"/>
      <c r="Z302" s="376"/>
      <c r="AA302" s="371"/>
      <c r="AB302" s="673"/>
      <c r="AC302" s="371"/>
      <c r="AD302" s="372"/>
      <c r="AE302" s="371"/>
      <c r="AF302" s="371"/>
      <c r="AG302" s="270"/>
      <c r="AH302" s="347"/>
      <c r="AI302" s="36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9"/>
      <c r="C303" s="375"/>
      <c r="D303" s="374"/>
      <c r="E303" s="374"/>
      <c r="F303" s="374"/>
      <c r="G303" s="414"/>
      <c r="H303" s="415"/>
      <c r="I303" s="78"/>
      <c r="J303" s="291"/>
      <c r="L303" s="374"/>
      <c r="M303" s="296"/>
      <c r="N303" s="316"/>
      <c r="O303" s="270"/>
      <c r="P303" s="418"/>
      <c r="Q303" s="417"/>
      <c r="T303" s="13"/>
      <c r="U303" s="366"/>
      <c r="V303" s="354"/>
      <c r="W303" s="355"/>
      <c r="X303" s="355"/>
      <c r="Y303" s="355"/>
      <c r="Z303" s="356"/>
      <c r="AA303" s="328"/>
      <c r="AB303" s="674"/>
      <c r="AC303" s="328"/>
      <c r="AD303" s="333"/>
      <c r="AE303" s="328"/>
      <c r="AF303" s="328"/>
      <c r="AG303" s="346"/>
      <c r="AH303" s="347"/>
      <c r="AI303" s="36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69"/>
      <c r="C304" s="375"/>
      <c r="D304" s="374"/>
      <c r="E304" s="374"/>
      <c r="F304" s="374"/>
      <c r="G304" s="414"/>
      <c r="H304" s="415"/>
      <c r="I304" s="78"/>
      <c r="J304" s="291"/>
      <c r="L304" s="374"/>
      <c r="M304" s="296"/>
      <c r="N304" s="316"/>
      <c r="O304" s="270"/>
      <c r="P304" s="387"/>
      <c r="Q304" s="417"/>
      <c r="T304" s="13"/>
      <c r="U304" s="320"/>
      <c r="V304" s="354"/>
      <c r="W304" s="355"/>
      <c r="X304" s="355"/>
      <c r="Y304" s="355"/>
      <c r="Z304" s="356"/>
      <c r="AA304" s="328"/>
      <c r="AB304" s="674"/>
      <c r="AC304" s="328"/>
      <c r="AD304" s="333"/>
      <c r="AE304" s="328"/>
      <c r="AF304" s="328"/>
      <c r="AG304" s="346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69"/>
      <c r="C305" s="375"/>
      <c r="D305" s="374"/>
      <c r="E305" s="374"/>
      <c r="F305" s="374"/>
      <c r="G305" s="414"/>
      <c r="H305" s="415"/>
      <c r="I305" s="78"/>
      <c r="J305" s="291"/>
      <c r="L305" s="374"/>
      <c r="M305" s="296"/>
      <c r="N305" s="316"/>
      <c r="O305" s="270"/>
      <c r="P305" s="387"/>
      <c r="Q305" s="417"/>
      <c r="T305" s="13"/>
      <c r="U305" s="320"/>
      <c r="V305" s="354"/>
      <c r="W305" s="355"/>
      <c r="X305" s="355"/>
      <c r="Y305" s="355"/>
      <c r="Z305" s="356"/>
      <c r="AA305" s="328"/>
      <c r="AB305" s="674"/>
      <c r="AC305" s="328"/>
      <c r="AD305" s="333"/>
      <c r="AE305" s="328"/>
      <c r="AF305" s="328"/>
      <c r="AG305" s="346"/>
      <c r="AH305" s="347"/>
      <c r="AI305" s="36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69"/>
      <c r="C306" s="375"/>
      <c r="D306" s="374"/>
      <c r="E306" s="374"/>
      <c r="F306" s="374"/>
      <c r="G306" s="414"/>
      <c r="H306" s="415"/>
      <c r="I306" s="78"/>
      <c r="J306" s="291"/>
      <c r="L306" s="374"/>
      <c r="M306" s="296"/>
      <c r="N306" s="316"/>
      <c r="O306" s="377"/>
      <c r="P306" s="388"/>
      <c r="Q306" s="417"/>
      <c r="T306" s="13"/>
      <c r="U306" s="366"/>
      <c r="V306" s="354"/>
      <c r="W306" s="359"/>
      <c r="X306" s="355"/>
      <c r="Y306" s="355"/>
      <c r="Z306" s="356"/>
      <c r="AA306" s="328"/>
      <c r="AB306" s="674"/>
      <c r="AC306" s="328"/>
      <c r="AD306" s="333"/>
      <c r="AE306" s="328"/>
      <c r="AF306" s="328"/>
      <c r="AG306" s="346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7"/>
      <c r="C307" s="375"/>
      <c r="D307" s="266"/>
      <c r="E307" s="267"/>
      <c r="F307" s="93"/>
      <c r="G307" s="268"/>
      <c r="H307" s="269"/>
      <c r="I307" s="78"/>
      <c r="J307" s="271"/>
      <c r="L307" s="382"/>
      <c r="M307" s="296"/>
      <c r="N307" s="316"/>
      <c r="O307" s="419"/>
      <c r="P307" s="387"/>
      <c r="Q307" s="417"/>
      <c r="T307" s="13"/>
      <c r="U307" s="366"/>
      <c r="V307" s="354"/>
      <c r="W307" s="355"/>
      <c r="X307" s="355"/>
      <c r="Y307" s="355"/>
      <c r="Z307" s="356"/>
      <c r="AA307" s="328"/>
      <c r="AB307" s="674"/>
      <c r="AC307" s="328"/>
      <c r="AD307" s="333"/>
      <c r="AE307" s="328"/>
      <c r="AF307" s="328"/>
      <c r="AG307" s="346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7"/>
      <c r="C308" s="375"/>
      <c r="D308" s="266"/>
      <c r="E308" s="267"/>
      <c r="F308" s="93"/>
      <c r="G308" s="268"/>
      <c r="H308" s="269"/>
      <c r="I308" s="78"/>
      <c r="J308" s="271"/>
      <c r="L308" s="271"/>
      <c r="M308" s="296"/>
      <c r="N308" s="316"/>
      <c r="O308" s="419"/>
      <c r="P308" s="387"/>
      <c r="Q308" s="417"/>
      <c r="T308" s="13"/>
      <c r="U308" s="320"/>
      <c r="V308" s="354"/>
      <c r="W308" s="355"/>
      <c r="X308" s="355"/>
      <c r="Y308" s="355"/>
      <c r="Z308" s="356"/>
      <c r="AA308" s="328"/>
      <c r="AB308" s="674"/>
      <c r="AC308" s="328"/>
      <c r="AD308" s="333"/>
      <c r="AE308" s="328"/>
      <c r="AF308" s="328"/>
      <c r="AG308" s="346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7"/>
      <c r="C309" s="375"/>
      <c r="D309" s="266"/>
      <c r="E309" s="267"/>
      <c r="F309" s="93"/>
      <c r="G309" s="268"/>
      <c r="H309" s="269"/>
      <c r="I309" s="78"/>
      <c r="J309" s="271"/>
      <c r="L309" s="271"/>
      <c r="M309" s="296"/>
      <c r="N309" s="316"/>
      <c r="O309" s="419"/>
      <c r="P309" s="387"/>
      <c r="Q309" s="417"/>
      <c r="T309" s="13"/>
      <c r="U309" s="357"/>
      <c r="V309" s="354"/>
      <c r="W309" s="355"/>
      <c r="X309" s="330"/>
      <c r="Y309" s="354"/>
      <c r="Z309" s="356"/>
      <c r="AA309" s="328"/>
      <c r="AB309" s="674"/>
      <c r="AC309" s="346"/>
      <c r="AD309" s="333"/>
      <c r="AE309" s="346"/>
      <c r="AF309" s="346"/>
      <c r="AG309" s="346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7"/>
      <c r="C310" s="375"/>
      <c r="D310" s="266"/>
      <c r="E310" s="267"/>
      <c r="F310" s="93"/>
      <c r="G310" s="268"/>
      <c r="H310" s="269"/>
      <c r="I310" s="78"/>
      <c r="J310" s="271"/>
      <c r="L310" s="382"/>
      <c r="M310" s="296"/>
      <c r="N310" s="316"/>
      <c r="O310" s="377"/>
      <c r="P310" s="387"/>
      <c r="Q310" s="417"/>
      <c r="T310" s="13"/>
      <c r="U310" s="370"/>
      <c r="V310" s="370"/>
      <c r="W310" s="375"/>
      <c r="X310" s="374"/>
      <c r="Y310" s="370"/>
      <c r="Z310" s="376"/>
      <c r="AA310" s="371"/>
      <c r="AB310" s="673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69"/>
      <c r="C311" s="375"/>
      <c r="D311" s="374"/>
      <c r="E311" s="374"/>
      <c r="F311" s="374"/>
      <c r="G311" s="414"/>
      <c r="H311" s="415"/>
      <c r="I311" s="78"/>
      <c r="J311" s="291"/>
      <c r="L311" s="271"/>
      <c r="M311" s="296"/>
      <c r="N311" s="316"/>
      <c r="O311" s="377"/>
      <c r="P311" s="388"/>
      <c r="Q311" s="417"/>
      <c r="T311" s="13"/>
      <c r="U311" s="370"/>
      <c r="V311" s="370"/>
      <c r="W311" s="375"/>
      <c r="X311" s="374"/>
      <c r="Y311" s="370"/>
      <c r="Z311" s="376"/>
      <c r="AA311" s="371"/>
      <c r="AB311" s="673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94"/>
      <c r="M312" s="296"/>
      <c r="N312" s="316"/>
      <c r="O312" s="377"/>
      <c r="P312" s="388"/>
      <c r="Q312" s="417"/>
      <c r="T312" s="13"/>
      <c r="U312" s="370"/>
      <c r="V312" s="370"/>
      <c r="W312" s="375"/>
      <c r="X312" s="374"/>
      <c r="Y312" s="370"/>
      <c r="Z312" s="376"/>
      <c r="AA312" s="371"/>
      <c r="AB312" s="673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6"/>
      <c r="O313" s="377"/>
      <c r="P313" s="387"/>
      <c r="Q313" s="417"/>
      <c r="T313" s="13"/>
      <c r="U313" s="370"/>
      <c r="V313" s="370"/>
      <c r="W313" s="375"/>
      <c r="X313" s="374"/>
      <c r="Y313" s="370"/>
      <c r="Z313" s="376"/>
      <c r="AA313" s="371"/>
      <c r="AB313" s="673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117"/>
      <c r="M314" s="296"/>
      <c r="N314" s="316"/>
      <c r="O314" s="377"/>
      <c r="P314" s="387"/>
      <c r="Q314" s="417"/>
      <c r="T314" s="13"/>
      <c r="U314" s="370"/>
      <c r="V314" s="370"/>
      <c r="W314" s="375"/>
      <c r="X314" s="374"/>
      <c r="Y314" s="370"/>
      <c r="Z314" s="376"/>
      <c r="AA314" s="371"/>
      <c r="AB314" s="673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6"/>
      <c r="O315" s="377"/>
      <c r="P315" s="388"/>
      <c r="Q315" s="417"/>
      <c r="T315" s="13"/>
      <c r="U315" s="370"/>
      <c r="V315" s="370"/>
      <c r="W315" s="375"/>
      <c r="X315" s="374"/>
      <c r="Y315" s="370"/>
      <c r="Z315" s="376"/>
      <c r="AA315" s="371"/>
      <c r="AB315" s="673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6"/>
      <c r="O316" s="296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673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94"/>
      <c r="M317" s="296"/>
      <c r="N317" s="316"/>
      <c r="O317" s="296"/>
      <c r="P317" s="388"/>
      <c r="Q317" s="417"/>
      <c r="T317" s="13"/>
      <c r="U317" s="370"/>
      <c r="V317" s="370"/>
      <c r="W317" s="375"/>
      <c r="X317" s="374"/>
      <c r="Y317" s="370"/>
      <c r="Z317" s="376"/>
      <c r="AA317" s="371"/>
      <c r="AB317" s="673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6"/>
      <c r="O318" s="377"/>
      <c r="P318" s="387"/>
      <c r="Q318" s="417"/>
      <c r="T318" s="13"/>
      <c r="U318" s="370"/>
      <c r="V318" s="370"/>
      <c r="W318" s="375"/>
      <c r="X318" s="374"/>
      <c r="Y318" s="370"/>
      <c r="Z318" s="376"/>
      <c r="AA318" s="371"/>
      <c r="AB318" s="673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385"/>
      <c r="M319" s="296"/>
      <c r="N319" s="316"/>
      <c r="O319" s="377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673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L320" s="94"/>
      <c r="M320" s="296"/>
      <c r="N320" s="316"/>
      <c r="O320" s="377"/>
      <c r="P320" s="387"/>
      <c r="Q320" s="417"/>
      <c r="T320" s="13"/>
      <c r="U320" s="370"/>
      <c r="V320" s="370"/>
      <c r="W320" s="375"/>
      <c r="X320" s="374"/>
      <c r="Y320" s="370"/>
      <c r="Z320" s="376"/>
      <c r="AA320" s="371"/>
      <c r="AB320" s="673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L321" s="94"/>
      <c r="M321" s="296"/>
      <c r="N321" s="316"/>
      <c r="O321" s="377"/>
      <c r="P321" s="387"/>
      <c r="Q321" s="417"/>
      <c r="T321" s="13"/>
      <c r="U321" s="370"/>
      <c r="V321" s="370"/>
      <c r="W321" s="375"/>
      <c r="X321" s="374"/>
      <c r="Y321" s="370"/>
      <c r="Z321" s="376"/>
      <c r="AA321" s="371"/>
      <c r="AB321" s="673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L322" s="94"/>
      <c r="M322" s="296"/>
      <c r="N322" s="316"/>
      <c r="O322" s="377"/>
      <c r="P322" s="387"/>
      <c r="Q322" s="417"/>
      <c r="T322" s="13"/>
      <c r="U322" s="370"/>
      <c r="V322" s="370"/>
      <c r="W322" s="375"/>
      <c r="X322" s="374"/>
      <c r="Y322" s="370"/>
      <c r="Z322" s="376"/>
      <c r="AA322" s="371"/>
      <c r="AB322" s="673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O323" s="296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673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O324" s="296"/>
      <c r="P324" s="387"/>
      <c r="Q324" s="417"/>
      <c r="T324" s="13"/>
      <c r="U324" s="370"/>
      <c r="V324" s="370"/>
      <c r="W324" s="375"/>
      <c r="X324" s="374"/>
      <c r="Y324" s="370"/>
      <c r="Z324" s="376"/>
      <c r="AA324" s="371"/>
      <c r="AB324" s="673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O325" s="296"/>
      <c r="P325" s="387"/>
      <c r="Q325" s="417"/>
      <c r="T325" s="13"/>
      <c r="U325" s="370"/>
      <c r="V325" s="370"/>
      <c r="W325" s="375"/>
      <c r="X325" s="374"/>
      <c r="Y325" s="370"/>
      <c r="Z325" s="376"/>
      <c r="AA325" s="371"/>
      <c r="AB325" s="673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7"/>
      <c r="Q326" s="417"/>
      <c r="T326" s="13"/>
      <c r="U326" s="370"/>
      <c r="V326" s="370"/>
      <c r="W326" s="375"/>
      <c r="X326" s="374"/>
      <c r="Y326" s="370"/>
      <c r="Z326" s="376"/>
      <c r="AA326" s="371"/>
      <c r="AB326" s="673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362"/>
      <c r="P327" s="387"/>
      <c r="Q327" s="417"/>
      <c r="T327" s="13"/>
      <c r="U327" s="370"/>
      <c r="V327" s="370"/>
      <c r="W327" s="375"/>
      <c r="X327" s="374"/>
      <c r="Y327" s="370"/>
      <c r="Z327" s="376"/>
      <c r="AA327" s="371"/>
      <c r="AB327" s="673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7"/>
      <c r="Q328" s="417"/>
      <c r="T328" s="13"/>
      <c r="U328" s="370"/>
      <c r="V328" s="370"/>
      <c r="W328" s="375"/>
      <c r="X328" s="374"/>
      <c r="Y328" s="370"/>
      <c r="Z328" s="376"/>
      <c r="AA328" s="371"/>
      <c r="AB328" s="673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7"/>
      <c r="Q329" s="417"/>
      <c r="T329" s="13"/>
      <c r="U329" s="370"/>
      <c r="V329" s="370"/>
      <c r="W329" s="375"/>
      <c r="X329" s="374"/>
      <c r="Y329" s="370"/>
      <c r="Z329" s="376"/>
      <c r="AA329" s="371"/>
      <c r="AB329" s="673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7"/>
      <c r="Q330" s="417"/>
      <c r="T330" s="13"/>
      <c r="U330" s="370"/>
      <c r="V330" s="370"/>
      <c r="W330" s="375"/>
      <c r="X330" s="374"/>
      <c r="Y330" s="370"/>
      <c r="Z330" s="376"/>
      <c r="AA330" s="371"/>
      <c r="AB330" s="673"/>
      <c r="AC330" s="270"/>
      <c r="AD330" s="372"/>
      <c r="AE330" s="270"/>
      <c r="AF330" s="270"/>
      <c r="AG330" s="270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8"/>
      <c r="Q331" s="417"/>
      <c r="T331" s="13"/>
      <c r="U331" s="370"/>
      <c r="V331" s="370"/>
      <c r="W331" s="375"/>
      <c r="X331" s="374"/>
      <c r="Y331" s="370"/>
      <c r="Z331" s="376"/>
      <c r="AA331" s="371"/>
      <c r="AB331" s="673"/>
      <c r="AC331" s="270"/>
      <c r="AD331" s="372"/>
      <c r="AE331" s="270"/>
      <c r="AF331" s="270"/>
      <c r="AG331" s="270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6"/>
      <c r="Q332" s="420"/>
      <c r="T332" s="13"/>
      <c r="U332" s="370"/>
      <c r="V332" s="370"/>
      <c r="W332" s="375"/>
      <c r="X332" s="374"/>
      <c r="Y332" s="370"/>
      <c r="Z332" s="376"/>
      <c r="AA332" s="371"/>
      <c r="AB332" s="673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7"/>
      <c r="Q333" s="417"/>
      <c r="T333" s="13"/>
      <c r="U333" s="370"/>
      <c r="V333" s="370"/>
      <c r="W333" s="375"/>
      <c r="X333" s="374"/>
      <c r="Y333" s="370"/>
      <c r="Z333" s="376"/>
      <c r="AA333" s="371"/>
      <c r="AB333" s="673"/>
      <c r="AC333" s="270"/>
      <c r="AD333" s="372"/>
      <c r="AE333" s="270"/>
      <c r="AF333" s="270"/>
      <c r="AG333" s="270"/>
      <c r="AH333" s="272"/>
      <c r="AI333" s="313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7"/>
      <c r="Q334" s="417"/>
      <c r="T334" s="13"/>
      <c r="U334" s="370"/>
      <c r="V334" s="370"/>
      <c r="W334" s="375"/>
      <c r="X334" s="374"/>
      <c r="Y334" s="370"/>
      <c r="Z334" s="376"/>
      <c r="AA334" s="371"/>
      <c r="AB334" s="673"/>
      <c r="AC334" s="270"/>
      <c r="AD334" s="372"/>
      <c r="AE334" s="270"/>
      <c r="AF334" s="270"/>
      <c r="AG334" s="270"/>
      <c r="AH334" s="272"/>
      <c r="AI334" s="313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7"/>
      <c r="Q335" s="417"/>
      <c r="T335" s="13"/>
      <c r="U335" s="370"/>
      <c r="V335" s="370"/>
      <c r="W335" s="375"/>
      <c r="X335" s="374"/>
      <c r="Y335" s="370"/>
      <c r="Z335" s="376"/>
      <c r="AA335" s="371"/>
      <c r="AB335" s="673"/>
      <c r="AC335" s="270"/>
      <c r="AD335" s="372"/>
      <c r="AE335" s="270"/>
      <c r="AF335" s="270"/>
      <c r="AG335" s="270"/>
      <c r="AH335" s="272"/>
      <c r="AI335" s="313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7"/>
      <c r="Q336" s="417"/>
      <c r="T336" s="13"/>
      <c r="U336" s="370"/>
      <c r="V336" s="370"/>
      <c r="W336" s="375"/>
      <c r="X336" s="374"/>
      <c r="Y336" s="370"/>
      <c r="Z336" s="376"/>
      <c r="AA336" s="371"/>
      <c r="AB336" s="673"/>
      <c r="AC336" s="270"/>
      <c r="AD336" s="372"/>
      <c r="AE336" s="270"/>
      <c r="AF336" s="270"/>
      <c r="AG336" s="270"/>
      <c r="AH336" s="272"/>
      <c r="AI336" s="313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7"/>
      <c r="Q337" s="417"/>
      <c r="T337" s="13"/>
      <c r="U337" s="370"/>
      <c r="V337" s="370"/>
      <c r="W337" s="375"/>
      <c r="X337" s="374"/>
      <c r="Y337" s="370"/>
      <c r="Z337" s="376"/>
      <c r="AA337" s="371"/>
      <c r="AB337" s="673"/>
      <c r="AC337" s="270"/>
      <c r="AD337" s="372"/>
      <c r="AE337" s="270"/>
      <c r="AF337" s="270"/>
      <c r="AG337" s="270"/>
      <c r="AH337" s="272"/>
      <c r="AI337" s="313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8"/>
      <c r="Q338" s="417"/>
      <c r="T338" s="13"/>
      <c r="U338" s="370"/>
      <c r="V338" s="370"/>
      <c r="W338" s="375"/>
      <c r="X338" s="374"/>
      <c r="Y338" s="370"/>
      <c r="Z338" s="376"/>
      <c r="AA338" s="371"/>
      <c r="AB338" s="673"/>
      <c r="AC338" s="270"/>
      <c r="AD338" s="372"/>
      <c r="AE338" s="270"/>
      <c r="AF338" s="270"/>
      <c r="AG338" s="270"/>
      <c r="AH338" s="272"/>
      <c r="AI338" s="313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7"/>
      <c r="Q339" s="417"/>
      <c r="T339" s="13"/>
      <c r="U339" s="370"/>
      <c r="V339" s="370"/>
      <c r="W339" s="375"/>
      <c r="X339" s="374"/>
      <c r="Y339" s="370"/>
      <c r="Z339" s="376"/>
      <c r="AA339" s="371"/>
      <c r="AB339" s="673"/>
      <c r="AC339" s="270"/>
      <c r="AD339" s="372"/>
      <c r="AE339" s="270"/>
      <c r="AF339" s="270"/>
      <c r="AG339" s="270"/>
      <c r="AH339" s="272"/>
      <c r="AI339" s="313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7"/>
      <c r="Q340" s="417"/>
      <c r="T340" s="13"/>
      <c r="U340" s="370"/>
      <c r="V340" s="370"/>
      <c r="W340" s="375"/>
      <c r="X340" s="374"/>
      <c r="Y340" s="370"/>
      <c r="Z340" s="376"/>
      <c r="AA340" s="371"/>
      <c r="AB340" s="673"/>
      <c r="AC340" s="270"/>
      <c r="AD340" s="372"/>
      <c r="AE340" s="270"/>
      <c r="AF340" s="270"/>
      <c r="AG340" s="270"/>
      <c r="AH340" s="272"/>
      <c r="AI340" s="313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296"/>
      <c r="P341" s="387"/>
      <c r="Q341" s="417"/>
      <c r="T341" s="13"/>
      <c r="U341" s="370"/>
      <c r="V341" s="370"/>
      <c r="W341" s="375"/>
      <c r="X341" s="374"/>
      <c r="Y341" s="370"/>
      <c r="Z341" s="376"/>
      <c r="AA341" s="371"/>
      <c r="AB341" s="673"/>
      <c r="AC341" s="270"/>
      <c r="AD341" s="372"/>
      <c r="AE341" s="270"/>
      <c r="AF341" s="270"/>
      <c r="AG341" s="270"/>
      <c r="AH341" s="272"/>
      <c r="AI341" s="313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296"/>
      <c r="P342" s="387"/>
      <c r="Q342" s="417"/>
      <c r="T342" s="13"/>
      <c r="U342" s="370"/>
      <c r="V342" s="370"/>
      <c r="W342" s="375"/>
      <c r="X342" s="374"/>
      <c r="Y342" s="370"/>
      <c r="Z342" s="376"/>
      <c r="AA342" s="371"/>
      <c r="AB342" s="673"/>
      <c r="AC342" s="270"/>
      <c r="AD342" s="372"/>
      <c r="AE342" s="270"/>
      <c r="AF342" s="270"/>
      <c r="AG342" s="270"/>
      <c r="AH342" s="272"/>
      <c r="AI342" s="313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387"/>
      <c r="Q343" s="417"/>
      <c r="T343" s="13"/>
      <c r="U343" s="370"/>
      <c r="V343" s="370"/>
      <c r="W343" s="375"/>
      <c r="X343" s="374"/>
      <c r="Y343" s="370"/>
      <c r="Z343" s="376"/>
      <c r="AA343" s="371"/>
      <c r="AB343" s="673"/>
      <c r="AC343" s="270"/>
      <c r="AD343" s="372"/>
      <c r="AE343" s="270"/>
      <c r="AF343" s="270"/>
      <c r="AG343" s="270"/>
      <c r="AH343" s="272"/>
      <c r="AI343" s="313"/>
      <c r="AJ343" s="21"/>
      <c r="AK343" s="21"/>
      <c r="AL343" s="21"/>
      <c r="AM343" s="21"/>
      <c r="AN343" s="21"/>
      <c r="AO343" s="21"/>
    </row>
    <row r="344" spans="1:41" s="53" customFormat="1" ht="14.25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387"/>
      <c r="Q344" s="417"/>
      <c r="T344" s="13"/>
      <c r="U344" s="370"/>
      <c r="V344" s="370"/>
      <c r="W344" s="375"/>
      <c r="X344" s="374"/>
      <c r="Y344" s="370"/>
      <c r="Z344" s="376"/>
      <c r="AA344" s="371"/>
      <c r="AB344" s="673"/>
      <c r="AC344" s="270"/>
      <c r="AD344" s="372"/>
      <c r="AE344" s="270"/>
      <c r="AF344" s="270"/>
      <c r="AG344" s="270"/>
      <c r="AH344" s="272"/>
      <c r="AI344" s="313"/>
      <c r="AJ344" s="21"/>
      <c r="AK344" s="21"/>
      <c r="AL344" s="21"/>
      <c r="AM344" s="21"/>
      <c r="AN344" s="21"/>
      <c r="AO344" s="21"/>
    </row>
    <row r="345" spans="1:41" s="53" customFormat="1" ht="14.25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388"/>
      <c r="Q345" s="417"/>
      <c r="T345" s="13"/>
      <c r="U345" s="370"/>
      <c r="V345" s="370"/>
      <c r="W345" s="375"/>
      <c r="X345" s="374"/>
      <c r="Y345" s="370"/>
      <c r="Z345" s="376"/>
      <c r="AA345" s="371"/>
      <c r="AB345" s="673"/>
      <c r="AC345" s="270"/>
      <c r="AD345" s="372"/>
      <c r="AE345" s="270"/>
      <c r="AF345" s="270"/>
      <c r="AG345" s="270"/>
      <c r="AH345" s="272"/>
      <c r="AI345" s="313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316"/>
      <c r="R346" s="362"/>
      <c r="S346" s="291"/>
      <c r="T346" s="13"/>
      <c r="U346" s="370"/>
      <c r="V346" s="370"/>
      <c r="W346" s="375"/>
      <c r="X346" s="374"/>
      <c r="Y346" s="370"/>
      <c r="Z346" s="376"/>
      <c r="AA346" s="371"/>
      <c r="AB346" s="673"/>
      <c r="AC346" s="270"/>
      <c r="AD346" s="372"/>
      <c r="AE346" s="270"/>
      <c r="AF346" s="270"/>
      <c r="AG346" s="270"/>
      <c r="AH346" s="272"/>
      <c r="AI346" s="313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21"/>
      <c r="R347" s="362"/>
      <c r="S347" s="291"/>
      <c r="T347" s="13"/>
      <c r="U347" s="370"/>
      <c r="V347" s="370"/>
      <c r="W347" s="375"/>
      <c r="X347" s="374"/>
      <c r="Y347" s="370"/>
      <c r="Z347" s="376"/>
      <c r="AA347" s="371"/>
      <c r="AB347" s="673"/>
      <c r="AC347" s="270"/>
      <c r="AD347" s="372"/>
      <c r="AE347" s="270"/>
      <c r="AF347" s="270"/>
      <c r="AG347" s="270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21"/>
      <c r="R348" s="362"/>
      <c r="S348" s="291"/>
      <c r="T348" s="13"/>
      <c r="U348" s="370"/>
      <c r="V348" s="370"/>
      <c r="W348" s="375"/>
      <c r="X348" s="374"/>
      <c r="Y348" s="370"/>
      <c r="Z348" s="376"/>
      <c r="AA348" s="371"/>
      <c r="AB348" s="673"/>
      <c r="AC348" s="270"/>
      <c r="AD348" s="372"/>
      <c r="AE348" s="270"/>
      <c r="AF348" s="270"/>
      <c r="AG348" s="270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21"/>
      <c r="R349" s="362"/>
      <c r="S349" s="291"/>
      <c r="T349" s="13"/>
      <c r="U349" s="370"/>
      <c r="V349" s="370"/>
      <c r="W349" s="375"/>
      <c r="X349" s="374"/>
      <c r="Y349" s="370"/>
      <c r="Z349" s="376"/>
      <c r="AA349" s="371"/>
      <c r="AB349" s="673"/>
      <c r="AC349" s="270"/>
      <c r="AD349" s="372"/>
      <c r="AE349" s="270"/>
      <c r="AF349" s="270"/>
      <c r="AG349" s="270"/>
      <c r="AH349" s="272"/>
      <c r="AI349" s="313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21"/>
      <c r="R350" s="383"/>
      <c r="S350" s="21"/>
      <c r="T350" s="13"/>
      <c r="U350" s="370"/>
      <c r="V350" s="370"/>
      <c r="W350" s="375"/>
      <c r="X350" s="374"/>
      <c r="Y350" s="370"/>
      <c r="Z350" s="376"/>
      <c r="AA350" s="371"/>
      <c r="AB350" s="673"/>
      <c r="AC350" s="270"/>
      <c r="AD350" s="372"/>
      <c r="AE350" s="270"/>
      <c r="AF350" s="270"/>
      <c r="AG350" s="270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21"/>
      <c r="R351" s="383"/>
      <c r="S351" s="21"/>
      <c r="T351" s="13"/>
      <c r="U351" s="354"/>
      <c r="V351" s="354"/>
      <c r="W351" s="355"/>
      <c r="X351" s="330"/>
      <c r="Y351" s="354"/>
      <c r="Z351" s="356"/>
      <c r="AA351" s="328"/>
      <c r="AB351" s="674"/>
      <c r="AC351" s="346"/>
      <c r="AD351" s="333"/>
      <c r="AE351" s="346"/>
      <c r="AF351" s="346"/>
      <c r="AG351" s="346"/>
      <c r="AH351" s="272"/>
      <c r="AI351" s="313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O352" s="97"/>
      <c r="P352" s="296"/>
      <c r="Q352" s="421"/>
      <c r="R352" s="383"/>
      <c r="S352" s="21"/>
      <c r="T352" s="13"/>
      <c r="U352" s="354"/>
      <c r="V352" s="354"/>
      <c r="W352" s="355"/>
      <c r="X352" s="330"/>
      <c r="Y352" s="354"/>
      <c r="Z352" s="356"/>
      <c r="AA352" s="328"/>
      <c r="AB352" s="674"/>
      <c r="AC352" s="346"/>
      <c r="AD352" s="333"/>
      <c r="AE352" s="346"/>
      <c r="AF352" s="346"/>
      <c r="AG352" s="346"/>
      <c r="AH352" s="272"/>
      <c r="AI352" s="313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O353" s="97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673"/>
      <c r="AC353" s="270"/>
      <c r="AD353" s="372"/>
      <c r="AE353" s="270"/>
      <c r="AF353" s="270"/>
      <c r="AG353" s="270"/>
      <c r="AH353" s="272"/>
      <c r="AI353" s="313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673"/>
      <c r="AC354" s="270"/>
      <c r="AD354" s="372"/>
      <c r="AE354" s="270"/>
      <c r="AF354" s="270"/>
      <c r="AG354" s="270"/>
      <c r="AH354" s="272"/>
      <c r="AI354" s="389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673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673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673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O358" s="97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673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673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673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673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673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21"/>
      <c r="R363" s="383"/>
      <c r="S363" s="1"/>
      <c r="T363" s="13"/>
      <c r="U363" s="381"/>
      <c r="V363" s="381"/>
      <c r="W363" s="375"/>
      <c r="X363" s="374"/>
      <c r="Y363" s="370"/>
      <c r="Z363" s="376"/>
      <c r="AA363" s="371"/>
      <c r="AB363" s="673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673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673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673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673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673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673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673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673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21"/>
      <c r="R372" s="383"/>
      <c r="S372" s="21"/>
      <c r="T372" s="13"/>
      <c r="U372" s="381"/>
      <c r="V372" s="381"/>
      <c r="W372" s="375"/>
      <c r="X372" s="374"/>
      <c r="Y372" s="370"/>
      <c r="Z372" s="376"/>
      <c r="AA372" s="371"/>
      <c r="AB372" s="673"/>
      <c r="AC372" s="270"/>
      <c r="AD372" s="372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21"/>
      <c r="R373" s="383"/>
      <c r="S373" s="21"/>
      <c r="T373" s="13"/>
      <c r="U373" s="381"/>
      <c r="V373" s="381"/>
      <c r="W373" s="375"/>
      <c r="X373" s="374"/>
      <c r="Y373" s="370"/>
      <c r="Z373" s="376"/>
      <c r="AA373" s="371"/>
      <c r="AB373" s="673"/>
      <c r="AC373" s="270"/>
      <c r="AD373" s="372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21"/>
      <c r="R374" s="383"/>
      <c r="S374" s="21"/>
      <c r="T374" s="13"/>
      <c r="U374" s="381"/>
      <c r="V374" s="381"/>
      <c r="W374" s="375"/>
      <c r="X374" s="374"/>
      <c r="Y374" s="370"/>
      <c r="Z374" s="376"/>
      <c r="AA374" s="371"/>
      <c r="AB374" s="673"/>
      <c r="AC374" s="270"/>
      <c r="AD374" s="372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21"/>
      <c r="R375" s="383"/>
      <c r="S375" s="21"/>
      <c r="T375" s="13"/>
      <c r="U375" s="381"/>
      <c r="V375" s="381"/>
      <c r="W375" s="375"/>
      <c r="X375" s="374"/>
      <c r="Y375" s="370"/>
      <c r="Z375" s="376"/>
      <c r="AA375" s="371"/>
      <c r="AB375" s="673"/>
      <c r="AC375" s="270"/>
      <c r="AD375" s="372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21"/>
      <c r="R376" s="383"/>
      <c r="S376" s="21"/>
      <c r="T376" s="13"/>
      <c r="U376" s="381"/>
      <c r="V376" s="381"/>
      <c r="W376" s="375"/>
      <c r="X376" s="374"/>
      <c r="Y376" s="370"/>
      <c r="Z376" s="376"/>
      <c r="AA376" s="371"/>
      <c r="AB376" s="673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97"/>
      <c r="P377" s="296"/>
      <c r="Q377" s="421"/>
      <c r="R377" s="383"/>
      <c r="S377" s="21"/>
      <c r="T377" s="13"/>
      <c r="U377" s="381"/>
      <c r="V377" s="381"/>
      <c r="W377" s="375"/>
      <c r="X377" s="374"/>
      <c r="Y377" s="370"/>
      <c r="Z377" s="376"/>
      <c r="AA377" s="371"/>
      <c r="AB377" s="673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97"/>
      <c r="P378" s="296"/>
      <c r="Q378" s="421"/>
      <c r="R378" s="383"/>
      <c r="S378" s="21"/>
      <c r="T378" s="13"/>
      <c r="U378" s="381"/>
      <c r="V378" s="381"/>
      <c r="W378" s="375"/>
      <c r="X378" s="374"/>
      <c r="Y378" s="370"/>
      <c r="Z378" s="376"/>
      <c r="AA378" s="371"/>
      <c r="AB378" s="673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21"/>
      <c r="R379" s="383"/>
      <c r="S379" s="21"/>
      <c r="T379" s="13"/>
      <c r="U379" s="381"/>
      <c r="V379" s="381"/>
      <c r="W379" s="375"/>
      <c r="X379" s="374"/>
      <c r="Y379" s="370"/>
      <c r="Z379" s="376"/>
      <c r="AA379" s="371"/>
      <c r="AB379" s="673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21"/>
      <c r="R380" s="383"/>
      <c r="S380" s="21"/>
      <c r="T380" s="13"/>
      <c r="U380" s="381"/>
      <c r="V380" s="381"/>
      <c r="W380" s="375"/>
      <c r="X380" s="374"/>
      <c r="Y380" s="370"/>
      <c r="Z380" s="376"/>
      <c r="AA380" s="371"/>
      <c r="AB380" s="673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21"/>
      <c r="R381" s="383"/>
      <c r="S381" s="21"/>
      <c r="T381" s="13"/>
      <c r="U381" s="381"/>
      <c r="V381" s="381"/>
      <c r="W381" s="375"/>
      <c r="X381" s="374"/>
      <c r="Y381" s="370"/>
      <c r="Z381" s="376"/>
      <c r="AA381" s="371"/>
      <c r="AB381" s="673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81"/>
      <c r="W382" s="375"/>
      <c r="X382" s="374"/>
      <c r="Y382" s="370"/>
      <c r="Z382" s="376"/>
      <c r="AA382" s="371"/>
      <c r="AB382" s="673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81"/>
      <c r="W383" s="375"/>
      <c r="X383" s="374"/>
      <c r="Y383" s="370"/>
      <c r="Z383" s="376"/>
      <c r="AA383" s="371"/>
      <c r="AB383" s="673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81"/>
      <c r="W384" s="375"/>
      <c r="X384" s="374"/>
      <c r="Y384" s="370"/>
      <c r="Z384" s="376"/>
      <c r="AA384" s="371"/>
      <c r="AB384" s="673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81"/>
      <c r="W385" s="375"/>
      <c r="X385" s="374"/>
      <c r="Y385" s="370"/>
      <c r="Z385" s="376"/>
      <c r="AA385" s="371"/>
      <c r="AB385" s="673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81"/>
      <c r="W386" s="375"/>
      <c r="X386" s="374"/>
      <c r="Y386" s="370"/>
      <c r="Z386" s="376"/>
      <c r="AA386" s="371"/>
      <c r="AB386" s="673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81"/>
      <c r="W387" s="375"/>
      <c r="X387" s="374"/>
      <c r="Y387" s="370"/>
      <c r="Z387" s="376"/>
      <c r="AA387" s="371"/>
      <c r="AB387" s="673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81"/>
      <c r="W388" s="375"/>
      <c r="X388" s="374"/>
      <c r="Y388" s="370"/>
      <c r="Z388" s="376"/>
      <c r="AA388" s="371"/>
      <c r="AB388" s="673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81"/>
      <c r="W389" s="375"/>
      <c r="X389" s="374"/>
      <c r="Y389" s="370"/>
      <c r="Z389" s="376"/>
      <c r="AA389" s="371"/>
      <c r="AB389" s="673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81"/>
      <c r="W390" s="375"/>
      <c r="X390" s="374"/>
      <c r="Y390" s="370"/>
      <c r="Z390" s="376"/>
      <c r="AA390" s="371"/>
      <c r="AB390" s="673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81"/>
      <c r="W391" s="375"/>
      <c r="X391" s="374"/>
      <c r="Y391" s="370"/>
      <c r="Z391" s="376"/>
      <c r="AA391" s="371"/>
      <c r="AB391" s="673"/>
      <c r="AC391" s="270"/>
      <c r="AD391" s="372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81"/>
      <c r="W392" s="375"/>
      <c r="X392" s="374"/>
      <c r="Y392" s="370"/>
      <c r="Z392" s="376"/>
      <c r="AA392" s="371"/>
      <c r="AB392" s="673"/>
      <c r="AC392" s="270"/>
      <c r="AD392" s="372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4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21"/>
      <c r="R393" s="383"/>
      <c r="S393" s="21"/>
      <c r="T393" s="13"/>
      <c r="U393" s="381"/>
      <c r="V393" s="321"/>
      <c r="W393" s="322"/>
      <c r="X393" s="322"/>
      <c r="Y393" s="322"/>
      <c r="Z393" s="323"/>
      <c r="AA393" s="371"/>
      <c r="AB393" s="673"/>
      <c r="AC393" s="371"/>
      <c r="AD393" s="372"/>
      <c r="AE393" s="371"/>
      <c r="AF393" s="371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4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21"/>
      <c r="R394" s="383"/>
      <c r="S394" s="21"/>
      <c r="T394" s="13"/>
      <c r="U394" s="381"/>
      <c r="V394" s="321"/>
      <c r="W394" s="322"/>
      <c r="X394" s="322"/>
      <c r="Y394" s="322"/>
      <c r="Z394" s="323"/>
      <c r="AA394" s="371"/>
      <c r="AB394" s="673"/>
      <c r="AC394" s="371"/>
      <c r="AD394" s="372"/>
      <c r="AE394" s="371"/>
      <c r="AF394" s="371"/>
      <c r="AG394" s="270"/>
      <c r="AH394" s="272"/>
      <c r="AI394" s="1"/>
      <c r="AJ394" s="21"/>
      <c r="AK394" s="21"/>
      <c r="AL394" s="21"/>
      <c r="AM394" s="21"/>
      <c r="AN394" s="21"/>
      <c r="AO394" s="21"/>
      <c r="AQ394" s="21"/>
      <c r="AR394" s="21"/>
    </row>
    <row r="395" spans="1:44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21"/>
      <c r="R395" s="383"/>
      <c r="S395" s="21"/>
      <c r="T395" s="13"/>
      <c r="U395" s="381"/>
      <c r="V395" s="321"/>
      <c r="W395" s="322"/>
      <c r="X395" s="322"/>
      <c r="Y395" s="322"/>
      <c r="Z395" s="323"/>
      <c r="AA395" s="371"/>
      <c r="AB395" s="673"/>
      <c r="AC395" s="371"/>
      <c r="AD395" s="372"/>
      <c r="AE395" s="371"/>
      <c r="AF395" s="371"/>
      <c r="AG395" s="270"/>
      <c r="AH395" s="272"/>
      <c r="AI395" s="1"/>
      <c r="AJ395" s="21"/>
      <c r="AK395" s="21"/>
      <c r="AL395" s="21"/>
      <c r="AM395" s="21"/>
      <c r="AN395" s="21"/>
      <c r="AO395" s="21"/>
      <c r="AQ395" s="21"/>
      <c r="AR395" s="21"/>
    </row>
    <row r="396" spans="1:44" x14ac:dyDescent="0.2">
      <c r="A396" s="48"/>
      <c r="B396" s="306"/>
      <c r="C396" s="233"/>
      <c r="D396" s="233"/>
      <c r="P396" s="296"/>
      <c r="Q396" s="421"/>
      <c r="R396" s="383"/>
      <c r="U396" s="381"/>
      <c r="V396" s="321"/>
      <c r="W396" s="322"/>
      <c r="X396" s="322"/>
      <c r="Y396" s="322"/>
      <c r="Z396" s="323"/>
      <c r="AA396" s="371"/>
      <c r="AB396" s="673"/>
      <c r="AC396" s="371"/>
      <c r="AD396" s="372"/>
      <c r="AE396" s="371"/>
      <c r="AF396" s="371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21"/>
      <c r="R397" s="383"/>
      <c r="U397" s="381"/>
      <c r="V397" s="321"/>
      <c r="W397" s="322"/>
      <c r="X397" s="322"/>
      <c r="Y397" s="322"/>
      <c r="Z397" s="323"/>
      <c r="AA397" s="371"/>
      <c r="AB397" s="673"/>
      <c r="AC397" s="371"/>
      <c r="AD397" s="372"/>
      <c r="AE397" s="371"/>
      <c r="AF397" s="371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21"/>
      <c r="R398" s="383"/>
      <c r="U398" s="381"/>
      <c r="V398" s="370"/>
      <c r="W398" s="375"/>
      <c r="X398" s="375"/>
      <c r="Y398" s="375"/>
      <c r="Z398" s="376"/>
      <c r="AA398" s="371"/>
      <c r="AB398" s="673"/>
      <c r="AC398" s="371"/>
      <c r="AD398" s="372"/>
      <c r="AE398" s="371"/>
      <c r="AF398" s="371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21"/>
      <c r="R399" s="383"/>
      <c r="U399" s="381"/>
      <c r="V399" s="370"/>
      <c r="W399" s="375"/>
      <c r="X399" s="374"/>
      <c r="Y399" s="370"/>
      <c r="Z399" s="376"/>
      <c r="AA399" s="371"/>
      <c r="AB399" s="673"/>
      <c r="AC399" s="270"/>
      <c r="AD399" s="372"/>
      <c r="AE399" s="270"/>
      <c r="AF399" s="270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21"/>
      <c r="R400" s="383"/>
      <c r="U400" s="381"/>
      <c r="V400" s="370"/>
      <c r="W400" s="375"/>
      <c r="X400" s="374"/>
      <c r="Y400" s="370"/>
      <c r="Z400" s="376"/>
      <c r="AA400" s="371"/>
      <c r="AB400" s="673"/>
      <c r="AC400" s="270"/>
      <c r="AD400" s="372"/>
      <c r="AE400" s="270"/>
      <c r="AF400" s="270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21"/>
      <c r="R401" s="383"/>
      <c r="U401" s="381"/>
      <c r="V401" s="370"/>
      <c r="W401" s="375"/>
      <c r="X401" s="374"/>
      <c r="Y401" s="370"/>
      <c r="Z401" s="376"/>
      <c r="AA401" s="371"/>
      <c r="AB401" s="673"/>
      <c r="AC401" s="270"/>
      <c r="AD401" s="372"/>
      <c r="AE401" s="270"/>
      <c r="AF401" s="270"/>
      <c r="AG401" s="270"/>
      <c r="AH401" s="272"/>
      <c r="AP401" s="53"/>
    </row>
    <row r="402" spans="1:44" x14ac:dyDescent="0.2">
      <c r="A402" s="48"/>
      <c r="B402" s="306"/>
      <c r="C402" s="233"/>
      <c r="D402" s="233"/>
      <c r="P402" s="296"/>
      <c r="Q402" s="421"/>
      <c r="R402" s="383"/>
      <c r="U402" s="381"/>
      <c r="V402" s="370"/>
      <c r="W402" s="375"/>
      <c r="X402" s="374"/>
      <c r="Y402" s="370"/>
      <c r="Z402" s="376"/>
      <c r="AA402" s="371"/>
      <c r="AB402" s="673"/>
      <c r="AC402" s="270"/>
      <c r="AD402" s="372"/>
      <c r="AE402" s="270"/>
      <c r="AF402" s="270"/>
      <c r="AG402" s="270"/>
      <c r="AH402" s="272"/>
      <c r="AP402" s="53"/>
    </row>
    <row r="403" spans="1:44" x14ac:dyDescent="0.2">
      <c r="A403" s="48"/>
      <c r="B403" s="306"/>
      <c r="C403" s="233"/>
      <c r="D403" s="233"/>
      <c r="P403" s="296"/>
      <c r="Q403" s="421"/>
      <c r="R403" s="383"/>
      <c r="U403" s="381"/>
      <c r="V403" s="370"/>
      <c r="W403" s="375"/>
      <c r="X403" s="374"/>
      <c r="Y403" s="370"/>
      <c r="Z403" s="376"/>
      <c r="AA403" s="371"/>
      <c r="AB403" s="673"/>
      <c r="AC403" s="270"/>
      <c r="AD403" s="372"/>
      <c r="AE403" s="270"/>
      <c r="AF403" s="270"/>
      <c r="AG403" s="270"/>
      <c r="AH403" s="272"/>
      <c r="AP403" s="53"/>
    </row>
    <row r="404" spans="1:44" x14ac:dyDescent="0.2">
      <c r="A404" s="48"/>
      <c r="B404" s="306"/>
      <c r="C404" s="233"/>
      <c r="D404" s="233"/>
      <c r="P404" s="296"/>
      <c r="Q404" s="421"/>
      <c r="R404" s="383"/>
      <c r="U404" s="381"/>
      <c r="V404" s="370"/>
      <c r="W404" s="375"/>
      <c r="X404" s="374"/>
      <c r="Y404" s="370"/>
      <c r="Z404" s="376"/>
      <c r="AA404" s="371"/>
      <c r="AB404" s="673"/>
      <c r="AC404" s="270"/>
      <c r="AD404" s="372"/>
      <c r="AE404" s="270"/>
      <c r="AF404" s="270"/>
      <c r="AG404" s="270"/>
      <c r="AH404" s="272"/>
      <c r="AP404" s="53"/>
      <c r="AQ404" s="53"/>
      <c r="AR404" s="53"/>
    </row>
    <row r="405" spans="1:44" x14ac:dyDescent="0.2">
      <c r="A405" s="48"/>
      <c r="B405" s="306"/>
      <c r="C405" s="233"/>
      <c r="D405" s="233"/>
      <c r="P405" s="296"/>
      <c r="Q405" s="421"/>
      <c r="R405" s="383"/>
      <c r="U405" s="381"/>
      <c r="V405" s="370"/>
      <c r="W405" s="375"/>
      <c r="X405" s="374"/>
      <c r="Y405" s="370"/>
      <c r="Z405" s="376"/>
      <c r="AA405" s="371"/>
      <c r="AB405" s="673"/>
      <c r="AC405" s="270"/>
      <c r="AD405" s="372"/>
      <c r="AE405" s="270"/>
      <c r="AF405" s="270"/>
      <c r="AG405" s="270"/>
      <c r="AH405" s="272"/>
      <c r="AP405" s="53"/>
      <c r="AQ405" s="53"/>
      <c r="AR405" s="53"/>
    </row>
    <row r="406" spans="1:44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21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673"/>
      <c r="AC406" s="270"/>
      <c r="AD406" s="372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4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21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673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4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21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673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21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673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21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673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21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673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21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673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21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673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21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673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21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673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21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673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21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673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21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673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21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673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421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673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421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673"/>
      <c r="AC421" s="270"/>
      <c r="AD421" s="372"/>
      <c r="AE421" s="270"/>
      <c r="AF421" s="270"/>
      <c r="AG421" s="270"/>
      <c r="AH421" s="315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316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673"/>
      <c r="AC422" s="270"/>
      <c r="AD422" s="372"/>
      <c r="AE422" s="270"/>
      <c r="AF422" s="270"/>
      <c r="AG422" s="270"/>
      <c r="AH422" s="315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316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673"/>
      <c r="AC423" s="270"/>
      <c r="AD423" s="372"/>
      <c r="AE423" s="270"/>
      <c r="AF423" s="270"/>
      <c r="AG423" s="270"/>
      <c r="AH423" s="315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296"/>
      <c r="Q424" s="316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673"/>
      <c r="AC424" s="270"/>
      <c r="AD424" s="372"/>
      <c r="AE424" s="270"/>
      <c r="AF424" s="270"/>
      <c r="AG424" s="270"/>
      <c r="AH424" s="315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296"/>
      <c r="Q425" s="316"/>
      <c r="R425" s="383"/>
      <c r="S425" s="21"/>
      <c r="T425" s="13"/>
      <c r="U425" s="381"/>
      <c r="V425" s="370"/>
      <c r="W425" s="375"/>
      <c r="X425" s="374"/>
      <c r="Y425" s="370"/>
      <c r="Z425" s="376"/>
      <c r="AA425" s="371"/>
      <c r="AB425" s="673"/>
      <c r="AC425" s="270"/>
      <c r="AD425" s="372"/>
      <c r="AE425" s="270"/>
      <c r="AF425" s="270"/>
      <c r="AG425" s="270"/>
      <c r="AH425" s="315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6"/>
      <c r="R426" s="383"/>
      <c r="S426" s="21"/>
      <c r="T426" s="13"/>
      <c r="U426" s="381"/>
      <c r="V426" s="370"/>
      <c r="W426" s="375"/>
      <c r="X426" s="374"/>
      <c r="Y426" s="370"/>
      <c r="Z426" s="376"/>
      <c r="AA426" s="371"/>
      <c r="AB426" s="673"/>
      <c r="AC426" s="270"/>
      <c r="AD426" s="372"/>
      <c r="AE426" s="270"/>
      <c r="AF426" s="270"/>
      <c r="AG426" s="270"/>
      <c r="AH426" s="315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6"/>
      <c r="R427" s="383"/>
      <c r="S427" s="21"/>
      <c r="T427" s="13"/>
      <c r="U427" s="381"/>
      <c r="V427" s="370"/>
      <c r="W427" s="375"/>
      <c r="X427" s="374"/>
      <c r="Y427" s="370"/>
      <c r="Z427" s="376"/>
      <c r="AA427" s="371"/>
      <c r="AB427" s="673"/>
      <c r="AC427" s="270"/>
      <c r="AD427" s="372"/>
      <c r="AE427" s="270"/>
      <c r="AF427" s="270"/>
      <c r="AG427" s="270"/>
      <c r="AH427" s="315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6"/>
      <c r="R428" s="383"/>
      <c r="S428" s="21"/>
      <c r="T428" s="13"/>
      <c r="U428" s="381"/>
      <c r="V428" s="370"/>
      <c r="W428" s="375"/>
      <c r="X428" s="374"/>
      <c r="Y428" s="370"/>
      <c r="Z428" s="376"/>
      <c r="AA428" s="371"/>
      <c r="AB428" s="673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6"/>
      <c r="R429" s="383"/>
      <c r="S429" s="21"/>
      <c r="T429" s="13"/>
      <c r="U429" s="381"/>
      <c r="V429" s="370"/>
      <c r="W429" s="375"/>
      <c r="X429" s="374"/>
      <c r="Y429" s="370"/>
      <c r="Z429" s="376"/>
      <c r="AA429" s="371"/>
      <c r="AB429" s="673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6"/>
      <c r="R430" s="383"/>
      <c r="S430" s="21"/>
      <c r="T430" s="13"/>
      <c r="U430" s="381"/>
      <c r="V430" s="370"/>
      <c r="W430" s="375"/>
      <c r="X430" s="374"/>
      <c r="Y430" s="370"/>
      <c r="Z430" s="376"/>
      <c r="AA430" s="371"/>
      <c r="AB430" s="673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6"/>
      <c r="R431" s="383"/>
      <c r="S431" s="21"/>
      <c r="T431" s="13"/>
      <c r="U431" s="381"/>
      <c r="V431" s="370"/>
      <c r="W431" s="375"/>
      <c r="X431" s="374"/>
      <c r="Y431" s="370"/>
      <c r="Z431" s="376"/>
      <c r="AA431" s="371"/>
      <c r="AB431" s="673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6"/>
      <c r="R432" s="383"/>
      <c r="S432" s="21"/>
      <c r="T432" s="13"/>
      <c r="U432" s="381"/>
      <c r="V432" s="370"/>
      <c r="W432" s="375"/>
      <c r="X432" s="374"/>
      <c r="Y432" s="370"/>
      <c r="Z432" s="376"/>
      <c r="AA432" s="371"/>
      <c r="AB432" s="673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6"/>
      <c r="R433" s="383"/>
      <c r="S433" s="21"/>
      <c r="T433" s="13"/>
      <c r="U433" s="381"/>
      <c r="V433" s="370"/>
      <c r="W433" s="375"/>
      <c r="X433" s="374"/>
      <c r="Y433" s="370"/>
      <c r="Z433" s="376"/>
      <c r="AA433" s="371"/>
      <c r="AB433" s="673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6"/>
      <c r="R434" s="383"/>
      <c r="S434" s="21"/>
      <c r="T434" s="13"/>
      <c r="U434" s="381"/>
      <c r="V434" s="370"/>
      <c r="W434" s="375"/>
      <c r="X434" s="374"/>
      <c r="Y434" s="370"/>
      <c r="Z434" s="376"/>
      <c r="AA434" s="371"/>
      <c r="AB434" s="673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6"/>
      <c r="R435" s="383"/>
      <c r="S435" s="21"/>
      <c r="T435" s="13"/>
      <c r="U435" s="381"/>
      <c r="V435" s="370"/>
      <c r="W435" s="375"/>
      <c r="X435" s="374"/>
      <c r="Y435" s="370"/>
      <c r="Z435" s="376"/>
      <c r="AA435" s="371"/>
      <c r="AB435" s="673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6"/>
      <c r="R436" s="383"/>
      <c r="S436" s="21"/>
      <c r="T436" s="13"/>
      <c r="U436" s="381"/>
      <c r="V436" s="370"/>
      <c r="W436" s="375"/>
      <c r="X436" s="374"/>
      <c r="Y436" s="370"/>
      <c r="Z436" s="376"/>
      <c r="AA436" s="371"/>
      <c r="AB436" s="673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6"/>
      <c r="R437" s="383"/>
      <c r="S437" s="21"/>
      <c r="T437" s="13"/>
      <c r="U437" s="381"/>
      <c r="V437" s="370"/>
      <c r="W437" s="375"/>
      <c r="X437" s="374"/>
      <c r="Y437" s="370"/>
      <c r="Z437" s="376"/>
      <c r="AA437" s="371"/>
      <c r="AB437" s="673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6"/>
      <c r="R438" s="383"/>
      <c r="S438" s="21"/>
      <c r="T438" s="13"/>
      <c r="U438" s="381"/>
      <c r="V438" s="370"/>
      <c r="W438" s="375"/>
      <c r="X438" s="374"/>
      <c r="Y438" s="370"/>
      <c r="Z438" s="376"/>
      <c r="AA438" s="371"/>
      <c r="AB438" s="673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6"/>
      <c r="R439" s="383"/>
      <c r="S439" s="21"/>
      <c r="T439" s="13"/>
      <c r="U439" s="381"/>
      <c r="V439" s="370"/>
      <c r="W439" s="375"/>
      <c r="X439" s="374"/>
      <c r="Y439" s="370"/>
      <c r="Z439" s="376"/>
      <c r="AA439" s="371"/>
      <c r="AB439" s="673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6"/>
      <c r="R440" s="383"/>
      <c r="S440" s="21"/>
      <c r="T440" s="13"/>
      <c r="U440" s="381"/>
      <c r="V440" s="370"/>
      <c r="W440" s="375"/>
      <c r="X440" s="374"/>
      <c r="Y440" s="370"/>
      <c r="Z440" s="376"/>
      <c r="AA440" s="371"/>
      <c r="AB440" s="673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6"/>
      <c r="R441" s="383"/>
      <c r="S441" s="21"/>
      <c r="T441" s="13"/>
      <c r="U441" s="381"/>
      <c r="V441" s="370"/>
      <c r="W441" s="375"/>
      <c r="X441" s="374"/>
      <c r="Y441" s="370"/>
      <c r="Z441" s="376"/>
      <c r="AA441" s="371"/>
      <c r="AB441" s="673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6"/>
      <c r="R442" s="383"/>
      <c r="S442" s="21"/>
      <c r="T442" s="13"/>
      <c r="U442" s="381"/>
      <c r="V442" s="370"/>
      <c r="W442" s="375"/>
      <c r="X442" s="374"/>
      <c r="Y442" s="370"/>
      <c r="Z442" s="376"/>
      <c r="AA442" s="371"/>
      <c r="AB442" s="673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6"/>
      <c r="R443" s="383"/>
      <c r="S443" s="21"/>
      <c r="T443" s="13"/>
      <c r="U443" s="381"/>
      <c r="V443" s="370"/>
      <c r="W443" s="375"/>
      <c r="X443" s="374"/>
      <c r="Y443" s="370"/>
      <c r="Z443" s="376"/>
      <c r="AA443" s="371"/>
      <c r="AB443" s="673"/>
      <c r="AC443" s="270"/>
      <c r="AD443" s="372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6"/>
      <c r="R444" s="383"/>
      <c r="S444" s="21"/>
      <c r="T444" s="13"/>
      <c r="U444" s="381"/>
      <c r="V444" s="370"/>
      <c r="W444" s="375"/>
      <c r="X444" s="374"/>
      <c r="Y444" s="370"/>
      <c r="Z444" s="376"/>
      <c r="AA444" s="371"/>
      <c r="AB444" s="673"/>
      <c r="AC444" s="270"/>
      <c r="AD444" s="372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6"/>
      <c r="R445" s="383"/>
      <c r="S445" s="21"/>
      <c r="T445" s="13"/>
      <c r="U445" s="381"/>
      <c r="V445" s="370"/>
      <c r="W445" s="375"/>
      <c r="X445" s="374"/>
      <c r="Y445" s="370"/>
      <c r="Z445" s="376"/>
      <c r="AA445" s="371"/>
      <c r="AB445" s="673"/>
      <c r="AC445" s="270"/>
      <c r="AD445" s="372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6"/>
      <c r="R446" s="383"/>
      <c r="S446" s="21"/>
      <c r="T446" s="13"/>
      <c r="U446" s="381"/>
      <c r="V446" s="375"/>
      <c r="W446" s="374"/>
      <c r="X446" s="370"/>
      <c r="Y446" s="376"/>
      <c r="Z446" s="371"/>
      <c r="AA446" s="371"/>
      <c r="AB446" s="675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6"/>
      <c r="R447" s="383"/>
      <c r="S447" s="21"/>
      <c r="T447" s="13"/>
      <c r="U447" s="381"/>
      <c r="V447" s="375"/>
      <c r="W447" s="374"/>
      <c r="X447" s="370"/>
      <c r="Y447" s="376"/>
      <c r="Z447" s="371"/>
      <c r="AA447" s="371"/>
      <c r="AB447" s="675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6"/>
      <c r="R448" s="383"/>
      <c r="S448" s="21"/>
      <c r="T448" s="13"/>
      <c r="U448" s="381"/>
      <c r="V448" s="375"/>
      <c r="W448" s="374"/>
      <c r="X448" s="370"/>
      <c r="Y448" s="376"/>
      <c r="Z448" s="371"/>
      <c r="AA448" s="371"/>
      <c r="AB448" s="675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6"/>
      <c r="R449" s="383"/>
      <c r="S449" s="21"/>
      <c r="T449" s="13"/>
      <c r="U449" s="381"/>
      <c r="V449" s="375"/>
      <c r="W449" s="374"/>
      <c r="X449" s="370"/>
      <c r="Y449" s="376"/>
      <c r="Z449" s="371"/>
      <c r="AA449" s="371"/>
      <c r="AB449" s="675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  <c r="AP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16"/>
      <c r="R450" s="383"/>
      <c r="S450" s="21"/>
      <c r="T450" s="13"/>
      <c r="U450" s="381"/>
      <c r="V450" s="375"/>
      <c r="W450" s="374"/>
      <c r="X450" s="370"/>
      <c r="Y450" s="376"/>
      <c r="Z450" s="371"/>
      <c r="AA450" s="371"/>
      <c r="AB450" s="675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  <c r="AP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Q451" s="316"/>
      <c r="R451" s="383"/>
      <c r="S451" s="21"/>
      <c r="T451" s="13"/>
      <c r="U451" s="381"/>
      <c r="V451" s="375"/>
      <c r="W451" s="374"/>
      <c r="X451" s="370"/>
      <c r="Y451" s="376"/>
      <c r="Z451" s="371"/>
      <c r="AA451" s="371"/>
      <c r="AB451" s="675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  <c r="AP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Q452" s="362"/>
      <c r="R452" s="383"/>
      <c r="S452" s="21"/>
      <c r="T452" s="13"/>
      <c r="U452" s="381"/>
      <c r="V452" s="375"/>
      <c r="W452" s="374"/>
      <c r="X452" s="370"/>
      <c r="Y452" s="376"/>
      <c r="Z452" s="371"/>
      <c r="AA452" s="371"/>
      <c r="AB452" s="675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1"/>
      <c r="V453" s="375"/>
      <c r="W453" s="374"/>
      <c r="X453" s="370"/>
      <c r="Y453" s="376"/>
      <c r="Z453" s="371"/>
      <c r="AA453" s="371"/>
      <c r="AB453" s="675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1"/>
      <c r="V454" s="375"/>
      <c r="W454" s="374"/>
      <c r="X454" s="370"/>
      <c r="Y454" s="376"/>
      <c r="Z454" s="371"/>
      <c r="AA454" s="371"/>
      <c r="AB454" s="675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R455" s="285"/>
      <c r="S455" s="21"/>
      <c r="T455" s="13"/>
      <c r="U455" s="381"/>
      <c r="V455" s="375"/>
      <c r="W455" s="374"/>
      <c r="X455" s="370"/>
      <c r="Y455" s="376"/>
      <c r="Z455" s="371"/>
      <c r="AA455" s="371"/>
      <c r="AB455" s="675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1"/>
      <c r="V456" s="375"/>
      <c r="W456" s="374"/>
      <c r="X456" s="370"/>
      <c r="Y456" s="376"/>
      <c r="Z456" s="371"/>
      <c r="AA456" s="371"/>
      <c r="AB456" s="675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R457" s="285"/>
      <c r="S457" s="21"/>
      <c r="T457" s="13"/>
      <c r="U457" s="381"/>
      <c r="V457" s="375"/>
      <c r="W457" s="374"/>
      <c r="X457" s="370"/>
      <c r="Y457" s="376"/>
      <c r="Z457" s="371"/>
      <c r="AA457" s="371"/>
      <c r="AB457" s="675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97"/>
      <c r="R458" s="285"/>
      <c r="S458" s="21"/>
      <c r="T458" s="13"/>
      <c r="U458" s="381"/>
      <c r="V458" s="375"/>
      <c r="W458" s="374"/>
      <c r="X458" s="370"/>
      <c r="Y458" s="376"/>
      <c r="Z458" s="371"/>
      <c r="AA458" s="371"/>
      <c r="AB458" s="675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97"/>
      <c r="R459" s="285"/>
      <c r="S459" s="21"/>
      <c r="T459" s="13"/>
      <c r="U459" s="381"/>
      <c r="V459" s="375"/>
      <c r="W459" s="374"/>
      <c r="X459" s="370"/>
      <c r="Y459" s="376"/>
      <c r="Z459" s="371"/>
      <c r="AA459" s="371"/>
      <c r="AB459" s="675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381"/>
      <c r="V460" s="375"/>
      <c r="W460" s="374"/>
      <c r="X460" s="370"/>
      <c r="Y460" s="376"/>
      <c r="Z460" s="371"/>
      <c r="AA460" s="371"/>
      <c r="AB460" s="675"/>
      <c r="AC460" s="372"/>
      <c r="AD460" s="270"/>
      <c r="AE460" s="270"/>
      <c r="AF460" s="270"/>
      <c r="AG460" s="376"/>
      <c r="AH460" s="272"/>
      <c r="AI460" s="1"/>
      <c r="AJ460" s="21"/>
      <c r="AK460" s="21"/>
      <c r="AL460" s="21"/>
      <c r="AM460" s="21"/>
      <c r="AN460" s="21"/>
      <c r="AO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381"/>
      <c r="V461" s="375"/>
      <c r="W461" s="374"/>
      <c r="X461" s="370"/>
      <c r="Y461" s="376"/>
      <c r="Z461" s="371"/>
      <c r="AA461" s="371"/>
      <c r="AB461" s="675"/>
      <c r="AC461" s="372"/>
      <c r="AD461" s="270"/>
      <c r="AE461" s="270"/>
      <c r="AF461" s="270"/>
      <c r="AG461" s="376"/>
      <c r="AH461" s="272"/>
      <c r="AI461" s="1"/>
      <c r="AJ461" s="21"/>
      <c r="AK461" s="21"/>
      <c r="AL461" s="21"/>
      <c r="AM461" s="21"/>
      <c r="AN461" s="21"/>
      <c r="AO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381"/>
      <c r="V462" s="375"/>
      <c r="W462" s="374"/>
      <c r="X462" s="370"/>
      <c r="Y462" s="376"/>
      <c r="Z462" s="371"/>
      <c r="AA462" s="371"/>
      <c r="AB462" s="675"/>
      <c r="AC462" s="372"/>
      <c r="AD462" s="270"/>
      <c r="AE462" s="270"/>
      <c r="AF462" s="270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381"/>
      <c r="V463" s="375"/>
      <c r="W463" s="374"/>
      <c r="X463" s="370"/>
      <c r="Y463" s="376"/>
      <c r="Z463" s="371"/>
      <c r="AA463" s="371"/>
      <c r="AB463" s="675"/>
      <c r="AC463" s="372"/>
      <c r="AD463" s="270"/>
      <c r="AE463" s="270"/>
      <c r="AF463" s="270"/>
      <c r="AG463" s="376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381"/>
      <c r="V464" s="375"/>
      <c r="W464" s="374"/>
      <c r="X464" s="370"/>
      <c r="Y464" s="376"/>
      <c r="Z464" s="371"/>
      <c r="AA464" s="371"/>
      <c r="AB464" s="675"/>
      <c r="AC464" s="372"/>
      <c r="AD464" s="270"/>
      <c r="AE464" s="270"/>
      <c r="AF464" s="270"/>
      <c r="AG464" s="376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370"/>
      <c r="V465" s="375"/>
      <c r="W465" s="374"/>
      <c r="X465" s="370"/>
      <c r="Y465" s="376"/>
      <c r="Z465" s="371"/>
      <c r="AA465" s="371"/>
      <c r="AB465" s="675"/>
      <c r="AC465" s="372"/>
      <c r="AD465" s="270"/>
      <c r="AE465" s="270"/>
      <c r="AF465" s="270"/>
      <c r="AG465" s="376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370"/>
      <c r="V466" s="375"/>
      <c r="W466" s="374"/>
      <c r="X466" s="370"/>
      <c r="Y466" s="376"/>
      <c r="Z466" s="371"/>
      <c r="AA466" s="371"/>
      <c r="AB466" s="675"/>
      <c r="AC466" s="372"/>
      <c r="AD466" s="270"/>
      <c r="AE466" s="270"/>
      <c r="AF466" s="270"/>
      <c r="AG466" s="376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370"/>
      <c r="V467" s="375"/>
      <c r="W467" s="374"/>
      <c r="X467" s="370"/>
      <c r="Y467" s="376"/>
      <c r="Z467" s="371"/>
      <c r="AA467" s="371"/>
      <c r="AB467" s="675"/>
      <c r="AC467" s="372"/>
      <c r="AD467" s="270"/>
      <c r="AE467" s="270"/>
      <c r="AF467" s="270"/>
      <c r="AG467" s="376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370"/>
      <c r="V468" s="375"/>
      <c r="W468" s="374"/>
      <c r="X468" s="370"/>
      <c r="Y468" s="376"/>
      <c r="Z468" s="371"/>
      <c r="AA468" s="371"/>
      <c r="AB468" s="675"/>
      <c r="AC468" s="372"/>
      <c r="AD468" s="270"/>
      <c r="AE468" s="270"/>
      <c r="AF468" s="270"/>
      <c r="AG468" s="376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370"/>
      <c r="V469" s="375"/>
      <c r="W469" s="374"/>
      <c r="X469" s="370"/>
      <c r="Y469" s="376"/>
      <c r="Z469" s="371"/>
      <c r="AA469" s="371"/>
      <c r="AB469" s="675"/>
      <c r="AC469" s="372"/>
      <c r="AD469" s="270"/>
      <c r="AE469" s="270"/>
      <c r="AF469" s="270"/>
      <c r="AG469" s="376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370"/>
      <c r="V470" s="375"/>
      <c r="W470" s="374"/>
      <c r="X470" s="370"/>
      <c r="Y470" s="376"/>
      <c r="Z470" s="371"/>
      <c r="AA470" s="371"/>
      <c r="AB470" s="675"/>
      <c r="AC470" s="372"/>
      <c r="AD470" s="270"/>
      <c r="AE470" s="270"/>
      <c r="AF470" s="270"/>
      <c r="AG470" s="376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422"/>
      <c r="V471" s="375"/>
      <c r="W471" s="374"/>
      <c r="X471" s="370"/>
      <c r="Y471" s="376"/>
      <c r="Z471" s="371"/>
      <c r="AA471" s="371"/>
      <c r="AB471" s="675"/>
      <c r="AC471" s="372"/>
      <c r="AD471" s="270"/>
      <c r="AE471" s="270"/>
      <c r="AF471" s="270"/>
      <c r="AG471" s="376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422"/>
      <c r="V472" s="375"/>
      <c r="W472" s="374"/>
      <c r="X472" s="370"/>
      <c r="Y472" s="376"/>
      <c r="Z472" s="371"/>
      <c r="AA472" s="371"/>
      <c r="AB472" s="675"/>
      <c r="AC472" s="372"/>
      <c r="AD472" s="270"/>
      <c r="AE472" s="270"/>
      <c r="AF472" s="270"/>
      <c r="AG472" s="376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422"/>
      <c r="V473" s="375"/>
      <c r="W473" s="374"/>
      <c r="X473" s="370"/>
      <c r="Y473" s="376"/>
      <c r="Z473" s="371"/>
      <c r="AA473" s="371"/>
      <c r="AB473" s="675"/>
      <c r="AC473" s="372"/>
      <c r="AD473" s="270"/>
      <c r="AE473" s="270"/>
      <c r="AF473" s="270"/>
      <c r="AG473" s="376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422"/>
      <c r="V474" s="375"/>
      <c r="W474" s="374"/>
      <c r="X474" s="370"/>
      <c r="Y474" s="376"/>
      <c r="Z474" s="371"/>
      <c r="AA474" s="371"/>
      <c r="AB474" s="675"/>
      <c r="AC474" s="372"/>
      <c r="AD474" s="270"/>
      <c r="AE474" s="270"/>
      <c r="AF474" s="270"/>
      <c r="AG474" s="376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422"/>
      <c r="V475" s="375"/>
      <c r="W475" s="374"/>
      <c r="X475" s="370"/>
      <c r="Y475" s="376"/>
      <c r="Z475" s="371"/>
      <c r="AA475" s="371"/>
      <c r="AB475" s="675"/>
      <c r="AC475" s="372"/>
      <c r="AD475" s="270"/>
      <c r="AE475" s="270"/>
      <c r="AF475" s="270"/>
      <c r="AG475" s="376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422"/>
      <c r="V476" s="375"/>
      <c r="W476" s="374"/>
      <c r="X476" s="370"/>
      <c r="Y476" s="376"/>
      <c r="Z476" s="371"/>
      <c r="AA476" s="371"/>
      <c r="AB476" s="675"/>
      <c r="AC476" s="372"/>
      <c r="AD476" s="270"/>
      <c r="AE476" s="270"/>
      <c r="AF476" s="270"/>
      <c r="AG476" s="376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422"/>
      <c r="V477" s="375"/>
      <c r="W477" s="374"/>
      <c r="X477" s="370"/>
      <c r="Y477" s="376"/>
      <c r="Z477" s="371"/>
      <c r="AA477" s="371"/>
      <c r="AB477" s="675"/>
      <c r="AC477" s="372"/>
      <c r="AD477" s="270"/>
      <c r="AE477" s="270"/>
      <c r="AF477" s="270"/>
      <c r="AG477" s="376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422"/>
      <c r="V478" s="375"/>
      <c r="W478" s="374"/>
      <c r="X478" s="370"/>
      <c r="Y478" s="376"/>
      <c r="Z478" s="371"/>
      <c r="AA478" s="371"/>
      <c r="AB478" s="675"/>
      <c r="AC478" s="372"/>
      <c r="AD478" s="270"/>
      <c r="AE478" s="270"/>
      <c r="AF478" s="270"/>
      <c r="AG478" s="376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422"/>
      <c r="V479" s="375"/>
      <c r="W479" s="374"/>
      <c r="X479" s="370"/>
      <c r="Y479" s="376"/>
      <c r="Z479" s="371"/>
      <c r="AA479" s="371"/>
      <c r="AB479" s="675"/>
      <c r="AC479" s="372"/>
      <c r="AD479" s="270"/>
      <c r="AE479" s="270"/>
      <c r="AF479" s="270"/>
      <c r="AG479" s="376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422"/>
      <c r="V480" s="375"/>
      <c r="W480" s="374"/>
      <c r="X480" s="370"/>
      <c r="Y480" s="376"/>
      <c r="Z480" s="371"/>
      <c r="AA480" s="371"/>
      <c r="AB480" s="675"/>
      <c r="AC480" s="372"/>
      <c r="AD480" s="270"/>
      <c r="AE480" s="270"/>
      <c r="AF480" s="270"/>
      <c r="AG480" s="376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76"/>
      <c r="AC481" s="64"/>
      <c r="AD481" s="50"/>
      <c r="AE481" s="50"/>
      <c r="AF481" s="19"/>
      <c r="AG481" s="376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76"/>
      <c r="AC482" s="64"/>
      <c r="AD482" s="50"/>
      <c r="AE482" s="50"/>
      <c r="AF482" s="19"/>
      <c r="AG482" s="376"/>
      <c r="AH482" s="272"/>
      <c r="AI482" s="1"/>
      <c r="AJ482" s="21"/>
      <c r="AK482" s="21"/>
      <c r="AL482" s="21"/>
      <c r="AM482" s="21"/>
      <c r="AN482" s="21"/>
      <c r="AO482" s="21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76"/>
      <c r="AC483" s="64"/>
      <c r="AD483" s="50"/>
      <c r="AE483" s="50"/>
      <c r="AF483" s="19"/>
      <c r="AG483" s="376"/>
      <c r="AH483" s="272"/>
      <c r="AI483" s="1"/>
      <c r="AJ483" s="21"/>
      <c r="AK483" s="21"/>
      <c r="AL483" s="21"/>
      <c r="AM483" s="21"/>
      <c r="AN483" s="21"/>
      <c r="AO483" s="21"/>
    </row>
    <row r="484" spans="1:44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76"/>
      <c r="AC484" s="64"/>
      <c r="AD484" s="50"/>
      <c r="AE484" s="50"/>
      <c r="AF484" s="19"/>
      <c r="AG484" s="376"/>
      <c r="AH484" s="272"/>
      <c r="AI484" s="1"/>
      <c r="AJ484" s="21"/>
      <c r="AK484" s="21"/>
      <c r="AL484" s="21"/>
      <c r="AM484" s="21"/>
      <c r="AN484" s="21"/>
      <c r="AO484" s="21"/>
      <c r="AQ484" s="308"/>
      <c r="AR484" s="308"/>
    </row>
    <row r="485" spans="1:44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76"/>
      <c r="AC485" s="64"/>
      <c r="AD485" s="50"/>
      <c r="AE485" s="50"/>
      <c r="AF485" s="19"/>
      <c r="AG485" s="376"/>
      <c r="AH485" s="272"/>
      <c r="AI485" s="1"/>
      <c r="AJ485" s="21"/>
      <c r="AK485" s="21"/>
      <c r="AL485" s="21"/>
      <c r="AM485" s="21"/>
      <c r="AN485" s="21"/>
      <c r="AO485" s="21"/>
      <c r="AQ485" s="308"/>
      <c r="AR485" s="308"/>
    </row>
    <row r="486" spans="1:44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76"/>
      <c r="AC486" s="64"/>
      <c r="AD486" s="50"/>
      <c r="AE486" s="50"/>
      <c r="AF486" s="19"/>
      <c r="AG486" s="376"/>
      <c r="AH486" s="272"/>
      <c r="AI486" s="1"/>
      <c r="AJ486" s="21"/>
      <c r="AK486" s="21"/>
      <c r="AL486" s="21"/>
      <c r="AM486" s="21"/>
      <c r="AN486" s="21"/>
      <c r="AO486" s="21"/>
      <c r="AP486" s="53"/>
    </row>
    <row r="487" spans="1:44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76"/>
      <c r="AC487" s="64"/>
      <c r="AD487" s="50"/>
      <c r="AE487" s="50"/>
      <c r="AF487" s="19"/>
      <c r="AG487" s="376"/>
      <c r="AH487" s="272"/>
      <c r="AI487" s="1"/>
      <c r="AJ487" s="21"/>
      <c r="AK487" s="21"/>
      <c r="AL487" s="21"/>
      <c r="AM487" s="21"/>
      <c r="AN487" s="21"/>
      <c r="AO487" s="21"/>
      <c r="AP487" s="53"/>
    </row>
    <row r="488" spans="1:44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76"/>
      <c r="AC488" s="64"/>
      <c r="AD488" s="50"/>
      <c r="AE488" s="50"/>
      <c r="AF488" s="19"/>
      <c r="AG488" s="120"/>
      <c r="AH488" s="272"/>
      <c r="AI488" s="1"/>
      <c r="AJ488" s="21"/>
      <c r="AK488" s="21"/>
      <c r="AL488" s="21"/>
      <c r="AM488" s="21"/>
      <c r="AN488" s="21"/>
      <c r="AO488" s="21"/>
      <c r="AP488" s="53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76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76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76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76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76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76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76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76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76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76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76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76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76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76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76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76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76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76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76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76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76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76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76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76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76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76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76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76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76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76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76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76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76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76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76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76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76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76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76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76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76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76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  <c r="AP530" s="53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76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  <c r="AP531" s="53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76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76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76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76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76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76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76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76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76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76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76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76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76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76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76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76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76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76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76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76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76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76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76"/>
      <c r="AC554" s="64"/>
      <c r="AD554" s="50"/>
      <c r="AE554" s="50"/>
      <c r="AF554" s="19"/>
      <c r="AG554" s="123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76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76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76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76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76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76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76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76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76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76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76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76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76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76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76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76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76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76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76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76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76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76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76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76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76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76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76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76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76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76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76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76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76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76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76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76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76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76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76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76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76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76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76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76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76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76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76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76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76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76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76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76"/>
      <c r="AC606" s="64"/>
      <c r="AD606" s="50"/>
      <c r="AE606" s="50"/>
      <c r="AF606" s="19"/>
      <c r="AG606" s="120"/>
      <c r="AH606" s="123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76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76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76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76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76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76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76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76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76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76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76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76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76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76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76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76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76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76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76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76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76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76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76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76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76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76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76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76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76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76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76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76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76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76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76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76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76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76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76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76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76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76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76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76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76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76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76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76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76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76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76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76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76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76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76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76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76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76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76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76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76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76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76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4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76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4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76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  <c r="AQ671" s="21"/>
      <c r="AR671" s="21"/>
    </row>
    <row r="672" spans="1:44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76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  <c r="AQ672" s="21"/>
      <c r="AR672" s="21"/>
    </row>
    <row r="673" spans="1:44" x14ac:dyDescent="0.2">
      <c r="A673" s="48"/>
      <c r="AP673" s="308"/>
    </row>
    <row r="674" spans="1:44" x14ac:dyDescent="0.2">
      <c r="A674" s="48"/>
      <c r="AP674" s="308"/>
    </row>
    <row r="675" spans="1:44" x14ac:dyDescent="0.2">
      <c r="A675" s="48"/>
      <c r="AP675" s="308"/>
    </row>
    <row r="676" spans="1:44" x14ac:dyDescent="0.2">
      <c r="A676" s="48"/>
      <c r="AP676" s="308"/>
    </row>
    <row r="677" spans="1:44" x14ac:dyDescent="0.2">
      <c r="A677" s="48"/>
      <c r="AP677" s="308"/>
    </row>
    <row r="678" spans="1:44" x14ac:dyDescent="0.2">
      <c r="A678" s="48"/>
      <c r="AP678" s="308"/>
    </row>
    <row r="679" spans="1:44" x14ac:dyDescent="0.2">
      <c r="A679" s="48"/>
      <c r="AP679" s="308"/>
      <c r="AQ679" s="308"/>
      <c r="AR679" s="308"/>
    </row>
    <row r="680" spans="1:44" x14ac:dyDescent="0.2">
      <c r="A680" s="48"/>
      <c r="AP680" s="308"/>
      <c r="AQ680" s="308"/>
      <c r="AR680" s="308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76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76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76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76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76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76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76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76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76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76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76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76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76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76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76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76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76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76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76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76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76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76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76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76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6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76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4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6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76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  <c r="AQ706" s="21"/>
      <c r="AR706" s="21"/>
    </row>
    <row r="707" spans="1:44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6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76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  <c r="AQ707" s="21"/>
      <c r="AR707" s="21"/>
    </row>
    <row r="708" spans="1:44" x14ac:dyDescent="0.2">
      <c r="A708" s="48"/>
      <c r="AP708" s="308"/>
    </row>
    <row r="709" spans="1:44" x14ac:dyDescent="0.2">
      <c r="A709" s="48"/>
      <c r="AP709" s="308"/>
    </row>
    <row r="710" spans="1:44" x14ac:dyDescent="0.2">
      <c r="A710" s="48"/>
      <c r="AP710" s="308"/>
    </row>
    <row r="711" spans="1:44" x14ac:dyDescent="0.2">
      <c r="A711" s="48"/>
      <c r="AP711" s="308"/>
    </row>
    <row r="712" spans="1:44" x14ac:dyDescent="0.2">
      <c r="A712" s="48"/>
      <c r="AP712" s="308"/>
    </row>
    <row r="713" spans="1:44" x14ac:dyDescent="0.2">
      <c r="A713" s="48"/>
      <c r="AP713" s="308"/>
    </row>
    <row r="714" spans="1:44" x14ac:dyDescent="0.2">
      <c r="A714" s="48"/>
      <c r="AP714" s="308"/>
    </row>
    <row r="715" spans="1:44" x14ac:dyDescent="0.2">
      <c r="A715" s="48"/>
      <c r="AP715" s="308"/>
    </row>
    <row r="716" spans="1:44" x14ac:dyDescent="0.2">
      <c r="A716" s="48"/>
      <c r="AP716" s="308"/>
    </row>
    <row r="717" spans="1:44" x14ac:dyDescent="0.2">
      <c r="A717" s="48"/>
      <c r="AP717" s="308"/>
    </row>
    <row r="718" spans="1:44" x14ac:dyDescent="0.2">
      <c r="A718" s="48"/>
      <c r="AP718" s="308"/>
    </row>
    <row r="719" spans="1:44" x14ac:dyDescent="0.2">
      <c r="A719" s="48"/>
    </row>
    <row r="720" spans="1:44" x14ac:dyDescent="0.2">
      <c r="A720" s="48"/>
    </row>
    <row r="721" spans="1:42" x14ac:dyDescent="0.2">
      <c r="A721" s="4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</row>
    <row r="725" spans="1:42" x14ac:dyDescent="0.2">
      <c r="A725" s="48"/>
    </row>
    <row r="726" spans="1:42" x14ac:dyDescent="0.2">
      <c r="A726" s="4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  <c r="AP752" s="308"/>
    </row>
    <row r="753" spans="1:45" x14ac:dyDescent="0.2">
      <c r="A753" s="48"/>
      <c r="AP753" s="308"/>
    </row>
    <row r="754" spans="1:45" x14ac:dyDescent="0.2">
      <c r="A754" s="48"/>
    </row>
    <row r="755" spans="1:45" x14ac:dyDescent="0.2">
      <c r="A755" s="48"/>
    </row>
    <row r="756" spans="1:45" x14ac:dyDescent="0.2">
      <c r="A756" s="48"/>
    </row>
    <row r="757" spans="1:45" s="308" customFormat="1" x14ac:dyDescent="0.2">
      <c r="A757" s="48"/>
      <c r="C757" s="263"/>
      <c r="D757" s="263"/>
      <c r="E757" s="53"/>
      <c r="F757" s="13"/>
      <c r="G757" s="13"/>
      <c r="H757" s="53"/>
      <c r="I757" s="298"/>
      <c r="J757" s="21"/>
      <c r="K757" s="21"/>
      <c r="L757" s="13"/>
      <c r="M757" s="50"/>
      <c r="N757" s="97"/>
      <c r="O757" s="50"/>
      <c r="P757" s="50"/>
      <c r="Q757" s="316"/>
      <c r="R757" s="285"/>
      <c r="S757" s="21"/>
      <c r="T757" s="13"/>
      <c r="U757" s="13"/>
      <c r="V757" s="21"/>
      <c r="W757" s="21"/>
      <c r="X757" s="21"/>
      <c r="Y757" s="260"/>
      <c r="Z757" s="177"/>
      <c r="AA757" s="177"/>
      <c r="AB757" s="676"/>
      <c r="AC757" s="64"/>
      <c r="AD757" s="50"/>
      <c r="AE757" s="50"/>
      <c r="AF757" s="19"/>
      <c r="AG757" s="120"/>
      <c r="AH757" s="119"/>
      <c r="AI757" s="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1:45" s="308" customFormat="1" x14ac:dyDescent="0.2">
      <c r="A758" s="48"/>
      <c r="C758" s="263"/>
      <c r="D758" s="263"/>
      <c r="E758" s="53"/>
      <c r="F758" s="13"/>
      <c r="G758" s="13"/>
      <c r="H758" s="53"/>
      <c r="I758" s="298"/>
      <c r="J758" s="21"/>
      <c r="K758" s="21"/>
      <c r="L758" s="13"/>
      <c r="M758" s="50"/>
      <c r="N758" s="97"/>
      <c r="O758" s="50"/>
      <c r="P758" s="50"/>
      <c r="Q758" s="316"/>
      <c r="R758" s="285"/>
      <c r="S758" s="21"/>
      <c r="T758" s="13"/>
      <c r="U758" s="13"/>
      <c r="V758" s="21"/>
      <c r="W758" s="21"/>
      <c r="X758" s="21"/>
      <c r="Y758" s="260"/>
      <c r="Z758" s="177"/>
      <c r="AA758" s="177"/>
      <c r="AB758" s="676"/>
      <c r="AC758" s="64"/>
      <c r="AD758" s="50"/>
      <c r="AE758" s="50"/>
      <c r="AF758" s="19"/>
      <c r="AG758" s="120"/>
      <c r="AH758" s="119"/>
      <c r="AI758" s="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</sheetData>
  <mergeCells count="2">
    <mergeCell ref="AC4:AF4"/>
    <mergeCell ref="D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1"/>
  <sheetViews>
    <sheetView topLeftCell="S87" workbookViewId="0">
      <selection activeCell="AC95" sqref="AC95:AF95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2.140625" style="53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4.42578125" style="676" bestFit="1" customWidth="1"/>
    <col min="29" max="29" width="11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1934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3420</v>
      </c>
      <c r="V4" s="67"/>
      <c r="W4" s="67"/>
      <c r="Y4" s="21"/>
      <c r="Z4" s="260"/>
      <c r="AB4" s="63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682" t="s">
        <v>2796</v>
      </c>
      <c r="C6" s="699">
        <v>520112</v>
      </c>
      <c r="D6" s="700">
        <v>2593</v>
      </c>
      <c r="E6" s="701" t="s">
        <v>685</v>
      </c>
      <c r="F6" s="539">
        <v>2017</v>
      </c>
      <c r="G6" s="702">
        <v>42829</v>
      </c>
      <c r="H6" s="703" t="s">
        <v>2213</v>
      </c>
      <c r="I6" s="704" t="s">
        <v>3020</v>
      </c>
      <c r="J6" s="705" t="s">
        <v>729</v>
      </c>
      <c r="K6" s="706" t="s">
        <v>3156</v>
      </c>
      <c r="L6" s="707" t="s">
        <v>3286</v>
      </c>
      <c r="M6" s="708">
        <v>314205.78999999998</v>
      </c>
      <c r="N6" s="709">
        <v>9242.49</v>
      </c>
      <c r="O6" s="710">
        <v>51751.72</v>
      </c>
      <c r="P6" s="711">
        <v>375200</v>
      </c>
      <c r="Q6" s="541"/>
      <c r="R6" s="713">
        <v>289122.77</v>
      </c>
      <c r="S6" s="542">
        <f t="shared" ref="S6:S69" si="0">+P6-R6</f>
        <v>86077.229999999981</v>
      </c>
      <c r="T6" s="113" t="s">
        <v>131</v>
      </c>
      <c r="U6" s="621" t="str">
        <f>+B6</f>
        <v>AA10789</v>
      </c>
      <c r="V6" s="622" t="str">
        <f>+I6</f>
        <v>0835-TCN17</v>
      </c>
      <c r="W6" s="621">
        <f>+C6</f>
        <v>520112</v>
      </c>
      <c r="X6" s="621" t="str">
        <f>+E6</f>
        <v>CAMRY XLE 4 -DOOR</v>
      </c>
      <c r="Y6" s="622">
        <f>+F6</f>
        <v>2017</v>
      </c>
      <c r="Z6" s="623">
        <f>+M6</f>
        <v>314205.78999999998</v>
      </c>
      <c r="AA6" s="624"/>
      <c r="AB6" s="663"/>
      <c r="AC6" s="624">
        <f t="shared" ref="AC6:AC36" si="1">VLOOKUP(Z6,TARIFA,1)</f>
        <v>295708.34000000003</v>
      </c>
      <c r="AD6" s="625">
        <f t="shared" ref="AD6:AD36" si="2">VLOOKUP(Z6,TARIFA,4)</f>
        <v>0.1</v>
      </c>
      <c r="AE6" s="624">
        <f t="shared" ref="AE6:AE36" si="3">VLOOKUP(Z6,TARIFA,3)</f>
        <v>7392.74</v>
      </c>
      <c r="AF6" s="624">
        <f t="shared" ref="AF6:AF24" si="4">IF(Z6&lt;281240.78,(((Z6-AC6)*AD6+AE6)/2),(Z6-AC6)*AD6+AE6)</f>
        <v>9242.4849999999951</v>
      </c>
      <c r="AG6" s="632">
        <f>+N6-AF6</f>
        <v>5.0000000046566129E-3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683" t="s">
        <v>2797</v>
      </c>
      <c r="C7" s="699">
        <v>520112</v>
      </c>
      <c r="D7" s="700">
        <v>2593</v>
      </c>
      <c r="E7" s="701" t="s">
        <v>685</v>
      </c>
      <c r="F7" s="546">
        <v>2017</v>
      </c>
      <c r="G7" s="702">
        <v>42832</v>
      </c>
      <c r="H7" s="703" t="s">
        <v>2213</v>
      </c>
      <c r="I7" s="704" t="s">
        <v>2284</v>
      </c>
      <c r="J7" s="705" t="s">
        <v>729</v>
      </c>
      <c r="K7" s="706" t="s">
        <v>2440</v>
      </c>
      <c r="L7" s="707" t="s">
        <v>2582</v>
      </c>
      <c r="M7" s="708">
        <v>-314205.78999999998</v>
      </c>
      <c r="N7" s="709">
        <v>-9242.49</v>
      </c>
      <c r="O7" s="710">
        <v>-51751.72</v>
      </c>
      <c r="P7" s="711">
        <v>-375200</v>
      </c>
      <c r="Q7" s="548"/>
      <c r="R7" s="713">
        <v>-289122.77</v>
      </c>
      <c r="S7" s="549">
        <f t="shared" si="0"/>
        <v>-86077.229999999981</v>
      </c>
      <c r="T7" s="267" t="s">
        <v>1266</v>
      </c>
      <c r="U7" s="626" t="str">
        <f t="shared" ref="U7:U70" si="5">+B7</f>
        <v>ZA04002</v>
      </c>
      <c r="V7" s="627" t="str">
        <f t="shared" ref="V7:V70" si="6">+I7</f>
        <v>0772-TCN17</v>
      </c>
      <c r="W7" s="626">
        <f t="shared" ref="W7:W70" si="7">+C7</f>
        <v>520112</v>
      </c>
      <c r="X7" s="626" t="str">
        <f t="shared" ref="X7:Y70" si="8">+E7</f>
        <v>CAMRY XLE 4 -DOOR</v>
      </c>
      <c r="Y7" s="627">
        <f t="shared" si="8"/>
        <v>2017</v>
      </c>
      <c r="Z7" s="628">
        <f t="shared" ref="Z7:Z70" si="9">+M7</f>
        <v>-314205.78999999998</v>
      </c>
      <c r="AA7" s="629">
        <f>++Z7+Z6</f>
        <v>0</v>
      </c>
      <c r="AB7" s="664">
        <v>0</v>
      </c>
      <c r="AC7" s="629">
        <v>0</v>
      </c>
      <c r="AD7" s="630">
        <v>0</v>
      </c>
      <c r="AE7" s="629">
        <v>0</v>
      </c>
      <c r="AF7" s="629">
        <f>+N7</f>
        <v>-9242.49</v>
      </c>
      <c r="AG7" s="555">
        <f t="shared" ref="AG7:AG70" si="10">+N7-AF7</f>
        <v>0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683" t="s">
        <v>2721</v>
      </c>
      <c r="C8" s="699">
        <v>520220</v>
      </c>
      <c r="D8" s="700">
        <v>1794</v>
      </c>
      <c r="E8" s="701" t="s">
        <v>687</v>
      </c>
      <c r="F8" s="546">
        <v>2017</v>
      </c>
      <c r="G8" s="702">
        <v>42849</v>
      </c>
      <c r="H8" s="703" t="s">
        <v>2213</v>
      </c>
      <c r="I8" s="704" t="s">
        <v>2969</v>
      </c>
      <c r="J8" s="705" t="s">
        <v>724</v>
      </c>
      <c r="K8" s="706" t="s">
        <v>3123</v>
      </c>
      <c r="L8" s="707" t="s">
        <v>3235</v>
      </c>
      <c r="M8" s="708">
        <v>262226.93</v>
      </c>
      <c r="N8" s="709">
        <v>2859.28</v>
      </c>
      <c r="O8" s="710">
        <v>42413.79</v>
      </c>
      <c r="P8" s="711">
        <v>307500</v>
      </c>
      <c r="Q8" s="548"/>
      <c r="R8" s="713">
        <v>230839.41</v>
      </c>
      <c r="S8" s="549">
        <f t="shared" si="0"/>
        <v>76660.59</v>
      </c>
      <c r="T8" s="267" t="s">
        <v>131</v>
      </c>
      <c r="U8" s="626" t="str">
        <f t="shared" si="5"/>
        <v>AA10934</v>
      </c>
      <c r="V8" s="627" t="str">
        <f t="shared" si="6"/>
        <v>1156-TCN17</v>
      </c>
      <c r="W8" s="626">
        <f t="shared" si="7"/>
        <v>520220</v>
      </c>
      <c r="X8" s="626" t="str">
        <f t="shared" si="8"/>
        <v>COROLLA LE AT</v>
      </c>
      <c r="Y8" s="627">
        <f t="shared" si="8"/>
        <v>2017</v>
      </c>
      <c r="Z8" s="628">
        <f t="shared" si="9"/>
        <v>262226.93</v>
      </c>
      <c r="AA8" s="629"/>
      <c r="AB8" s="664"/>
      <c r="AC8" s="629">
        <f t="shared" si="1"/>
        <v>246423.66</v>
      </c>
      <c r="AD8" s="630">
        <f t="shared" si="2"/>
        <v>0.05</v>
      </c>
      <c r="AE8" s="629">
        <f t="shared" si="3"/>
        <v>4928.3900000000003</v>
      </c>
      <c r="AF8" s="629">
        <f t="shared" si="4"/>
        <v>2859.27675</v>
      </c>
      <c r="AG8" s="555">
        <f t="shared" si="10"/>
        <v>3.2500000002073648E-3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683" t="s">
        <v>2713</v>
      </c>
      <c r="C9" s="699">
        <v>520220</v>
      </c>
      <c r="D9" s="700">
        <v>1794</v>
      </c>
      <c r="E9" s="701" t="s">
        <v>687</v>
      </c>
      <c r="F9" s="546">
        <v>2017</v>
      </c>
      <c r="G9" s="702">
        <v>42831</v>
      </c>
      <c r="H9" s="703" t="s">
        <v>747</v>
      </c>
      <c r="I9" s="704" t="s">
        <v>2967</v>
      </c>
      <c r="J9" s="705" t="s">
        <v>729</v>
      </c>
      <c r="K9" s="706" t="s">
        <v>3121</v>
      </c>
      <c r="L9" s="707" t="s">
        <v>3233</v>
      </c>
      <c r="M9" s="708">
        <v>262226.93</v>
      </c>
      <c r="N9" s="709">
        <v>2859.28</v>
      </c>
      <c r="O9" s="710">
        <v>42413.79</v>
      </c>
      <c r="P9" s="711">
        <v>307500</v>
      </c>
      <c r="Q9" s="548"/>
      <c r="R9" s="713">
        <v>230484.92</v>
      </c>
      <c r="S9" s="549">
        <f t="shared" si="0"/>
        <v>77015.079999999987</v>
      </c>
      <c r="T9" s="113" t="s">
        <v>131</v>
      </c>
      <c r="U9" s="626" t="str">
        <f t="shared" si="5"/>
        <v>AA10805</v>
      </c>
      <c r="V9" s="627" t="str">
        <f t="shared" si="6"/>
        <v>1088-TCN17</v>
      </c>
      <c r="W9" s="626">
        <f t="shared" si="7"/>
        <v>520220</v>
      </c>
      <c r="X9" s="626" t="str">
        <f t="shared" si="8"/>
        <v>COROLLA LE AT</v>
      </c>
      <c r="Y9" s="627">
        <f t="shared" si="8"/>
        <v>2017</v>
      </c>
      <c r="Z9" s="628">
        <f t="shared" si="9"/>
        <v>262226.93</v>
      </c>
      <c r="AA9" s="629"/>
      <c r="AB9" s="664"/>
      <c r="AC9" s="629">
        <f t="shared" si="1"/>
        <v>246423.66</v>
      </c>
      <c r="AD9" s="630">
        <f t="shared" si="2"/>
        <v>0.05</v>
      </c>
      <c r="AE9" s="629">
        <f t="shared" si="3"/>
        <v>4928.3900000000003</v>
      </c>
      <c r="AF9" s="629">
        <f t="shared" si="4"/>
        <v>2859.27675</v>
      </c>
      <c r="AG9" s="555">
        <f t="shared" si="10"/>
        <v>3.2500000002073648E-3</v>
      </c>
      <c r="AH9" s="361"/>
      <c r="AI9" s="313"/>
    </row>
    <row r="10" spans="1:45" s="291" customFormat="1" x14ac:dyDescent="0.2">
      <c r="A10" s="423">
        <f t="shared" si="11"/>
        <v>5</v>
      </c>
      <c r="B10" s="683" t="s">
        <v>2720</v>
      </c>
      <c r="C10" s="699">
        <v>520220</v>
      </c>
      <c r="D10" s="700">
        <v>1794</v>
      </c>
      <c r="E10" s="701" t="s">
        <v>687</v>
      </c>
      <c r="F10" s="546">
        <v>2017</v>
      </c>
      <c r="G10" s="702">
        <v>42846</v>
      </c>
      <c r="H10" s="703" t="s">
        <v>774</v>
      </c>
      <c r="I10" s="704" t="s">
        <v>2968</v>
      </c>
      <c r="J10" s="705" t="s">
        <v>729</v>
      </c>
      <c r="K10" s="706" t="s">
        <v>3122</v>
      </c>
      <c r="L10" s="707" t="s">
        <v>3234</v>
      </c>
      <c r="M10" s="708">
        <v>252134.41</v>
      </c>
      <c r="N10" s="709">
        <v>2606.9699999999998</v>
      </c>
      <c r="O10" s="710">
        <v>40758.620000000003</v>
      </c>
      <c r="P10" s="711">
        <v>295500</v>
      </c>
      <c r="Q10" s="548"/>
      <c r="R10" s="713">
        <v>230484.92</v>
      </c>
      <c r="S10" s="549">
        <f t="shared" si="0"/>
        <v>65015.079999999987</v>
      </c>
      <c r="T10" s="113" t="s">
        <v>131</v>
      </c>
      <c r="U10" s="626" t="str">
        <f t="shared" si="5"/>
        <v>AA10913</v>
      </c>
      <c r="V10" s="627" t="str">
        <f t="shared" si="6"/>
        <v>1139-TCN17</v>
      </c>
      <c r="W10" s="626">
        <f t="shared" si="7"/>
        <v>520220</v>
      </c>
      <c r="X10" s="626" t="str">
        <f t="shared" si="8"/>
        <v>COROLLA LE AT</v>
      </c>
      <c r="Y10" s="627">
        <f t="shared" si="8"/>
        <v>2017</v>
      </c>
      <c r="Z10" s="628">
        <f t="shared" si="9"/>
        <v>252134.41</v>
      </c>
      <c r="AA10" s="629">
        <f>+Z10+Z9+Z8</f>
        <v>776588.27</v>
      </c>
      <c r="AB10" s="664">
        <v>3</v>
      </c>
      <c r="AC10" s="629">
        <f t="shared" si="1"/>
        <v>246423.66</v>
      </c>
      <c r="AD10" s="630">
        <f t="shared" si="2"/>
        <v>0.05</v>
      </c>
      <c r="AE10" s="629">
        <f t="shared" si="3"/>
        <v>4928.3900000000003</v>
      </c>
      <c r="AF10" s="629">
        <f t="shared" si="4"/>
        <v>2606.9637500000003</v>
      </c>
      <c r="AG10" s="555">
        <f t="shared" si="10"/>
        <v>6.2499999994543032E-3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683" t="s">
        <v>2705</v>
      </c>
      <c r="C11" s="699">
        <v>520224</v>
      </c>
      <c r="D11" s="700">
        <v>1781</v>
      </c>
      <c r="E11" s="701" t="s">
        <v>690</v>
      </c>
      <c r="F11" s="546">
        <v>2017</v>
      </c>
      <c r="G11" s="702">
        <v>42844</v>
      </c>
      <c r="H11" s="703" t="s">
        <v>727</v>
      </c>
      <c r="I11" s="704" t="s">
        <v>2962</v>
      </c>
      <c r="J11" s="705" t="s">
        <v>724</v>
      </c>
      <c r="K11" s="706" t="s">
        <v>3120</v>
      </c>
      <c r="L11" s="707" t="s">
        <v>3228</v>
      </c>
      <c r="M11" s="708">
        <v>270889.67</v>
      </c>
      <c r="N11" s="709">
        <v>3075.85</v>
      </c>
      <c r="O11" s="710">
        <v>43834.48</v>
      </c>
      <c r="P11" s="711">
        <v>317800</v>
      </c>
      <c r="Q11" s="548"/>
      <c r="R11" s="713">
        <v>238419.3</v>
      </c>
      <c r="S11" s="549">
        <f t="shared" si="0"/>
        <v>79380.700000000012</v>
      </c>
      <c r="T11" s="267" t="s">
        <v>131</v>
      </c>
      <c r="U11" s="626" t="str">
        <f t="shared" si="5"/>
        <v>AA10893</v>
      </c>
      <c r="V11" s="627" t="str">
        <f t="shared" si="6"/>
        <v>1136-TCN17</v>
      </c>
      <c r="W11" s="626">
        <f t="shared" si="7"/>
        <v>520224</v>
      </c>
      <c r="X11" s="626" t="str">
        <f t="shared" si="8"/>
        <v>COROLLA SE MT</v>
      </c>
      <c r="Y11" s="627">
        <f t="shared" si="8"/>
        <v>2017</v>
      </c>
      <c r="Z11" s="628">
        <f t="shared" si="9"/>
        <v>270889.67</v>
      </c>
      <c r="AA11" s="629"/>
      <c r="AB11" s="664"/>
      <c r="AC11" s="555">
        <f t="shared" si="1"/>
        <v>246423.66</v>
      </c>
      <c r="AD11" s="630">
        <f t="shared" si="2"/>
        <v>0.05</v>
      </c>
      <c r="AE11" s="629">
        <f t="shared" si="3"/>
        <v>4928.3900000000003</v>
      </c>
      <c r="AF11" s="629">
        <f t="shared" si="4"/>
        <v>3075.8452499999999</v>
      </c>
      <c r="AG11" s="555">
        <f t="shared" si="10"/>
        <v>4.7500000000582077E-3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683" t="s">
        <v>2709</v>
      </c>
      <c r="C12" s="699">
        <v>520224</v>
      </c>
      <c r="D12" s="700">
        <v>1781</v>
      </c>
      <c r="E12" s="701" t="s">
        <v>690</v>
      </c>
      <c r="F12" s="546">
        <v>2017</v>
      </c>
      <c r="G12" s="702">
        <v>42852</v>
      </c>
      <c r="H12" s="703" t="s">
        <v>819</v>
      </c>
      <c r="I12" s="704" t="s">
        <v>2964</v>
      </c>
      <c r="J12" s="705" t="s">
        <v>724</v>
      </c>
      <c r="K12" s="706" t="s">
        <v>830</v>
      </c>
      <c r="L12" s="707" t="s">
        <v>3230</v>
      </c>
      <c r="M12" s="708">
        <v>255750.9</v>
      </c>
      <c r="N12" s="709">
        <v>2697.38</v>
      </c>
      <c r="O12" s="710">
        <v>41351.72</v>
      </c>
      <c r="P12" s="711">
        <v>299800</v>
      </c>
      <c r="Q12" s="548"/>
      <c r="R12" s="713">
        <v>238419.3</v>
      </c>
      <c r="S12" s="549">
        <f t="shared" si="0"/>
        <v>61380.700000000012</v>
      </c>
      <c r="T12" s="113" t="s">
        <v>131</v>
      </c>
      <c r="U12" s="626" t="str">
        <f t="shared" si="5"/>
        <v>AA10976</v>
      </c>
      <c r="V12" s="627" t="str">
        <f t="shared" si="6"/>
        <v>1204-TCN17</v>
      </c>
      <c r="W12" s="626">
        <f t="shared" si="7"/>
        <v>520224</v>
      </c>
      <c r="X12" s="626" t="str">
        <f t="shared" si="8"/>
        <v>COROLLA SE MT</v>
      </c>
      <c r="Y12" s="627">
        <f t="shared" si="8"/>
        <v>2017</v>
      </c>
      <c r="Z12" s="628">
        <f t="shared" si="9"/>
        <v>255750.9</v>
      </c>
      <c r="AA12" s="629">
        <f>+Z12+Z11</f>
        <v>526640.56999999995</v>
      </c>
      <c r="AB12" s="664">
        <v>2</v>
      </c>
      <c r="AC12" s="555">
        <f t="shared" si="1"/>
        <v>246423.66</v>
      </c>
      <c r="AD12" s="630">
        <f t="shared" si="2"/>
        <v>0.05</v>
      </c>
      <c r="AE12" s="629">
        <f t="shared" si="3"/>
        <v>4928.3900000000003</v>
      </c>
      <c r="AF12" s="629">
        <f t="shared" si="4"/>
        <v>2697.3759999999997</v>
      </c>
      <c r="AG12" s="555">
        <f t="shared" si="10"/>
        <v>4.0000000003601599E-3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683" t="s">
        <v>2810</v>
      </c>
      <c r="C13" s="699">
        <v>520512</v>
      </c>
      <c r="D13" s="700">
        <v>5394</v>
      </c>
      <c r="E13" s="701" t="s">
        <v>223</v>
      </c>
      <c r="F13" s="546">
        <v>2017</v>
      </c>
      <c r="G13" s="702">
        <v>42843</v>
      </c>
      <c r="H13" s="703" t="s">
        <v>739</v>
      </c>
      <c r="I13" s="704" t="s">
        <v>3031</v>
      </c>
      <c r="J13" s="705" t="s">
        <v>729</v>
      </c>
      <c r="K13" s="706" t="s">
        <v>3164</v>
      </c>
      <c r="L13" s="707" t="s">
        <v>3297</v>
      </c>
      <c r="M13" s="708">
        <v>432186.08</v>
      </c>
      <c r="N13" s="709">
        <v>25400.13</v>
      </c>
      <c r="O13" s="710">
        <v>73213.789999999994</v>
      </c>
      <c r="P13" s="711">
        <v>530800</v>
      </c>
      <c r="Q13" s="548"/>
      <c r="R13" s="713">
        <v>382836.65</v>
      </c>
      <c r="S13" s="549">
        <f t="shared" si="0"/>
        <v>147963.34999999998</v>
      </c>
      <c r="T13" s="267" t="s">
        <v>131</v>
      </c>
      <c r="U13" s="626" t="str">
        <f t="shared" si="5"/>
        <v>AA10876</v>
      </c>
      <c r="V13" s="627" t="str">
        <f t="shared" si="6"/>
        <v>1081-TCN17</v>
      </c>
      <c r="W13" s="626">
        <f t="shared" si="7"/>
        <v>520512</v>
      </c>
      <c r="X13" s="626" t="str">
        <f t="shared" si="8"/>
        <v>SIENNA LE</v>
      </c>
      <c r="Y13" s="627">
        <f t="shared" si="8"/>
        <v>2017</v>
      </c>
      <c r="Z13" s="628">
        <f t="shared" si="9"/>
        <v>432186.08</v>
      </c>
      <c r="AA13" s="629">
        <f>+Z13</f>
        <v>432186.08</v>
      </c>
      <c r="AB13" s="664">
        <v>1</v>
      </c>
      <c r="AC13" s="629">
        <f t="shared" si="1"/>
        <v>344993.21</v>
      </c>
      <c r="AD13" s="630">
        <f t="shared" si="2"/>
        <v>0.15</v>
      </c>
      <c r="AE13" s="629">
        <f t="shared" si="3"/>
        <v>12321.2</v>
      </c>
      <c r="AF13" s="629">
        <f t="shared" si="4"/>
        <v>25400.130499999999</v>
      </c>
      <c r="AG13" s="555">
        <f t="shared" si="10"/>
        <v>-4.99999998282874E-4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683" t="s">
        <v>2814</v>
      </c>
      <c r="C14" s="699">
        <v>520513</v>
      </c>
      <c r="D14" s="700">
        <v>5396</v>
      </c>
      <c r="E14" s="701" t="s">
        <v>132</v>
      </c>
      <c r="F14" s="546">
        <v>2017</v>
      </c>
      <c r="G14" s="702">
        <v>42845</v>
      </c>
      <c r="H14" s="703" t="s">
        <v>2215</v>
      </c>
      <c r="I14" s="704" t="s">
        <v>3033</v>
      </c>
      <c r="J14" s="705" t="s">
        <v>724</v>
      </c>
      <c r="K14" s="706" t="s">
        <v>3166</v>
      </c>
      <c r="L14" s="707" t="s">
        <v>3299</v>
      </c>
      <c r="M14" s="708">
        <v>448874.08</v>
      </c>
      <c r="N14" s="709">
        <v>28009.54</v>
      </c>
      <c r="O14" s="710">
        <v>76301.38</v>
      </c>
      <c r="P14" s="711">
        <v>553185</v>
      </c>
      <c r="Q14" s="548"/>
      <c r="R14" s="713">
        <v>416755.42</v>
      </c>
      <c r="S14" s="549">
        <f t="shared" si="0"/>
        <v>136429.58000000002</v>
      </c>
      <c r="T14" s="267" t="s">
        <v>131</v>
      </c>
      <c r="U14" s="626" t="str">
        <f t="shared" si="5"/>
        <v>AA10902</v>
      </c>
      <c r="V14" s="627" t="str">
        <f t="shared" si="6"/>
        <v>0993-TCN17</v>
      </c>
      <c r="W14" s="626">
        <f t="shared" si="7"/>
        <v>520513</v>
      </c>
      <c r="X14" s="626" t="str">
        <f t="shared" si="8"/>
        <v>SIENNA XLE</v>
      </c>
      <c r="Y14" s="627">
        <f t="shared" si="8"/>
        <v>2017</v>
      </c>
      <c r="Z14" s="628">
        <f t="shared" si="9"/>
        <v>448874.08</v>
      </c>
      <c r="AA14" s="629"/>
      <c r="AB14" s="664"/>
      <c r="AC14" s="629">
        <f t="shared" si="1"/>
        <v>443562.4</v>
      </c>
      <c r="AD14" s="630">
        <f t="shared" si="2"/>
        <v>0.17</v>
      </c>
      <c r="AE14" s="629">
        <f t="shared" si="3"/>
        <v>27106.55</v>
      </c>
      <c r="AF14" s="629">
        <f t="shared" si="4"/>
        <v>28009.535599999999</v>
      </c>
      <c r="AG14" s="555">
        <f t="shared" si="10"/>
        <v>4.4000000016239937E-3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683" t="s">
        <v>2813</v>
      </c>
      <c r="C15" s="699">
        <v>520513</v>
      </c>
      <c r="D15" s="700">
        <v>5396</v>
      </c>
      <c r="E15" s="701" t="s">
        <v>132</v>
      </c>
      <c r="F15" s="546">
        <v>2017</v>
      </c>
      <c r="G15" s="702">
        <v>42837</v>
      </c>
      <c r="H15" s="703" t="s">
        <v>760</v>
      </c>
      <c r="I15" s="704" t="s">
        <v>3032</v>
      </c>
      <c r="J15" s="705" t="s">
        <v>729</v>
      </c>
      <c r="K15" s="706" t="s">
        <v>3165</v>
      </c>
      <c r="L15" s="707" t="s">
        <v>3298</v>
      </c>
      <c r="M15" s="708">
        <v>448874.08</v>
      </c>
      <c r="N15" s="709">
        <v>28009.54</v>
      </c>
      <c r="O15" s="710">
        <v>76301.38</v>
      </c>
      <c r="P15" s="711">
        <v>553185</v>
      </c>
      <c r="Q15" s="548"/>
      <c r="R15" s="713">
        <v>416400.08</v>
      </c>
      <c r="S15" s="549">
        <f t="shared" si="0"/>
        <v>136784.91999999998</v>
      </c>
      <c r="T15" s="113" t="s">
        <v>131</v>
      </c>
      <c r="U15" s="626" t="str">
        <f t="shared" si="5"/>
        <v>AA10842</v>
      </c>
      <c r="V15" s="627" t="str">
        <f t="shared" si="6"/>
        <v>1120-TCN17</v>
      </c>
      <c r="W15" s="626">
        <f t="shared" si="7"/>
        <v>520513</v>
      </c>
      <c r="X15" s="626" t="str">
        <f t="shared" si="8"/>
        <v>SIENNA XLE</v>
      </c>
      <c r="Y15" s="627">
        <f t="shared" si="8"/>
        <v>2017</v>
      </c>
      <c r="Z15" s="628">
        <f t="shared" si="9"/>
        <v>448874.08</v>
      </c>
      <c r="AA15" s="629">
        <f>+Z15+Z14</f>
        <v>897748.16</v>
      </c>
      <c r="AB15" s="664">
        <v>2</v>
      </c>
      <c r="AC15" s="629">
        <f t="shared" si="1"/>
        <v>443562.4</v>
      </c>
      <c r="AD15" s="630">
        <f t="shared" si="2"/>
        <v>0.17</v>
      </c>
      <c r="AE15" s="629">
        <f t="shared" si="3"/>
        <v>27106.55</v>
      </c>
      <c r="AF15" s="629">
        <f t="shared" si="4"/>
        <v>28009.535599999999</v>
      </c>
      <c r="AG15" s="555">
        <f t="shared" si="10"/>
        <v>4.4000000016239937E-3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683" t="s">
        <v>2818</v>
      </c>
      <c r="C16" s="699">
        <v>520514</v>
      </c>
      <c r="D16" s="700">
        <v>5398</v>
      </c>
      <c r="E16" s="701" t="s">
        <v>117</v>
      </c>
      <c r="F16" s="546">
        <v>2017</v>
      </c>
      <c r="G16" s="702">
        <v>42832</v>
      </c>
      <c r="H16" s="703" t="s">
        <v>727</v>
      </c>
      <c r="I16" s="704" t="s">
        <v>2299</v>
      </c>
      <c r="J16" s="705" t="s">
        <v>729</v>
      </c>
      <c r="K16" s="706" t="s">
        <v>3168</v>
      </c>
      <c r="L16" s="707" t="s">
        <v>2597</v>
      </c>
      <c r="M16" s="708">
        <v>515345.49</v>
      </c>
      <c r="N16" s="709">
        <v>39309.68</v>
      </c>
      <c r="O16" s="710">
        <v>88744.83</v>
      </c>
      <c r="P16" s="711">
        <v>643400</v>
      </c>
      <c r="Q16" s="548"/>
      <c r="R16" s="713">
        <v>455972.8</v>
      </c>
      <c r="S16" s="549">
        <f t="shared" si="0"/>
        <v>187427.20000000001</v>
      </c>
      <c r="T16" s="113" t="s">
        <v>131</v>
      </c>
      <c r="U16" s="626" t="str">
        <f t="shared" si="5"/>
        <v>AA10806</v>
      </c>
      <c r="V16" s="627" t="str">
        <f t="shared" si="6"/>
        <v>1061-TCN17</v>
      </c>
      <c r="W16" s="626">
        <f t="shared" si="7"/>
        <v>520514</v>
      </c>
      <c r="X16" s="626" t="str">
        <f t="shared" si="8"/>
        <v>SIENNA XLE PIEL</v>
      </c>
      <c r="Y16" s="627">
        <f t="shared" si="8"/>
        <v>2017</v>
      </c>
      <c r="Z16" s="628">
        <f t="shared" si="9"/>
        <v>515345.49</v>
      </c>
      <c r="AA16" s="629"/>
      <c r="AB16" s="664"/>
      <c r="AC16" s="629">
        <f t="shared" si="1"/>
        <v>443562.4</v>
      </c>
      <c r="AD16" s="630">
        <f t="shared" si="2"/>
        <v>0.17</v>
      </c>
      <c r="AE16" s="629">
        <f t="shared" si="3"/>
        <v>27106.55</v>
      </c>
      <c r="AF16" s="629">
        <f t="shared" si="4"/>
        <v>39309.675299999995</v>
      </c>
      <c r="AG16" s="555">
        <f t="shared" si="10"/>
        <v>4.7000000049592927E-3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683" t="s">
        <v>2819</v>
      </c>
      <c r="C17" s="699">
        <v>520514</v>
      </c>
      <c r="D17" s="700">
        <v>5398</v>
      </c>
      <c r="E17" s="701" t="s">
        <v>117</v>
      </c>
      <c r="F17" s="546">
        <v>2017</v>
      </c>
      <c r="G17" s="702">
        <v>42832</v>
      </c>
      <c r="H17" s="703" t="s">
        <v>727</v>
      </c>
      <c r="I17" s="704" t="s">
        <v>2300</v>
      </c>
      <c r="J17" s="705" t="s">
        <v>729</v>
      </c>
      <c r="K17" s="706" t="s">
        <v>3168</v>
      </c>
      <c r="L17" s="707" t="s">
        <v>2598</v>
      </c>
      <c r="M17" s="708">
        <v>515345.49</v>
      </c>
      <c r="N17" s="709">
        <v>39309.68</v>
      </c>
      <c r="O17" s="710">
        <v>88744.83</v>
      </c>
      <c r="P17" s="711">
        <v>643400</v>
      </c>
      <c r="Q17" s="548"/>
      <c r="R17" s="713">
        <v>455972.8</v>
      </c>
      <c r="S17" s="549">
        <f t="shared" si="0"/>
        <v>187427.20000000001</v>
      </c>
      <c r="T17" s="113" t="s">
        <v>131</v>
      </c>
      <c r="U17" s="626" t="str">
        <f t="shared" si="5"/>
        <v>AA10807</v>
      </c>
      <c r="V17" s="627" t="str">
        <f t="shared" si="6"/>
        <v>1062-TCN17</v>
      </c>
      <c r="W17" s="626">
        <f t="shared" si="7"/>
        <v>520514</v>
      </c>
      <c r="X17" s="626" t="str">
        <f t="shared" si="8"/>
        <v>SIENNA XLE PIEL</v>
      </c>
      <c r="Y17" s="627">
        <f t="shared" si="8"/>
        <v>2017</v>
      </c>
      <c r="Z17" s="628">
        <f t="shared" si="9"/>
        <v>515345.49</v>
      </c>
      <c r="AA17" s="629"/>
      <c r="AB17" s="664"/>
      <c r="AC17" s="629">
        <f t="shared" si="1"/>
        <v>443562.4</v>
      </c>
      <c r="AD17" s="630">
        <f t="shared" si="2"/>
        <v>0.17</v>
      </c>
      <c r="AE17" s="629">
        <f t="shared" si="3"/>
        <v>27106.55</v>
      </c>
      <c r="AF17" s="629">
        <f t="shared" si="4"/>
        <v>39309.675299999995</v>
      </c>
      <c r="AG17" s="555">
        <f t="shared" si="10"/>
        <v>4.7000000049592927E-3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683" t="s">
        <v>2820</v>
      </c>
      <c r="C18" s="699">
        <v>520514</v>
      </c>
      <c r="D18" s="700">
        <v>5398</v>
      </c>
      <c r="E18" s="701" t="s">
        <v>117</v>
      </c>
      <c r="F18" s="546">
        <v>2017</v>
      </c>
      <c r="G18" s="702">
        <v>42846</v>
      </c>
      <c r="H18" s="703" t="s">
        <v>2215</v>
      </c>
      <c r="I18" s="704" t="s">
        <v>3034</v>
      </c>
      <c r="J18" s="705" t="s">
        <v>729</v>
      </c>
      <c r="K18" s="706" t="s">
        <v>3167</v>
      </c>
      <c r="L18" s="707" t="s">
        <v>3300</v>
      </c>
      <c r="M18" s="708">
        <v>515345.49</v>
      </c>
      <c r="N18" s="709">
        <v>39309.68</v>
      </c>
      <c r="O18" s="710">
        <v>88744.83</v>
      </c>
      <c r="P18" s="711">
        <v>643400</v>
      </c>
      <c r="Q18" s="548"/>
      <c r="R18" s="713">
        <v>456016.94</v>
      </c>
      <c r="S18" s="549">
        <f t="shared" si="0"/>
        <v>187383.06</v>
      </c>
      <c r="T18" s="444" t="s">
        <v>131</v>
      </c>
      <c r="U18" s="626" t="str">
        <f t="shared" si="5"/>
        <v>AA10914</v>
      </c>
      <c r="V18" s="627" t="str">
        <f t="shared" si="6"/>
        <v>1147-TCN17</v>
      </c>
      <c r="W18" s="626">
        <f t="shared" si="7"/>
        <v>520514</v>
      </c>
      <c r="X18" s="626" t="str">
        <f t="shared" si="8"/>
        <v>SIENNA XLE PIEL</v>
      </c>
      <c r="Y18" s="627">
        <f t="shared" si="8"/>
        <v>2017</v>
      </c>
      <c r="Z18" s="628">
        <f t="shared" si="9"/>
        <v>515345.49</v>
      </c>
      <c r="AA18" s="629"/>
      <c r="AB18" s="664"/>
      <c r="AC18" s="629">
        <f t="shared" si="1"/>
        <v>443562.4</v>
      </c>
      <c r="AD18" s="630">
        <f t="shared" si="2"/>
        <v>0.17</v>
      </c>
      <c r="AE18" s="629">
        <f t="shared" si="3"/>
        <v>27106.55</v>
      </c>
      <c r="AF18" s="629">
        <f t="shared" si="4"/>
        <v>39309.675299999995</v>
      </c>
      <c r="AG18" s="555">
        <f t="shared" si="10"/>
        <v>4.7000000049592927E-3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683" t="s">
        <v>2817</v>
      </c>
      <c r="C19" s="699">
        <v>520514</v>
      </c>
      <c r="D19" s="700">
        <v>5398</v>
      </c>
      <c r="E19" s="701" t="s">
        <v>117</v>
      </c>
      <c r="F19" s="546">
        <v>2017</v>
      </c>
      <c r="G19" s="702">
        <v>42830</v>
      </c>
      <c r="H19" s="703" t="s">
        <v>2215</v>
      </c>
      <c r="I19" s="704" t="s">
        <v>2294</v>
      </c>
      <c r="J19" s="705" t="s">
        <v>729</v>
      </c>
      <c r="K19" s="706" t="s">
        <v>3167</v>
      </c>
      <c r="L19" s="707" t="s">
        <v>2592</v>
      </c>
      <c r="M19" s="708">
        <v>515345.49</v>
      </c>
      <c r="N19" s="709">
        <v>39309.68</v>
      </c>
      <c r="O19" s="710">
        <v>88744.83</v>
      </c>
      <c r="P19" s="711">
        <v>643400</v>
      </c>
      <c r="Q19" s="548"/>
      <c r="R19" s="713">
        <v>455911.22</v>
      </c>
      <c r="S19" s="549">
        <f t="shared" si="0"/>
        <v>187488.78000000003</v>
      </c>
      <c r="T19" s="113" t="s">
        <v>131</v>
      </c>
      <c r="U19" s="626" t="str">
        <f t="shared" si="5"/>
        <v>AA10804</v>
      </c>
      <c r="V19" s="627" t="str">
        <f t="shared" si="6"/>
        <v>0910-TCN17</v>
      </c>
      <c r="W19" s="626">
        <f t="shared" si="7"/>
        <v>520514</v>
      </c>
      <c r="X19" s="626" t="str">
        <f t="shared" si="8"/>
        <v>SIENNA XLE PIEL</v>
      </c>
      <c r="Y19" s="627">
        <f t="shared" si="8"/>
        <v>2017</v>
      </c>
      <c r="Z19" s="628">
        <f t="shared" si="9"/>
        <v>515345.49</v>
      </c>
      <c r="AA19" s="629">
        <f>+Z19+Z18+Z17+Z16</f>
        <v>2061381.96</v>
      </c>
      <c r="AB19" s="664">
        <v>4</v>
      </c>
      <c r="AC19" s="629">
        <f t="shared" si="1"/>
        <v>443562.4</v>
      </c>
      <c r="AD19" s="630">
        <f t="shared" si="2"/>
        <v>0.17</v>
      </c>
      <c r="AE19" s="629">
        <f t="shared" si="3"/>
        <v>27106.55</v>
      </c>
      <c r="AF19" s="629">
        <f t="shared" si="4"/>
        <v>39309.675299999995</v>
      </c>
      <c r="AG19" s="555">
        <f t="shared" si="10"/>
        <v>4.7000000049592927E-3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683" t="s">
        <v>2803</v>
      </c>
      <c r="C20" s="699">
        <v>520814</v>
      </c>
      <c r="D20" s="700">
        <v>4493</v>
      </c>
      <c r="E20" s="701" t="s">
        <v>693</v>
      </c>
      <c r="F20" s="546">
        <v>2017</v>
      </c>
      <c r="G20" s="702">
        <v>42830</v>
      </c>
      <c r="H20" s="703" t="s">
        <v>774</v>
      </c>
      <c r="I20" s="704" t="s">
        <v>3026</v>
      </c>
      <c r="J20" s="705" t="s">
        <v>724</v>
      </c>
      <c r="K20" s="706" t="s">
        <v>3160</v>
      </c>
      <c r="L20" s="707" t="s">
        <v>3292</v>
      </c>
      <c r="M20" s="708">
        <v>306995.76</v>
      </c>
      <c r="N20" s="709">
        <v>8521.48</v>
      </c>
      <c r="O20" s="710">
        <v>50482.76</v>
      </c>
      <c r="P20" s="711">
        <v>366000</v>
      </c>
      <c r="Q20" s="548"/>
      <c r="R20" s="713">
        <v>269500.59999999998</v>
      </c>
      <c r="S20" s="549">
        <f t="shared" si="0"/>
        <v>96499.400000000023</v>
      </c>
      <c r="T20" s="267" t="s">
        <v>131</v>
      </c>
      <c r="U20" s="626" t="str">
        <f t="shared" si="5"/>
        <v>AA10800</v>
      </c>
      <c r="V20" s="627" t="str">
        <f t="shared" si="6"/>
        <v>1087-TCN17</v>
      </c>
      <c r="W20" s="626">
        <f t="shared" si="7"/>
        <v>520814</v>
      </c>
      <c r="X20" s="626" t="str">
        <f t="shared" si="8"/>
        <v>RAV4 4X2  SUV  LE</v>
      </c>
      <c r="Y20" s="627">
        <f t="shared" si="8"/>
        <v>2017</v>
      </c>
      <c r="Z20" s="628">
        <f t="shared" si="9"/>
        <v>306995.76</v>
      </c>
      <c r="AA20" s="629"/>
      <c r="AB20" s="664"/>
      <c r="AC20" s="629">
        <f t="shared" si="1"/>
        <v>295708.34000000003</v>
      </c>
      <c r="AD20" s="630">
        <f t="shared" si="2"/>
        <v>0.1</v>
      </c>
      <c r="AE20" s="629">
        <f t="shared" si="3"/>
        <v>7392.74</v>
      </c>
      <c r="AF20" s="629">
        <f t="shared" si="4"/>
        <v>8521.4819999999982</v>
      </c>
      <c r="AG20" s="555">
        <f t="shared" si="10"/>
        <v>-1.9999999985884642E-3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683" t="s">
        <v>2804</v>
      </c>
      <c r="C21" s="699">
        <v>520814</v>
      </c>
      <c r="D21" s="700">
        <v>4493</v>
      </c>
      <c r="E21" s="701" t="s">
        <v>693</v>
      </c>
      <c r="F21" s="546">
        <v>2017</v>
      </c>
      <c r="G21" s="702">
        <v>42844</v>
      </c>
      <c r="H21" s="703" t="s">
        <v>778</v>
      </c>
      <c r="I21" s="704" t="s">
        <v>3027</v>
      </c>
      <c r="J21" s="705" t="s">
        <v>724</v>
      </c>
      <c r="K21" s="706" t="s">
        <v>3161</v>
      </c>
      <c r="L21" s="707" t="s">
        <v>3293</v>
      </c>
      <c r="M21" s="708">
        <v>306995.76</v>
      </c>
      <c r="N21" s="709">
        <v>8521.48</v>
      </c>
      <c r="O21" s="710">
        <v>50482.76</v>
      </c>
      <c r="P21" s="711">
        <v>366000</v>
      </c>
      <c r="Q21" s="548"/>
      <c r="R21" s="713">
        <v>269500.59999999998</v>
      </c>
      <c r="S21" s="549">
        <f t="shared" si="0"/>
        <v>96499.400000000023</v>
      </c>
      <c r="T21" s="113" t="s">
        <v>131</v>
      </c>
      <c r="U21" s="626" t="str">
        <f t="shared" si="5"/>
        <v>AA10892</v>
      </c>
      <c r="V21" s="627" t="str">
        <f t="shared" si="6"/>
        <v>1137-TCN17</v>
      </c>
      <c r="W21" s="626">
        <f t="shared" si="7"/>
        <v>520814</v>
      </c>
      <c r="X21" s="626" t="str">
        <f t="shared" si="8"/>
        <v>RAV4 4X2  SUV  LE</v>
      </c>
      <c r="Y21" s="627">
        <f t="shared" si="8"/>
        <v>2017</v>
      </c>
      <c r="Z21" s="628">
        <f t="shared" si="9"/>
        <v>306995.76</v>
      </c>
      <c r="AA21" s="629">
        <f>+Z21+Z20</f>
        <v>613991.52</v>
      </c>
      <c r="AB21" s="664">
        <v>2</v>
      </c>
      <c r="AC21" s="629">
        <f t="shared" si="1"/>
        <v>295708.34000000003</v>
      </c>
      <c r="AD21" s="630">
        <f t="shared" si="2"/>
        <v>0.1</v>
      </c>
      <c r="AE21" s="629">
        <f t="shared" si="3"/>
        <v>7392.74</v>
      </c>
      <c r="AF21" s="629">
        <f t="shared" si="4"/>
        <v>8521.4819999999982</v>
      </c>
      <c r="AG21" s="555">
        <f t="shared" si="10"/>
        <v>-1.9999999985884642E-3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683" t="s">
        <v>2800</v>
      </c>
      <c r="C22" s="699">
        <v>520815</v>
      </c>
      <c r="D22" s="700">
        <v>4492</v>
      </c>
      <c r="E22" s="701" t="s">
        <v>694</v>
      </c>
      <c r="F22" s="546">
        <v>2017</v>
      </c>
      <c r="G22" s="702">
        <v>42838</v>
      </c>
      <c r="H22" s="703" t="s">
        <v>908</v>
      </c>
      <c r="I22" s="704" t="s">
        <v>3023</v>
      </c>
      <c r="J22" s="705" t="s">
        <v>724</v>
      </c>
      <c r="K22" s="706" t="s">
        <v>3158</v>
      </c>
      <c r="L22" s="707" t="s">
        <v>3289</v>
      </c>
      <c r="M22" s="708">
        <v>346428.96</v>
      </c>
      <c r="N22" s="709">
        <v>12536.56</v>
      </c>
      <c r="O22" s="710">
        <v>57434.48</v>
      </c>
      <c r="P22" s="711">
        <v>416400</v>
      </c>
      <c r="Q22" s="548"/>
      <c r="R22" s="713">
        <v>303807.48</v>
      </c>
      <c r="S22" s="549">
        <f t="shared" si="0"/>
        <v>112592.52000000002</v>
      </c>
      <c r="T22" s="113" t="s">
        <v>131</v>
      </c>
      <c r="U22" s="626" t="str">
        <f t="shared" si="5"/>
        <v>AA10854</v>
      </c>
      <c r="V22" s="627" t="str">
        <f t="shared" si="6"/>
        <v>1097-TCN17</v>
      </c>
      <c r="W22" s="626">
        <f t="shared" si="7"/>
        <v>520815</v>
      </c>
      <c r="X22" s="626" t="str">
        <f t="shared" si="8"/>
        <v>RAV4 L4 AWD XLE</v>
      </c>
      <c r="Y22" s="627">
        <f t="shared" si="8"/>
        <v>2017</v>
      </c>
      <c r="Z22" s="628">
        <f t="shared" si="9"/>
        <v>346428.96</v>
      </c>
      <c r="AA22" s="629"/>
      <c r="AB22" s="664"/>
      <c r="AC22" s="629">
        <f t="shared" si="1"/>
        <v>344993.21</v>
      </c>
      <c r="AD22" s="630">
        <f t="shared" si="2"/>
        <v>0.15</v>
      </c>
      <c r="AE22" s="629">
        <f t="shared" si="3"/>
        <v>12321.2</v>
      </c>
      <c r="AF22" s="629">
        <f>IF(Z22&lt;281240.78,(((Z22-AC22)*AD22+AE22)/2),(Z22-AC22)*AD22+AE22)</f>
        <v>12536.5625</v>
      </c>
      <c r="AG22" s="555">
        <f t="shared" si="10"/>
        <v>-2.500000000509317E-3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683" t="s">
        <v>2802</v>
      </c>
      <c r="C23" s="699">
        <v>520815</v>
      </c>
      <c r="D23" s="700">
        <v>4492</v>
      </c>
      <c r="E23" s="701" t="s">
        <v>694</v>
      </c>
      <c r="F23" s="546">
        <v>2017</v>
      </c>
      <c r="G23" s="702">
        <v>42850</v>
      </c>
      <c r="H23" s="703" t="s">
        <v>817</v>
      </c>
      <c r="I23" s="704" t="s">
        <v>3025</v>
      </c>
      <c r="J23" s="705" t="s">
        <v>729</v>
      </c>
      <c r="K23" s="706" t="s">
        <v>3159</v>
      </c>
      <c r="L23" s="707" t="s">
        <v>3291</v>
      </c>
      <c r="M23" s="708">
        <v>346428.96</v>
      </c>
      <c r="N23" s="709">
        <v>12536.56</v>
      </c>
      <c r="O23" s="710">
        <v>57434.48</v>
      </c>
      <c r="P23" s="711">
        <v>416400</v>
      </c>
      <c r="Q23" s="548"/>
      <c r="R23" s="713">
        <v>296567.37</v>
      </c>
      <c r="S23" s="549">
        <f t="shared" si="0"/>
        <v>119832.63</v>
      </c>
      <c r="T23" s="267" t="s">
        <v>131</v>
      </c>
      <c r="U23" s="626" t="str">
        <f t="shared" si="5"/>
        <v>AA10949</v>
      </c>
      <c r="V23" s="627" t="str">
        <f t="shared" si="6"/>
        <v>0283-TCN17</v>
      </c>
      <c r="W23" s="626">
        <f t="shared" si="7"/>
        <v>520815</v>
      </c>
      <c r="X23" s="626" t="str">
        <f t="shared" si="8"/>
        <v>RAV4 L4 AWD XLE</v>
      </c>
      <c r="Y23" s="627">
        <f t="shared" si="8"/>
        <v>2017</v>
      </c>
      <c r="Z23" s="628">
        <f t="shared" si="9"/>
        <v>346428.96</v>
      </c>
      <c r="AA23" s="629"/>
      <c r="AB23" s="664"/>
      <c r="AC23" s="629">
        <f t="shared" si="1"/>
        <v>344993.21</v>
      </c>
      <c r="AD23" s="630">
        <f t="shared" si="2"/>
        <v>0.15</v>
      </c>
      <c r="AE23" s="629">
        <f t="shared" si="3"/>
        <v>12321.2</v>
      </c>
      <c r="AF23" s="629">
        <f t="shared" ref="AF23" si="12">IF(Z23&lt;281240.78,(((Z23-AC23)*AD23+AE23)/2),(Z23-AC23)*AD23+AE23)</f>
        <v>12536.5625</v>
      </c>
      <c r="AG23" s="555">
        <f t="shared" si="10"/>
        <v>-2.500000000509317E-3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683" t="s">
        <v>2799</v>
      </c>
      <c r="C24" s="699">
        <v>520815</v>
      </c>
      <c r="D24" s="700">
        <v>4492</v>
      </c>
      <c r="E24" s="701" t="s">
        <v>694</v>
      </c>
      <c r="F24" s="546">
        <v>2017</v>
      </c>
      <c r="G24" s="702">
        <v>42836</v>
      </c>
      <c r="H24" s="703" t="s">
        <v>817</v>
      </c>
      <c r="I24" s="704" t="s">
        <v>3022</v>
      </c>
      <c r="J24" s="705" t="s">
        <v>729</v>
      </c>
      <c r="K24" s="706" t="s">
        <v>3157</v>
      </c>
      <c r="L24" s="707" t="s">
        <v>3288</v>
      </c>
      <c r="M24" s="708">
        <v>346428.96</v>
      </c>
      <c r="N24" s="709">
        <v>12536.56</v>
      </c>
      <c r="O24" s="710">
        <v>57434.48</v>
      </c>
      <c r="P24" s="711">
        <v>416400</v>
      </c>
      <c r="Q24" s="548"/>
      <c r="R24" s="713">
        <v>303453</v>
      </c>
      <c r="S24" s="549">
        <f t="shared" si="0"/>
        <v>112947</v>
      </c>
      <c r="T24" s="267" t="s">
        <v>131</v>
      </c>
      <c r="U24" s="626" t="str">
        <f t="shared" si="5"/>
        <v>AA10830</v>
      </c>
      <c r="V24" s="627" t="str">
        <f t="shared" si="6"/>
        <v>1102-TCN17</v>
      </c>
      <c r="W24" s="626">
        <f t="shared" si="7"/>
        <v>520815</v>
      </c>
      <c r="X24" s="626" t="str">
        <f t="shared" si="8"/>
        <v>RAV4 L4 AWD XLE</v>
      </c>
      <c r="Y24" s="627">
        <f t="shared" si="8"/>
        <v>2017</v>
      </c>
      <c r="Z24" s="628">
        <f t="shared" si="9"/>
        <v>346428.96</v>
      </c>
      <c r="AA24" s="629">
        <f>+Z24+Z23+Z22</f>
        <v>1039286.8800000001</v>
      </c>
      <c r="AB24" s="664">
        <v>3</v>
      </c>
      <c r="AC24" s="629">
        <f t="shared" si="1"/>
        <v>344993.21</v>
      </c>
      <c r="AD24" s="630">
        <f t="shared" si="2"/>
        <v>0.15</v>
      </c>
      <c r="AE24" s="629">
        <f t="shared" si="3"/>
        <v>12321.2</v>
      </c>
      <c r="AF24" s="629">
        <f t="shared" si="4"/>
        <v>12536.5625</v>
      </c>
      <c r="AG24" s="555">
        <f t="shared" si="10"/>
        <v>-2.500000000509317E-3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683" t="s">
        <v>2805</v>
      </c>
      <c r="C25" s="699">
        <v>520818</v>
      </c>
      <c r="D25" s="700">
        <v>4495</v>
      </c>
      <c r="E25" s="701" t="s">
        <v>1519</v>
      </c>
      <c r="F25" s="546">
        <v>2017</v>
      </c>
      <c r="G25" s="702">
        <v>42837</v>
      </c>
      <c r="H25" s="703" t="s">
        <v>727</v>
      </c>
      <c r="I25" s="704" t="s">
        <v>3028</v>
      </c>
      <c r="J25" s="705" t="s">
        <v>729</v>
      </c>
      <c r="K25" s="706" t="s">
        <v>3162</v>
      </c>
      <c r="L25" s="707" t="s">
        <v>3294</v>
      </c>
      <c r="M25" s="708">
        <v>407598.37</v>
      </c>
      <c r="N25" s="709">
        <v>21711.97</v>
      </c>
      <c r="O25" s="710">
        <v>68689.66</v>
      </c>
      <c r="P25" s="711">
        <v>498000</v>
      </c>
      <c r="Q25" s="548"/>
      <c r="R25" s="713">
        <v>356627.72</v>
      </c>
      <c r="S25" s="549">
        <f t="shared" si="0"/>
        <v>141372.28000000003</v>
      </c>
      <c r="T25" s="113" t="s">
        <v>131</v>
      </c>
      <c r="U25" s="626" t="str">
        <f t="shared" si="5"/>
        <v>AA10847</v>
      </c>
      <c r="V25" s="627" t="str">
        <f t="shared" si="6"/>
        <v>0690-TCN17</v>
      </c>
      <c r="W25" s="626">
        <f t="shared" si="7"/>
        <v>520818</v>
      </c>
      <c r="X25" s="626" t="str">
        <f t="shared" si="8"/>
        <v>RAV4 SE 4WD 2.5L</v>
      </c>
      <c r="Y25" s="627">
        <f t="shared" si="8"/>
        <v>2017</v>
      </c>
      <c r="Z25" s="628">
        <f t="shared" si="9"/>
        <v>407598.37</v>
      </c>
      <c r="AA25" s="629"/>
      <c r="AB25" s="664"/>
      <c r="AC25" s="629">
        <f t="shared" ref="AC25:AC27" si="13">VLOOKUP(Z25,TARIFA,1)</f>
        <v>344993.21</v>
      </c>
      <c r="AD25" s="630">
        <f t="shared" ref="AD25:AD27" si="14">VLOOKUP(Z25,TARIFA,4)</f>
        <v>0.15</v>
      </c>
      <c r="AE25" s="629">
        <f t="shared" ref="AE25:AE27" si="15">VLOOKUP(Z25,TARIFA,3)</f>
        <v>12321.2</v>
      </c>
      <c r="AF25" s="629">
        <f t="shared" ref="AF25:AF27" si="16">IF(Z25&lt;281240.78,(((Z25-AC25)*AD25+AE25)/2),(Z25-AC25)*AD25+AE25)</f>
        <v>21711.973999999995</v>
      </c>
      <c r="AG25" s="555">
        <f t="shared" ref="AG25:AG27" si="17">+N25-AF25</f>
        <v>-3.9999999935389496E-3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683" t="s">
        <v>2809</v>
      </c>
      <c r="C26" s="699">
        <v>520818</v>
      </c>
      <c r="D26" s="700">
        <v>4495</v>
      </c>
      <c r="E26" s="701" t="s">
        <v>1519</v>
      </c>
      <c r="F26" s="546">
        <v>2017</v>
      </c>
      <c r="G26" s="702">
        <v>42852</v>
      </c>
      <c r="H26" s="703" t="s">
        <v>774</v>
      </c>
      <c r="I26" s="704" t="s">
        <v>3030</v>
      </c>
      <c r="J26" s="705" t="s">
        <v>729</v>
      </c>
      <c r="K26" s="706" t="s">
        <v>830</v>
      </c>
      <c r="L26" s="707" t="s">
        <v>3296</v>
      </c>
      <c r="M26" s="708">
        <v>407598.37</v>
      </c>
      <c r="N26" s="709">
        <v>21711.97</v>
      </c>
      <c r="O26" s="710">
        <v>68689.66</v>
      </c>
      <c r="P26" s="711">
        <v>498000</v>
      </c>
      <c r="Q26" s="548"/>
      <c r="R26" s="713">
        <v>356670.4</v>
      </c>
      <c r="S26" s="549">
        <f t="shared" si="0"/>
        <v>141329.59999999998</v>
      </c>
      <c r="T26" s="267" t="s">
        <v>131</v>
      </c>
      <c r="U26" s="626" t="str">
        <f t="shared" si="5"/>
        <v>AA10975</v>
      </c>
      <c r="V26" s="627" t="str">
        <f t="shared" si="6"/>
        <v>1179-TCN17</v>
      </c>
      <c r="W26" s="626">
        <f t="shared" si="7"/>
        <v>520818</v>
      </c>
      <c r="X26" s="626" t="str">
        <f t="shared" si="8"/>
        <v>RAV4 SE 4WD 2.5L</v>
      </c>
      <c r="Y26" s="627">
        <f t="shared" si="8"/>
        <v>2017</v>
      </c>
      <c r="Z26" s="628">
        <f t="shared" si="9"/>
        <v>407598.37</v>
      </c>
      <c r="AA26" s="629"/>
      <c r="AB26" s="664"/>
      <c r="AC26" s="629">
        <f t="shared" si="13"/>
        <v>344993.21</v>
      </c>
      <c r="AD26" s="630">
        <f t="shared" si="14"/>
        <v>0.15</v>
      </c>
      <c r="AE26" s="629">
        <f t="shared" si="15"/>
        <v>12321.2</v>
      </c>
      <c r="AF26" s="629">
        <f t="shared" si="16"/>
        <v>21711.973999999995</v>
      </c>
      <c r="AG26" s="555">
        <f t="shared" si="17"/>
        <v>-3.9999999935389496E-3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683" t="s">
        <v>2806</v>
      </c>
      <c r="C27" s="699">
        <v>520818</v>
      </c>
      <c r="D27" s="700">
        <v>4495</v>
      </c>
      <c r="E27" s="701" t="s">
        <v>1519</v>
      </c>
      <c r="F27" s="546">
        <v>2017</v>
      </c>
      <c r="G27" s="702">
        <v>42844</v>
      </c>
      <c r="H27" s="703" t="s">
        <v>743</v>
      </c>
      <c r="I27" s="704" t="s">
        <v>3029</v>
      </c>
      <c r="J27" s="705" t="s">
        <v>729</v>
      </c>
      <c r="K27" s="706" t="s">
        <v>3163</v>
      </c>
      <c r="L27" s="707" t="s">
        <v>3295</v>
      </c>
      <c r="M27" s="708">
        <v>407598.37</v>
      </c>
      <c r="N27" s="709">
        <v>21711.97</v>
      </c>
      <c r="O27" s="710">
        <v>68689.66</v>
      </c>
      <c r="P27" s="711">
        <v>498000</v>
      </c>
      <c r="Q27" s="548"/>
      <c r="R27" s="713">
        <v>356670.4</v>
      </c>
      <c r="S27" s="549">
        <f t="shared" si="0"/>
        <v>141329.59999999998</v>
      </c>
      <c r="T27" s="113" t="s">
        <v>131</v>
      </c>
      <c r="U27" s="626" t="str">
        <f t="shared" si="5"/>
        <v>AA10890</v>
      </c>
      <c r="V27" s="627" t="str">
        <f t="shared" si="6"/>
        <v>1043-TCN17</v>
      </c>
      <c r="W27" s="626">
        <f t="shared" si="7"/>
        <v>520818</v>
      </c>
      <c r="X27" s="626" t="str">
        <f t="shared" si="8"/>
        <v>RAV4 SE 4WD 2.5L</v>
      </c>
      <c r="Y27" s="627">
        <f t="shared" si="8"/>
        <v>2017</v>
      </c>
      <c r="Z27" s="628">
        <f t="shared" si="9"/>
        <v>407598.37</v>
      </c>
      <c r="AA27" s="629">
        <f>+Z25+Z26+Z27</f>
        <v>1222795.1099999999</v>
      </c>
      <c r="AB27" s="664">
        <v>3</v>
      </c>
      <c r="AC27" s="629">
        <f t="shared" si="13"/>
        <v>344993.21</v>
      </c>
      <c r="AD27" s="630">
        <f t="shared" si="14"/>
        <v>0.15</v>
      </c>
      <c r="AE27" s="629">
        <f t="shared" si="15"/>
        <v>12321.2</v>
      </c>
      <c r="AF27" s="629">
        <f t="shared" si="16"/>
        <v>21711.973999999995</v>
      </c>
      <c r="AG27" s="555">
        <f t="shared" si="17"/>
        <v>-3.9999999935389496E-3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683" t="s">
        <v>2771</v>
      </c>
      <c r="C28" s="699">
        <v>520908</v>
      </c>
      <c r="D28" s="700">
        <v>2008</v>
      </c>
      <c r="E28" s="701" t="s">
        <v>697</v>
      </c>
      <c r="F28" s="546">
        <v>2017</v>
      </c>
      <c r="G28" s="702">
        <v>42845</v>
      </c>
      <c r="H28" s="703" t="s">
        <v>747</v>
      </c>
      <c r="I28" s="704" t="s">
        <v>3003</v>
      </c>
      <c r="J28" s="705" t="s">
        <v>724</v>
      </c>
      <c r="K28" s="706" t="s">
        <v>3145</v>
      </c>
      <c r="L28" s="707" t="s">
        <v>3269</v>
      </c>
      <c r="M28" s="708">
        <v>200517.24</v>
      </c>
      <c r="N28" s="709">
        <v>0</v>
      </c>
      <c r="O28" s="710">
        <v>32082.76</v>
      </c>
      <c r="P28" s="711">
        <v>232600</v>
      </c>
      <c r="Q28" s="548"/>
      <c r="R28" s="713">
        <v>181892.01</v>
      </c>
      <c r="S28" s="549">
        <f t="shared" si="0"/>
        <v>50707.989999999991</v>
      </c>
      <c r="T28" s="113" t="s">
        <v>131</v>
      </c>
      <c r="U28" s="626" t="str">
        <f t="shared" si="5"/>
        <v>AA10899</v>
      </c>
      <c r="V28" s="627" t="str">
        <f t="shared" si="6"/>
        <v>1142-TCN17</v>
      </c>
      <c r="W28" s="626">
        <f t="shared" si="7"/>
        <v>520908</v>
      </c>
      <c r="X28" s="626" t="str">
        <f t="shared" si="8"/>
        <v>YARIS HB S MT</v>
      </c>
      <c r="Y28" s="627">
        <f t="shared" si="8"/>
        <v>2017</v>
      </c>
      <c r="Z28" s="628">
        <f t="shared" si="9"/>
        <v>200517.24</v>
      </c>
      <c r="AA28" s="629">
        <f>+Z28</f>
        <v>200517.24</v>
      </c>
      <c r="AB28" s="665">
        <v>1</v>
      </c>
      <c r="AC28" s="629">
        <f t="shared" si="1"/>
        <v>0.01</v>
      </c>
      <c r="AD28" s="630">
        <f t="shared" si="2"/>
        <v>0.02</v>
      </c>
      <c r="AE28" s="629">
        <f t="shared" si="3"/>
        <v>0</v>
      </c>
      <c r="AF28" s="629">
        <v>0</v>
      </c>
      <c r="AG28" s="555">
        <f t="shared" si="10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683" t="s">
        <v>2772</v>
      </c>
      <c r="C29" s="699">
        <v>520909</v>
      </c>
      <c r="D29" s="700">
        <v>2009</v>
      </c>
      <c r="E29" s="701" t="s">
        <v>698</v>
      </c>
      <c r="F29" s="546">
        <v>2017</v>
      </c>
      <c r="G29" s="702">
        <v>42835</v>
      </c>
      <c r="H29" s="703" t="s">
        <v>817</v>
      </c>
      <c r="I29" s="704" t="s">
        <v>3004</v>
      </c>
      <c r="J29" s="705" t="s">
        <v>724</v>
      </c>
      <c r="K29" s="706" t="s">
        <v>3146</v>
      </c>
      <c r="L29" s="707" t="s">
        <v>3270</v>
      </c>
      <c r="M29" s="708">
        <v>213965.52</v>
      </c>
      <c r="N29" s="709">
        <v>0</v>
      </c>
      <c r="O29" s="710">
        <v>34234.480000000003</v>
      </c>
      <c r="P29" s="711">
        <v>248200</v>
      </c>
      <c r="Q29" s="548"/>
      <c r="R29" s="713">
        <v>193995.46</v>
      </c>
      <c r="S29" s="549">
        <f t="shared" si="0"/>
        <v>54204.540000000008</v>
      </c>
      <c r="T29" s="113" t="s">
        <v>131</v>
      </c>
      <c r="U29" s="626" t="str">
        <f t="shared" si="5"/>
        <v>AA10828</v>
      </c>
      <c r="V29" s="627" t="str">
        <f t="shared" si="6"/>
        <v>1098-TCN17</v>
      </c>
      <c r="W29" s="626">
        <f t="shared" si="7"/>
        <v>520909</v>
      </c>
      <c r="X29" s="626" t="str">
        <f t="shared" si="8"/>
        <v>YARIS HB S CVT</v>
      </c>
      <c r="Y29" s="627">
        <f t="shared" si="8"/>
        <v>2017</v>
      </c>
      <c r="Z29" s="628">
        <f t="shared" si="9"/>
        <v>213965.52</v>
      </c>
      <c r="AA29" s="629"/>
      <c r="AB29" s="664"/>
      <c r="AC29" s="629">
        <f t="shared" si="1"/>
        <v>0.01</v>
      </c>
      <c r="AD29" s="630">
        <f t="shared" si="2"/>
        <v>0.02</v>
      </c>
      <c r="AE29" s="629">
        <f t="shared" si="3"/>
        <v>0</v>
      </c>
      <c r="AF29" s="629">
        <f>+N29</f>
        <v>0</v>
      </c>
      <c r="AG29" s="555">
        <f t="shared" si="10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683" t="s">
        <v>2773</v>
      </c>
      <c r="C30" s="699">
        <v>520909</v>
      </c>
      <c r="D30" s="700">
        <v>2009</v>
      </c>
      <c r="E30" s="701" t="s">
        <v>698</v>
      </c>
      <c r="F30" s="546">
        <v>2017</v>
      </c>
      <c r="G30" s="702">
        <v>42838</v>
      </c>
      <c r="H30" s="703" t="s">
        <v>722</v>
      </c>
      <c r="I30" s="704" t="s">
        <v>3005</v>
      </c>
      <c r="J30" s="705" t="s">
        <v>724</v>
      </c>
      <c r="K30" s="706" t="s">
        <v>3147</v>
      </c>
      <c r="L30" s="707" t="s">
        <v>3271</v>
      </c>
      <c r="M30" s="708">
        <v>213965.52</v>
      </c>
      <c r="N30" s="709">
        <v>0</v>
      </c>
      <c r="O30" s="710">
        <v>34234.480000000003</v>
      </c>
      <c r="P30" s="711">
        <v>248200</v>
      </c>
      <c r="Q30" s="548"/>
      <c r="R30" s="713">
        <v>193995.46</v>
      </c>
      <c r="S30" s="549">
        <f t="shared" si="0"/>
        <v>54204.540000000008</v>
      </c>
      <c r="T30" s="113" t="s">
        <v>131</v>
      </c>
      <c r="U30" s="626" t="str">
        <f t="shared" si="5"/>
        <v>AA10853</v>
      </c>
      <c r="V30" s="627" t="str">
        <f t="shared" si="6"/>
        <v>1124-TCN17</v>
      </c>
      <c r="W30" s="626">
        <f t="shared" si="7"/>
        <v>520909</v>
      </c>
      <c r="X30" s="626" t="str">
        <f t="shared" si="8"/>
        <v>YARIS HB S CVT</v>
      </c>
      <c r="Y30" s="627">
        <f t="shared" si="8"/>
        <v>2017</v>
      </c>
      <c r="Z30" s="628">
        <f t="shared" si="9"/>
        <v>213965.52</v>
      </c>
      <c r="AA30" s="629">
        <f>+Z30+Z29</f>
        <v>427931.04</v>
      </c>
      <c r="AB30" s="665">
        <v>2</v>
      </c>
      <c r="AC30" s="629">
        <f t="shared" si="1"/>
        <v>0.01</v>
      </c>
      <c r="AD30" s="630">
        <f t="shared" si="2"/>
        <v>0.02</v>
      </c>
      <c r="AE30" s="629">
        <f t="shared" si="3"/>
        <v>0</v>
      </c>
      <c r="AF30" s="629">
        <v>0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683" t="s">
        <v>2907</v>
      </c>
      <c r="C31" s="699">
        <v>521006</v>
      </c>
      <c r="D31" s="700">
        <v>7983</v>
      </c>
      <c r="E31" s="701" t="s">
        <v>699</v>
      </c>
      <c r="F31" s="546">
        <v>2017</v>
      </c>
      <c r="G31" s="702">
        <v>42847</v>
      </c>
      <c r="H31" s="703" t="s">
        <v>747</v>
      </c>
      <c r="I31" s="704" t="s">
        <v>3092</v>
      </c>
      <c r="J31" s="705" t="s">
        <v>729</v>
      </c>
      <c r="K31" s="706" t="s">
        <v>3198</v>
      </c>
      <c r="L31" s="707" t="s">
        <v>3358</v>
      </c>
      <c r="M31" s="708">
        <v>729603.13</v>
      </c>
      <c r="N31" s="709">
        <v>72293.42</v>
      </c>
      <c r="O31" s="710">
        <v>128303.45</v>
      </c>
      <c r="P31" s="711">
        <v>930200</v>
      </c>
      <c r="Q31" s="548"/>
      <c r="R31" s="713">
        <v>644606.24</v>
      </c>
      <c r="S31" s="549">
        <f t="shared" si="0"/>
        <v>285593.76</v>
      </c>
      <c r="T31" s="113" t="s">
        <v>131</v>
      </c>
      <c r="U31" s="626" t="str">
        <f t="shared" si="5"/>
        <v>AA10923</v>
      </c>
      <c r="V31" s="627" t="str">
        <f t="shared" si="6"/>
        <v>0677-TCN17</v>
      </c>
      <c r="W31" s="626">
        <f t="shared" si="7"/>
        <v>521006</v>
      </c>
      <c r="X31" s="626" t="str">
        <f t="shared" si="8"/>
        <v>SEQUOIA 4 DOOR PLATINUM SUV</v>
      </c>
      <c r="Y31" s="627">
        <f t="shared" si="8"/>
        <v>2017</v>
      </c>
      <c r="Z31" s="628">
        <f t="shared" si="9"/>
        <v>729603.13</v>
      </c>
      <c r="AA31" s="629">
        <f>+Z31</f>
        <v>729603.13</v>
      </c>
      <c r="AB31" s="664">
        <v>1</v>
      </c>
      <c r="AC31" s="629">
        <f t="shared" ref="AC31" si="18">VLOOKUP(Z31,TARIFA,1)</f>
        <v>443562.4</v>
      </c>
      <c r="AD31" s="630">
        <f t="shared" ref="AD31" si="19">VLOOKUP(Z31,TARIFA,4)</f>
        <v>0.17</v>
      </c>
      <c r="AE31" s="629">
        <f t="shared" ref="AE31" si="20">VLOOKUP(Z31,TARIFA,3)</f>
        <v>27106.55</v>
      </c>
      <c r="AF31" s="629">
        <f t="shared" ref="AF31" si="21">IF(Z31&lt;281240.78,(((Z31-AC31)*AD31+AE31)/2),(Z31-AC31)*AD31+AE31)</f>
        <v>75733.474100000007</v>
      </c>
      <c r="AG31" s="555">
        <f t="shared" ref="AG31" si="22">+N31-AF31</f>
        <v>-3440.0541000000085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683" t="s">
        <v>2703</v>
      </c>
      <c r="C32" s="699">
        <v>521101</v>
      </c>
      <c r="D32" s="700">
        <v>1253</v>
      </c>
      <c r="E32" s="701" t="s">
        <v>30</v>
      </c>
      <c r="F32" s="546">
        <v>2017</v>
      </c>
      <c r="G32" s="702">
        <v>42852</v>
      </c>
      <c r="H32" s="703" t="s">
        <v>774</v>
      </c>
      <c r="I32" s="704" t="s">
        <v>2960</v>
      </c>
      <c r="J32" s="705" t="s">
        <v>729</v>
      </c>
      <c r="K32" s="706" t="s">
        <v>3119</v>
      </c>
      <c r="L32" s="707" t="s">
        <v>3226</v>
      </c>
      <c r="M32" s="708">
        <v>367413.79</v>
      </c>
      <c r="N32" s="709">
        <v>0</v>
      </c>
      <c r="O32" s="710">
        <v>58786.21</v>
      </c>
      <c r="P32" s="711">
        <v>426200</v>
      </c>
      <c r="Q32" s="548"/>
      <c r="R32" s="713">
        <v>326020.56</v>
      </c>
      <c r="S32" s="549">
        <f t="shared" si="0"/>
        <v>100179.44</v>
      </c>
      <c r="T32" s="267" t="s">
        <v>131</v>
      </c>
      <c r="U32" s="626" t="str">
        <f t="shared" si="5"/>
        <v>AA10965</v>
      </c>
      <c r="V32" s="627" t="str">
        <f t="shared" si="6"/>
        <v>1047-TCN17</v>
      </c>
      <c r="W32" s="626">
        <f t="shared" si="7"/>
        <v>521101</v>
      </c>
      <c r="X32" s="626" t="str">
        <f t="shared" si="8"/>
        <v>PRIUS</v>
      </c>
      <c r="Y32" s="627">
        <f t="shared" si="8"/>
        <v>2017</v>
      </c>
      <c r="Z32" s="628">
        <f t="shared" si="9"/>
        <v>367413.79</v>
      </c>
      <c r="AA32" s="631"/>
      <c r="AB32" s="664"/>
      <c r="AC32" s="629">
        <f t="shared" si="1"/>
        <v>344993.21</v>
      </c>
      <c r="AD32" s="630">
        <f t="shared" si="2"/>
        <v>0.15</v>
      </c>
      <c r="AE32" s="629">
        <f t="shared" si="3"/>
        <v>12321.2</v>
      </c>
      <c r="AF32" s="629"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ht="12.75" customHeight="1" x14ac:dyDescent="0.2">
      <c r="A33" s="423">
        <f t="shared" si="11"/>
        <v>28</v>
      </c>
      <c r="B33" s="683" t="s">
        <v>2695</v>
      </c>
      <c r="C33" s="699">
        <v>521101</v>
      </c>
      <c r="D33" s="700">
        <v>1251</v>
      </c>
      <c r="E33" s="701" t="s">
        <v>700</v>
      </c>
      <c r="F33" s="546">
        <v>2017</v>
      </c>
      <c r="G33" s="702">
        <v>42853</v>
      </c>
      <c r="H33" s="703" t="s">
        <v>1038</v>
      </c>
      <c r="I33" s="704" t="s">
        <v>1531</v>
      </c>
      <c r="J33" s="705" t="s">
        <v>729</v>
      </c>
      <c r="K33" s="706" t="s">
        <v>3117</v>
      </c>
      <c r="L33" s="707" t="s">
        <v>1793</v>
      </c>
      <c r="M33" s="708">
        <v>312327.59000000003</v>
      </c>
      <c r="N33" s="709">
        <v>0</v>
      </c>
      <c r="O33" s="710">
        <v>49972.41</v>
      </c>
      <c r="P33" s="711">
        <v>362300</v>
      </c>
      <c r="Q33" s="548"/>
      <c r="R33" s="713">
        <v>283666.84000000003</v>
      </c>
      <c r="S33" s="549">
        <f t="shared" si="0"/>
        <v>78633.159999999974</v>
      </c>
      <c r="T33" s="267" t="s">
        <v>131</v>
      </c>
      <c r="U33" s="626" t="str">
        <f t="shared" si="5"/>
        <v>AA10978</v>
      </c>
      <c r="V33" s="627" t="str">
        <f t="shared" si="6"/>
        <v>0874-TCN17</v>
      </c>
      <c r="W33" s="626">
        <f t="shared" si="7"/>
        <v>521101</v>
      </c>
      <c r="X33" s="626" t="str">
        <f t="shared" si="8"/>
        <v>PRIUS HYBRID BASE</v>
      </c>
      <c r="Y33" s="627">
        <f t="shared" si="8"/>
        <v>2017</v>
      </c>
      <c r="Z33" s="628">
        <f t="shared" si="9"/>
        <v>312327.59000000003</v>
      </c>
      <c r="AA33" s="629"/>
      <c r="AB33" s="664"/>
      <c r="AC33" s="629">
        <f t="shared" si="1"/>
        <v>295708.34000000003</v>
      </c>
      <c r="AD33" s="630">
        <f t="shared" si="2"/>
        <v>0.1</v>
      </c>
      <c r="AE33" s="629">
        <f t="shared" si="3"/>
        <v>7392.74</v>
      </c>
      <c r="AF33" s="629"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ht="12.75" customHeight="1" x14ac:dyDescent="0.2">
      <c r="A34" s="423">
        <f t="shared" si="11"/>
        <v>29</v>
      </c>
      <c r="B34" s="683" t="s">
        <v>2694</v>
      </c>
      <c r="C34" s="699">
        <v>521101</v>
      </c>
      <c r="D34" s="700">
        <v>1251</v>
      </c>
      <c r="E34" s="701" t="s">
        <v>700</v>
      </c>
      <c r="F34" s="546">
        <v>2017</v>
      </c>
      <c r="G34" s="702">
        <v>42843</v>
      </c>
      <c r="H34" s="703" t="s">
        <v>722</v>
      </c>
      <c r="I34" s="704" t="s">
        <v>2957</v>
      </c>
      <c r="J34" s="705" t="s">
        <v>724</v>
      </c>
      <c r="K34" s="706" t="s">
        <v>830</v>
      </c>
      <c r="L34" s="707" t="s">
        <v>3223</v>
      </c>
      <c r="M34" s="708">
        <v>312327.59000000003</v>
      </c>
      <c r="N34" s="709">
        <v>0</v>
      </c>
      <c r="O34" s="710">
        <v>49972.41</v>
      </c>
      <c r="P34" s="711">
        <v>362300</v>
      </c>
      <c r="Q34" s="548"/>
      <c r="R34" s="713">
        <v>284021.32</v>
      </c>
      <c r="S34" s="549">
        <f t="shared" si="0"/>
        <v>78278.679999999993</v>
      </c>
      <c r="T34" s="113" t="s">
        <v>131</v>
      </c>
      <c r="U34" s="626" t="str">
        <f t="shared" si="5"/>
        <v>AA10877</v>
      </c>
      <c r="V34" s="627" t="str">
        <f t="shared" si="6"/>
        <v>0815-TCN17</v>
      </c>
      <c r="W34" s="626">
        <f t="shared" si="7"/>
        <v>521101</v>
      </c>
      <c r="X34" s="626" t="str">
        <f t="shared" si="8"/>
        <v>PRIUS HYBRID BASE</v>
      </c>
      <c r="Y34" s="627">
        <f t="shared" si="8"/>
        <v>2017</v>
      </c>
      <c r="Z34" s="628">
        <f t="shared" si="9"/>
        <v>312327.59000000003</v>
      </c>
      <c r="AA34" s="629"/>
      <c r="AB34" s="664"/>
      <c r="AC34" s="629">
        <f t="shared" si="1"/>
        <v>295708.34000000003</v>
      </c>
      <c r="AD34" s="630">
        <f t="shared" si="2"/>
        <v>0.1</v>
      </c>
      <c r="AE34" s="629">
        <f t="shared" si="3"/>
        <v>7392.74</v>
      </c>
      <c r="AF34" s="629"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ht="12.75" customHeight="1" x14ac:dyDescent="0.2">
      <c r="A35" s="423">
        <f t="shared" si="11"/>
        <v>30</v>
      </c>
      <c r="B35" s="683" t="s">
        <v>2701</v>
      </c>
      <c r="C35" s="699">
        <v>521101</v>
      </c>
      <c r="D35" s="700">
        <v>1253</v>
      </c>
      <c r="E35" s="701" t="s">
        <v>30</v>
      </c>
      <c r="F35" s="546">
        <v>2017</v>
      </c>
      <c r="G35" s="702">
        <v>42838</v>
      </c>
      <c r="H35" s="703" t="s">
        <v>819</v>
      </c>
      <c r="I35" s="704" t="s">
        <v>2959</v>
      </c>
      <c r="J35" s="705" t="s">
        <v>729</v>
      </c>
      <c r="K35" s="706" t="s">
        <v>857</v>
      </c>
      <c r="L35" s="707" t="s">
        <v>3225</v>
      </c>
      <c r="M35" s="708">
        <v>367413.79</v>
      </c>
      <c r="N35" s="709">
        <v>0</v>
      </c>
      <c r="O35" s="710">
        <v>58786.21</v>
      </c>
      <c r="P35" s="711">
        <v>426200</v>
      </c>
      <c r="Q35" s="548"/>
      <c r="R35" s="713">
        <v>326020.56</v>
      </c>
      <c r="S35" s="549">
        <f t="shared" si="0"/>
        <v>100179.44</v>
      </c>
      <c r="T35" s="113" t="s">
        <v>131</v>
      </c>
      <c r="U35" s="626" t="str">
        <f t="shared" si="5"/>
        <v>AA10851</v>
      </c>
      <c r="V35" s="627" t="str">
        <f t="shared" si="6"/>
        <v>0996-TCN17</v>
      </c>
      <c r="W35" s="626">
        <f t="shared" si="7"/>
        <v>521101</v>
      </c>
      <c r="X35" s="626" t="str">
        <f t="shared" si="8"/>
        <v>PRIUS</v>
      </c>
      <c r="Y35" s="627">
        <f t="shared" si="8"/>
        <v>2017</v>
      </c>
      <c r="Z35" s="628">
        <f t="shared" si="9"/>
        <v>367413.79</v>
      </c>
      <c r="AA35" s="629"/>
      <c r="AB35" s="664"/>
      <c r="AC35" s="629">
        <f t="shared" si="1"/>
        <v>344993.21</v>
      </c>
      <c r="AD35" s="630">
        <f t="shared" si="2"/>
        <v>0.15</v>
      </c>
      <c r="AE35" s="629">
        <f t="shared" si="3"/>
        <v>12321.2</v>
      </c>
      <c r="AF35" s="629"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ht="12.75" customHeight="1" x14ac:dyDescent="0.2">
      <c r="A36" s="423">
        <f t="shared" si="11"/>
        <v>31</v>
      </c>
      <c r="B36" s="683" t="s">
        <v>2696</v>
      </c>
      <c r="C36" s="699">
        <v>521101</v>
      </c>
      <c r="D36" s="700">
        <v>1253</v>
      </c>
      <c r="E36" s="701" t="s">
        <v>30</v>
      </c>
      <c r="F36" s="546">
        <v>2017</v>
      </c>
      <c r="G36" s="702">
        <v>42837</v>
      </c>
      <c r="H36" s="703" t="s">
        <v>2212</v>
      </c>
      <c r="I36" s="704" t="s">
        <v>2958</v>
      </c>
      <c r="J36" s="705" t="s">
        <v>729</v>
      </c>
      <c r="K36" s="706" t="s">
        <v>3118</v>
      </c>
      <c r="L36" s="707" t="s">
        <v>3224</v>
      </c>
      <c r="M36" s="708">
        <v>367413.79</v>
      </c>
      <c r="N36" s="709">
        <v>0</v>
      </c>
      <c r="O36" s="710">
        <v>58786.21</v>
      </c>
      <c r="P36" s="711">
        <v>426200</v>
      </c>
      <c r="Q36" s="548"/>
      <c r="R36" s="713">
        <v>326020.56</v>
      </c>
      <c r="S36" s="549">
        <f t="shared" si="0"/>
        <v>100179.44</v>
      </c>
      <c r="T36" s="113" t="s">
        <v>131</v>
      </c>
      <c r="U36" s="626" t="str">
        <f t="shared" si="5"/>
        <v>AA10837</v>
      </c>
      <c r="V36" s="627" t="str">
        <f t="shared" si="6"/>
        <v>0750-TCN17</v>
      </c>
      <c r="W36" s="626">
        <f t="shared" si="7"/>
        <v>521101</v>
      </c>
      <c r="X36" s="626" t="str">
        <f t="shared" si="8"/>
        <v>PRIUS</v>
      </c>
      <c r="Y36" s="627">
        <f t="shared" si="8"/>
        <v>2017</v>
      </c>
      <c r="Z36" s="628">
        <f t="shared" si="9"/>
        <v>367413.79</v>
      </c>
      <c r="AA36" s="629"/>
      <c r="AB36" s="664"/>
      <c r="AC36" s="629">
        <f t="shared" si="1"/>
        <v>344993.21</v>
      </c>
      <c r="AD36" s="630">
        <f t="shared" si="2"/>
        <v>0.15</v>
      </c>
      <c r="AE36" s="629">
        <f t="shared" si="3"/>
        <v>12321.2</v>
      </c>
      <c r="AF36" s="629"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ht="12.75" customHeight="1" x14ac:dyDescent="0.2">
      <c r="A37" s="423">
        <f t="shared" si="11"/>
        <v>32</v>
      </c>
      <c r="B37" s="683" t="s">
        <v>2691</v>
      </c>
      <c r="C37" s="699">
        <v>521101</v>
      </c>
      <c r="D37" s="700">
        <v>1251</v>
      </c>
      <c r="E37" s="701" t="s">
        <v>700</v>
      </c>
      <c r="F37" s="546">
        <v>2017</v>
      </c>
      <c r="G37" s="702">
        <v>42835</v>
      </c>
      <c r="H37" s="703" t="s">
        <v>2220</v>
      </c>
      <c r="I37" s="704" t="s">
        <v>2956</v>
      </c>
      <c r="J37" s="705" t="s">
        <v>724</v>
      </c>
      <c r="K37" s="706" t="s">
        <v>830</v>
      </c>
      <c r="L37" s="707" t="s">
        <v>3222</v>
      </c>
      <c r="M37" s="708">
        <v>312327.59000000003</v>
      </c>
      <c r="N37" s="709">
        <v>0</v>
      </c>
      <c r="O37" s="710">
        <v>49972.41</v>
      </c>
      <c r="P37" s="711">
        <v>362300</v>
      </c>
      <c r="Q37" s="548"/>
      <c r="R37" s="713">
        <v>283977.18</v>
      </c>
      <c r="S37" s="549">
        <f t="shared" si="0"/>
        <v>78322.820000000007</v>
      </c>
      <c r="T37" s="113" t="s">
        <v>131</v>
      </c>
      <c r="U37" s="626" t="str">
        <f t="shared" si="5"/>
        <v>AA10822</v>
      </c>
      <c r="V37" s="627" t="str">
        <f t="shared" si="6"/>
        <v>1096-TCN17</v>
      </c>
      <c r="W37" s="626">
        <f t="shared" si="7"/>
        <v>521101</v>
      </c>
      <c r="X37" s="626" t="str">
        <f t="shared" si="8"/>
        <v>PRIUS HYBRID BASE</v>
      </c>
      <c r="Y37" s="627">
        <f t="shared" si="8"/>
        <v>2017</v>
      </c>
      <c r="Z37" s="628">
        <f t="shared" si="9"/>
        <v>312327.59000000003</v>
      </c>
      <c r="AA37" s="629"/>
      <c r="AB37" s="664"/>
      <c r="AC37" s="629"/>
      <c r="AD37" s="630"/>
      <c r="AE37" s="629"/>
      <c r="AF37" s="629">
        <f>+N37</f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ht="12.75" customHeight="1" x14ac:dyDescent="0.2">
      <c r="A38" s="423">
        <f t="shared" si="11"/>
        <v>33</v>
      </c>
      <c r="B38" s="683" t="s">
        <v>2702</v>
      </c>
      <c r="C38" s="699">
        <v>521101</v>
      </c>
      <c r="D38" s="700">
        <v>1253</v>
      </c>
      <c r="E38" s="701" t="s">
        <v>30</v>
      </c>
      <c r="F38" s="546">
        <v>2017</v>
      </c>
      <c r="G38" s="702">
        <v>42843</v>
      </c>
      <c r="H38" s="703" t="s">
        <v>760</v>
      </c>
      <c r="I38" s="704" t="s">
        <v>1541</v>
      </c>
      <c r="J38" s="705" t="s">
        <v>729</v>
      </c>
      <c r="K38" s="706" t="s">
        <v>2400</v>
      </c>
      <c r="L38" s="707" t="s">
        <v>1803</v>
      </c>
      <c r="M38" s="708">
        <v>-350172.41</v>
      </c>
      <c r="N38" s="709">
        <v>0</v>
      </c>
      <c r="O38" s="710">
        <v>-56027.59</v>
      </c>
      <c r="P38" s="711">
        <v>-406200</v>
      </c>
      <c r="Q38" s="548"/>
      <c r="R38" s="713">
        <v>-326020.56</v>
      </c>
      <c r="S38" s="549">
        <f t="shared" si="0"/>
        <v>-80179.44</v>
      </c>
      <c r="T38" s="267" t="s">
        <v>1266</v>
      </c>
      <c r="U38" s="626" t="str">
        <f t="shared" si="5"/>
        <v>ZA04022</v>
      </c>
      <c r="V38" s="627" t="str">
        <f t="shared" si="6"/>
        <v>0887-TCN17</v>
      </c>
      <c r="W38" s="626">
        <f t="shared" si="7"/>
        <v>521101</v>
      </c>
      <c r="X38" s="626" t="str">
        <f t="shared" si="8"/>
        <v>PRIUS</v>
      </c>
      <c r="Y38" s="627">
        <f t="shared" si="8"/>
        <v>2017</v>
      </c>
      <c r="Z38" s="628">
        <f t="shared" si="9"/>
        <v>-350172.41</v>
      </c>
      <c r="AA38" s="629">
        <f>+SUM(Z32:Z38)</f>
        <v>1689051.7300000002</v>
      </c>
      <c r="AB38" s="679">
        <v>5</v>
      </c>
      <c r="AC38" s="629"/>
      <c r="AD38" s="630"/>
      <c r="AE38" s="629"/>
      <c r="AF38" s="629"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ht="12.75" customHeight="1" x14ac:dyDescent="0.2">
      <c r="A39" s="423">
        <f t="shared" si="11"/>
        <v>34</v>
      </c>
      <c r="B39" s="683" t="s">
        <v>2837</v>
      </c>
      <c r="C39" s="699">
        <v>521502</v>
      </c>
      <c r="D39" s="700">
        <v>5611</v>
      </c>
      <c r="E39" s="701" t="s">
        <v>225</v>
      </c>
      <c r="F39" s="546">
        <v>2017</v>
      </c>
      <c r="G39" s="702">
        <v>42854</v>
      </c>
      <c r="H39" s="703" t="s">
        <v>747</v>
      </c>
      <c r="I39" s="704" t="s">
        <v>1614</v>
      </c>
      <c r="J39" s="705" t="s">
        <v>729</v>
      </c>
      <c r="K39" s="706" t="s">
        <v>2453</v>
      </c>
      <c r="L39" s="707" t="s">
        <v>1876</v>
      </c>
      <c r="M39" s="708">
        <v>375364.49</v>
      </c>
      <c r="N39" s="709">
        <v>16876.89</v>
      </c>
      <c r="O39" s="710">
        <v>62758.62</v>
      </c>
      <c r="P39" s="711">
        <v>455000</v>
      </c>
      <c r="Q39" s="548"/>
      <c r="R39" s="713">
        <v>335727.72</v>
      </c>
      <c r="S39" s="549">
        <f t="shared" si="0"/>
        <v>119272.28000000003</v>
      </c>
      <c r="T39" s="113" t="s">
        <v>131</v>
      </c>
      <c r="U39" s="626" t="str">
        <f t="shared" si="5"/>
        <v>AA10996</v>
      </c>
      <c r="V39" s="627" t="str">
        <f t="shared" si="6"/>
        <v>0795-TCN17</v>
      </c>
      <c r="W39" s="626">
        <f t="shared" si="7"/>
        <v>521502</v>
      </c>
      <c r="X39" s="626" t="str">
        <f t="shared" si="8"/>
        <v>HIACE PANEL 15 PASAJ AC</v>
      </c>
      <c r="Y39" s="627">
        <f t="shared" si="8"/>
        <v>2017</v>
      </c>
      <c r="Z39" s="628">
        <f t="shared" si="9"/>
        <v>375364.49</v>
      </c>
      <c r="AA39" s="629"/>
      <c r="AB39" s="664"/>
      <c r="AC39" s="629">
        <f t="shared" ref="AC39:AC40" si="23">VLOOKUP(Z39,TARIFA,1)</f>
        <v>344993.21</v>
      </c>
      <c r="AD39" s="630">
        <f t="shared" ref="AD39:AD40" si="24">VLOOKUP(Z39,TARIFA,4)</f>
        <v>0.15</v>
      </c>
      <c r="AE39" s="629">
        <f t="shared" ref="AE39:AE40" si="25">VLOOKUP(Z39,TARIFA,3)</f>
        <v>12321.2</v>
      </c>
      <c r="AF39" s="629">
        <f t="shared" ref="AF39:AF40" si="26">IF(Z39&lt;281240.78,(((Z39-AC39)*AD39+AE39)/2),(Z39-AC39)*AD39+AE39)</f>
        <v>16876.891999999996</v>
      </c>
      <c r="AG39" s="555">
        <f t="shared" si="10"/>
        <v>-1.9999999967694748E-3</v>
      </c>
      <c r="AH39" s="361"/>
      <c r="AI39" s="363"/>
      <c r="AK39" s="353"/>
      <c r="AL39" s="330"/>
      <c r="AM39" s="330"/>
    </row>
    <row r="40" spans="1:47" s="291" customFormat="1" ht="12.75" customHeight="1" x14ac:dyDescent="0.2">
      <c r="A40" s="423">
        <f t="shared" si="11"/>
        <v>35</v>
      </c>
      <c r="B40" s="683" t="s">
        <v>2830</v>
      </c>
      <c r="C40" s="699">
        <v>521502</v>
      </c>
      <c r="D40" s="700">
        <v>5611</v>
      </c>
      <c r="E40" s="701" t="s">
        <v>225</v>
      </c>
      <c r="F40" s="546">
        <v>2018</v>
      </c>
      <c r="G40" s="702">
        <v>42842</v>
      </c>
      <c r="H40" s="703" t="s">
        <v>788</v>
      </c>
      <c r="I40" s="704" t="s">
        <v>3044</v>
      </c>
      <c r="J40" s="705" t="s">
        <v>724</v>
      </c>
      <c r="K40" s="706" t="s">
        <v>3169</v>
      </c>
      <c r="L40" s="707" t="s">
        <v>3310</v>
      </c>
      <c r="M40" s="708">
        <v>390506.91</v>
      </c>
      <c r="N40" s="709">
        <v>19148.259999999998</v>
      </c>
      <c r="O40" s="710">
        <v>65544.83</v>
      </c>
      <c r="P40" s="711">
        <v>475200</v>
      </c>
      <c r="Q40" s="548"/>
      <c r="R40" s="713">
        <v>346196.98</v>
      </c>
      <c r="S40" s="549">
        <f t="shared" si="0"/>
        <v>129003.02000000002</v>
      </c>
      <c r="T40" s="445" t="s">
        <v>131</v>
      </c>
      <c r="U40" s="626" t="str">
        <f t="shared" si="5"/>
        <v>AA10868</v>
      </c>
      <c r="V40" s="627" t="str">
        <f t="shared" si="6"/>
        <v>0001-TCN18</v>
      </c>
      <c r="W40" s="626">
        <f t="shared" si="7"/>
        <v>521502</v>
      </c>
      <c r="X40" s="626" t="str">
        <f t="shared" si="8"/>
        <v>HIACE PANEL 15 PASAJ AC</v>
      </c>
      <c r="Y40" s="627">
        <f t="shared" si="8"/>
        <v>2018</v>
      </c>
      <c r="Z40" s="628">
        <f t="shared" si="9"/>
        <v>390506.91</v>
      </c>
      <c r="AA40" s="629"/>
      <c r="AB40" s="664"/>
      <c r="AC40" s="629">
        <f t="shared" si="23"/>
        <v>344993.21</v>
      </c>
      <c r="AD40" s="630">
        <f t="shared" si="24"/>
        <v>0.15</v>
      </c>
      <c r="AE40" s="629">
        <f t="shared" si="25"/>
        <v>12321.2</v>
      </c>
      <c r="AF40" s="629">
        <f t="shared" si="26"/>
        <v>19148.254999999994</v>
      </c>
      <c r="AG40" s="555">
        <f t="shared" si="10"/>
        <v>5.0000000046566129E-3</v>
      </c>
      <c r="AH40" s="361"/>
      <c r="AI40" s="313"/>
      <c r="AK40" s="296"/>
      <c r="AL40" s="374"/>
      <c r="AM40" s="374"/>
    </row>
    <row r="41" spans="1:47" s="291" customFormat="1" ht="12.75" customHeight="1" x14ac:dyDescent="0.2">
      <c r="A41" s="423">
        <f t="shared" si="11"/>
        <v>36</v>
      </c>
      <c r="B41" s="683" t="s">
        <v>2832</v>
      </c>
      <c r="C41" s="699">
        <v>521502</v>
      </c>
      <c r="D41" s="700">
        <v>5611</v>
      </c>
      <c r="E41" s="701" t="s">
        <v>225</v>
      </c>
      <c r="F41" s="546">
        <v>2017</v>
      </c>
      <c r="G41" s="702">
        <v>42843</v>
      </c>
      <c r="H41" s="703" t="s">
        <v>908</v>
      </c>
      <c r="I41" s="704" t="s">
        <v>3043</v>
      </c>
      <c r="J41" s="705" t="s">
        <v>724</v>
      </c>
      <c r="K41" s="706" t="s">
        <v>3170</v>
      </c>
      <c r="L41" s="707" t="s">
        <v>3309</v>
      </c>
      <c r="M41" s="708">
        <v>379112.61</v>
      </c>
      <c r="N41" s="709">
        <v>17439.11</v>
      </c>
      <c r="O41" s="710">
        <v>63448.28</v>
      </c>
      <c r="P41" s="711">
        <v>460000</v>
      </c>
      <c r="Q41" s="548"/>
      <c r="R41" s="713">
        <v>336082.21</v>
      </c>
      <c r="S41" s="549">
        <f t="shared" si="0"/>
        <v>123917.78999999998</v>
      </c>
      <c r="T41" s="267" t="s">
        <v>131</v>
      </c>
      <c r="U41" s="626" t="str">
        <f t="shared" si="5"/>
        <v>AA10883</v>
      </c>
      <c r="V41" s="627" t="str">
        <f t="shared" si="6"/>
        <v>1067-TCN17</v>
      </c>
      <c r="W41" s="626">
        <f t="shared" si="7"/>
        <v>521502</v>
      </c>
      <c r="X41" s="626" t="str">
        <f t="shared" si="8"/>
        <v>HIACE PANEL 15 PASAJ AC</v>
      </c>
      <c r="Y41" s="627">
        <f t="shared" si="8"/>
        <v>2017</v>
      </c>
      <c r="Z41" s="628">
        <f t="shared" si="9"/>
        <v>379112.61</v>
      </c>
      <c r="AA41" s="629">
        <f>+Z41+Z40+Z39</f>
        <v>1144984.01</v>
      </c>
      <c r="AB41" s="664">
        <v>3</v>
      </c>
      <c r="AC41" s="629">
        <f t="shared" ref="AC41:AC87" si="27">VLOOKUP(Z41,TARIFA,1)</f>
        <v>344993.21</v>
      </c>
      <c r="AD41" s="630">
        <f t="shared" ref="AD41:AD87" si="28">VLOOKUP(Z41,TARIFA,4)</f>
        <v>0.15</v>
      </c>
      <c r="AE41" s="629">
        <f t="shared" ref="AE41:AE87" si="29">VLOOKUP(Z41,TARIFA,3)</f>
        <v>12321.2</v>
      </c>
      <c r="AF41" s="629">
        <f t="shared" ref="AF41" si="30">IF(Z41&lt;281240.78,(((Z41-AC41)*AD41+AE41)/2),(Z41-AC41)*AD41+AE41)</f>
        <v>17439.109999999993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ht="12.75" customHeight="1" x14ac:dyDescent="0.2">
      <c r="A42" s="423">
        <f t="shared" si="11"/>
        <v>37</v>
      </c>
      <c r="B42" s="683" t="s">
        <v>2744</v>
      </c>
      <c r="C42" s="699">
        <v>521702</v>
      </c>
      <c r="D42" s="700">
        <v>2005</v>
      </c>
      <c r="E42" s="701" t="s">
        <v>701</v>
      </c>
      <c r="F42" s="546">
        <v>2017</v>
      </c>
      <c r="G42" s="702">
        <v>42850</v>
      </c>
      <c r="H42" s="703" t="s">
        <v>819</v>
      </c>
      <c r="I42" s="704" t="s">
        <v>2984</v>
      </c>
      <c r="J42" s="705" t="s">
        <v>729</v>
      </c>
      <c r="K42" s="706" t="s">
        <v>3132</v>
      </c>
      <c r="L42" s="707" t="s">
        <v>3250</v>
      </c>
      <c r="M42" s="708">
        <v>177413.79</v>
      </c>
      <c r="N42" s="709">
        <v>0</v>
      </c>
      <c r="O42" s="710">
        <v>28386.21</v>
      </c>
      <c r="P42" s="711">
        <v>205800</v>
      </c>
      <c r="Q42" s="548"/>
      <c r="R42" s="713">
        <v>160915.62</v>
      </c>
      <c r="S42" s="549">
        <f t="shared" si="0"/>
        <v>44884.380000000005</v>
      </c>
      <c r="T42" s="267" t="s">
        <v>131</v>
      </c>
      <c r="U42" s="626" t="str">
        <f t="shared" si="5"/>
        <v>AA10947</v>
      </c>
      <c r="V42" s="627" t="str">
        <f t="shared" si="6"/>
        <v>1173-TCN17</v>
      </c>
      <c r="W42" s="626">
        <f t="shared" si="7"/>
        <v>521702</v>
      </c>
      <c r="X42" s="626" t="str">
        <f t="shared" si="8"/>
        <v>YARIS CORE MT, SEDAN</v>
      </c>
      <c r="Y42" s="627">
        <f t="shared" si="8"/>
        <v>2017</v>
      </c>
      <c r="Z42" s="628">
        <f t="shared" si="9"/>
        <v>177413.79</v>
      </c>
      <c r="AA42" s="629"/>
      <c r="AB42" s="664"/>
      <c r="AC42" s="629">
        <f t="shared" si="27"/>
        <v>0.01</v>
      </c>
      <c r="AD42" s="630">
        <f t="shared" si="28"/>
        <v>0.02</v>
      </c>
      <c r="AE42" s="629">
        <f t="shared" si="29"/>
        <v>0</v>
      </c>
      <c r="AF42" s="629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ht="12.75" customHeight="1" x14ac:dyDescent="0.2">
      <c r="A43" s="423">
        <f t="shared" si="11"/>
        <v>38</v>
      </c>
      <c r="B43" s="683" t="s">
        <v>2743</v>
      </c>
      <c r="C43" s="699">
        <v>521702</v>
      </c>
      <c r="D43" s="700">
        <v>2005</v>
      </c>
      <c r="E43" s="701" t="s">
        <v>701</v>
      </c>
      <c r="F43" s="546">
        <v>2017</v>
      </c>
      <c r="G43" s="702">
        <v>42847</v>
      </c>
      <c r="H43" s="703" t="s">
        <v>774</v>
      </c>
      <c r="I43" s="704" t="s">
        <v>2983</v>
      </c>
      <c r="J43" s="705" t="s">
        <v>729</v>
      </c>
      <c r="K43" s="706" t="s">
        <v>3131</v>
      </c>
      <c r="L43" s="707" t="s">
        <v>3249</v>
      </c>
      <c r="M43" s="708">
        <v>177413.79</v>
      </c>
      <c r="N43" s="709">
        <v>0</v>
      </c>
      <c r="O43" s="710">
        <v>28386.21</v>
      </c>
      <c r="P43" s="711">
        <v>205800</v>
      </c>
      <c r="Q43" s="548"/>
      <c r="R43" s="713">
        <v>160915.62</v>
      </c>
      <c r="S43" s="549">
        <f t="shared" si="0"/>
        <v>44884.380000000005</v>
      </c>
      <c r="T43" s="113" t="s">
        <v>131</v>
      </c>
      <c r="U43" s="626" t="str">
        <f t="shared" si="5"/>
        <v>AA10928</v>
      </c>
      <c r="V43" s="627" t="str">
        <f t="shared" si="6"/>
        <v>1150-TCN17</v>
      </c>
      <c r="W43" s="626">
        <f t="shared" si="7"/>
        <v>521702</v>
      </c>
      <c r="X43" s="626" t="str">
        <f t="shared" si="8"/>
        <v>YARIS CORE MT, SEDAN</v>
      </c>
      <c r="Y43" s="627">
        <f t="shared" si="8"/>
        <v>2017</v>
      </c>
      <c r="Z43" s="628">
        <f t="shared" si="9"/>
        <v>177413.79</v>
      </c>
      <c r="AA43" s="629"/>
      <c r="AB43" s="664"/>
      <c r="AC43" s="629">
        <f t="shared" si="27"/>
        <v>0.01</v>
      </c>
      <c r="AD43" s="630">
        <f t="shared" si="28"/>
        <v>0.02</v>
      </c>
      <c r="AE43" s="629">
        <f t="shared" si="29"/>
        <v>0</v>
      </c>
      <c r="AF43" s="629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3">
        <f t="shared" si="11"/>
        <v>39</v>
      </c>
      <c r="B44" s="683" t="s">
        <v>2739</v>
      </c>
      <c r="C44" s="699">
        <v>521702</v>
      </c>
      <c r="D44" s="700">
        <v>2005</v>
      </c>
      <c r="E44" s="701" t="s">
        <v>701</v>
      </c>
      <c r="F44" s="546">
        <v>2017</v>
      </c>
      <c r="G44" s="702">
        <v>42837</v>
      </c>
      <c r="H44" s="703" t="s">
        <v>722</v>
      </c>
      <c r="I44" s="704" t="s">
        <v>2979</v>
      </c>
      <c r="J44" s="705" t="s">
        <v>724</v>
      </c>
      <c r="K44" s="706" t="s">
        <v>3128</v>
      </c>
      <c r="L44" s="707" t="s">
        <v>3245</v>
      </c>
      <c r="M44" s="708">
        <v>177413.79</v>
      </c>
      <c r="N44" s="709">
        <v>0</v>
      </c>
      <c r="O44" s="710">
        <v>28386.21</v>
      </c>
      <c r="P44" s="711">
        <v>205800</v>
      </c>
      <c r="Q44" s="548"/>
      <c r="R44" s="713">
        <v>205012.71</v>
      </c>
      <c r="S44" s="549">
        <f t="shared" si="0"/>
        <v>787.29000000000815</v>
      </c>
      <c r="T44" s="267" t="s">
        <v>131</v>
      </c>
      <c r="U44" s="626" t="str">
        <f t="shared" si="5"/>
        <v>AA10849</v>
      </c>
      <c r="V44" s="627" t="str">
        <f t="shared" si="6"/>
        <v>1123-TCN17</v>
      </c>
      <c r="W44" s="626">
        <f t="shared" si="7"/>
        <v>521702</v>
      </c>
      <c r="X44" s="626" t="str">
        <f t="shared" si="8"/>
        <v>YARIS CORE MT, SEDAN</v>
      </c>
      <c r="Y44" s="627">
        <f t="shared" si="8"/>
        <v>2017</v>
      </c>
      <c r="Z44" s="628">
        <f t="shared" si="9"/>
        <v>177413.79</v>
      </c>
      <c r="AA44" s="629"/>
      <c r="AB44" s="664"/>
      <c r="AC44" s="629">
        <f t="shared" si="27"/>
        <v>0.01</v>
      </c>
      <c r="AD44" s="630">
        <f t="shared" si="28"/>
        <v>0.02</v>
      </c>
      <c r="AE44" s="629">
        <f t="shared" si="29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3">
        <f t="shared" si="11"/>
        <v>40</v>
      </c>
      <c r="B45" s="683" t="s">
        <v>2732</v>
      </c>
      <c r="C45" s="699">
        <v>521702</v>
      </c>
      <c r="D45" s="700">
        <v>2005</v>
      </c>
      <c r="E45" s="701" t="s">
        <v>701</v>
      </c>
      <c r="F45" s="546">
        <v>2017</v>
      </c>
      <c r="G45" s="702">
        <v>42829</v>
      </c>
      <c r="H45" s="703" t="s">
        <v>778</v>
      </c>
      <c r="I45" s="704" t="s">
        <v>2974</v>
      </c>
      <c r="J45" s="705" t="s">
        <v>724</v>
      </c>
      <c r="K45" s="706" t="s">
        <v>830</v>
      </c>
      <c r="L45" s="707" t="s">
        <v>3240</v>
      </c>
      <c r="M45" s="708">
        <v>177413.79</v>
      </c>
      <c r="N45" s="709">
        <v>0</v>
      </c>
      <c r="O45" s="710">
        <v>28386.21</v>
      </c>
      <c r="P45" s="711">
        <v>205800</v>
      </c>
      <c r="Q45" s="548"/>
      <c r="R45" s="713">
        <v>161270.1</v>
      </c>
      <c r="S45" s="549">
        <f t="shared" si="0"/>
        <v>44529.899999999994</v>
      </c>
      <c r="T45" s="113" t="s">
        <v>131</v>
      </c>
      <c r="U45" s="626" t="str">
        <f t="shared" si="5"/>
        <v>AA10794</v>
      </c>
      <c r="V45" s="627" t="str">
        <f t="shared" si="6"/>
        <v>1076-TCN17</v>
      </c>
      <c r="W45" s="626">
        <f t="shared" si="7"/>
        <v>521702</v>
      </c>
      <c r="X45" s="626" t="str">
        <f t="shared" si="8"/>
        <v>YARIS CORE MT, SEDAN</v>
      </c>
      <c r="Y45" s="627">
        <f t="shared" si="8"/>
        <v>2017</v>
      </c>
      <c r="Z45" s="628">
        <f t="shared" si="9"/>
        <v>177413.79</v>
      </c>
      <c r="AA45" s="629"/>
      <c r="AB45" s="664"/>
      <c r="AC45" s="629">
        <f t="shared" si="27"/>
        <v>0.01</v>
      </c>
      <c r="AD45" s="630">
        <f t="shared" si="28"/>
        <v>0.02</v>
      </c>
      <c r="AE45" s="629">
        <f t="shared" si="29"/>
        <v>0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3">
        <f t="shared" si="11"/>
        <v>41</v>
      </c>
      <c r="B46" s="683" t="s">
        <v>2737</v>
      </c>
      <c r="C46" s="699">
        <v>521702</v>
      </c>
      <c r="D46" s="700">
        <v>2005</v>
      </c>
      <c r="E46" s="701" t="s">
        <v>701</v>
      </c>
      <c r="F46" s="546">
        <v>2017</v>
      </c>
      <c r="G46" s="702">
        <v>42830</v>
      </c>
      <c r="H46" s="703" t="s">
        <v>727</v>
      </c>
      <c r="I46" s="704" t="s">
        <v>2975</v>
      </c>
      <c r="J46" s="705" t="s">
        <v>729</v>
      </c>
      <c r="K46" s="706" t="s">
        <v>3124</v>
      </c>
      <c r="L46" s="707" t="s">
        <v>3241</v>
      </c>
      <c r="M46" s="708">
        <v>177413.79</v>
      </c>
      <c r="N46" s="709">
        <v>0</v>
      </c>
      <c r="O46" s="710">
        <v>28386.21</v>
      </c>
      <c r="P46" s="711">
        <v>205800</v>
      </c>
      <c r="Q46" s="548"/>
      <c r="R46" s="713">
        <v>160915.62</v>
      </c>
      <c r="S46" s="549">
        <f t="shared" si="0"/>
        <v>44884.380000000005</v>
      </c>
      <c r="T46" s="444" t="s">
        <v>131</v>
      </c>
      <c r="U46" s="626" t="str">
        <f t="shared" si="5"/>
        <v>AA10802</v>
      </c>
      <c r="V46" s="627" t="str">
        <f t="shared" si="6"/>
        <v>1078-TCN17</v>
      </c>
      <c r="W46" s="626">
        <f t="shared" si="7"/>
        <v>521702</v>
      </c>
      <c r="X46" s="626" t="str">
        <f t="shared" si="8"/>
        <v>YARIS CORE MT, SEDAN</v>
      </c>
      <c r="Y46" s="627">
        <f t="shared" si="8"/>
        <v>2017</v>
      </c>
      <c r="Z46" s="628">
        <f t="shared" si="9"/>
        <v>177413.79</v>
      </c>
      <c r="AA46" s="629"/>
      <c r="AB46" s="664"/>
      <c r="AC46" s="629">
        <f t="shared" si="27"/>
        <v>0.01</v>
      </c>
      <c r="AD46" s="630">
        <f t="shared" si="28"/>
        <v>0.02</v>
      </c>
      <c r="AE46" s="629">
        <f t="shared" si="29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3">
        <f t="shared" si="11"/>
        <v>42</v>
      </c>
      <c r="B47" s="683" t="s">
        <v>2738</v>
      </c>
      <c r="C47" s="699">
        <v>521702</v>
      </c>
      <c r="D47" s="700">
        <v>2005</v>
      </c>
      <c r="E47" s="701" t="s">
        <v>701</v>
      </c>
      <c r="F47" s="546">
        <v>2017</v>
      </c>
      <c r="G47" s="702">
        <v>42832</v>
      </c>
      <c r="H47" s="703" t="s">
        <v>817</v>
      </c>
      <c r="I47" s="704" t="s">
        <v>2978</v>
      </c>
      <c r="J47" s="705" t="s">
        <v>724</v>
      </c>
      <c r="K47" s="706" t="s">
        <v>3127</v>
      </c>
      <c r="L47" s="707" t="s">
        <v>3244</v>
      </c>
      <c r="M47" s="708">
        <v>177413.79</v>
      </c>
      <c r="N47" s="709">
        <v>0</v>
      </c>
      <c r="O47" s="710">
        <v>28386.21</v>
      </c>
      <c r="P47" s="711">
        <v>205800</v>
      </c>
      <c r="Q47" s="548"/>
      <c r="R47" s="713">
        <v>161270.1</v>
      </c>
      <c r="S47" s="549">
        <f t="shared" si="0"/>
        <v>44529.899999999994</v>
      </c>
      <c r="T47" s="267" t="s">
        <v>131</v>
      </c>
      <c r="U47" s="626" t="str">
        <f t="shared" si="5"/>
        <v>AA10814</v>
      </c>
      <c r="V47" s="627" t="str">
        <f t="shared" si="6"/>
        <v>1094-TCN17</v>
      </c>
      <c r="W47" s="626">
        <f t="shared" si="7"/>
        <v>521702</v>
      </c>
      <c r="X47" s="626" t="str">
        <f t="shared" si="8"/>
        <v>YARIS CORE MT, SEDAN</v>
      </c>
      <c r="Y47" s="627">
        <f t="shared" si="8"/>
        <v>2017</v>
      </c>
      <c r="Z47" s="628">
        <f t="shared" si="9"/>
        <v>177413.79</v>
      </c>
      <c r="AA47" s="629"/>
      <c r="AB47" s="664"/>
      <c r="AC47" s="629">
        <f t="shared" si="27"/>
        <v>0.01</v>
      </c>
      <c r="AD47" s="630">
        <f t="shared" si="28"/>
        <v>0.02</v>
      </c>
      <c r="AE47" s="629">
        <f t="shared" si="29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3">
        <f t="shared" si="11"/>
        <v>43</v>
      </c>
      <c r="B48" s="683" t="s">
        <v>2735</v>
      </c>
      <c r="C48" s="699">
        <v>521702</v>
      </c>
      <c r="D48" s="700">
        <v>2005</v>
      </c>
      <c r="E48" s="701" t="s">
        <v>701</v>
      </c>
      <c r="F48" s="546">
        <v>2017</v>
      </c>
      <c r="G48" s="702">
        <v>42829</v>
      </c>
      <c r="H48" s="703" t="s">
        <v>2213</v>
      </c>
      <c r="I48" s="704" t="s">
        <v>2977</v>
      </c>
      <c r="J48" s="705" t="s">
        <v>724</v>
      </c>
      <c r="K48" s="706" t="s">
        <v>3126</v>
      </c>
      <c r="L48" s="707" t="s">
        <v>3243</v>
      </c>
      <c r="M48" s="708">
        <v>177413.79</v>
      </c>
      <c r="N48" s="709">
        <v>0</v>
      </c>
      <c r="O48" s="710">
        <v>28386.21</v>
      </c>
      <c r="P48" s="711">
        <v>205800</v>
      </c>
      <c r="Q48" s="548"/>
      <c r="R48" s="713">
        <v>161270.1</v>
      </c>
      <c r="S48" s="549">
        <f t="shared" si="0"/>
        <v>44529.899999999994</v>
      </c>
      <c r="T48" s="267" t="s">
        <v>131</v>
      </c>
      <c r="U48" s="626" t="str">
        <f t="shared" si="5"/>
        <v>AA10792</v>
      </c>
      <c r="V48" s="627" t="str">
        <f t="shared" si="6"/>
        <v>1080-TCN17</v>
      </c>
      <c r="W48" s="626">
        <f t="shared" si="7"/>
        <v>521702</v>
      </c>
      <c r="X48" s="626" t="str">
        <f t="shared" si="8"/>
        <v>YARIS CORE MT, SEDAN</v>
      </c>
      <c r="Y48" s="627">
        <f t="shared" si="8"/>
        <v>2017</v>
      </c>
      <c r="Z48" s="628">
        <f t="shared" si="9"/>
        <v>177413.79</v>
      </c>
      <c r="AA48" s="629"/>
      <c r="AB48" s="664"/>
      <c r="AC48" s="629">
        <f t="shared" si="27"/>
        <v>0.01</v>
      </c>
      <c r="AD48" s="630">
        <f t="shared" si="28"/>
        <v>0.02</v>
      </c>
      <c r="AE48" s="629">
        <f t="shared" si="29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3">
        <f t="shared" si="11"/>
        <v>44</v>
      </c>
      <c r="B49" s="683" t="s">
        <v>2734</v>
      </c>
      <c r="C49" s="699">
        <v>521702</v>
      </c>
      <c r="D49" s="700">
        <v>2005</v>
      </c>
      <c r="E49" s="701" t="s">
        <v>701</v>
      </c>
      <c r="F49" s="546">
        <v>2017</v>
      </c>
      <c r="G49" s="702">
        <v>42829</v>
      </c>
      <c r="H49" s="703" t="s">
        <v>727</v>
      </c>
      <c r="I49" s="704" t="s">
        <v>2976</v>
      </c>
      <c r="J49" s="705" t="s">
        <v>729</v>
      </c>
      <c r="K49" s="706" t="s">
        <v>3125</v>
      </c>
      <c r="L49" s="707" t="s">
        <v>3242</v>
      </c>
      <c r="M49" s="708">
        <v>177413.79</v>
      </c>
      <c r="N49" s="709">
        <v>0</v>
      </c>
      <c r="O49" s="710">
        <v>28386.21</v>
      </c>
      <c r="P49" s="711">
        <v>205800</v>
      </c>
      <c r="Q49" s="548"/>
      <c r="R49" s="713">
        <v>160915.62</v>
      </c>
      <c r="S49" s="549">
        <f t="shared" si="0"/>
        <v>44884.380000000005</v>
      </c>
      <c r="T49" s="267" t="s">
        <v>131</v>
      </c>
      <c r="U49" s="626" t="str">
        <f t="shared" si="5"/>
        <v>AA10795</v>
      </c>
      <c r="V49" s="627" t="str">
        <f t="shared" si="6"/>
        <v>1079-TCN17</v>
      </c>
      <c r="W49" s="626">
        <f t="shared" si="7"/>
        <v>521702</v>
      </c>
      <c r="X49" s="626" t="str">
        <f t="shared" si="8"/>
        <v>YARIS CORE MT, SEDAN</v>
      </c>
      <c r="Y49" s="627">
        <f t="shared" si="8"/>
        <v>2017</v>
      </c>
      <c r="Z49" s="628">
        <f t="shared" si="9"/>
        <v>177413.79</v>
      </c>
      <c r="AA49" s="629"/>
      <c r="AB49" s="664"/>
      <c r="AC49" s="629">
        <f t="shared" si="27"/>
        <v>0.01</v>
      </c>
      <c r="AD49" s="630">
        <f t="shared" si="28"/>
        <v>0.02</v>
      </c>
      <c r="AE49" s="629">
        <f t="shared" si="29"/>
        <v>0</v>
      </c>
      <c r="AF49" s="629">
        <v>0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3">
        <f t="shared" si="11"/>
        <v>45</v>
      </c>
      <c r="B50" s="683" t="s">
        <v>2731</v>
      </c>
      <c r="C50" s="699">
        <v>521702</v>
      </c>
      <c r="D50" s="700">
        <v>2005</v>
      </c>
      <c r="E50" s="701" t="s">
        <v>701</v>
      </c>
      <c r="F50" s="546">
        <v>2017</v>
      </c>
      <c r="G50" s="702">
        <v>42829</v>
      </c>
      <c r="H50" s="703" t="s">
        <v>778</v>
      </c>
      <c r="I50" s="704" t="s">
        <v>2973</v>
      </c>
      <c r="J50" s="705" t="s">
        <v>724</v>
      </c>
      <c r="K50" s="706" t="s">
        <v>830</v>
      </c>
      <c r="L50" s="707" t="s">
        <v>3239</v>
      </c>
      <c r="M50" s="708">
        <v>177413.79</v>
      </c>
      <c r="N50" s="709">
        <v>0</v>
      </c>
      <c r="O50" s="710">
        <v>28386.21</v>
      </c>
      <c r="P50" s="711">
        <v>205800</v>
      </c>
      <c r="Q50" s="548"/>
      <c r="R50" s="713">
        <v>161270.1</v>
      </c>
      <c r="S50" s="549">
        <f t="shared" si="0"/>
        <v>44529.899999999994</v>
      </c>
      <c r="T50" s="113" t="s">
        <v>131</v>
      </c>
      <c r="U50" s="626" t="str">
        <f t="shared" si="5"/>
        <v>AA10793</v>
      </c>
      <c r="V50" s="627" t="str">
        <f t="shared" si="6"/>
        <v>1075-TCN17</v>
      </c>
      <c r="W50" s="626">
        <f t="shared" si="7"/>
        <v>521702</v>
      </c>
      <c r="X50" s="626" t="str">
        <f t="shared" si="8"/>
        <v>YARIS CORE MT, SEDAN</v>
      </c>
      <c r="Y50" s="627">
        <f t="shared" si="8"/>
        <v>2017</v>
      </c>
      <c r="Z50" s="628">
        <f t="shared" si="9"/>
        <v>177413.79</v>
      </c>
      <c r="AA50" s="629"/>
      <c r="AB50" s="664"/>
      <c r="AC50" s="629">
        <f t="shared" si="27"/>
        <v>0.01</v>
      </c>
      <c r="AD50" s="630">
        <f t="shared" si="28"/>
        <v>0.02</v>
      </c>
      <c r="AE50" s="629">
        <f t="shared" si="29"/>
        <v>0</v>
      </c>
      <c r="AF50" s="629"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3">
        <f t="shared" si="11"/>
        <v>46</v>
      </c>
      <c r="B51" s="683" t="s">
        <v>2745</v>
      </c>
      <c r="C51" s="699">
        <v>521702</v>
      </c>
      <c r="D51" s="700">
        <v>2005</v>
      </c>
      <c r="E51" s="701" t="s">
        <v>701</v>
      </c>
      <c r="F51" s="546">
        <v>2017</v>
      </c>
      <c r="G51" s="702">
        <v>42854</v>
      </c>
      <c r="H51" s="703" t="s">
        <v>739</v>
      </c>
      <c r="I51" s="704" t="s">
        <v>2985</v>
      </c>
      <c r="J51" s="705" t="s">
        <v>729</v>
      </c>
      <c r="K51" s="706" t="s">
        <v>3133</v>
      </c>
      <c r="L51" s="707" t="s">
        <v>3251</v>
      </c>
      <c r="M51" s="708">
        <v>177413.79</v>
      </c>
      <c r="N51" s="709">
        <v>0</v>
      </c>
      <c r="O51" s="710">
        <v>28386.21</v>
      </c>
      <c r="P51" s="711">
        <v>205800</v>
      </c>
      <c r="Q51" s="548"/>
      <c r="R51" s="713">
        <v>160915.62</v>
      </c>
      <c r="S51" s="549">
        <f t="shared" si="0"/>
        <v>44884.380000000005</v>
      </c>
      <c r="T51" s="444" t="s">
        <v>131</v>
      </c>
      <c r="U51" s="626" t="str">
        <f t="shared" si="5"/>
        <v>AA10999</v>
      </c>
      <c r="V51" s="627" t="str">
        <f t="shared" si="6"/>
        <v>1174-TCN17</v>
      </c>
      <c r="W51" s="626">
        <f t="shared" si="7"/>
        <v>521702</v>
      </c>
      <c r="X51" s="626" t="str">
        <f t="shared" si="8"/>
        <v>YARIS CORE MT, SEDAN</v>
      </c>
      <c r="Y51" s="627">
        <f t="shared" si="8"/>
        <v>2017</v>
      </c>
      <c r="Z51" s="628">
        <f t="shared" si="9"/>
        <v>177413.79</v>
      </c>
      <c r="AA51" s="629">
        <f>+SUM(Z42:Z51)</f>
        <v>1774137.9000000001</v>
      </c>
      <c r="AB51" s="665">
        <v>10</v>
      </c>
      <c r="AC51" s="629">
        <f t="shared" si="27"/>
        <v>0.01</v>
      </c>
      <c r="AD51" s="630">
        <f t="shared" si="28"/>
        <v>0.02</v>
      </c>
      <c r="AE51" s="629">
        <f t="shared" si="29"/>
        <v>0</v>
      </c>
      <c r="AF51" s="629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3">
        <f t="shared" si="11"/>
        <v>47</v>
      </c>
      <c r="B52" s="683" t="s">
        <v>2760</v>
      </c>
      <c r="C52" s="699">
        <v>521707</v>
      </c>
      <c r="D52" s="700">
        <v>2006</v>
      </c>
      <c r="E52" s="701" t="s">
        <v>702</v>
      </c>
      <c r="F52" s="546">
        <v>2017</v>
      </c>
      <c r="G52" s="702">
        <v>42846</v>
      </c>
      <c r="H52" s="703" t="s">
        <v>819</v>
      </c>
      <c r="I52" s="704" t="s">
        <v>2991</v>
      </c>
      <c r="J52" s="705" t="s">
        <v>724</v>
      </c>
      <c r="K52" s="706" t="s">
        <v>3140</v>
      </c>
      <c r="L52" s="707" t="s">
        <v>3257</v>
      </c>
      <c r="M52" s="708">
        <v>195172.41</v>
      </c>
      <c r="N52" s="709">
        <v>0</v>
      </c>
      <c r="O52" s="710">
        <v>31227.59</v>
      </c>
      <c r="P52" s="711">
        <v>226400</v>
      </c>
      <c r="Q52" s="548"/>
      <c r="R52" s="713">
        <v>177270.62</v>
      </c>
      <c r="S52" s="549">
        <f t="shared" si="0"/>
        <v>49129.380000000005</v>
      </c>
      <c r="T52" s="113" t="s">
        <v>131</v>
      </c>
      <c r="U52" s="626" t="str">
        <f t="shared" si="5"/>
        <v>AA10911</v>
      </c>
      <c r="V52" s="627" t="str">
        <f t="shared" si="6"/>
        <v>1125-TCN17</v>
      </c>
      <c r="W52" s="626">
        <f t="shared" si="7"/>
        <v>521707</v>
      </c>
      <c r="X52" s="626" t="str">
        <f t="shared" si="8"/>
        <v>YARIS CORE,SEDAN CVT.</v>
      </c>
      <c r="Y52" s="627">
        <f t="shared" si="8"/>
        <v>2017</v>
      </c>
      <c r="Z52" s="628">
        <f t="shared" si="9"/>
        <v>195172.41</v>
      </c>
      <c r="AA52" s="629"/>
      <c r="AB52" s="664"/>
      <c r="AC52" s="629">
        <f t="shared" si="27"/>
        <v>0.01</v>
      </c>
      <c r="AD52" s="630">
        <f t="shared" si="28"/>
        <v>0.02</v>
      </c>
      <c r="AE52" s="629">
        <f t="shared" si="29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3">
        <f t="shared" si="11"/>
        <v>48</v>
      </c>
      <c r="B53" s="683" t="s">
        <v>2766</v>
      </c>
      <c r="C53" s="699">
        <v>521707</v>
      </c>
      <c r="D53" s="700">
        <v>2006</v>
      </c>
      <c r="E53" s="701" t="s">
        <v>702</v>
      </c>
      <c r="F53" s="546">
        <v>2017</v>
      </c>
      <c r="G53" s="702">
        <v>42849</v>
      </c>
      <c r="H53" s="703" t="s">
        <v>819</v>
      </c>
      <c r="I53" s="704" t="s">
        <v>2998</v>
      </c>
      <c r="J53" s="705" t="s">
        <v>724</v>
      </c>
      <c r="K53" s="706" t="s">
        <v>3140</v>
      </c>
      <c r="L53" s="707" t="s">
        <v>3264</v>
      </c>
      <c r="M53" s="708">
        <v>195172.41</v>
      </c>
      <c r="N53" s="709">
        <v>0</v>
      </c>
      <c r="O53" s="710">
        <v>31227.59</v>
      </c>
      <c r="P53" s="711">
        <v>226400</v>
      </c>
      <c r="Q53" s="548"/>
      <c r="R53" s="713">
        <v>177270.62</v>
      </c>
      <c r="S53" s="549">
        <f t="shared" si="0"/>
        <v>49129.380000000005</v>
      </c>
      <c r="T53" s="444" t="s">
        <v>131</v>
      </c>
      <c r="U53" s="626" t="str">
        <f t="shared" si="5"/>
        <v>AA10932</v>
      </c>
      <c r="V53" s="627" t="str">
        <f t="shared" si="6"/>
        <v>1154-TCN17</v>
      </c>
      <c r="W53" s="626">
        <f t="shared" si="7"/>
        <v>521707</v>
      </c>
      <c r="X53" s="626" t="str">
        <f t="shared" si="8"/>
        <v>YARIS CORE,SEDAN CVT.</v>
      </c>
      <c r="Y53" s="627">
        <f t="shared" si="8"/>
        <v>2017</v>
      </c>
      <c r="Z53" s="628">
        <f t="shared" si="9"/>
        <v>195172.41</v>
      </c>
      <c r="AA53" s="629"/>
      <c r="AB53" s="664"/>
      <c r="AC53" s="629">
        <f t="shared" si="27"/>
        <v>0.01</v>
      </c>
      <c r="AD53" s="630">
        <f t="shared" si="28"/>
        <v>0.02</v>
      </c>
      <c r="AE53" s="629">
        <f t="shared" si="29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3">
        <f t="shared" si="11"/>
        <v>49</v>
      </c>
      <c r="B54" s="683" t="s">
        <v>2769</v>
      </c>
      <c r="C54" s="699">
        <v>521707</v>
      </c>
      <c r="D54" s="700">
        <v>2006</v>
      </c>
      <c r="E54" s="701" t="s">
        <v>702</v>
      </c>
      <c r="F54" s="546">
        <v>2017</v>
      </c>
      <c r="G54" s="702">
        <v>42852</v>
      </c>
      <c r="H54" s="703" t="s">
        <v>819</v>
      </c>
      <c r="I54" s="704" t="s">
        <v>3001</v>
      </c>
      <c r="J54" s="705" t="s">
        <v>729</v>
      </c>
      <c r="K54" s="706" t="s">
        <v>3140</v>
      </c>
      <c r="L54" s="707" t="s">
        <v>3267</v>
      </c>
      <c r="M54" s="708">
        <v>195172.41</v>
      </c>
      <c r="N54" s="709">
        <v>0</v>
      </c>
      <c r="O54" s="710">
        <v>31227.59</v>
      </c>
      <c r="P54" s="711">
        <v>226400</v>
      </c>
      <c r="Q54" s="548"/>
      <c r="R54" s="713">
        <v>176916.14</v>
      </c>
      <c r="S54" s="549">
        <f t="shared" si="0"/>
        <v>49483.859999999986</v>
      </c>
      <c r="T54" s="267" t="s">
        <v>131</v>
      </c>
      <c r="U54" s="626" t="str">
        <f t="shared" si="5"/>
        <v>AA10963</v>
      </c>
      <c r="V54" s="627" t="str">
        <f t="shared" si="6"/>
        <v>1144-TCN17</v>
      </c>
      <c r="W54" s="626">
        <f t="shared" si="7"/>
        <v>521707</v>
      </c>
      <c r="X54" s="626" t="str">
        <f t="shared" si="8"/>
        <v>YARIS CORE,SEDAN CVT.</v>
      </c>
      <c r="Y54" s="627">
        <f t="shared" si="8"/>
        <v>2017</v>
      </c>
      <c r="Z54" s="628">
        <f t="shared" si="9"/>
        <v>195172.41</v>
      </c>
      <c r="AA54" s="629"/>
      <c r="AB54" s="664"/>
      <c r="AC54" s="629">
        <f t="shared" si="27"/>
        <v>0.01</v>
      </c>
      <c r="AD54" s="630">
        <f t="shared" si="28"/>
        <v>0.02</v>
      </c>
      <c r="AE54" s="629">
        <f t="shared" si="29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3">
        <f t="shared" si="11"/>
        <v>50</v>
      </c>
      <c r="B55" s="683" t="s">
        <v>2756</v>
      </c>
      <c r="C55" s="699">
        <v>521707</v>
      </c>
      <c r="D55" s="700">
        <v>2006</v>
      </c>
      <c r="E55" s="701" t="s">
        <v>702</v>
      </c>
      <c r="F55" s="546">
        <v>2017</v>
      </c>
      <c r="G55" s="702">
        <v>42844</v>
      </c>
      <c r="H55" s="703" t="s">
        <v>774</v>
      </c>
      <c r="I55" s="704" t="s">
        <v>2990</v>
      </c>
      <c r="J55" s="705" t="s">
        <v>729</v>
      </c>
      <c r="K55" s="706" t="s">
        <v>3139</v>
      </c>
      <c r="L55" s="707" t="s">
        <v>3256</v>
      </c>
      <c r="M55" s="708">
        <v>195172.41</v>
      </c>
      <c r="N55" s="709">
        <v>0</v>
      </c>
      <c r="O55" s="710">
        <v>31227.59</v>
      </c>
      <c r="P55" s="711">
        <v>226400</v>
      </c>
      <c r="Q55" s="548"/>
      <c r="R55" s="713">
        <v>176916.14</v>
      </c>
      <c r="S55" s="549">
        <f t="shared" si="0"/>
        <v>49483.859999999986</v>
      </c>
      <c r="T55" s="113" t="s">
        <v>131</v>
      </c>
      <c r="U55" s="626" t="str">
        <f t="shared" si="5"/>
        <v>AA10888</v>
      </c>
      <c r="V55" s="627" t="str">
        <f t="shared" si="6"/>
        <v>1130-TCN17</v>
      </c>
      <c r="W55" s="626">
        <f t="shared" si="7"/>
        <v>521707</v>
      </c>
      <c r="X55" s="626" t="str">
        <f t="shared" si="8"/>
        <v>YARIS CORE,SEDAN CVT.</v>
      </c>
      <c r="Y55" s="627">
        <f t="shared" si="8"/>
        <v>2017</v>
      </c>
      <c r="Z55" s="628">
        <f t="shared" si="9"/>
        <v>195172.41</v>
      </c>
      <c r="AA55" s="629"/>
      <c r="AB55" s="664"/>
      <c r="AC55" s="629">
        <f t="shared" si="27"/>
        <v>0.01</v>
      </c>
      <c r="AD55" s="630">
        <f t="shared" si="28"/>
        <v>0.02</v>
      </c>
      <c r="AE55" s="629">
        <f t="shared" si="29"/>
        <v>0</v>
      </c>
      <c r="AF55" s="629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3">
        <f t="shared" si="11"/>
        <v>51</v>
      </c>
      <c r="B56" s="683" t="s">
        <v>2765</v>
      </c>
      <c r="C56" s="699">
        <v>521707</v>
      </c>
      <c r="D56" s="700">
        <v>2006</v>
      </c>
      <c r="E56" s="701" t="s">
        <v>702</v>
      </c>
      <c r="F56" s="546">
        <v>2017</v>
      </c>
      <c r="G56" s="702">
        <v>42847</v>
      </c>
      <c r="H56" s="703" t="s">
        <v>739</v>
      </c>
      <c r="I56" s="704" t="s">
        <v>2997</v>
      </c>
      <c r="J56" s="705" t="s">
        <v>729</v>
      </c>
      <c r="K56" s="706" t="s">
        <v>3142</v>
      </c>
      <c r="L56" s="707" t="s">
        <v>3263</v>
      </c>
      <c r="M56" s="708">
        <v>195172.41</v>
      </c>
      <c r="N56" s="709">
        <v>0</v>
      </c>
      <c r="O56" s="710">
        <v>31227.59</v>
      </c>
      <c r="P56" s="711">
        <v>226400</v>
      </c>
      <c r="Q56" s="548"/>
      <c r="R56" s="713">
        <v>176916.14</v>
      </c>
      <c r="S56" s="549">
        <f t="shared" si="0"/>
        <v>49483.859999999986</v>
      </c>
      <c r="T56" s="113" t="s">
        <v>131</v>
      </c>
      <c r="U56" s="626" t="str">
        <f t="shared" si="5"/>
        <v>AA10926</v>
      </c>
      <c r="V56" s="627" t="str">
        <f t="shared" si="6"/>
        <v>1129-TCN17</v>
      </c>
      <c r="W56" s="626">
        <f t="shared" si="7"/>
        <v>521707</v>
      </c>
      <c r="X56" s="626" t="str">
        <f t="shared" si="8"/>
        <v>YARIS CORE,SEDAN CVT.</v>
      </c>
      <c r="Y56" s="627">
        <f t="shared" si="8"/>
        <v>2017</v>
      </c>
      <c r="Z56" s="628">
        <f t="shared" si="9"/>
        <v>195172.41</v>
      </c>
      <c r="AA56" s="629"/>
      <c r="AB56" s="664"/>
      <c r="AC56" s="629">
        <f t="shared" si="27"/>
        <v>0.01</v>
      </c>
      <c r="AD56" s="630">
        <f t="shared" si="28"/>
        <v>0.02</v>
      </c>
      <c r="AE56" s="629">
        <f t="shared" si="29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3">
        <f t="shared" si="11"/>
        <v>52</v>
      </c>
      <c r="B57" s="683" t="s">
        <v>2751</v>
      </c>
      <c r="C57" s="699">
        <v>521707</v>
      </c>
      <c r="D57" s="700">
        <v>2006</v>
      </c>
      <c r="E57" s="701" t="s">
        <v>702</v>
      </c>
      <c r="F57" s="546">
        <v>2017</v>
      </c>
      <c r="G57" s="702">
        <v>42837</v>
      </c>
      <c r="H57" s="703" t="s">
        <v>788</v>
      </c>
      <c r="I57" s="704" t="s">
        <v>2989</v>
      </c>
      <c r="J57" s="705" t="s">
        <v>724</v>
      </c>
      <c r="K57" s="706" t="s">
        <v>3137</v>
      </c>
      <c r="L57" s="707" t="s">
        <v>3255</v>
      </c>
      <c r="M57" s="708">
        <v>195172.41</v>
      </c>
      <c r="N57" s="709">
        <v>0</v>
      </c>
      <c r="O57" s="710">
        <v>31227.59</v>
      </c>
      <c r="P57" s="711">
        <v>226400</v>
      </c>
      <c r="Q57" s="548"/>
      <c r="R57" s="713">
        <v>177270.62</v>
      </c>
      <c r="S57" s="549">
        <f t="shared" si="0"/>
        <v>49129.380000000005</v>
      </c>
      <c r="T57" s="113" t="s">
        <v>131</v>
      </c>
      <c r="U57" s="626" t="str">
        <f t="shared" si="5"/>
        <v>AA10844</v>
      </c>
      <c r="V57" s="627" t="str">
        <f t="shared" si="6"/>
        <v>1121-TCN17</v>
      </c>
      <c r="W57" s="626">
        <f t="shared" si="7"/>
        <v>521707</v>
      </c>
      <c r="X57" s="626" t="str">
        <f t="shared" si="8"/>
        <v>YARIS CORE,SEDAN CVT.</v>
      </c>
      <c r="Y57" s="627">
        <f t="shared" si="8"/>
        <v>2017</v>
      </c>
      <c r="Z57" s="628">
        <f t="shared" si="9"/>
        <v>195172.41</v>
      </c>
      <c r="AA57" s="629"/>
      <c r="AB57" s="664"/>
      <c r="AC57" s="629">
        <f t="shared" si="27"/>
        <v>0.01</v>
      </c>
      <c r="AD57" s="630">
        <f t="shared" si="28"/>
        <v>0.02</v>
      </c>
      <c r="AE57" s="629">
        <f t="shared" si="29"/>
        <v>0</v>
      </c>
      <c r="AF57" s="629"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ht="12.75" customHeight="1" x14ac:dyDescent="0.2">
      <c r="A58" s="423">
        <f t="shared" si="11"/>
        <v>53</v>
      </c>
      <c r="B58" s="683" t="s">
        <v>2747</v>
      </c>
      <c r="C58" s="699">
        <v>521707</v>
      </c>
      <c r="D58" s="700">
        <v>2006</v>
      </c>
      <c r="E58" s="701" t="s">
        <v>702</v>
      </c>
      <c r="F58" s="546">
        <v>2017</v>
      </c>
      <c r="G58" s="702">
        <v>42829</v>
      </c>
      <c r="H58" s="703" t="s">
        <v>760</v>
      </c>
      <c r="I58" s="704" t="s">
        <v>2986</v>
      </c>
      <c r="J58" s="705" t="s">
        <v>729</v>
      </c>
      <c r="K58" s="706" t="s">
        <v>2419</v>
      </c>
      <c r="L58" s="707" t="s">
        <v>3252</v>
      </c>
      <c r="M58" s="708">
        <v>195172.41</v>
      </c>
      <c r="N58" s="709">
        <v>0</v>
      </c>
      <c r="O58" s="710">
        <v>31227.59</v>
      </c>
      <c r="P58" s="711">
        <v>226400</v>
      </c>
      <c r="Q58" s="548"/>
      <c r="R58" s="713">
        <v>176916.14</v>
      </c>
      <c r="S58" s="549">
        <f t="shared" si="0"/>
        <v>49483.859999999986</v>
      </c>
      <c r="T58" s="267" t="s">
        <v>131</v>
      </c>
      <c r="U58" s="626" t="str">
        <f t="shared" si="5"/>
        <v>AA10791</v>
      </c>
      <c r="V58" s="627" t="str">
        <f t="shared" si="6"/>
        <v>1077-TCN17</v>
      </c>
      <c r="W58" s="626">
        <f t="shared" si="7"/>
        <v>521707</v>
      </c>
      <c r="X58" s="626" t="str">
        <f t="shared" si="8"/>
        <v>YARIS CORE,SEDAN CVT.</v>
      </c>
      <c r="Y58" s="627">
        <f t="shared" si="8"/>
        <v>2017</v>
      </c>
      <c r="Z58" s="628">
        <f t="shared" si="9"/>
        <v>195172.41</v>
      </c>
      <c r="AA58" s="629"/>
      <c r="AB58" s="664"/>
      <c r="AC58" s="629">
        <f t="shared" si="27"/>
        <v>0.01</v>
      </c>
      <c r="AD58" s="630">
        <f t="shared" si="28"/>
        <v>0.02</v>
      </c>
      <c r="AE58" s="629">
        <f t="shared" si="29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ht="12.75" customHeight="1" x14ac:dyDescent="0.2">
      <c r="A59" s="423">
        <f t="shared" si="11"/>
        <v>54</v>
      </c>
      <c r="B59" s="683" t="s">
        <v>2770</v>
      </c>
      <c r="C59" s="699">
        <v>521707</v>
      </c>
      <c r="D59" s="700">
        <v>2006</v>
      </c>
      <c r="E59" s="701" t="s">
        <v>702</v>
      </c>
      <c r="F59" s="546">
        <v>2017</v>
      </c>
      <c r="G59" s="702">
        <v>42852</v>
      </c>
      <c r="H59" s="703" t="s">
        <v>2215</v>
      </c>
      <c r="I59" s="704" t="s">
        <v>3002</v>
      </c>
      <c r="J59" s="705" t="s">
        <v>724</v>
      </c>
      <c r="K59" s="706" t="s">
        <v>3144</v>
      </c>
      <c r="L59" s="707" t="s">
        <v>3268</v>
      </c>
      <c r="M59" s="708">
        <v>195172.41</v>
      </c>
      <c r="N59" s="709">
        <v>0</v>
      </c>
      <c r="O59" s="710">
        <v>31227.59</v>
      </c>
      <c r="P59" s="711">
        <v>226400</v>
      </c>
      <c r="Q59" s="548"/>
      <c r="R59" s="713">
        <v>177270.62</v>
      </c>
      <c r="S59" s="549">
        <f t="shared" si="0"/>
        <v>49129.380000000005</v>
      </c>
      <c r="T59" s="444" t="s">
        <v>131</v>
      </c>
      <c r="U59" s="626" t="str">
        <f t="shared" si="5"/>
        <v>AA10962</v>
      </c>
      <c r="V59" s="627" t="str">
        <f t="shared" si="6"/>
        <v>1153-TCN17</v>
      </c>
      <c r="W59" s="626">
        <f t="shared" si="7"/>
        <v>521707</v>
      </c>
      <c r="X59" s="626" t="str">
        <f t="shared" si="8"/>
        <v>YARIS CORE,SEDAN CVT.</v>
      </c>
      <c r="Y59" s="627">
        <f t="shared" si="8"/>
        <v>2017</v>
      </c>
      <c r="Z59" s="628">
        <f t="shared" si="9"/>
        <v>195172.41</v>
      </c>
      <c r="AA59" s="629"/>
      <c r="AB59" s="664"/>
      <c r="AC59" s="629">
        <f t="shared" si="27"/>
        <v>0.01</v>
      </c>
      <c r="AD59" s="630">
        <f t="shared" si="28"/>
        <v>0.02</v>
      </c>
      <c r="AE59" s="629">
        <f t="shared" si="29"/>
        <v>0</v>
      </c>
      <c r="AF59" s="629"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ht="12.75" customHeight="1" x14ac:dyDescent="0.2">
      <c r="A60" s="423">
        <f t="shared" si="11"/>
        <v>55</v>
      </c>
      <c r="B60" s="683" t="s">
        <v>2755</v>
      </c>
      <c r="C60" s="699">
        <v>521707</v>
      </c>
      <c r="D60" s="700">
        <v>2006</v>
      </c>
      <c r="E60" s="701" t="s">
        <v>702</v>
      </c>
      <c r="F60" s="546">
        <v>2017</v>
      </c>
      <c r="G60" s="702">
        <v>42842</v>
      </c>
      <c r="H60" s="703" t="s">
        <v>2214</v>
      </c>
      <c r="I60" s="704" t="s">
        <v>2987</v>
      </c>
      <c r="J60" s="705" t="s">
        <v>729</v>
      </c>
      <c r="K60" s="706" t="s">
        <v>3134</v>
      </c>
      <c r="L60" s="707" t="s">
        <v>3253</v>
      </c>
      <c r="M60" s="708">
        <v>195172.41</v>
      </c>
      <c r="N60" s="709">
        <v>0</v>
      </c>
      <c r="O60" s="710">
        <v>31227.59</v>
      </c>
      <c r="P60" s="711">
        <v>226400</v>
      </c>
      <c r="Q60" s="548"/>
      <c r="R60" s="713">
        <v>176916.14</v>
      </c>
      <c r="S60" s="549">
        <f t="shared" si="0"/>
        <v>49483.859999999986</v>
      </c>
      <c r="T60" s="113" t="s">
        <v>131</v>
      </c>
      <c r="U60" s="626" t="str">
        <f t="shared" si="5"/>
        <v>AA10867</v>
      </c>
      <c r="V60" s="627" t="str">
        <f t="shared" si="6"/>
        <v>1029-TCN17</v>
      </c>
      <c r="W60" s="626">
        <f t="shared" si="7"/>
        <v>521707</v>
      </c>
      <c r="X60" s="626" t="str">
        <f t="shared" si="8"/>
        <v>YARIS CORE,SEDAN CVT.</v>
      </c>
      <c r="Y60" s="627">
        <f t="shared" si="8"/>
        <v>2017</v>
      </c>
      <c r="Z60" s="628">
        <f t="shared" si="9"/>
        <v>195172.41</v>
      </c>
      <c r="AA60" s="629"/>
      <c r="AB60" s="664"/>
      <c r="AC60" s="629">
        <f t="shared" si="27"/>
        <v>0.01</v>
      </c>
      <c r="AD60" s="630">
        <f t="shared" si="28"/>
        <v>0.02</v>
      </c>
      <c r="AE60" s="629">
        <f t="shared" si="29"/>
        <v>0</v>
      </c>
      <c r="AF60" s="629">
        <v>0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ht="12.75" customHeight="1" x14ac:dyDescent="0.2">
      <c r="A61" s="423">
        <f t="shared" si="11"/>
        <v>56</v>
      </c>
      <c r="B61" s="683" t="s">
        <v>2768</v>
      </c>
      <c r="C61" s="699">
        <v>521707</v>
      </c>
      <c r="D61" s="700">
        <v>2006</v>
      </c>
      <c r="E61" s="701" t="s">
        <v>702</v>
      </c>
      <c r="F61" s="546">
        <v>2017</v>
      </c>
      <c r="G61" s="702">
        <v>42852</v>
      </c>
      <c r="H61" s="703" t="s">
        <v>743</v>
      </c>
      <c r="I61" s="704" t="s">
        <v>3000</v>
      </c>
      <c r="J61" s="705" t="s">
        <v>724</v>
      </c>
      <c r="K61" s="706" t="s">
        <v>3143</v>
      </c>
      <c r="L61" s="707" t="s">
        <v>3266</v>
      </c>
      <c r="M61" s="708">
        <v>195172.41</v>
      </c>
      <c r="N61" s="709">
        <v>0</v>
      </c>
      <c r="O61" s="710">
        <v>31227.59</v>
      </c>
      <c r="P61" s="711">
        <v>226400</v>
      </c>
      <c r="Q61" s="548"/>
      <c r="R61" s="713">
        <v>177270.62</v>
      </c>
      <c r="S61" s="549">
        <f t="shared" si="0"/>
        <v>49129.380000000005</v>
      </c>
      <c r="T61" s="267" t="s">
        <v>131</v>
      </c>
      <c r="U61" s="626" t="str">
        <f t="shared" si="5"/>
        <v>AA10964</v>
      </c>
      <c r="V61" s="627" t="str">
        <f t="shared" si="6"/>
        <v>1010-TCN17</v>
      </c>
      <c r="W61" s="626">
        <f t="shared" si="7"/>
        <v>521707</v>
      </c>
      <c r="X61" s="626" t="str">
        <f t="shared" si="8"/>
        <v>YARIS CORE,SEDAN CVT.</v>
      </c>
      <c r="Y61" s="627">
        <f t="shared" si="8"/>
        <v>2017</v>
      </c>
      <c r="Z61" s="628">
        <f t="shared" si="9"/>
        <v>195172.41</v>
      </c>
      <c r="AA61" s="629"/>
      <c r="AB61" s="664"/>
      <c r="AC61" s="629">
        <f t="shared" si="27"/>
        <v>0.01</v>
      </c>
      <c r="AD61" s="630">
        <f t="shared" si="28"/>
        <v>0.02</v>
      </c>
      <c r="AE61" s="629">
        <f t="shared" si="29"/>
        <v>0</v>
      </c>
      <c r="AF61" s="629"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ht="12.75" customHeight="1" x14ac:dyDescent="0.2">
      <c r="A62" s="423">
        <f t="shared" si="11"/>
        <v>57</v>
      </c>
      <c r="B62" s="683" t="s">
        <v>2750</v>
      </c>
      <c r="C62" s="699">
        <v>521707</v>
      </c>
      <c r="D62" s="700">
        <v>2006</v>
      </c>
      <c r="E62" s="701" t="s">
        <v>702</v>
      </c>
      <c r="F62" s="546">
        <v>2017</v>
      </c>
      <c r="G62" s="702">
        <v>42837</v>
      </c>
      <c r="H62" s="703" t="s">
        <v>2216</v>
      </c>
      <c r="I62" s="704" t="s">
        <v>2988</v>
      </c>
      <c r="J62" s="705" t="s">
        <v>729</v>
      </c>
      <c r="K62" s="706" t="s">
        <v>3136</v>
      </c>
      <c r="L62" s="707" t="s">
        <v>3254</v>
      </c>
      <c r="M62" s="708">
        <v>195172.41</v>
      </c>
      <c r="N62" s="709">
        <v>0</v>
      </c>
      <c r="O62" s="710">
        <v>31227.59</v>
      </c>
      <c r="P62" s="711">
        <v>226400</v>
      </c>
      <c r="Q62" s="548"/>
      <c r="R62" s="713">
        <v>176916.14</v>
      </c>
      <c r="S62" s="549">
        <f t="shared" si="0"/>
        <v>49483.859999999986</v>
      </c>
      <c r="T62" s="113" t="s">
        <v>131</v>
      </c>
      <c r="U62" s="626" t="str">
        <f t="shared" si="5"/>
        <v>AA10841</v>
      </c>
      <c r="V62" s="627" t="str">
        <f t="shared" si="6"/>
        <v>1022-TCN17</v>
      </c>
      <c r="W62" s="626">
        <f t="shared" si="7"/>
        <v>521707</v>
      </c>
      <c r="X62" s="626" t="str">
        <f t="shared" si="8"/>
        <v>YARIS CORE,SEDAN CVT.</v>
      </c>
      <c r="Y62" s="627">
        <f t="shared" si="8"/>
        <v>2017</v>
      </c>
      <c r="Z62" s="628">
        <f t="shared" si="9"/>
        <v>195172.41</v>
      </c>
      <c r="AA62" s="629"/>
      <c r="AB62" s="664"/>
      <c r="AC62" s="629">
        <f t="shared" si="27"/>
        <v>0.01</v>
      </c>
      <c r="AD62" s="630">
        <f t="shared" si="28"/>
        <v>0.02</v>
      </c>
      <c r="AE62" s="629">
        <f t="shared" si="29"/>
        <v>0</v>
      </c>
      <c r="AF62" s="629"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ht="12.75" customHeight="1" x14ac:dyDescent="0.2">
      <c r="A63" s="423">
        <f t="shared" si="11"/>
        <v>58</v>
      </c>
      <c r="B63" s="683" t="s">
        <v>2761</v>
      </c>
      <c r="C63" s="699">
        <v>521707</v>
      </c>
      <c r="D63" s="700">
        <v>2006</v>
      </c>
      <c r="E63" s="701" t="s">
        <v>702</v>
      </c>
      <c r="F63" s="546">
        <v>2017</v>
      </c>
      <c r="G63" s="702">
        <v>42846</v>
      </c>
      <c r="H63" s="703" t="s">
        <v>727</v>
      </c>
      <c r="I63" s="704" t="s">
        <v>2993</v>
      </c>
      <c r="J63" s="705" t="s">
        <v>724</v>
      </c>
      <c r="K63" s="706" t="s">
        <v>3141</v>
      </c>
      <c r="L63" s="707" t="s">
        <v>3259</v>
      </c>
      <c r="M63" s="708">
        <v>195172.41</v>
      </c>
      <c r="N63" s="709">
        <v>0</v>
      </c>
      <c r="O63" s="710">
        <v>31227.59</v>
      </c>
      <c r="P63" s="711">
        <v>226400</v>
      </c>
      <c r="Q63" s="548"/>
      <c r="R63" s="713">
        <v>177270.62</v>
      </c>
      <c r="S63" s="549">
        <f t="shared" si="0"/>
        <v>49129.380000000005</v>
      </c>
      <c r="T63" s="113" t="s">
        <v>131</v>
      </c>
      <c r="U63" s="626" t="str">
        <f t="shared" si="5"/>
        <v>AA10916</v>
      </c>
      <c r="V63" s="627" t="str">
        <f t="shared" si="6"/>
        <v>1135-TCN17</v>
      </c>
      <c r="W63" s="626">
        <f t="shared" si="7"/>
        <v>521707</v>
      </c>
      <c r="X63" s="626" t="str">
        <f t="shared" si="8"/>
        <v>YARIS CORE,SEDAN CVT.</v>
      </c>
      <c r="Y63" s="627">
        <f t="shared" si="8"/>
        <v>2017</v>
      </c>
      <c r="Z63" s="628">
        <f t="shared" si="9"/>
        <v>195172.41</v>
      </c>
      <c r="AA63" s="629"/>
      <c r="AB63" s="664"/>
      <c r="AC63" s="629">
        <f t="shared" si="27"/>
        <v>0.01</v>
      </c>
      <c r="AD63" s="630">
        <f t="shared" si="28"/>
        <v>0.02</v>
      </c>
      <c r="AE63" s="629">
        <f t="shared" si="29"/>
        <v>0</v>
      </c>
      <c r="AF63" s="629"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3">
        <f t="shared" si="11"/>
        <v>59</v>
      </c>
      <c r="B64" s="683" t="s">
        <v>2762</v>
      </c>
      <c r="C64" s="699">
        <v>521707</v>
      </c>
      <c r="D64" s="700">
        <v>2006</v>
      </c>
      <c r="E64" s="701" t="s">
        <v>702</v>
      </c>
      <c r="F64" s="546">
        <v>2017</v>
      </c>
      <c r="G64" s="702">
        <v>42847</v>
      </c>
      <c r="H64" s="703" t="s">
        <v>819</v>
      </c>
      <c r="I64" s="704" t="s">
        <v>2994</v>
      </c>
      <c r="J64" s="705" t="s">
        <v>729</v>
      </c>
      <c r="K64" s="706" t="s">
        <v>3140</v>
      </c>
      <c r="L64" s="707" t="s">
        <v>3260</v>
      </c>
      <c r="M64" s="708">
        <v>195172.41</v>
      </c>
      <c r="N64" s="709">
        <v>0</v>
      </c>
      <c r="O64" s="710">
        <v>31227.59</v>
      </c>
      <c r="P64" s="711">
        <v>226400</v>
      </c>
      <c r="Q64" s="548"/>
      <c r="R64" s="713">
        <v>176916.14</v>
      </c>
      <c r="S64" s="549">
        <f t="shared" si="0"/>
        <v>49483.859999999986</v>
      </c>
      <c r="T64" s="113" t="s">
        <v>131</v>
      </c>
      <c r="U64" s="626" t="str">
        <f t="shared" si="5"/>
        <v>AA10925</v>
      </c>
      <c r="V64" s="627" t="str">
        <f t="shared" si="6"/>
        <v>0992-TCN17</v>
      </c>
      <c r="W64" s="626">
        <f t="shared" si="7"/>
        <v>521707</v>
      </c>
      <c r="X64" s="626" t="str">
        <f t="shared" si="8"/>
        <v>YARIS CORE,SEDAN CVT.</v>
      </c>
      <c r="Y64" s="627">
        <f t="shared" si="8"/>
        <v>2017</v>
      </c>
      <c r="Z64" s="628">
        <f t="shared" si="9"/>
        <v>195172.41</v>
      </c>
      <c r="AA64" s="629"/>
      <c r="AB64" s="664"/>
      <c r="AC64" s="629">
        <f t="shared" si="27"/>
        <v>0.01</v>
      </c>
      <c r="AD64" s="630">
        <f t="shared" si="28"/>
        <v>0.02</v>
      </c>
      <c r="AE64" s="629">
        <f t="shared" si="29"/>
        <v>0</v>
      </c>
      <c r="AF64" s="629"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3">
        <f t="shared" si="11"/>
        <v>60</v>
      </c>
      <c r="B65" s="683" t="s">
        <v>2763</v>
      </c>
      <c r="C65" s="699">
        <v>521707</v>
      </c>
      <c r="D65" s="700">
        <v>2006</v>
      </c>
      <c r="E65" s="701" t="s">
        <v>702</v>
      </c>
      <c r="F65" s="546">
        <v>2017</v>
      </c>
      <c r="G65" s="702">
        <v>42847</v>
      </c>
      <c r="H65" s="703" t="s">
        <v>819</v>
      </c>
      <c r="I65" s="704" t="s">
        <v>2995</v>
      </c>
      <c r="J65" s="705" t="s">
        <v>729</v>
      </c>
      <c r="K65" s="706" t="s">
        <v>3140</v>
      </c>
      <c r="L65" s="707" t="s">
        <v>3261</v>
      </c>
      <c r="M65" s="708">
        <v>195172.41</v>
      </c>
      <c r="N65" s="709">
        <v>0</v>
      </c>
      <c r="O65" s="710">
        <v>31227.59</v>
      </c>
      <c r="P65" s="711">
        <v>226400</v>
      </c>
      <c r="Q65" s="548"/>
      <c r="R65" s="713">
        <v>176916.14</v>
      </c>
      <c r="S65" s="549">
        <f t="shared" si="0"/>
        <v>49483.859999999986</v>
      </c>
      <c r="T65" s="113" t="s">
        <v>131</v>
      </c>
      <c r="U65" s="626" t="str">
        <f t="shared" si="5"/>
        <v>AA10924</v>
      </c>
      <c r="V65" s="627" t="str">
        <f t="shared" si="6"/>
        <v>1020-TCN17</v>
      </c>
      <c r="W65" s="626">
        <f t="shared" si="7"/>
        <v>521707</v>
      </c>
      <c r="X65" s="626" t="str">
        <f t="shared" si="8"/>
        <v>YARIS CORE,SEDAN CVT.</v>
      </c>
      <c r="Y65" s="627">
        <f t="shared" si="8"/>
        <v>2017</v>
      </c>
      <c r="Z65" s="628">
        <f t="shared" si="9"/>
        <v>195172.41</v>
      </c>
      <c r="AA65" s="629"/>
      <c r="AB65" s="664"/>
      <c r="AC65" s="629">
        <f t="shared" si="27"/>
        <v>0.01</v>
      </c>
      <c r="AD65" s="630">
        <f t="shared" si="28"/>
        <v>0.02</v>
      </c>
      <c r="AE65" s="629">
        <f t="shared" si="29"/>
        <v>0</v>
      </c>
      <c r="AF65" s="629">
        <v>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3">
        <f t="shared" si="11"/>
        <v>61</v>
      </c>
      <c r="B66" s="683" t="s">
        <v>2767</v>
      </c>
      <c r="C66" s="699">
        <v>521707</v>
      </c>
      <c r="D66" s="700">
        <v>2006</v>
      </c>
      <c r="E66" s="701" t="s">
        <v>702</v>
      </c>
      <c r="F66" s="546">
        <v>2017</v>
      </c>
      <c r="G66" s="702">
        <v>42849</v>
      </c>
      <c r="H66" s="703" t="s">
        <v>819</v>
      </c>
      <c r="I66" s="704" t="s">
        <v>2999</v>
      </c>
      <c r="J66" s="705" t="s">
        <v>724</v>
      </c>
      <c r="K66" s="706" t="s">
        <v>3140</v>
      </c>
      <c r="L66" s="707" t="s">
        <v>3265</v>
      </c>
      <c r="M66" s="708">
        <v>195172.41</v>
      </c>
      <c r="N66" s="709">
        <v>0</v>
      </c>
      <c r="O66" s="710">
        <v>31227.59</v>
      </c>
      <c r="P66" s="711">
        <v>226400</v>
      </c>
      <c r="Q66" s="548"/>
      <c r="R66" s="713">
        <v>177270.62</v>
      </c>
      <c r="S66" s="549">
        <f t="shared" si="0"/>
        <v>49129.380000000005</v>
      </c>
      <c r="T66" s="267" t="s">
        <v>131</v>
      </c>
      <c r="U66" s="626" t="str">
        <f t="shared" si="5"/>
        <v>AA10933</v>
      </c>
      <c r="V66" s="627" t="str">
        <f t="shared" si="6"/>
        <v>1155-TCN17</v>
      </c>
      <c r="W66" s="626">
        <f t="shared" si="7"/>
        <v>521707</v>
      </c>
      <c r="X66" s="626" t="str">
        <f t="shared" si="8"/>
        <v>YARIS CORE,SEDAN CVT.</v>
      </c>
      <c r="Y66" s="627">
        <f t="shared" si="8"/>
        <v>2017</v>
      </c>
      <c r="Z66" s="628">
        <f t="shared" si="9"/>
        <v>195172.41</v>
      </c>
      <c r="AA66" s="629"/>
      <c r="AB66" s="664"/>
      <c r="AC66" s="629">
        <f t="shared" si="27"/>
        <v>0.01</v>
      </c>
      <c r="AD66" s="630">
        <f t="shared" si="28"/>
        <v>0.02</v>
      </c>
      <c r="AE66" s="629">
        <f t="shared" si="29"/>
        <v>0</v>
      </c>
      <c r="AF66" s="629">
        <v>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ht="12.75" customHeight="1" x14ac:dyDescent="0.2">
      <c r="A67" s="423">
        <f t="shared" si="11"/>
        <v>62</v>
      </c>
      <c r="B67" s="683" t="s">
        <v>2758</v>
      </c>
      <c r="C67" s="699">
        <v>521707</v>
      </c>
      <c r="D67" s="700">
        <v>2006</v>
      </c>
      <c r="E67" s="701" t="s">
        <v>702</v>
      </c>
      <c r="F67" s="546">
        <v>2017</v>
      </c>
      <c r="G67" s="702">
        <v>42845</v>
      </c>
      <c r="H67" s="703" t="s">
        <v>819</v>
      </c>
      <c r="I67" s="704" t="s">
        <v>2992</v>
      </c>
      <c r="J67" s="705" t="s">
        <v>729</v>
      </c>
      <c r="K67" s="706" t="s">
        <v>3140</v>
      </c>
      <c r="L67" s="707" t="s">
        <v>3258</v>
      </c>
      <c r="M67" s="708">
        <v>195172.41</v>
      </c>
      <c r="N67" s="709">
        <v>0</v>
      </c>
      <c r="O67" s="710">
        <v>31227.59</v>
      </c>
      <c r="P67" s="711">
        <v>226400</v>
      </c>
      <c r="Q67" s="548"/>
      <c r="R67" s="713">
        <v>176916.14</v>
      </c>
      <c r="S67" s="549">
        <f t="shared" si="0"/>
        <v>49483.859999999986</v>
      </c>
      <c r="T67" s="113" t="s">
        <v>131</v>
      </c>
      <c r="U67" s="626" t="str">
        <f t="shared" si="5"/>
        <v>AA10907</v>
      </c>
      <c r="V67" s="627" t="str">
        <f t="shared" si="6"/>
        <v>1143-TCN17</v>
      </c>
      <c r="W67" s="626">
        <f t="shared" si="7"/>
        <v>521707</v>
      </c>
      <c r="X67" s="626" t="str">
        <f t="shared" si="8"/>
        <v>YARIS CORE,SEDAN CVT.</v>
      </c>
      <c r="Y67" s="627">
        <f t="shared" si="8"/>
        <v>2017</v>
      </c>
      <c r="Z67" s="628">
        <f t="shared" si="9"/>
        <v>195172.41</v>
      </c>
      <c r="AA67" s="629">
        <f>+SUM(Z52:Z67)</f>
        <v>3122758.5600000005</v>
      </c>
      <c r="AB67" s="665">
        <v>16</v>
      </c>
      <c r="AC67" s="629">
        <f t="shared" si="27"/>
        <v>0.01</v>
      </c>
      <c r="AD67" s="630">
        <f t="shared" si="28"/>
        <v>0.02</v>
      </c>
      <c r="AE67" s="629">
        <f t="shared" si="29"/>
        <v>0</v>
      </c>
      <c r="AF67" s="629"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ht="13.5" customHeight="1" x14ac:dyDescent="0.2">
      <c r="A68" s="423">
        <f t="shared" si="11"/>
        <v>63</v>
      </c>
      <c r="B68" s="683" t="s">
        <v>2776</v>
      </c>
      <c r="C68" s="699">
        <v>521801</v>
      </c>
      <c r="D68" s="700">
        <v>2201</v>
      </c>
      <c r="E68" s="701" t="s">
        <v>704</v>
      </c>
      <c r="F68" s="546">
        <v>2017</v>
      </c>
      <c r="G68" s="702">
        <v>42832</v>
      </c>
      <c r="H68" s="703" t="s">
        <v>760</v>
      </c>
      <c r="I68" s="704" t="s">
        <v>3008</v>
      </c>
      <c r="J68" s="705" t="s">
        <v>724</v>
      </c>
      <c r="K68" s="706" t="s">
        <v>3148</v>
      </c>
      <c r="L68" s="707" t="s">
        <v>3274</v>
      </c>
      <c r="M68" s="708">
        <v>197586.21</v>
      </c>
      <c r="N68" s="709">
        <v>0</v>
      </c>
      <c r="O68" s="710">
        <v>31613.79</v>
      </c>
      <c r="P68" s="711">
        <v>229200</v>
      </c>
      <c r="Q68" s="548"/>
      <c r="R68" s="713">
        <v>179254.95</v>
      </c>
      <c r="S68" s="549">
        <f t="shared" si="0"/>
        <v>49945.049999999988</v>
      </c>
      <c r="T68" s="267" t="s">
        <v>131</v>
      </c>
      <c r="U68" s="626" t="str">
        <f t="shared" si="5"/>
        <v>AA10809</v>
      </c>
      <c r="V68" s="627" t="str">
        <f t="shared" si="6"/>
        <v>1092-TCN17</v>
      </c>
      <c r="W68" s="626">
        <f t="shared" si="7"/>
        <v>521801</v>
      </c>
      <c r="X68" s="626" t="str">
        <f t="shared" si="8"/>
        <v>AVANZA HI 5MT</v>
      </c>
      <c r="Y68" s="627">
        <f t="shared" si="8"/>
        <v>2017</v>
      </c>
      <c r="Z68" s="628">
        <f t="shared" si="9"/>
        <v>197586.21</v>
      </c>
      <c r="AA68" s="629"/>
      <c r="AB68" s="664"/>
      <c r="AC68" s="629">
        <f t="shared" si="27"/>
        <v>0.01</v>
      </c>
      <c r="AD68" s="630">
        <f t="shared" si="28"/>
        <v>0.02</v>
      </c>
      <c r="AE68" s="629">
        <f t="shared" si="29"/>
        <v>0</v>
      </c>
      <c r="AF68" s="629">
        <v>0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ht="12.75" customHeight="1" x14ac:dyDescent="0.2">
      <c r="A69" s="423">
        <f t="shared" si="11"/>
        <v>64</v>
      </c>
      <c r="B69" s="683" t="s">
        <v>2783</v>
      </c>
      <c r="C69" s="699">
        <v>521801</v>
      </c>
      <c r="D69" s="700">
        <v>2201</v>
      </c>
      <c r="E69" s="701" t="s">
        <v>704</v>
      </c>
      <c r="F69" s="546">
        <v>2017</v>
      </c>
      <c r="G69" s="702">
        <v>42854</v>
      </c>
      <c r="H69" s="703" t="s">
        <v>2215</v>
      </c>
      <c r="I69" s="704" t="s">
        <v>3013</v>
      </c>
      <c r="J69" s="705" t="s">
        <v>724</v>
      </c>
      <c r="K69" s="706" t="s">
        <v>3151</v>
      </c>
      <c r="L69" s="707" t="s">
        <v>3279</v>
      </c>
      <c r="M69" s="708">
        <v>197586.21</v>
      </c>
      <c r="N69" s="709">
        <v>0</v>
      </c>
      <c r="O69" s="710">
        <v>31613.79</v>
      </c>
      <c r="P69" s="711">
        <v>229200</v>
      </c>
      <c r="Q69" s="548"/>
      <c r="R69" s="713">
        <v>179254.08</v>
      </c>
      <c r="S69" s="549">
        <f t="shared" si="0"/>
        <v>49945.920000000013</v>
      </c>
      <c r="T69" s="267" t="s">
        <v>131</v>
      </c>
      <c r="U69" s="626" t="str">
        <f t="shared" si="5"/>
        <v>AA10998</v>
      </c>
      <c r="V69" s="627" t="str">
        <f t="shared" si="6"/>
        <v>1212-TCN17</v>
      </c>
      <c r="W69" s="626">
        <f t="shared" si="7"/>
        <v>521801</v>
      </c>
      <c r="X69" s="626" t="str">
        <f t="shared" si="8"/>
        <v>AVANZA HI 5MT</v>
      </c>
      <c r="Y69" s="627">
        <f t="shared" si="8"/>
        <v>2017</v>
      </c>
      <c r="Z69" s="628">
        <f t="shared" si="9"/>
        <v>197586.21</v>
      </c>
      <c r="AA69" s="629"/>
      <c r="AB69" s="664"/>
      <c r="AC69" s="629">
        <f t="shared" si="27"/>
        <v>0.01</v>
      </c>
      <c r="AD69" s="630">
        <f t="shared" si="28"/>
        <v>0.02</v>
      </c>
      <c r="AE69" s="629">
        <f t="shared" si="29"/>
        <v>0</v>
      </c>
      <c r="AF69" s="629">
        <v>0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ht="13.5" customHeight="1" x14ac:dyDescent="0.2">
      <c r="A70" s="423">
        <f t="shared" si="11"/>
        <v>65</v>
      </c>
      <c r="B70" s="683" t="s">
        <v>2777</v>
      </c>
      <c r="C70" s="699">
        <v>521801</v>
      </c>
      <c r="D70" s="700">
        <v>2201</v>
      </c>
      <c r="E70" s="701" t="s">
        <v>704</v>
      </c>
      <c r="F70" s="546">
        <v>2017</v>
      </c>
      <c r="G70" s="702">
        <v>42846</v>
      </c>
      <c r="H70" s="703" t="s">
        <v>1038</v>
      </c>
      <c r="I70" s="704" t="s">
        <v>3009</v>
      </c>
      <c r="J70" s="705" t="s">
        <v>729</v>
      </c>
      <c r="K70" s="706" t="s">
        <v>3149</v>
      </c>
      <c r="L70" s="707" t="s">
        <v>3275</v>
      </c>
      <c r="M70" s="708">
        <v>197586.21</v>
      </c>
      <c r="N70" s="709">
        <v>0</v>
      </c>
      <c r="O70" s="710">
        <v>31613.79</v>
      </c>
      <c r="P70" s="711">
        <v>229200</v>
      </c>
      <c r="Q70" s="548"/>
      <c r="R70" s="713">
        <v>178899.6</v>
      </c>
      <c r="S70" s="549">
        <f t="shared" ref="S70:S133" si="31">+P70-R70</f>
        <v>50300.399999999994</v>
      </c>
      <c r="T70" s="267" t="s">
        <v>131</v>
      </c>
      <c r="U70" s="626" t="str">
        <f t="shared" si="5"/>
        <v>AA10915</v>
      </c>
      <c r="V70" s="627" t="str">
        <f t="shared" si="6"/>
        <v>0998-TCN17</v>
      </c>
      <c r="W70" s="626">
        <f t="shared" si="7"/>
        <v>521801</v>
      </c>
      <c r="X70" s="626" t="str">
        <f t="shared" si="8"/>
        <v>AVANZA HI 5MT</v>
      </c>
      <c r="Y70" s="627">
        <f t="shared" si="8"/>
        <v>2017</v>
      </c>
      <c r="Z70" s="628">
        <f t="shared" si="9"/>
        <v>197586.21</v>
      </c>
      <c r="AA70" s="629"/>
      <c r="AB70" s="664"/>
      <c r="AC70" s="629">
        <f t="shared" si="27"/>
        <v>0.01</v>
      </c>
      <c r="AD70" s="630">
        <f t="shared" si="28"/>
        <v>0.02</v>
      </c>
      <c r="AE70" s="629">
        <f t="shared" si="29"/>
        <v>0</v>
      </c>
      <c r="AF70" s="629">
        <v>0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ht="13.5" customHeight="1" x14ac:dyDescent="0.2">
      <c r="A71" s="423">
        <f t="shared" si="11"/>
        <v>66</v>
      </c>
      <c r="B71" s="683" t="s">
        <v>2779</v>
      </c>
      <c r="C71" s="699">
        <v>521801</v>
      </c>
      <c r="D71" s="700">
        <v>2201</v>
      </c>
      <c r="E71" s="701" t="s">
        <v>704</v>
      </c>
      <c r="F71" s="546">
        <v>2017</v>
      </c>
      <c r="G71" s="702">
        <v>42851</v>
      </c>
      <c r="H71" s="703" t="s">
        <v>1038</v>
      </c>
      <c r="I71" s="704" t="s">
        <v>3011</v>
      </c>
      <c r="J71" s="705" t="s">
        <v>724</v>
      </c>
      <c r="K71" s="706" t="s">
        <v>3150</v>
      </c>
      <c r="L71" s="707" t="s">
        <v>3277</v>
      </c>
      <c r="M71" s="708">
        <v>197586.21</v>
      </c>
      <c r="N71" s="709">
        <v>0</v>
      </c>
      <c r="O71" s="710">
        <v>31613.79</v>
      </c>
      <c r="P71" s="711">
        <v>229200</v>
      </c>
      <c r="Q71" s="548"/>
      <c r="R71" s="713">
        <v>179254.09</v>
      </c>
      <c r="S71" s="549">
        <f t="shared" si="31"/>
        <v>49945.91</v>
      </c>
      <c r="T71" s="267" t="s">
        <v>131</v>
      </c>
      <c r="U71" s="626" t="str">
        <f t="shared" ref="U71:U150" si="32">+B71</f>
        <v>AA10953</v>
      </c>
      <c r="V71" s="627" t="str">
        <f t="shared" ref="V71:V150" si="33">+I71</f>
        <v>1159-TCN17</v>
      </c>
      <c r="W71" s="626">
        <f t="shared" ref="W71:W150" si="34">+C71</f>
        <v>521801</v>
      </c>
      <c r="X71" s="626" t="str">
        <f t="shared" ref="X71:Y150" si="35">+E71</f>
        <v>AVANZA HI 5MT</v>
      </c>
      <c r="Y71" s="627">
        <f t="shared" si="35"/>
        <v>2017</v>
      </c>
      <c r="Z71" s="628">
        <f t="shared" ref="Z71:Z150" si="36">+M71</f>
        <v>197586.21</v>
      </c>
      <c r="AA71" s="629">
        <f>+SUM(Z68:Z71)</f>
        <v>790344.84</v>
      </c>
      <c r="AB71" s="665">
        <v>4</v>
      </c>
      <c r="AC71" s="629">
        <f t="shared" si="27"/>
        <v>0.01</v>
      </c>
      <c r="AD71" s="630">
        <f t="shared" si="28"/>
        <v>0.02</v>
      </c>
      <c r="AE71" s="629">
        <f t="shared" si="29"/>
        <v>0</v>
      </c>
      <c r="AF71" s="629">
        <v>0</v>
      </c>
      <c r="AG71" s="555">
        <f t="shared" ref="AG71:AG150" si="37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ht="12.75" customHeight="1" x14ac:dyDescent="0.2">
      <c r="A72" s="423">
        <f t="shared" ref="A72:A135" si="38">+A71+1</f>
        <v>67</v>
      </c>
      <c r="B72" s="683" t="s">
        <v>2789</v>
      </c>
      <c r="C72" s="699">
        <v>521802</v>
      </c>
      <c r="D72" s="700">
        <v>2204</v>
      </c>
      <c r="E72" s="701" t="s">
        <v>705</v>
      </c>
      <c r="F72" s="546">
        <v>2017</v>
      </c>
      <c r="G72" s="702">
        <v>42835</v>
      </c>
      <c r="H72" s="703" t="s">
        <v>1038</v>
      </c>
      <c r="I72" s="704" t="s">
        <v>3015</v>
      </c>
      <c r="J72" s="705" t="s">
        <v>729</v>
      </c>
      <c r="K72" s="706" t="s">
        <v>3152</v>
      </c>
      <c r="L72" s="707" t="s">
        <v>3281</v>
      </c>
      <c r="M72" s="708">
        <v>226206.9</v>
      </c>
      <c r="N72" s="709">
        <v>0</v>
      </c>
      <c r="O72" s="710">
        <v>36193.1</v>
      </c>
      <c r="P72" s="711">
        <v>262400</v>
      </c>
      <c r="Q72" s="548"/>
      <c r="R72" s="713">
        <v>204658.22</v>
      </c>
      <c r="S72" s="549">
        <f t="shared" si="31"/>
        <v>57741.78</v>
      </c>
      <c r="T72" s="267" t="s">
        <v>131</v>
      </c>
      <c r="U72" s="626" t="str">
        <f t="shared" si="32"/>
        <v>AA10819</v>
      </c>
      <c r="V72" s="627" t="str">
        <f t="shared" si="33"/>
        <v>0915-TCN17</v>
      </c>
      <c r="W72" s="626">
        <f t="shared" si="34"/>
        <v>521802</v>
      </c>
      <c r="X72" s="626" t="str">
        <f t="shared" si="35"/>
        <v>AVANZA LIMITED</v>
      </c>
      <c r="Y72" s="627">
        <f t="shared" si="35"/>
        <v>2017</v>
      </c>
      <c r="Z72" s="628">
        <f t="shared" si="36"/>
        <v>226206.9</v>
      </c>
      <c r="AA72" s="629"/>
      <c r="AB72" s="664"/>
      <c r="AC72" s="629">
        <f t="shared" si="27"/>
        <v>0.01</v>
      </c>
      <c r="AD72" s="630">
        <f t="shared" si="28"/>
        <v>0.02</v>
      </c>
      <c r="AE72" s="629">
        <f t="shared" si="29"/>
        <v>0</v>
      </c>
      <c r="AF72" s="629">
        <v>0</v>
      </c>
      <c r="AG72" s="555">
        <f t="shared" si="37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ht="12.75" customHeight="1" x14ac:dyDescent="0.2">
      <c r="A73" s="423">
        <f t="shared" si="38"/>
        <v>68</v>
      </c>
      <c r="B73" s="683" t="s">
        <v>2795</v>
      </c>
      <c r="C73" s="699">
        <v>521802</v>
      </c>
      <c r="D73" s="700">
        <v>2204</v>
      </c>
      <c r="E73" s="701" t="s">
        <v>705</v>
      </c>
      <c r="F73" s="546">
        <v>2017</v>
      </c>
      <c r="G73" s="702">
        <v>42845</v>
      </c>
      <c r="H73" s="703" t="s">
        <v>722</v>
      </c>
      <c r="I73" s="704" t="s">
        <v>3019</v>
      </c>
      <c r="J73" s="705" t="s">
        <v>724</v>
      </c>
      <c r="K73" s="706" t="s">
        <v>3155</v>
      </c>
      <c r="L73" s="707" t="s">
        <v>3285</v>
      </c>
      <c r="M73" s="708">
        <v>226206.9</v>
      </c>
      <c r="N73" s="709">
        <v>0</v>
      </c>
      <c r="O73" s="710">
        <v>36193.1</v>
      </c>
      <c r="P73" s="711">
        <v>262400</v>
      </c>
      <c r="Q73" s="548"/>
      <c r="R73" s="713">
        <v>205012.7</v>
      </c>
      <c r="S73" s="549">
        <f t="shared" si="31"/>
        <v>57387.299999999988</v>
      </c>
      <c r="T73" s="267" t="s">
        <v>131</v>
      </c>
      <c r="U73" s="626" t="str">
        <f t="shared" si="32"/>
        <v>AA10903</v>
      </c>
      <c r="V73" s="627" t="str">
        <f t="shared" si="33"/>
        <v>1138-TCN17</v>
      </c>
      <c r="W73" s="626">
        <f t="shared" si="34"/>
        <v>521802</v>
      </c>
      <c r="X73" s="626" t="str">
        <f t="shared" si="35"/>
        <v>AVANZA LIMITED</v>
      </c>
      <c r="Y73" s="627">
        <f t="shared" si="35"/>
        <v>2017</v>
      </c>
      <c r="Z73" s="628">
        <f t="shared" si="36"/>
        <v>226206.9</v>
      </c>
      <c r="AA73" s="629"/>
      <c r="AB73" s="664"/>
      <c r="AC73" s="629">
        <f t="shared" si="27"/>
        <v>0.01</v>
      </c>
      <c r="AD73" s="630">
        <f t="shared" si="28"/>
        <v>0.02</v>
      </c>
      <c r="AE73" s="629">
        <f t="shared" si="29"/>
        <v>0</v>
      </c>
      <c r="AF73" s="629">
        <v>0</v>
      </c>
      <c r="AG73" s="555">
        <f t="shared" si="37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ht="12.75" customHeight="1" x14ac:dyDescent="0.2">
      <c r="A74" s="423">
        <f t="shared" si="38"/>
        <v>69</v>
      </c>
      <c r="B74" s="683" t="s">
        <v>2793</v>
      </c>
      <c r="C74" s="699">
        <v>521802</v>
      </c>
      <c r="D74" s="700">
        <v>2204</v>
      </c>
      <c r="E74" s="701" t="s">
        <v>705</v>
      </c>
      <c r="F74" s="546">
        <v>2017</v>
      </c>
      <c r="G74" s="702">
        <v>42837</v>
      </c>
      <c r="H74" s="703" t="s">
        <v>908</v>
      </c>
      <c r="I74" s="704" t="s">
        <v>3017</v>
      </c>
      <c r="J74" s="705" t="s">
        <v>729</v>
      </c>
      <c r="K74" s="706" t="s">
        <v>3153</v>
      </c>
      <c r="L74" s="707" t="s">
        <v>3283</v>
      </c>
      <c r="M74" s="708">
        <v>226206.9</v>
      </c>
      <c r="N74" s="709">
        <v>0</v>
      </c>
      <c r="O74" s="710">
        <v>36193.1</v>
      </c>
      <c r="P74" s="711">
        <v>262400</v>
      </c>
      <c r="Q74" s="548"/>
      <c r="R74" s="713">
        <v>204658.22</v>
      </c>
      <c r="S74" s="549">
        <f t="shared" si="31"/>
        <v>57741.78</v>
      </c>
      <c r="T74" s="267" t="s">
        <v>131</v>
      </c>
      <c r="U74" s="626" t="str">
        <f t="shared" si="32"/>
        <v>AA10846</v>
      </c>
      <c r="V74" s="627" t="str">
        <f t="shared" si="33"/>
        <v>1118-TCN17</v>
      </c>
      <c r="W74" s="626">
        <f t="shared" si="34"/>
        <v>521802</v>
      </c>
      <c r="X74" s="626" t="str">
        <f t="shared" si="35"/>
        <v>AVANZA LIMITED</v>
      </c>
      <c r="Y74" s="627">
        <f t="shared" si="35"/>
        <v>2017</v>
      </c>
      <c r="Z74" s="628">
        <f t="shared" si="36"/>
        <v>226206.9</v>
      </c>
      <c r="AA74" s="629"/>
      <c r="AB74" s="664"/>
      <c r="AC74" s="629">
        <f t="shared" si="27"/>
        <v>0.01</v>
      </c>
      <c r="AD74" s="630">
        <f t="shared" si="28"/>
        <v>0.02</v>
      </c>
      <c r="AE74" s="629">
        <f t="shared" si="29"/>
        <v>0</v>
      </c>
      <c r="AF74" s="629">
        <v>0</v>
      </c>
      <c r="AG74" s="555">
        <f t="shared" si="37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ht="12.75" customHeight="1" x14ac:dyDescent="0.2">
      <c r="A75" s="423">
        <f t="shared" si="38"/>
        <v>70</v>
      </c>
      <c r="B75" s="683" t="s">
        <v>2794</v>
      </c>
      <c r="C75" s="699">
        <v>521802</v>
      </c>
      <c r="D75" s="700">
        <v>2204</v>
      </c>
      <c r="E75" s="701" t="s">
        <v>705</v>
      </c>
      <c r="F75" s="546">
        <v>2017</v>
      </c>
      <c r="G75" s="702">
        <v>42844</v>
      </c>
      <c r="H75" s="703" t="s">
        <v>2215</v>
      </c>
      <c r="I75" s="704" t="s">
        <v>3018</v>
      </c>
      <c r="J75" s="705" t="s">
        <v>729</v>
      </c>
      <c r="K75" s="706" t="s">
        <v>3154</v>
      </c>
      <c r="L75" s="707" t="s">
        <v>3284</v>
      </c>
      <c r="M75" s="708">
        <v>226206.9</v>
      </c>
      <c r="N75" s="709">
        <v>0</v>
      </c>
      <c r="O75" s="710">
        <v>36193.1</v>
      </c>
      <c r="P75" s="711">
        <v>262400</v>
      </c>
      <c r="Q75" s="548"/>
      <c r="R75" s="713">
        <v>204658.22</v>
      </c>
      <c r="S75" s="549">
        <f t="shared" si="31"/>
        <v>57741.78</v>
      </c>
      <c r="T75" s="267" t="s">
        <v>131</v>
      </c>
      <c r="U75" s="626" t="str">
        <f t="shared" si="32"/>
        <v>AA10886</v>
      </c>
      <c r="V75" s="627" t="str">
        <f t="shared" si="33"/>
        <v>1065-TCN17</v>
      </c>
      <c r="W75" s="626">
        <f t="shared" si="34"/>
        <v>521802</v>
      </c>
      <c r="X75" s="626" t="str">
        <f t="shared" si="35"/>
        <v>AVANZA LIMITED</v>
      </c>
      <c r="Y75" s="627">
        <f t="shared" si="35"/>
        <v>2017</v>
      </c>
      <c r="Z75" s="628">
        <f t="shared" si="36"/>
        <v>226206.9</v>
      </c>
      <c r="AA75" s="629">
        <f>+SUM(Z72:Z75)</f>
        <v>904827.6</v>
      </c>
      <c r="AB75" s="665">
        <v>4</v>
      </c>
      <c r="AC75" s="629">
        <f t="shared" si="27"/>
        <v>0.01</v>
      </c>
      <c r="AD75" s="630">
        <f t="shared" si="28"/>
        <v>0.02</v>
      </c>
      <c r="AE75" s="629">
        <f t="shared" si="29"/>
        <v>0</v>
      </c>
      <c r="AF75" s="629">
        <v>0</v>
      </c>
      <c r="AG75" s="555">
        <f t="shared" si="37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ht="12.75" customHeight="1" x14ac:dyDescent="0.2">
      <c r="A76" s="423">
        <f t="shared" si="38"/>
        <v>71</v>
      </c>
      <c r="B76" s="683" t="s">
        <v>2841</v>
      </c>
      <c r="C76" s="699">
        <v>521907</v>
      </c>
      <c r="D76" s="700">
        <v>6981</v>
      </c>
      <c r="E76" s="701" t="s">
        <v>2952</v>
      </c>
      <c r="F76" s="546">
        <v>2017</v>
      </c>
      <c r="G76" s="702">
        <v>42830</v>
      </c>
      <c r="H76" s="703" t="s">
        <v>760</v>
      </c>
      <c r="I76" s="704" t="s">
        <v>3047</v>
      </c>
      <c r="J76" s="705" t="s">
        <v>729</v>
      </c>
      <c r="K76" s="706" t="s">
        <v>3172</v>
      </c>
      <c r="L76" s="707" t="s">
        <v>3313</v>
      </c>
      <c r="M76" s="708">
        <v>421091.63</v>
      </c>
      <c r="N76" s="709">
        <v>23735.96</v>
      </c>
      <c r="O76" s="710">
        <v>71172.41</v>
      </c>
      <c r="P76" s="711">
        <v>516000</v>
      </c>
      <c r="Q76" s="548"/>
      <c r="R76" s="713">
        <v>386926.61</v>
      </c>
      <c r="S76" s="549">
        <f t="shared" si="31"/>
        <v>129073.39000000001</v>
      </c>
      <c r="T76" s="267" t="s">
        <v>131</v>
      </c>
      <c r="U76" s="626" t="str">
        <f t="shared" si="32"/>
        <v>AA10803</v>
      </c>
      <c r="V76" s="627" t="str">
        <f t="shared" si="33"/>
        <v>1086-TCN17</v>
      </c>
      <c r="W76" s="626">
        <f t="shared" si="34"/>
        <v>521907</v>
      </c>
      <c r="X76" s="626" t="str">
        <f t="shared" si="35"/>
        <v>HIGHLANDER LE</v>
      </c>
      <c r="Y76" s="627">
        <f t="shared" si="35"/>
        <v>2017</v>
      </c>
      <c r="Z76" s="628">
        <f t="shared" si="36"/>
        <v>421091.63</v>
      </c>
      <c r="AA76" s="629">
        <f>+Z76</f>
        <v>421091.63</v>
      </c>
      <c r="AB76" s="664">
        <v>1</v>
      </c>
      <c r="AC76" s="629">
        <f t="shared" si="27"/>
        <v>344993.21</v>
      </c>
      <c r="AD76" s="630">
        <f t="shared" si="28"/>
        <v>0.15</v>
      </c>
      <c r="AE76" s="629">
        <f t="shared" si="29"/>
        <v>12321.2</v>
      </c>
      <c r="AF76" s="629">
        <f t="shared" ref="AF76:AF77" si="39">IF(Z76&lt;281240.78,(((Z76-AC76)*AD76+AE76)/2),(Z76-AC76)*AD76+AE76)</f>
        <v>23735.962999999996</v>
      </c>
      <c r="AG76" s="555">
        <f t="shared" si="37"/>
        <v>-2.9999999969732016E-3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ht="12.75" customHeight="1" x14ac:dyDescent="0.2">
      <c r="A77" s="423">
        <f t="shared" si="38"/>
        <v>72</v>
      </c>
      <c r="B77" s="683" t="s">
        <v>2838</v>
      </c>
      <c r="C77" s="699">
        <v>521908</v>
      </c>
      <c r="D77" s="700">
        <v>6980</v>
      </c>
      <c r="E77" s="701" t="s">
        <v>706</v>
      </c>
      <c r="F77" s="546">
        <v>2017</v>
      </c>
      <c r="G77" s="702">
        <v>42843</v>
      </c>
      <c r="H77" s="703" t="s">
        <v>908</v>
      </c>
      <c r="I77" s="704" t="s">
        <v>3045</v>
      </c>
      <c r="J77" s="705" t="s">
        <v>729</v>
      </c>
      <c r="K77" s="706" t="s">
        <v>3171</v>
      </c>
      <c r="L77" s="707" t="s">
        <v>3311</v>
      </c>
      <c r="M77" s="708">
        <v>496630.49</v>
      </c>
      <c r="N77" s="709">
        <v>36128.129999999997</v>
      </c>
      <c r="O77" s="710">
        <v>85241.38</v>
      </c>
      <c r="P77" s="711">
        <v>618000</v>
      </c>
      <c r="Q77" s="548"/>
      <c r="R77" s="713">
        <v>439547.74</v>
      </c>
      <c r="S77" s="549">
        <f t="shared" si="31"/>
        <v>178452.26</v>
      </c>
      <c r="T77" s="267" t="s">
        <v>131</v>
      </c>
      <c r="U77" s="626" t="str">
        <f t="shared" si="32"/>
        <v>AA10882</v>
      </c>
      <c r="V77" s="627" t="str">
        <f t="shared" si="33"/>
        <v>1044-TCN17</v>
      </c>
      <c r="W77" s="626">
        <f t="shared" si="34"/>
        <v>521908</v>
      </c>
      <c r="X77" s="626" t="str">
        <f t="shared" si="35"/>
        <v>HIGHLANDER  XLE</v>
      </c>
      <c r="Y77" s="627">
        <f t="shared" si="35"/>
        <v>2017</v>
      </c>
      <c r="Z77" s="628">
        <f t="shared" si="36"/>
        <v>496630.49</v>
      </c>
      <c r="AA77" s="629">
        <f>+Z77</f>
        <v>496630.49</v>
      </c>
      <c r="AB77" s="664">
        <v>1</v>
      </c>
      <c r="AC77" s="629">
        <f t="shared" si="27"/>
        <v>443562.4</v>
      </c>
      <c r="AD77" s="630">
        <f t="shared" si="28"/>
        <v>0.17</v>
      </c>
      <c r="AE77" s="629">
        <f t="shared" si="29"/>
        <v>27106.55</v>
      </c>
      <c r="AF77" s="629">
        <f t="shared" si="39"/>
        <v>36128.125299999992</v>
      </c>
      <c r="AG77" s="555">
        <f t="shared" si="37"/>
        <v>4.7000000049592927E-3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ht="12.75" customHeight="1" x14ac:dyDescent="0.2">
      <c r="A78" s="423">
        <f t="shared" si="38"/>
        <v>73</v>
      </c>
      <c r="B78" s="683" t="s">
        <v>2690</v>
      </c>
      <c r="C78" s="699">
        <v>522403</v>
      </c>
      <c r="D78" s="700">
        <v>1060</v>
      </c>
      <c r="E78" s="712" t="s">
        <v>3419</v>
      </c>
      <c r="F78" s="546">
        <v>2017</v>
      </c>
      <c r="G78" s="702">
        <v>42843</v>
      </c>
      <c r="H78" s="703" t="s">
        <v>747</v>
      </c>
      <c r="I78" s="704" t="s">
        <v>2955</v>
      </c>
      <c r="J78" s="705" t="s">
        <v>724</v>
      </c>
      <c r="K78" s="706" t="s">
        <v>3115</v>
      </c>
      <c r="L78" s="707" t="s">
        <v>3221</v>
      </c>
      <c r="M78" s="708">
        <v>204655.17</v>
      </c>
      <c r="N78" s="709">
        <v>0</v>
      </c>
      <c r="O78" s="710">
        <v>32744.83</v>
      </c>
      <c r="P78" s="711">
        <v>237400</v>
      </c>
      <c r="Q78" s="548"/>
      <c r="R78" s="713">
        <v>185478.43</v>
      </c>
      <c r="S78" s="549">
        <f t="shared" si="31"/>
        <v>51921.570000000007</v>
      </c>
      <c r="T78" s="267" t="s">
        <v>131</v>
      </c>
      <c r="U78" s="626" t="str">
        <f t="shared" si="32"/>
        <v>AA10881</v>
      </c>
      <c r="V78" s="627" t="str">
        <f t="shared" si="33"/>
        <v>1066-TCN17</v>
      </c>
      <c r="W78" s="626">
        <f t="shared" si="34"/>
        <v>522403</v>
      </c>
      <c r="X78" s="626" t="str">
        <f t="shared" si="35"/>
        <v>YARIS R</v>
      </c>
      <c r="Y78" s="627">
        <f t="shared" si="35"/>
        <v>2017</v>
      </c>
      <c r="Z78" s="628">
        <f t="shared" si="36"/>
        <v>204655.17</v>
      </c>
      <c r="AA78" s="629">
        <f>+Z78</f>
        <v>204655.17</v>
      </c>
      <c r="AB78" s="665">
        <v>1</v>
      </c>
      <c r="AC78" s="629">
        <f t="shared" si="27"/>
        <v>0.01</v>
      </c>
      <c r="AD78" s="630">
        <f t="shared" si="28"/>
        <v>0.02</v>
      </c>
      <c r="AE78" s="629">
        <f t="shared" si="29"/>
        <v>0</v>
      </c>
      <c r="AF78" s="629">
        <v>0</v>
      </c>
      <c r="AG78" s="555">
        <f t="shared" si="37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ht="12.75" customHeight="1" x14ac:dyDescent="0.2">
      <c r="A79" s="423">
        <f t="shared" si="38"/>
        <v>74</v>
      </c>
      <c r="B79" s="683" t="s">
        <v>2854</v>
      </c>
      <c r="C79" s="699">
        <v>1520104</v>
      </c>
      <c r="D79" s="700">
        <v>7493</v>
      </c>
      <c r="E79" s="701" t="s">
        <v>711</v>
      </c>
      <c r="F79" s="546">
        <v>2017</v>
      </c>
      <c r="G79" s="702">
        <v>42847</v>
      </c>
      <c r="H79" s="703" t="s">
        <v>2220</v>
      </c>
      <c r="I79" s="704" t="s">
        <v>3054</v>
      </c>
      <c r="J79" s="705" t="s">
        <v>729</v>
      </c>
      <c r="K79" s="706" t="s">
        <v>3175</v>
      </c>
      <c r="L79" s="707" t="s">
        <v>3320</v>
      </c>
      <c r="M79" s="708">
        <v>238095.24</v>
      </c>
      <c r="N79" s="709">
        <v>11904.76</v>
      </c>
      <c r="O79" s="710">
        <v>40000</v>
      </c>
      <c r="P79" s="711">
        <v>290000</v>
      </c>
      <c r="Q79" s="548"/>
      <c r="R79" s="713">
        <v>218207.39</v>
      </c>
      <c r="S79" s="549">
        <f t="shared" si="31"/>
        <v>71792.609999999986</v>
      </c>
      <c r="T79" s="267" t="s">
        <v>131</v>
      </c>
      <c r="U79" s="626" t="str">
        <f t="shared" si="32"/>
        <v>AA10918</v>
      </c>
      <c r="V79" s="627" t="str">
        <f t="shared" si="33"/>
        <v>0857-TCN17</v>
      </c>
      <c r="W79" s="626">
        <f t="shared" si="34"/>
        <v>1520104</v>
      </c>
      <c r="X79" s="626" t="str">
        <f t="shared" si="35"/>
        <v>HILUX PICK UP BASIC CAB L4 16V AC</v>
      </c>
      <c r="Y79" s="627">
        <f t="shared" si="35"/>
        <v>2017</v>
      </c>
      <c r="Z79" s="628">
        <f t="shared" si="36"/>
        <v>238095.24</v>
      </c>
      <c r="AA79" s="629"/>
      <c r="AB79" s="664"/>
      <c r="AC79" s="629">
        <f t="shared" si="27"/>
        <v>0.01</v>
      </c>
      <c r="AD79" s="630">
        <f t="shared" si="28"/>
        <v>0.02</v>
      </c>
      <c r="AE79" s="629">
        <f t="shared" si="29"/>
        <v>0</v>
      </c>
      <c r="AF79" s="629">
        <f t="shared" ref="AF79:AF87" si="40">+N79</f>
        <v>11904.76</v>
      </c>
      <c r="AG79" s="555">
        <f t="shared" si="37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ht="12.75" customHeight="1" x14ac:dyDescent="0.2">
      <c r="A80" s="423">
        <f t="shared" si="38"/>
        <v>75</v>
      </c>
      <c r="B80" s="683" t="s">
        <v>2857</v>
      </c>
      <c r="C80" s="699">
        <v>1520104</v>
      </c>
      <c r="D80" s="700">
        <v>7493</v>
      </c>
      <c r="E80" s="701" t="s">
        <v>711</v>
      </c>
      <c r="F80" s="546">
        <v>2017</v>
      </c>
      <c r="G80" s="702">
        <v>42850</v>
      </c>
      <c r="H80" s="703" t="s">
        <v>819</v>
      </c>
      <c r="I80" s="704" t="s">
        <v>3057</v>
      </c>
      <c r="J80" s="705" t="s">
        <v>729</v>
      </c>
      <c r="K80" s="706" t="s">
        <v>3176</v>
      </c>
      <c r="L80" s="707" t="s">
        <v>3323</v>
      </c>
      <c r="M80" s="708">
        <v>238095.24</v>
      </c>
      <c r="N80" s="709">
        <v>11904.76</v>
      </c>
      <c r="O80" s="710">
        <v>40000</v>
      </c>
      <c r="P80" s="711">
        <v>290000</v>
      </c>
      <c r="Q80" s="548"/>
      <c r="R80" s="713">
        <v>218207.39</v>
      </c>
      <c r="S80" s="549">
        <f t="shared" si="31"/>
        <v>71792.609999999986</v>
      </c>
      <c r="T80" s="267" t="s">
        <v>131</v>
      </c>
      <c r="U80" s="626" t="str">
        <f t="shared" si="32"/>
        <v>AA10946</v>
      </c>
      <c r="V80" s="627" t="str">
        <f t="shared" si="33"/>
        <v>0925-TCN17</v>
      </c>
      <c r="W80" s="626">
        <f t="shared" si="34"/>
        <v>1520104</v>
      </c>
      <c r="X80" s="626" t="str">
        <f t="shared" si="35"/>
        <v>HILUX PICK UP BASIC CAB L4 16V AC</v>
      </c>
      <c r="Y80" s="627">
        <f t="shared" si="35"/>
        <v>2017</v>
      </c>
      <c r="Z80" s="628">
        <f t="shared" si="36"/>
        <v>238095.24</v>
      </c>
      <c r="AA80" s="629"/>
      <c r="AB80" s="664"/>
      <c r="AC80" s="629">
        <f t="shared" si="27"/>
        <v>0.01</v>
      </c>
      <c r="AD80" s="630">
        <f t="shared" si="28"/>
        <v>0.02</v>
      </c>
      <c r="AE80" s="629">
        <f t="shared" si="29"/>
        <v>0</v>
      </c>
      <c r="AF80" s="629">
        <f t="shared" si="40"/>
        <v>11904.76</v>
      </c>
      <c r="AG80" s="555">
        <f t="shared" si="37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ht="12.75" customHeight="1" x14ac:dyDescent="0.2">
      <c r="A81" s="423">
        <f t="shared" si="38"/>
        <v>76</v>
      </c>
      <c r="B81" s="683" t="s">
        <v>3380</v>
      </c>
      <c r="C81" s="699">
        <v>1520104</v>
      </c>
      <c r="D81" s="700">
        <v>7493</v>
      </c>
      <c r="E81" s="701" t="s">
        <v>711</v>
      </c>
      <c r="F81" s="546">
        <v>2017</v>
      </c>
      <c r="G81" s="702">
        <v>42854</v>
      </c>
      <c r="H81" s="703" t="s">
        <v>819</v>
      </c>
      <c r="I81" s="704" t="s">
        <v>3391</v>
      </c>
      <c r="J81" s="705" t="s">
        <v>724</v>
      </c>
      <c r="K81" s="706" t="s">
        <v>3176</v>
      </c>
      <c r="L81" s="707" t="s">
        <v>3409</v>
      </c>
      <c r="M81" s="708">
        <v>238095.24</v>
      </c>
      <c r="N81" s="709">
        <v>11904.76</v>
      </c>
      <c r="O81" s="710">
        <v>40000</v>
      </c>
      <c r="P81" s="711">
        <v>290000</v>
      </c>
      <c r="Q81" s="548"/>
      <c r="R81" s="713">
        <v>218561.35</v>
      </c>
      <c r="S81" s="549">
        <f t="shared" si="31"/>
        <v>71438.649999999994</v>
      </c>
      <c r="T81" s="267" t="s">
        <v>131</v>
      </c>
      <c r="U81" s="626" t="str">
        <f t="shared" si="32"/>
        <v>AA10990</v>
      </c>
      <c r="V81" s="627" t="str">
        <f t="shared" si="33"/>
        <v>1211-TCN17</v>
      </c>
      <c r="W81" s="626">
        <f t="shared" si="34"/>
        <v>1520104</v>
      </c>
      <c r="X81" s="626" t="str">
        <f t="shared" si="35"/>
        <v>HILUX PICK UP BASIC CAB L4 16V AC</v>
      </c>
      <c r="Y81" s="627">
        <f t="shared" si="35"/>
        <v>2017</v>
      </c>
      <c r="Z81" s="628">
        <f t="shared" si="36"/>
        <v>238095.24</v>
      </c>
      <c r="AA81" s="629"/>
      <c r="AB81" s="664"/>
      <c r="AC81" s="629">
        <f t="shared" si="27"/>
        <v>0.01</v>
      </c>
      <c r="AD81" s="630">
        <f t="shared" si="28"/>
        <v>0.02</v>
      </c>
      <c r="AE81" s="629">
        <f t="shared" si="29"/>
        <v>0</v>
      </c>
      <c r="AF81" s="629">
        <f t="shared" si="40"/>
        <v>11904.76</v>
      </c>
      <c r="AG81" s="555">
        <f t="shared" si="37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ht="12.75" customHeight="1" x14ac:dyDescent="0.2">
      <c r="A82" s="423">
        <f t="shared" si="38"/>
        <v>77</v>
      </c>
      <c r="B82" s="683" t="s">
        <v>2855</v>
      </c>
      <c r="C82" s="699">
        <v>1520104</v>
      </c>
      <c r="D82" s="700">
        <v>7493</v>
      </c>
      <c r="E82" s="701" t="s">
        <v>711</v>
      </c>
      <c r="F82" s="546">
        <v>2017</v>
      </c>
      <c r="G82" s="702">
        <v>42850</v>
      </c>
      <c r="H82" s="703" t="s">
        <v>819</v>
      </c>
      <c r="I82" s="704" t="s">
        <v>3055</v>
      </c>
      <c r="J82" s="705" t="s">
        <v>729</v>
      </c>
      <c r="K82" s="706" t="s">
        <v>3176</v>
      </c>
      <c r="L82" s="707" t="s">
        <v>3321</v>
      </c>
      <c r="M82" s="708">
        <v>238095.24</v>
      </c>
      <c r="N82" s="709">
        <v>11904.76</v>
      </c>
      <c r="O82" s="710">
        <v>40000</v>
      </c>
      <c r="P82" s="711">
        <v>290000</v>
      </c>
      <c r="Q82" s="548"/>
      <c r="R82" s="713">
        <v>218207.39</v>
      </c>
      <c r="S82" s="549">
        <f t="shared" si="31"/>
        <v>71792.609999999986</v>
      </c>
      <c r="T82" s="267" t="s">
        <v>131</v>
      </c>
      <c r="U82" s="626" t="str">
        <f t="shared" si="32"/>
        <v>AA10944</v>
      </c>
      <c r="V82" s="627" t="str">
        <f t="shared" si="33"/>
        <v>0860-TCN17</v>
      </c>
      <c r="W82" s="626">
        <f t="shared" si="34"/>
        <v>1520104</v>
      </c>
      <c r="X82" s="626" t="str">
        <f t="shared" si="35"/>
        <v>HILUX PICK UP BASIC CAB L4 16V AC</v>
      </c>
      <c r="Y82" s="627">
        <f t="shared" si="35"/>
        <v>2017</v>
      </c>
      <c r="Z82" s="628">
        <f t="shared" si="36"/>
        <v>238095.24</v>
      </c>
      <c r="AA82" s="629"/>
      <c r="AB82" s="664"/>
      <c r="AC82" s="629">
        <f t="shared" si="27"/>
        <v>0.01</v>
      </c>
      <c r="AD82" s="630">
        <f t="shared" si="28"/>
        <v>0.02</v>
      </c>
      <c r="AE82" s="629">
        <f t="shared" si="29"/>
        <v>0</v>
      </c>
      <c r="AF82" s="629">
        <f t="shared" si="40"/>
        <v>11904.76</v>
      </c>
      <c r="AG82" s="555">
        <f t="shared" si="37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3">
        <f t="shared" si="38"/>
        <v>78</v>
      </c>
      <c r="B83" s="683" t="s">
        <v>2856</v>
      </c>
      <c r="C83" s="699">
        <v>1520104</v>
      </c>
      <c r="D83" s="700">
        <v>7493</v>
      </c>
      <c r="E83" s="701" t="s">
        <v>711</v>
      </c>
      <c r="F83" s="546">
        <v>2017</v>
      </c>
      <c r="G83" s="702">
        <v>42850</v>
      </c>
      <c r="H83" s="703" t="s">
        <v>819</v>
      </c>
      <c r="I83" s="704" t="s">
        <v>3056</v>
      </c>
      <c r="J83" s="705" t="s">
        <v>729</v>
      </c>
      <c r="K83" s="706" t="s">
        <v>3176</v>
      </c>
      <c r="L83" s="707" t="s">
        <v>3322</v>
      </c>
      <c r="M83" s="708">
        <v>238095.24</v>
      </c>
      <c r="N83" s="709">
        <v>11904.76</v>
      </c>
      <c r="O83" s="710">
        <v>40000</v>
      </c>
      <c r="P83" s="711">
        <v>290000</v>
      </c>
      <c r="Q83" s="548"/>
      <c r="R83" s="713">
        <v>218206.87</v>
      </c>
      <c r="S83" s="549">
        <f t="shared" si="31"/>
        <v>71793.13</v>
      </c>
      <c r="T83" s="267" t="s">
        <v>131</v>
      </c>
      <c r="U83" s="626" t="str">
        <f t="shared" si="32"/>
        <v>AA10945</v>
      </c>
      <c r="V83" s="627" t="str">
        <f t="shared" si="33"/>
        <v>0924-TCN17</v>
      </c>
      <c r="W83" s="626">
        <f t="shared" si="34"/>
        <v>1520104</v>
      </c>
      <c r="X83" s="626" t="str">
        <f t="shared" si="35"/>
        <v>HILUX PICK UP BASIC CAB L4 16V AC</v>
      </c>
      <c r="Y83" s="627">
        <f t="shared" si="35"/>
        <v>2017</v>
      </c>
      <c r="Z83" s="628">
        <f t="shared" si="36"/>
        <v>238095.24</v>
      </c>
      <c r="AA83" s="629"/>
      <c r="AB83" s="664"/>
      <c r="AC83" s="629">
        <f t="shared" si="27"/>
        <v>0.01</v>
      </c>
      <c r="AD83" s="630">
        <f t="shared" si="28"/>
        <v>0.02</v>
      </c>
      <c r="AE83" s="629">
        <f t="shared" si="29"/>
        <v>0</v>
      </c>
      <c r="AF83" s="629">
        <f t="shared" si="40"/>
        <v>11904.76</v>
      </c>
      <c r="AG83" s="555">
        <f t="shared" si="37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ht="12.75" customHeight="1" x14ac:dyDescent="0.2">
      <c r="A84" s="423">
        <f t="shared" si="38"/>
        <v>79</v>
      </c>
      <c r="B84" s="683" t="s">
        <v>2859</v>
      </c>
      <c r="C84" s="699">
        <v>1520104</v>
      </c>
      <c r="D84" s="700">
        <v>7493</v>
      </c>
      <c r="E84" s="701" t="s">
        <v>711</v>
      </c>
      <c r="F84" s="546">
        <v>2017</v>
      </c>
      <c r="G84" s="702">
        <v>42854</v>
      </c>
      <c r="H84" s="703" t="s">
        <v>819</v>
      </c>
      <c r="I84" s="704" t="s">
        <v>3059</v>
      </c>
      <c r="J84" s="705" t="s">
        <v>724</v>
      </c>
      <c r="K84" s="706" t="s">
        <v>3176</v>
      </c>
      <c r="L84" s="707" t="s">
        <v>3325</v>
      </c>
      <c r="M84" s="708">
        <v>238095.24</v>
      </c>
      <c r="N84" s="709">
        <v>11904.76</v>
      </c>
      <c r="O84" s="710">
        <v>40000</v>
      </c>
      <c r="P84" s="711">
        <v>290000</v>
      </c>
      <c r="Q84" s="548"/>
      <c r="R84" s="713">
        <v>218561.35</v>
      </c>
      <c r="S84" s="549">
        <f t="shared" si="31"/>
        <v>71438.649999999994</v>
      </c>
      <c r="T84" s="267" t="s">
        <v>131</v>
      </c>
      <c r="U84" s="626" t="str">
        <f t="shared" si="32"/>
        <v>AA10989</v>
      </c>
      <c r="V84" s="627" t="str">
        <f t="shared" si="33"/>
        <v>1208-TCN17</v>
      </c>
      <c r="W84" s="626">
        <f t="shared" si="34"/>
        <v>1520104</v>
      </c>
      <c r="X84" s="626" t="str">
        <f t="shared" si="35"/>
        <v>HILUX PICK UP BASIC CAB L4 16V AC</v>
      </c>
      <c r="Y84" s="627">
        <f t="shared" si="35"/>
        <v>2017</v>
      </c>
      <c r="Z84" s="628">
        <f t="shared" si="36"/>
        <v>238095.24</v>
      </c>
      <c r="AA84" s="629"/>
      <c r="AB84" s="664"/>
      <c r="AC84" s="629">
        <f t="shared" si="27"/>
        <v>0.01</v>
      </c>
      <c r="AD84" s="630">
        <f t="shared" si="28"/>
        <v>0.02</v>
      </c>
      <c r="AE84" s="629">
        <f t="shared" si="29"/>
        <v>0</v>
      </c>
      <c r="AF84" s="629">
        <f t="shared" si="40"/>
        <v>11904.76</v>
      </c>
      <c r="AG84" s="555">
        <f t="shared" si="37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ht="12.75" customHeight="1" x14ac:dyDescent="0.2">
      <c r="A85" s="423">
        <f t="shared" si="38"/>
        <v>80</v>
      </c>
      <c r="B85" s="683" t="s">
        <v>2851</v>
      </c>
      <c r="C85" s="699">
        <v>1520104</v>
      </c>
      <c r="D85" s="700">
        <v>7493</v>
      </c>
      <c r="E85" s="701" t="s">
        <v>711</v>
      </c>
      <c r="F85" s="546">
        <v>2017</v>
      </c>
      <c r="G85" s="702">
        <v>42843</v>
      </c>
      <c r="H85" s="703" t="s">
        <v>819</v>
      </c>
      <c r="I85" s="704" t="s">
        <v>3053</v>
      </c>
      <c r="J85" s="705" t="s">
        <v>729</v>
      </c>
      <c r="K85" s="706" t="s">
        <v>1008</v>
      </c>
      <c r="L85" s="707" t="s">
        <v>3319</v>
      </c>
      <c r="M85" s="708">
        <v>238095.24</v>
      </c>
      <c r="N85" s="709">
        <v>11904.76</v>
      </c>
      <c r="O85" s="710">
        <v>40000</v>
      </c>
      <c r="P85" s="711">
        <v>290000</v>
      </c>
      <c r="Q85" s="548"/>
      <c r="R85" s="713">
        <v>218207.39</v>
      </c>
      <c r="S85" s="549">
        <f t="shared" si="31"/>
        <v>71792.609999999986</v>
      </c>
      <c r="T85" s="267" t="s">
        <v>131</v>
      </c>
      <c r="U85" s="626" t="str">
        <f t="shared" si="32"/>
        <v>AA10879</v>
      </c>
      <c r="V85" s="627" t="str">
        <f t="shared" si="33"/>
        <v>0858-TCN17</v>
      </c>
      <c r="W85" s="626">
        <f t="shared" si="34"/>
        <v>1520104</v>
      </c>
      <c r="X85" s="626" t="str">
        <f t="shared" si="35"/>
        <v>HILUX PICK UP BASIC CAB L4 16V AC</v>
      </c>
      <c r="Y85" s="627">
        <f t="shared" si="35"/>
        <v>2017</v>
      </c>
      <c r="Z85" s="628">
        <f t="shared" si="36"/>
        <v>238095.24</v>
      </c>
      <c r="AA85" s="629"/>
      <c r="AB85" s="664"/>
      <c r="AC85" s="629">
        <f t="shared" si="27"/>
        <v>0.01</v>
      </c>
      <c r="AD85" s="630">
        <f t="shared" si="28"/>
        <v>0.02</v>
      </c>
      <c r="AE85" s="629">
        <f t="shared" si="29"/>
        <v>0</v>
      </c>
      <c r="AF85" s="629">
        <f t="shared" si="40"/>
        <v>11904.76</v>
      </c>
      <c r="AG85" s="555">
        <f t="shared" si="37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ht="12.75" customHeight="1" x14ac:dyDescent="0.2">
      <c r="A86" s="423">
        <f t="shared" si="38"/>
        <v>81</v>
      </c>
      <c r="B86" s="683" t="s">
        <v>2858</v>
      </c>
      <c r="C86" s="699">
        <v>1520104</v>
      </c>
      <c r="D86" s="700">
        <v>7493</v>
      </c>
      <c r="E86" s="701" t="s">
        <v>711</v>
      </c>
      <c r="F86" s="546">
        <v>2017</v>
      </c>
      <c r="G86" s="702">
        <v>42854</v>
      </c>
      <c r="H86" s="703" t="s">
        <v>817</v>
      </c>
      <c r="I86" s="704" t="s">
        <v>3058</v>
      </c>
      <c r="J86" s="705" t="s">
        <v>729</v>
      </c>
      <c r="K86" s="706" t="s">
        <v>3177</v>
      </c>
      <c r="L86" s="707" t="s">
        <v>3324</v>
      </c>
      <c r="M86" s="708">
        <v>238095.24</v>
      </c>
      <c r="N86" s="709">
        <v>11904.76</v>
      </c>
      <c r="O86" s="710">
        <v>40000</v>
      </c>
      <c r="P86" s="711">
        <v>290000</v>
      </c>
      <c r="Q86" s="548"/>
      <c r="R86" s="713">
        <v>218207.39</v>
      </c>
      <c r="S86" s="549">
        <f t="shared" si="31"/>
        <v>71792.609999999986</v>
      </c>
      <c r="T86" s="267" t="s">
        <v>131</v>
      </c>
      <c r="U86" s="626" t="str">
        <f t="shared" si="32"/>
        <v>AA10983</v>
      </c>
      <c r="V86" s="627" t="str">
        <f t="shared" si="33"/>
        <v>1103-TCN17</v>
      </c>
      <c r="W86" s="626">
        <f t="shared" si="34"/>
        <v>1520104</v>
      </c>
      <c r="X86" s="626" t="str">
        <f t="shared" si="35"/>
        <v>HILUX PICK UP BASIC CAB L4 16V AC</v>
      </c>
      <c r="Y86" s="627">
        <f t="shared" si="35"/>
        <v>2017</v>
      </c>
      <c r="Z86" s="628">
        <f t="shared" si="36"/>
        <v>238095.24</v>
      </c>
      <c r="AA86" s="629"/>
      <c r="AB86" s="664"/>
      <c r="AC86" s="629">
        <f t="shared" si="27"/>
        <v>0.01</v>
      </c>
      <c r="AD86" s="630">
        <f t="shared" si="28"/>
        <v>0.02</v>
      </c>
      <c r="AE86" s="629">
        <f t="shared" si="29"/>
        <v>0</v>
      </c>
      <c r="AF86" s="629">
        <f t="shared" si="40"/>
        <v>11904.76</v>
      </c>
      <c r="AG86" s="555">
        <f t="shared" si="37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ht="12.75" customHeight="1" x14ac:dyDescent="0.2">
      <c r="A87" s="423">
        <f t="shared" si="38"/>
        <v>82</v>
      </c>
      <c r="B87" s="683" t="s">
        <v>2861</v>
      </c>
      <c r="C87" s="699">
        <v>1520104</v>
      </c>
      <c r="D87" s="700">
        <v>7495</v>
      </c>
      <c r="E87" s="701" t="s">
        <v>718</v>
      </c>
      <c r="F87" s="546">
        <v>2017</v>
      </c>
      <c r="G87" s="702">
        <v>42828</v>
      </c>
      <c r="H87" s="703" t="s">
        <v>778</v>
      </c>
      <c r="I87" s="704" t="s">
        <v>3061</v>
      </c>
      <c r="J87" s="705" t="s">
        <v>729</v>
      </c>
      <c r="K87" s="706" t="s">
        <v>3179</v>
      </c>
      <c r="L87" s="707" t="s">
        <v>3327</v>
      </c>
      <c r="M87" s="708">
        <v>282019.7</v>
      </c>
      <c r="N87" s="709">
        <v>14100.99</v>
      </c>
      <c r="O87" s="710">
        <v>47379.31</v>
      </c>
      <c r="P87" s="711">
        <v>343500</v>
      </c>
      <c r="Q87" s="548"/>
      <c r="R87" s="713">
        <v>255426.86</v>
      </c>
      <c r="S87" s="549">
        <f t="shared" si="31"/>
        <v>88073.140000000014</v>
      </c>
      <c r="T87" s="113" t="s">
        <v>131</v>
      </c>
      <c r="U87" s="626" t="str">
        <f t="shared" si="32"/>
        <v>AA10786</v>
      </c>
      <c r="V87" s="627" t="str">
        <f t="shared" si="33"/>
        <v>1073-TCN17</v>
      </c>
      <c r="W87" s="626">
        <f t="shared" si="34"/>
        <v>1520104</v>
      </c>
      <c r="X87" s="626" t="str">
        <f t="shared" si="35"/>
        <v>HILUX PICK UP D CAB SR A/C</v>
      </c>
      <c r="Y87" s="627">
        <f t="shared" si="35"/>
        <v>2017</v>
      </c>
      <c r="Z87" s="628">
        <f t="shared" si="36"/>
        <v>282019.7</v>
      </c>
      <c r="AA87" s="629">
        <f>+SUM(Z79:Z87)</f>
        <v>2186781.62</v>
      </c>
      <c r="AB87" s="677">
        <v>9</v>
      </c>
      <c r="AC87" s="629">
        <f t="shared" si="27"/>
        <v>246423.66</v>
      </c>
      <c r="AD87" s="630">
        <f t="shared" si="28"/>
        <v>0.05</v>
      </c>
      <c r="AE87" s="629">
        <f t="shared" si="29"/>
        <v>4928.3900000000003</v>
      </c>
      <c r="AF87" s="629">
        <f t="shared" si="40"/>
        <v>14100.99</v>
      </c>
      <c r="AG87" s="555">
        <f t="shared" si="37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ht="12.75" customHeight="1" x14ac:dyDescent="0.2">
      <c r="A88" s="423">
        <f t="shared" si="38"/>
        <v>83</v>
      </c>
      <c r="B88" s="683" t="s">
        <v>3387</v>
      </c>
      <c r="C88" s="699">
        <v>1520105</v>
      </c>
      <c r="D88" s="700">
        <v>7494</v>
      </c>
      <c r="E88" s="701" t="s">
        <v>712</v>
      </c>
      <c r="F88" s="546">
        <v>2017</v>
      </c>
      <c r="G88" s="702">
        <v>42852</v>
      </c>
      <c r="H88" s="703" t="s">
        <v>792</v>
      </c>
      <c r="I88" s="704" t="s">
        <v>3398</v>
      </c>
      <c r="J88" s="705" t="s">
        <v>729</v>
      </c>
      <c r="K88" s="706" t="s">
        <v>3406</v>
      </c>
      <c r="L88" s="707" t="s">
        <v>3416</v>
      </c>
      <c r="M88" s="708">
        <v>223973.72</v>
      </c>
      <c r="N88" s="709">
        <v>11198.69</v>
      </c>
      <c r="O88" s="710">
        <v>37627.589999999997</v>
      </c>
      <c r="P88" s="711">
        <v>272800</v>
      </c>
      <c r="Q88" s="548"/>
      <c r="R88" s="713">
        <v>205332.7</v>
      </c>
      <c r="S88" s="549">
        <f t="shared" si="31"/>
        <v>67467.299999999988</v>
      </c>
      <c r="T88" s="267" t="s">
        <v>131</v>
      </c>
      <c r="U88" s="626" t="str">
        <f t="shared" si="32"/>
        <v>AA10969</v>
      </c>
      <c r="V88" s="627" t="str">
        <f t="shared" si="33"/>
        <v>1195-TCN17</v>
      </c>
      <c r="W88" s="626">
        <f t="shared" si="34"/>
        <v>1520105</v>
      </c>
      <c r="X88" s="626" t="str">
        <f t="shared" si="35"/>
        <v>HILUX PICK UP CHASSIS CAB</v>
      </c>
      <c r="Y88" s="627">
        <f t="shared" si="35"/>
        <v>2017</v>
      </c>
      <c r="Z88" s="628">
        <f t="shared" si="36"/>
        <v>223973.72</v>
      </c>
      <c r="AA88" s="629"/>
      <c r="AB88" s="664"/>
      <c r="AC88" s="629">
        <f t="shared" ref="AC88:AC96" si="41">VLOOKUP(Z88,TARIFA,1)</f>
        <v>0.01</v>
      </c>
      <c r="AD88" s="630">
        <f t="shared" ref="AD88:AD96" si="42">VLOOKUP(Z88,TARIFA,4)</f>
        <v>0.02</v>
      </c>
      <c r="AE88" s="629">
        <f t="shared" ref="AE88:AE96" si="43">VLOOKUP(Z88,TARIFA,3)</f>
        <v>0</v>
      </c>
      <c r="AF88" s="629">
        <f t="shared" ref="AF88:AF96" si="44">+N88</f>
        <v>11198.69</v>
      </c>
      <c r="AG88" s="555">
        <f t="shared" si="37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ht="12.75" customHeight="1" x14ac:dyDescent="0.2">
      <c r="A89" s="423">
        <f t="shared" si="38"/>
        <v>84</v>
      </c>
      <c r="B89" s="683" t="s">
        <v>3386</v>
      </c>
      <c r="C89" s="699">
        <v>1520105</v>
      </c>
      <c r="D89" s="700">
        <v>7494</v>
      </c>
      <c r="E89" s="701" t="s">
        <v>712</v>
      </c>
      <c r="F89" s="546">
        <v>2017</v>
      </c>
      <c r="G89" s="702">
        <v>42852</v>
      </c>
      <c r="H89" s="703" t="s">
        <v>908</v>
      </c>
      <c r="I89" s="704" t="s">
        <v>3397</v>
      </c>
      <c r="J89" s="705" t="s">
        <v>729</v>
      </c>
      <c r="K89" s="706" t="s">
        <v>3197</v>
      </c>
      <c r="L89" s="707" t="s">
        <v>3415</v>
      </c>
      <c r="M89" s="708">
        <v>223973.72</v>
      </c>
      <c r="N89" s="709">
        <v>11198.69</v>
      </c>
      <c r="O89" s="710">
        <v>37627.589999999997</v>
      </c>
      <c r="P89" s="711">
        <v>272800</v>
      </c>
      <c r="Q89" s="548"/>
      <c r="R89" s="713">
        <v>205332.7</v>
      </c>
      <c r="S89" s="549">
        <f t="shared" si="31"/>
        <v>67467.299999999988</v>
      </c>
      <c r="T89" s="267" t="s">
        <v>131</v>
      </c>
      <c r="U89" s="626" t="str">
        <f t="shared" si="32"/>
        <v>AA10972</v>
      </c>
      <c r="V89" s="627" t="str">
        <f t="shared" si="33"/>
        <v>1167-TCN17</v>
      </c>
      <c r="W89" s="626">
        <f t="shared" si="34"/>
        <v>1520105</v>
      </c>
      <c r="X89" s="626" t="str">
        <f t="shared" si="35"/>
        <v>HILUX PICK UP CHASSIS CAB</v>
      </c>
      <c r="Y89" s="627">
        <f t="shared" si="35"/>
        <v>2017</v>
      </c>
      <c r="Z89" s="628">
        <f t="shared" si="36"/>
        <v>223973.72</v>
      </c>
      <c r="AA89" s="629"/>
      <c r="AB89" s="664"/>
      <c r="AC89" s="629">
        <f t="shared" si="41"/>
        <v>0.01</v>
      </c>
      <c r="AD89" s="630">
        <f t="shared" si="42"/>
        <v>0.02</v>
      </c>
      <c r="AE89" s="629">
        <f t="shared" si="43"/>
        <v>0</v>
      </c>
      <c r="AF89" s="629">
        <f t="shared" si="44"/>
        <v>11198.69</v>
      </c>
      <c r="AG89" s="555">
        <f t="shared" si="37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ht="12.75" customHeight="1" x14ac:dyDescent="0.2">
      <c r="A90" s="423">
        <f t="shared" si="38"/>
        <v>85</v>
      </c>
      <c r="B90" s="683" t="s">
        <v>3382</v>
      </c>
      <c r="C90" s="699">
        <v>1520105</v>
      </c>
      <c r="D90" s="700">
        <v>7494</v>
      </c>
      <c r="E90" s="701" t="s">
        <v>712</v>
      </c>
      <c r="F90" s="546">
        <v>2017</v>
      </c>
      <c r="G90" s="702">
        <v>42844</v>
      </c>
      <c r="H90" s="703" t="s">
        <v>2213</v>
      </c>
      <c r="I90" s="704" t="s">
        <v>3393</v>
      </c>
      <c r="J90" s="705" t="s">
        <v>729</v>
      </c>
      <c r="K90" s="706" t="s">
        <v>3402</v>
      </c>
      <c r="L90" s="707" t="s">
        <v>3411</v>
      </c>
      <c r="M90" s="708">
        <v>223973.72</v>
      </c>
      <c r="N90" s="709">
        <v>11198.69</v>
      </c>
      <c r="O90" s="710">
        <v>37627.589999999997</v>
      </c>
      <c r="P90" s="711">
        <v>272800</v>
      </c>
      <c r="Q90" s="548"/>
      <c r="R90" s="713">
        <v>205183</v>
      </c>
      <c r="S90" s="549">
        <f t="shared" si="31"/>
        <v>67617</v>
      </c>
      <c r="T90" s="267" t="s">
        <v>131</v>
      </c>
      <c r="U90" s="626" t="str">
        <f t="shared" si="32"/>
        <v>AA10887</v>
      </c>
      <c r="V90" s="627" t="str">
        <f t="shared" si="33"/>
        <v>0949-TCN17</v>
      </c>
      <c r="W90" s="626">
        <f t="shared" si="34"/>
        <v>1520105</v>
      </c>
      <c r="X90" s="626" t="str">
        <f t="shared" si="35"/>
        <v>HILUX PICK UP CHASSIS CAB</v>
      </c>
      <c r="Y90" s="627">
        <f t="shared" si="35"/>
        <v>2017</v>
      </c>
      <c r="Z90" s="628">
        <f t="shared" si="36"/>
        <v>223973.72</v>
      </c>
      <c r="AA90" s="629"/>
      <c r="AB90" s="664"/>
      <c r="AC90" s="629">
        <f t="shared" si="41"/>
        <v>0.01</v>
      </c>
      <c r="AD90" s="630">
        <f t="shared" si="42"/>
        <v>0.02</v>
      </c>
      <c r="AE90" s="629">
        <f t="shared" si="43"/>
        <v>0</v>
      </c>
      <c r="AF90" s="629">
        <f t="shared" si="44"/>
        <v>11198.69</v>
      </c>
      <c r="AG90" s="555">
        <f t="shared" si="37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customHeight="1" x14ac:dyDescent="0.2">
      <c r="A91" s="423">
        <f t="shared" si="38"/>
        <v>86</v>
      </c>
      <c r="B91" s="683" t="s">
        <v>3384</v>
      </c>
      <c r="C91" s="699">
        <v>1520105</v>
      </c>
      <c r="D91" s="700">
        <v>7494</v>
      </c>
      <c r="E91" s="701" t="s">
        <v>712</v>
      </c>
      <c r="F91" s="546">
        <v>2017</v>
      </c>
      <c r="G91" s="702">
        <v>42851</v>
      </c>
      <c r="H91" s="703" t="s">
        <v>792</v>
      </c>
      <c r="I91" s="704" t="s">
        <v>3395</v>
      </c>
      <c r="J91" s="705" t="s">
        <v>729</v>
      </c>
      <c r="K91" s="706" t="s">
        <v>3404</v>
      </c>
      <c r="L91" s="707" t="s">
        <v>3413</v>
      </c>
      <c r="M91" s="708">
        <v>223973.72</v>
      </c>
      <c r="N91" s="709">
        <v>11198.69</v>
      </c>
      <c r="O91" s="710">
        <v>37627.589999999997</v>
      </c>
      <c r="P91" s="711">
        <v>272800</v>
      </c>
      <c r="Q91" s="548"/>
      <c r="R91" s="713">
        <v>205332.7</v>
      </c>
      <c r="S91" s="549">
        <f t="shared" si="31"/>
        <v>67467.299999999988</v>
      </c>
      <c r="T91" s="267" t="s">
        <v>131</v>
      </c>
      <c r="U91" s="626" t="str">
        <f t="shared" si="32"/>
        <v>AA10954</v>
      </c>
      <c r="V91" s="627" t="str">
        <f t="shared" si="33"/>
        <v>1030-TCN17</v>
      </c>
      <c r="W91" s="626">
        <f t="shared" si="34"/>
        <v>1520105</v>
      </c>
      <c r="X91" s="626" t="str">
        <f t="shared" si="35"/>
        <v>HILUX PICK UP CHASSIS CAB</v>
      </c>
      <c r="Y91" s="627">
        <f t="shared" si="35"/>
        <v>2017</v>
      </c>
      <c r="Z91" s="628">
        <f>+M91</f>
        <v>223973.72</v>
      </c>
      <c r="AA91" s="629"/>
      <c r="AB91" s="664"/>
      <c r="AC91" s="629">
        <f t="shared" si="41"/>
        <v>0.01</v>
      </c>
      <c r="AD91" s="630">
        <f t="shared" si="42"/>
        <v>0.02</v>
      </c>
      <c r="AE91" s="629">
        <f t="shared" si="43"/>
        <v>0</v>
      </c>
      <c r="AF91" s="629">
        <f t="shared" si="44"/>
        <v>11198.69</v>
      </c>
      <c r="AG91" s="555">
        <f t="shared" si="37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ht="12.75" customHeight="1" x14ac:dyDescent="0.2">
      <c r="A92" s="423">
        <f t="shared" si="38"/>
        <v>87</v>
      </c>
      <c r="B92" s="683" t="s">
        <v>3383</v>
      </c>
      <c r="C92" s="699">
        <v>1520105</v>
      </c>
      <c r="D92" s="700">
        <v>7494</v>
      </c>
      <c r="E92" s="701" t="s">
        <v>712</v>
      </c>
      <c r="F92" s="546">
        <v>2017</v>
      </c>
      <c r="G92" s="702">
        <v>42850</v>
      </c>
      <c r="H92" s="703" t="s">
        <v>908</v>
      </c>
      <c r="I92" s="704" t="s">
        <v>3394</v>
      </c>
      <c r="J92" s="705" t="s">
        <v>729</v>
      </c>
      <c r="K92" s="706" t="s">
        <v>3403</v>
      </c>
      <c r="L92" s="707" t="s">
        <v>3412</v>
      </c>
      <c r="M92" s="708">
        <v>223973.72</v>
      </c>
      <c r="N92" s="709">
        <v>11198.69</v>
      </c>
      <c r="O92" s="710">
        <v>37627.589999999997</v>
      </c>
      <c r="P92" s="711">
        <v>272800</v>
      </c>
      <c r="Q92" s="548"/>
      <c r="R92" s="713">
        <v>205332.7</v>
      </c>
      <c r="S92" s="549">
        <f t="shared" si="31"/>
        <v>67467.299999999988</v>
      </c>
      <c r="T92" s="267" t="s">
        <v>131</v>
      </c>
      <c r="U92" s="626" t="str">
        <f t="shared" si="32"/>
        <v>AA10950</v>
      </c>
      <c r="V92" s="627" t="str">
        <f t="shared" ref="V92:V120" si="45">+I92</f>
        <v>1168-TCN17</v>
      </c>
      <c r="W92" s="626">
        <f t="shared" ref="W92:W120" si="46">+C92</f>
        <v>1520105</v>
      </c>
      <c r="X92" s="626" t="str">
        <f t="shared" ref="X92:X120" si="47">+E92</f>
        <v>HILUX PICK UP CHASSIS CAB</v>
      </c>
      <c r="Y92" s="627">
        <f t="shared" ref="Y92:Y120" si="48">+F92</f>
        <v>2017</v>
      </c>
      <c r="Z92" s="628">
        <f t="shared" ref="Z92:Z120" si="49">+M92</f>
        <v>223973.72</v>
      </c>
      <c r="AA92" s="629"/>
      <c r="AB92" s="664"/>
      <c r="AC92" s="629">
        <f t="shared" si="41"/>
        <v>0.01</v>
      </c>
      <c r="AD92" s="630">
        <f t="shared" si="42"/>
        <v>0.02</v>
      </c>
      <c r="AE92" s="629">
        <f t="shared" si="43"/>
        <v>0</v>
      </c>
      <c r="AF92" s="629">
        <f t="shared" si="44"/>
        <v>11198.69</v>
      </c>
      <c r="AG92" s="555">
        <f t="shared" si="37"/>
        <v>0</v>
      </c>
      <c r="AH92" s="361"/>
      <c r="AI92" s="313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ht="12.75" customHeight="1" x14ac:dyDescent="0.2">
      <c r="A93" s="423">
        <f t="shared" si="38"/>
        <v>88</v>
      </c>
      <c r="B93" s="683" t="s">
        <v>3385</v>
      </c>
      <c r="C93" s="699">
        <v>1520105</v>
      </c>
      <c r="D93" s="700">
        <v>7494</v>
      </c>
      <c r="E93" s="701" t="s">
        <v>712</v>
      </c>
      <c r="F93" s="546">
        <v>2017</v>
      </c>
      <c r="G93" s="702">
        <v>42852</v>
      </c>
      <c r="H93" s="703" t="s">
        <v>788</v>
      </c>
      <c r="I93" s="704" t="s">
        <v>3396</v>
      </c>
      <c r="J93" s="705" t="s">
        <v>729</v>
      </c>
      <c r="K93" s="706" t="s">
        <v>3405</v>
      </c>
      <c r="L93" s="707" t="s">
        <v>3414</v>
      </c>
      <c r="M93" s="708">
        <v>223973.72</v>
      </c>
      <c r="N93" s="709">
        <v>11198.69</v>
      </c>
      <c r="O93" s="710">
        <v>37627.589999999997</v>
      </c>
      <c r="P93" s="711">
        <v>272800</v>
      </c>
      <c r="Q93" s="548"/>
      <c r="R93" s="713">
        <v>205332.7</v>
      </c>
      <c r="S93" s="549">
        <f t="shared" si="31"/>
        <v>67467.299999999988</v>
      </c>
      <c r="T93" s="267" t="s">
        <v>131</v>
      </c>
      <c r="U93" s="626" t="str">
        <f t="shared" si="32"/>
        <v>AA10966</v>
      </c>
      <c r="V93" s="627" t="str">
        <f t="shared" si="45"/>
        <v>1111-TCN17</v>
      </c>
      <c r="W93" s="626">
        <f t="shared" si="46"/>
        <v>1520105</v>
      </c>
      <c r="X93" s="626" t="str">
        <f t="shared" si="47"/>
        <v>HILUX PICK UP CHASSIS CAB</v>
      </c>
      <c r="Y93" s="627">
        <f t="shared" si="48"/>
        <v>2017</v>
      </c>
      <c r="Z93" s="628">
        <f t="shared" si="49"/>
        <v>223973.72</v>
      </c>
      <c r="AA93" s="629"/>
      <c r="AB93" s="664"/>
      <c r="AC93" s="629">
        <f t="shared" si="41"/>
        <v>0.01</v>
      </c>
      <c r="AD93" s="630">
        <f t="shared" si="42"/>
        <v>0.02</v>
      </c>
      <c r="AE93" s="629">
        <f t="shared" si="43"/>
        <v>0</v>
      </c>
      <c r="AF93" s="629">
        <f t="shared" si="44"/>
        <v>11198.69</v>
      </c>
      <c r="AG93" s="555">
        <f t="shared" si="37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ht="12.75" customHeight="1" x14ac:dyDescent="0.2">
      <c r="A94" s="423">
        <f t="shared" si="38"/>
        <v>89</v>
      </c>
      <c r="B94" s="683" t="s">
        <v>3381</v>
      </c>
      <c r="C94" s="699">
        <v>1520105</v>
      </c>
      <c r="D94" s="700">
        <v>7494</v>
      </c>
      <c r="E94" s="701" t="s">
        <v>712</v>
      </c>
      <c r="F94" s="546">
        <v>2017</v>
      </c>
      <c r="G94" s="702">
        <v>42836</v>
      </c>
      <c r="H94" s="703" t="s">
        <v>747</v>
      </c>
      <c r="I94" s="704" t="s">
        <v>3392</v>
      </c>
      <c r="J94" s="705" t="s">
        <v>729</v>
      </c>
      <c r="K94" s="706" t="s">
        <v>3401</v>
      </c>
      <c r="L94" s="707" t="s">
        <v>3410</v>
      </c>
      <c r="M94" s="708">
        <v>223973.72</v>
      </c>
      <c r="N94" s="709">
        <v>11198.69</v>
      </c>
      <c r="O94" s="710">
        <v>37627.589999999997</v>
      </c>
      <c r="P94" s="711">
        <v>272800</v>
      </c>
      <c r="Q94" s="548"/>
      <c r="R94" s="713">
        <v>205183</v>
      </c>
      <c r="S94" s="549">
        <f t="shared" si="31"/>
        <v>67617</v>
      </c>
      <c r="T94" s="267" t="s">
        <v>131</v>
      </c>
      <c r="U94" s="626" t="str">
        <f t="shared" si="32"/>
        <v>AA10829</v>
      </c>
      <c r="V94" s="627" t="str">
        <f t="shared" si="45"/>
        <v>0927-TCN17</v>
      </c>
      <c r="W94" s="626">
        <f t="shared" si="46"/>
        <v>1520105</v>
      </c>
      <c r="X94" s="626" t="str">
        <f t="shared" si="47"/>
        <v>HILUX PICK UP CHASSIS CAB</v>
      </c>
      <c r="Y94" s="627">
        <f t="shared" si="48"/>
        <v>2017</v>
      </c>
      <c r="Z94" s="628">
        <f t="shared" si="49"/>
        <v>223973.72</v>
      </c>
      <c r="AA94" s="629">
        <f>+SUM(Z88:Z94)</f>
        <v>1567816.04</v>
      </c>
      <c r="AB94" s="677">
        <v>7</v>
      </c>
      <c r="AC94" s="629">
        <f t="shared" si="41"/>
        <v>0.01</v>
      </c>
      <c r="AD94" s="630">
        <f t="shared" si="42"/>
        <v>0.02</v>
      </c>
      <c r="AE94" s="629">
        <f t="shared" si="43"/>
        <v>0</v>
      </c>
      <c r="AF94" s="629">
        <f t="shared" si="44"/>
        <v>11198.69</v>
      </c>
      <c r="AG94" s="555">
        <f t="shared" si="37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ht="12.75" customHeight="1" x14ac:dyDescent="0.2">
      <c r="A95" s="423">
        <f t="shared" si="38"/>
        <v>90</v>
      </c>
      <c r="B95" s="683" t="s">
        <v>2846</v>
      </c>
      <c r="C95" s="699">
        <v>1520302</v>
      </c>
      <c r="D95" s="700">
        <v>7401</v>
      </c>
      <c r="E95" s="701" t="s">
        <v>714</v>
      </c>
      <c r="F95" s="546">
        <v>2017</v>
      </c>
      <c r="G95" s="702">
        <v>42852</v>
      </c>
      <c r="H95" s="703" t="s">
        <v>722</v>
      </c>
      <c r="I95" s="704" t="s">
        <v>3050</v>
      </c>
      <c r="J95" s="705" t="s">
        <v>729</v>
      </c>
      <c r="K95" s="706" t="s">
        <v>3173</v>
      </c>
      <c r="L95" s="707" t="s">
        <v>3316</v>
      </c>
      <c r="M95" s="708">
        <v>441379.31</v>
      </c>
      <c r="N95" s="709">
        <v>22068.97</v>
      </c>
      <c r="O95" s="710">
        <v>74151.72</v>
      </c>
      <c r="P95" s="711">
        <v>537600</v>
      </c>
      <c r="Q95" s="548"/>
      <c r="R95" s="713">
        <v>390926.69</v>
      </c>
      <c r="S95" s="549">
        <f t="shared" si="31"/>
        <v>146673.31</v>
      </c>
      <c r="T95" s="113" t="s">
        <v>131</v>
      </c>
      <c r="U95" s="626" t="str">
        <f t="shared" si="32"/>
        <v>AA10968</v>
      </c>
      <c r="V95" s="627" t="str">
        <f t="shared" si="45"/>
        <v>1203-TCN17</v>
      </c>
      <c r="W95" s="626">
        <f t="shared" si="46"/>
        <v>1520302</v>
      </c>
      <c r="X95" s="626" t="str">
        <f t="shared" si="47"/>
        <v>TACOMA DOB CAB TRD SPORT</v>
      </c>
      <c r="Y95" s="627">
        <f t="shared" si="48"/>
        <v>2017</v>
      </c>
      <c r="Z95" s="628">
        <f t="shared" si="49"/>
        <v>441379.31</v>
      </c>
      <c r="AA95" s="629"/>
      <c r="AB95" s="664"/>
      <c r="AC95" s="629">
        <f t="shared" si="41"/>
        <v>344993.21</v>
      </c>
      <c r="AD95" s="630">
        <f t="shared" si="42"/>
        <v>0.15</v>
      </c>
      <c r="AE95" s="629">
        <f t="shared" si="43"/>
        <v>12321.2</v>
      </c>
      <c r="AF95" s="629">
        <f t="shared" si="44"/>
        <v>22068.97</v>
      </c>
      <c r="AG95" s="555">
        <f t="shared" si="37"/>
        <v>0</v>
      </c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ht="12.75" customHeight="1" x14ac:dyDescent="0.2">
      <c r="A96" s="423">
        <f t="shared" si="38"/>
        <v>91</v>
      </c>
      <c r="B96" s="683" t="s">
        <v>2847</v>
      </c>
      <c r="C96" s="699">
        <v>1520302</v>
      </c>
      <c r="D96" s="700">
        <v>7441</v>
      </c>
      <c r="E96" s="701" t="s">
        <v>715</v>
      </c>
      <c r="F96" s="546">
        <v>2017</v>
      </c>
      <c r="G96" s="702">
        <v>42851</v>
      </c>
      <c r="H96" s="703" t="s">
        <v>739</v>
      </c>
      <c r="I96" s="704" t="s">
        <v>3051</v>
      </c>
      <c r="J96" s="705" t="s">
        <v>729</v>
      </c>
      <c r="K96" s="706" t="s">
        <v>3174</v>
      </c>
      <c r="L96" s="707" t="s">
        <v>3317</v>
      </c>
      <c r="M96" s="708">
        <v>479885.06</v>
      </c>
      <c r="N96" s="709">
        <v>23994.25</v>
      </c>
      <c r="O96" s="710">
        <v>80620.69</v>
      </c>
      <c r="P96" s="711">
        <v>584500</v>
      </c>
      <c r="Q96" s="548"/>
      <c r="R96" s="713">
        <v>424811.75</v>
      </c>
      <c r="S96" s="549">
        <f t="shared" si="31"/>
        <v>159688.25</v>
      </c>
      <c r="T96" s="113" t="s">
        <v>131</v>
      </c>
      <c r="U96" s="626" t="str">
        <f t="shared" si="32"/>
        <v>AA10956</v>
      </c>
      <c r="V96" s="627" t="str">
        <f t="shared" si="45"/>
        <v>1202-TCN17</v>
      </c>
      <c r="W96" s="626">
        <f t="shared" si="46"/>
        <v>1520302</v>
      </c>
      <c r="X96" s="626" t="str">
        <f t="shared" si="47"/>
        <v>TACOMA 4X4</v>
      </c>
      <c r="Y96" s="627">
        <f t="shared" si="48"/>
        <v>2017</v>
      </c>
      <c r="Z96" s="628">
        <f t="shared" si="49"/>
        <v>479885.06</v>
      </c>
      <c r="AA96" s="629">
        <f>+Z96+Z95</f>
        <v>921264.37</v>
      </c>
      <c r="AB96" s="677">
        <v>2</v>
      </c>
      <c r="AC96" s="629">
        <f t="shared" si="41"/>
        <v>443562.4</v>
      </c>
      <c r="AD96" s="630">
        <f t="shared" si="42"/>
        <v>0.17</v>
      </c>
      <c r="AE96" s="629">
        <f t="shared" si="43"/>
        <v>27106.55</v>
      </c>
      <c r="AF96" s="629">
        <f t="shared" si="44"/>
        <v>23994.25</v>
      </c>
      <c r="AG96" s="555">
        <f t="shared" si="37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customHeight="1" x14ac:dyDescent="0.2">
      <c r="A97" s="423">
        <f t="shared" si="38"/>
        <v>92</v>
      </c>
      <c r="B97" s="683" t="s">
        <v>2898</v>
      </c>
      <c r="C97" s="699">
        <v>1520603</v>
      </c>
      <c r="D97" s="700">
        <v>7497</v>
      </c>
      <c r="E97" s="701" t="s">
        <v>717</v>
      </c>
      <c r="F97" s="546">
        <v>2017</v>
      </c>
      <c r="G97" s="702">
        <v>42826</v>
      </c>
      <c r="H97" s="703" t="s">
        <v>760</v>
      </c>
      <c r="I97" s="704" t="s">
        <v>3086</v>
      </c>
      <c r="J97" s="705" t="s">
        <v>729</v>
      </c>
      <c r="K97" s="706" t="s">
        <v>830</v>
      </c>
      <c r="L97" s="707" t="s">
        <v>3352</v>
      </c>
      <c r="M97" s="708">
        <v>272988.5</v>
      </c>
      <c r="N97" s="709">
        <v>13649.43</v>
      </c>
      <c r="O97" s="710">
        <v>45862.07</v>
      </c>
      <c r="P97" s="711">
        <v>332500</v>
      </c>
      <c r="Q97" s="548"/>
      <c r="R97" s="713">
        <v>247329.71</v>
      </c>
      <c r="S97" s="549">
        <f t="shared" si="31"/>
        <v>85170.290000000008</v>
      </c>
      <c r="T97" s="113" t="s">
        <v>131</v>
      </c>
      <c r="U97" s="626" t="str">
        <f t="shared" si="32"/>
        <v>AA10783</v>
      </c>
      <c r="V97" s="627" t="str">
        <f t="shared" si="45"/>
        <v>0678-TCN17</v>
      </c>
      <c r="W97" s="626">
        <f t="shared" si="46"/>
        <v>1520603</v>
      </c>
      <c r="X97" s="626" t="str">
        <f t="shared" si="47"/>
        <v>HILUX BASE CON VIDRIOS ELECTRICOS</v>
      </c>
      <c r="Y97" s="627">
        <f t="shared" si="48"/>
        <v>2017</v>
      </c>
      <c r="Z97" s="628">
        <f t="shared" si="49"/>
        <v>272988.5</v>
      </c>
      <c r="AA97" s="629"/>
      <c r="AB97" s="664"/>
      <c r="AC97" s="629">
        <f t="shared" ref="AC97:AC120" si="50">VLOOKUP(Z97,TARIFA,1)</f>
        <v>246423.66</v>
      </c>
      <c r="AD97" s="630">
        <f t="shared" ref="AD97:AD120" si="51">VLOOKUP(Z97,TARIFA,4)</f>
        <v>0.05</v>
      </c>
      <c r="AE97" s="629">
        <f t="shared" ref="AE97:AE120" si="52">VLOOKUP(Z97,TARIFA,3)</f>
        <v>4928.3900000000003</v>
      </c>
      <c r="AF97" s="629">
        <f t="shared" ref="AF97:AF120" si="53">+N97</f>
        <v>13649.43</v>
      </c>
      <c r="AG97" s="555">
        <f t="shared" si="37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ht="12.75" customHeight="1" x14ac:dyDescent="0.2">
      <c r="A98" s="423">
        <f t="shared" si="38"/>
        <v>93</v>
      </c>
      <c r="B98" s="683" t="s">
        <v>2899</v>
      </c>
      <c r="C98" s="699">
        <v>1520603</v>
      </c>
      <c r="D98" s="700">
        <v>7497</v>
      </c>
      <c r="E98" s="701" t="s">
        <v>717</v>
      </c>
      <c r="F98" s="546">
        <v>2016</v>
      </c>
      <c r="G98" s="702">
        <v>42842</v>
      </c>
      <c r="H98" s="703" t="s">
        <v>817</v>
      </c>
      <c r="I98" s="704" t="s">
        <v>3087</v>
      </c>
      <c r="J98" s="705" t="s">
        <v>729</v>
      </c>
      <c r="K98" s="706" t="s">
        <v>3196</v>
      </c>
      <c r="L98" s="707" t="s">
        <v>3353</v>
      </c>
      <c r="M98" s="708">
        <v>260016.42</v>
      </c>
      <c r="N98" s="709">
        <v>13000.82</v>
      </c>
      <c r="O98" s="710">
        <v>43682.76</v>
      </c>
      <c r="P98" s="711">
        <v>316700</v>
      </c>
      <c r="Q98" s="548"/>
      <c r="R98" s="713">
        <v>236548.61</v>
      </c>
      <c r="S98" s="549">
        <f t="shared" si="31"/>
        <v>80151.390000000014</v>
      </c>
      <c r="T98" s="267" t="s">
        <v>131</v>
      </c>
      <c r="U98" s="626" t="str">
        <f t="shared" si="32"/>
        <v>AA10869</v>
      </c>
      <c r="V98" s="627" t="str">
        <f t="shared" si="45"/>
        <v>1247-TCN16</v>
      </c>
      <c r="W98" s="626">
        <f t="shared" si="46"/>
        <v>1520603</v>
      </c>
      <c r="X98" s="626" t="str">
        <f t="shared" si="47"/>
        <v>HILUX BASE CON VIDRIOS ELECTRICOS</v>
      </c>
      <c r="Y98" s="627">
        <f t="shared" si="48"/>
        <v>2016</v>
      </c>
      <c r="Z98" s="628">
        <f t="shared" si="49"/>
        <v>260016.42</v>
      </c>
      <c r="AA98" s="629"/>
      <c r="AB98" s="664"/>
      <c r="AC98" s="629">
        <f t="shared" si="50"/>
        <v>246423.66</v>
      </c>
      <c r="AD98" s="630">
        <f t="shared" si="51"/>
        <v>0.05</v>
      </c>
      <c r="AE98" s="629">
        <f t="shared" si="52"/>
        <v>4928.3900000000003</v>
      </c>
      <c r="AF98" s="629">
        <f t="shared" si="53"/>
        <v>13000.82</v>
      </c>
      <c r="AG98" s="555">
        <f t="shared" si="37"/>
        <v>0</v>
      </c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ht="12.75" customHeight="1" x14ac:dyDescent="0.2">
      <c r="A99" s="423">
        <f t="shared" si="38"/>
        <v>94</v>
      </c>
      <c r="B99" s="683" t="s">
        <v>2906</v>
      </c>
      <c r="C99" s="699">
        <v>1520603</v>
      </c>
      <c r="D99" s="700">
        <v>7497</v>
      </c>
      <c r="E99" s="701" t="s">
        <v>717</v>
      </c>
      <c r="F99" s="546">
        <v>2017</v>
      </c>
      <c r="G99" s="702">
        <v>42852</v>
      </c>
      <c r="H99" s="703" t="s">
        <v>908</v>
      </c>
      <c r="I99" s="704" t="s">
        <v>3091</v>
      </c>
      <c r="J99" s="705" t="s">
        <v>729</v>
      </c>
      <c r="K99" s="706" t="s">
        <v>3197</v>
      </c>
      <c r="L99" s="707" t="s">
        <v>3357</v>
      </c>
      <c r="M99" s="708">
        <v>272988.5</v>
      </c>
      <c r="N99" s="709">
        <v>13649.43</v>
      </c>
      <c r="O99" s="710">
        <v>45862.07</v>
      </c>
      <c r="P99" s="711">
        <v>332500</v>
      </c>
      <c r="Q99" s="548"/>
      <c r="R99" s="713">
        <v>241699.82</v>
      </c>
      <c r="S99" s="549">
        <f t="shared" si="31"/>
        <v>90800.18</v>
      </c>
      <c r="T99" s="113" t="s">
        <v>131</v>
      </c>
      <c r="U99" s="626" t="str">
        <f t="shared" si="32"/>
        <v>AA10971</v>
      </c>
      <c r="V99" s="627" t="str">
        <f t="shared" si="45"/>
        <v>0240-TCN17</v>
      </c>
      <c r="W99" s="626">
        <f t="shared" si="46"/>
        <v>1520603</v>
      </c>
      <c r="X99" s="626" t="str">
        <f t="shared" si="47"/>
        <v>HILUX BASE CON VIDRIOS ELECTRICOS</v>
      </c>
      <c r="Y99" s="627">
        <f t="shared" si="48"/>
        <v>2017</v>
      </c>
      <c r="Z99" s="628">
        <f t="shared" si="49"/>
        <v>272988.5</v>
      </c>
      <c r="AA99" s="629">
        <f>+Z99+Z98+Z97</f>
        <v>805993.42</v>
      </c>
      <c r="AB99" s="677">
        <v>3</v>
      </c>
      <c r="AC99" s="629">
        <f t="shared" si="50"/>
        <v>246423.66</v>
      </c>
      <c r="AD99" s="630">
        <f t="shared" si="51"/>
        <v>0.05</v>
      </c>
      <c r="AE99" s="629">
        <f t="shared" si="52"/>
        <v>4928.3900000000003</v>
      </c>
      <c r="AF99" s="629">
        <f t="shared" si="53"/>
        <v>13649.43</v>
      </c>
      <c r="AG99" s="555">
        <f t="shared" si="37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ht="12.75" customHeight="1" x14ac:dyDescent="0.2">
      <c r="A100" s="423">
        <f t="shared" si="38"/>
        <v>95</v>
      </c>
      <c r="B100" s="683" t="s">
        <v>2876</v>
      </c>
      <c r="C100" s="699">
        <v>1520604</v>
      </c>
      <c r="D100" s="700">
        <v>7495</v>
      </c>
      <c r="E100" s="701" t="s">
        <v>718</v>
      </c>
      <c r="F100" s="546">
        <v>2017</v>
      </c>
      <c r="G100" s="702">
        <v>42838</v>
      </c>
      <c r="H100" s="703" t="s">
        <v>792</v>
      </c>
      <c r="I100" s="704" t="s">
        <v>3073</v>
      </c>
      <c r="J100" s="705" t="s">
        <v>729</v>
      </c>
      <c r="K100" s="706" t="s">
        <v>3188</v>
      </c>
      <c r="L100" s="707" t="s">
        <v>3339</v>
      </c>
      <c r="M100" s="708">
        <v>282019.7</v>
      </c>
      <c r="N100" s="709">
        <v>14100.99</v>
      </c>
      <c r="O100" s="710">
        <v>47379.31</v>
      </c>
      <c r="P100" s="711">
        <v>343500</v>
      </c>
      <c r="Q100" s="548"/>
      <c r="R100" s="713">
        <v>255426.86</v>
      </c>
      <c r="S100" s="549">
        <f t="shared" si="31"/>
        <v>88073.140000000014</v>
      </c>
      <c r="T100" s="267" t="s">
        <v>131</v>
      </c>
      <c r="U100" s="626" t="str">
        <f t="shared" si="32"/>
        <v>AA10855</v>
      </c>
      <c r="V100" s="627" t="str">
        <f t="shared" si="45"/>
        <v>1106-TCN17</v>
      </c>
      <c r="W100" s="626">
        <f t="shared" si="46"/>
        <v>1520604</v>
      </c>
      <c r="X100" s="626" t="str">
        <f t="shared" si="47"/>
        <v>HILUX PICK UP D CAB SR A/C</v>
      </c>
      <c r="Y100" s="627">
        <f t="shared" si="48"/>
        <v>2017</v>
      </c>
      <c r="Z100" s="628">
        <f t="shared" si="49"/>
        <v>282019.7</v>
      </c>
      <c r="AA100" s="629"/>
      <c r="AB100" s="664"/>
      <c r="AC100" s="629">
        <f t="shared" si="50"/>
        <v>246423.66</v>
      </c>
      <c r="AD100" s="630">
        <f t="shared" si="51"/>
        <v>0.05</v>
      </c>
      <c r="AE100" s="629">
        <f t="shared" si="52"/>
        <v>4928.3900000000003</v>
      </c>
      <c r="AF100" s="629">
        <f t="shared" si="53"/>
        <v>14100.99</v>
      </c>
      <c r="AG100" s="555">
        <f t="shared" si="37"/>
        <v>0</v>
      </c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ht="12.75" customHeight="1" x14ac:dyDescent="0.2">
      <c r="A101" s="423">
        <f t="shared" si="38"/>
        <v>96</v>
      </c>
      <c r="B101" s="683" t="s">
        <v>2864</v>
      </c>
      <c r="C101" s="699">
        <v>1520604</v>
      </c>
      <c r="D101" s="700">
        <v>7495</v>
      </c>
      <c r="E101" s="701" t="s">
        <v>718</v>
      </c>
      <c r="F101" s="546">
        <v>2017</v>
      </c>
      <c r="G101" s="702">
        <v>42832</v>
      </c>
      <c r="H101" s="703" t="s">
        <v>760</v>
      </c>
      <c r="I101" s="704" t="s">
        <v>3063</v>
      </c>
      <c r="J101" s="705" t="s">
        <v>729</v>
      </c>
      <c r="K101" s="706" t="s">
        <v>1128</v>
      </c>
      <c r="L101" s="707" t="s">
        <v>3329</v>
      </c>
      <c r="M101" s="708">
        <v>282019.7</v>
      </c>
      <c r="N101" s="709">
        <v>14100.99</v>
      </c>
      <c r="O101" s="710">
        <v>47379.31</v>
      </c>
      <c r="P101" s="711">
        <v>343500</v>
      </c>
      <c r="Q101" s="548"/>
      <c r="R101" s="713">
        <v>255426.86</v>
      </c>
      <c r="S101" s="549">
        <f t="shared" si="31"/>
        <v>88073.140000000014</v>
      </c>
      <c r="T101" s="267" t="s">
        <v>131</v>
      </c>
      <c r="U101" s="626" t="str">
        <f t="shared" si="32"/>
        <v>AA10812</v>
      </c>
      <c r="V101" s="627" t="str">
        <f t="shared" si="45"/>
        <v>1093-TCN17</v>
      </c>
      <c r="W101" s="626">
        <f t="shared" si="46"/>
        <v>1520604</v>
      </c>
      <c r="X101" s="626" t="str">
        <f t="shared" si="47"/>
        <v>HILUX PICK UP D CAB SR A/C</v>
      </c>
      <c r="Y101" s="627">
        <f t="shared" si="48"/>
        <v>2017</v>
      </c>
      <c r="Z101" s="628">
        <f t="shared" si="49"/>
        <v>282019.7</v>
      </c>
      <c r="AA101" s="629"/>
      <c r="AB101" s="664"/>
      <c r="AC101" s="629">
        <f t="shared" si="50"/>
        <v>246423.66</v>
      </c>
      <c r="AD101" s="630">
        <f t="shared" si="51"/>
        <v>0.05</v>
      </c>
      <c r="AE101" s="629">
        <f t="shared" si="52"/>
        <v>4928.3900000000003</v>
      </c>
      <c r="AF101" s="629">
        <f t="shared" si="53"/>
        <v>14100.99</v>
      </c>
      <c r="AG101" s="555">
        <f t="shared" si="37"/>
        <v>0</v>
      </c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ht="12.75" customHeight="1" x14ac:dyDescent="0.2">
      <c r="A102" s="423">
        <f t="shared" si="38"/>
        <v>97</v>
      </c>
      <c r="B102" s="683" t="s">
        <v>2881</v>
      </c>
      <c r="C102" s="699">
        <v>1520604</v>
      </c>
      <c r="D102" s="700">
        <v>7495</v>
      </c>
      <c r="E102" s="701" t="s">
        <v>718</v>
      </c>
      <c r="F102" s="546">
        <v>2017</v>
      </c>
      <c r="G102" s="702">
        <v>42842</v>
      </c>
      <c r="H102" s="703" t="s">
        <v>727</v>
      </c>
      <c r="I102" s="704" t="s">
        <v>3076</v>
      </c>
      <c r="J102" s="705" t="s">
        <v>729</v>
      </c>
      <c r="K102" s="706" t="s">
        <v>3190</v>
      </c>
      <c r="L102" s="707" t="s">
        <v>3342</v>
      </c>
      <c r="M102" s="708">
        <v>282019.7</v>
      </c>
      <c r="N102" s="709">
        <v>14100.99</v>
      </c>
      <c r="O102" s="710">
        <v>47379.31</v>
      </c>
      <c r="P102" s="711">
        <v>343500</v>
      </c>
      <c r="Q102" s="548"/>
      <c r="R102" s="713">
        <v>255426.86</v>
      </c>
      <c r="S102" s="549">
        <f t="shared" si="31"/>
        <v>88073.140000000014</v>
      </c>
      <c r="T102" s="267" t="s">
        <v>131</v>
      </c>
      <c r="U102" s="626" t="str">
        <f t="shared" si="32"/>
        <v>AA10864</v>
      </c>
      <c r="V102" s="627" t="str">
        <f t="shared" si="45"/>
        <v>1115-TCN17</v>
      </c>
      <c r="W102" s="626">
        <f t="shared" si="46"/>
        <v>1520604</v>
      </c>
      <c r="X102" s="626" t="str">
        <f t="shared" si="47"/>
        <v>HILUX PICK UP D CAB SR A/C</v>
      </c>
      <c r="Y102" s="627">
        <f t="shared" si="48"/>
        <v>2017</v>
      </c>
      <c r="Z102" s="628">
        <f t="shared" si="49"/>
        <v>282019.7</v>
      </c>
      <c r="AA102" s="629"/>
      <c r="AB102" s="664"/>
      <c r="AC102" s="629">
        <f t="shared" si="50"/>
        <v>246423.66</v>
      </c>
      <c r="AD102" s="630">
        <f t="shared" si="51"/>
        <v>0.05</v>
      </c>
      <c r="AE102" s="629">
        <f t="shared" si="52"/>
        <v>4928.3900000000003</v>
      </c>
      <c r="AF102" s="629">
        <f t="shared" si="53"/>
        <v>14100.99</v>
      </c>
      <c r="AG102" s="555">
        <f t="shared" si="37"/>
        <v>0</v>
      </c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2.75" customHeight="1" x14ac:dyDescent="0.2">
      <c r="A103" s="423">
        <f t="shared" si="38"/>
        <v>98</v>
      </c>
      <c r="B103" s="683" t="s">
        <v>2865</v>
      </c>
      <c r="C103" s="699">
        <v>1520604</v>
      </c>
      <c r="D103" s="700">
        <v>7495</v>
      </c>
      <c r="E103" s="701" t="s">
        <v>718</v>
      </c>
      <c r="F103" s="546">
        <v>2017</v>
      </c>
      <c r="G103" s="702">
        <v>42835</v>
      </c>
      <c r="H103" s="703" t="s">
        <v>817</v>
      </c>
      <c r="I103" s="704" t="s">
        <v>3064</v>
      </c>
      <c r="J103" s="705" t="s">
        <v>729</v>
      </c>
      <c r="K103" s="706" t="s">
        <v>3181</v>
      </c>
      <c r="L103" s="707" t="s">
        <v>3330</v>
      </c>
      <c r="M103" s="708">
        <v>282019.7</v>
      </c>
      <c r="N103" s="709">
        <v>14100.99</v>
      </c>
      <c r="O103" s="710">
        <v>47379.31</v>
      </c>
      <c r="P103" s="711">
        <v>343500</v>
      </c>
      <c r="Q103" s="548"/>
      <c r="R103" s="713">
        <v>255426.86</v>
      </c>
      <c r="S103" s="549">
        <f t="shared" si="31"/>
        <v>88073.140000000014</v>
      </c>
      <c r="T103" s="267" t="s">
        <v>131</v>
      </c>
      <c r="U103" s="626" t="str">
        <f t="shared" si="32"/>
        <v>AA10816</v>
      </c>
      <c r="V103" s="627" t="str">
        <f t="shared" si="45"/>
        <v>1095-TCN17</v>
      </c>
      <c r="W103" s="626">
        <f t="shared" si="46"/>
        <v>1520604</v>
      </c>
      <c r="X103" s="626" t="str">
        <f t="shared" si="47"/>
        <v>HILUX PICK UP D CAB SR A/C</v>
      </c>
      <c r="Y103" s="627">
        <f t="shared" si="48"/>
        <v>2017</v>
      </c>
      <c r="Z103" s="628">
        <f t="shared" si="49"/>
        <v>282019.7</v>
      </c>
      <c r="AA103" s="629"/>
      <c r="AB103" s="664"/>
      <c r="AC103" s="629">
        <f t="shared" si="50"/>
        <v>246423.66</v>
      </c>
      <c r="AD103" s="630">
        <f t="shared" si="51"/>
        <v>0.05</v>
      </c>
      <c r="AE103" s="629">
        <f t="shared" si="52"/>
        <v>4928.3900000000003</v>
      </c>
      <c r="AF103" s="629">
        <f t="shared" si="53"/>
        <v>14100.99</v>
      </c>
      <c r="AG103" s="555">
        <f t="shared" si="37"/>
        <v>0</v>
      </c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2.75" customHeight="1" x14ac:dyDescent="0.2">
      <c r="A104" s="423">
        <f t="shared" si="38"/>
        <v>99</v>
      </c>
      <c r="B104" s="683" t="s">
        <v>3390</v>
      </c>
      <c r="C104" s="699">
        <v>1520604</v>
      </c>
      <c r="D104" s="700">
        <v>7495</v>
      </c>
      <c r="E104" s="701" t="s">
        <v>718</v>
      </c>
      <c r="F104" s="546">
        <v>2017</v>
      </c>
      <c r="G104" s="702">
        <v>42826</v>
      </c>
      <c r="H104" s="703" t="s">
        <v>2215</v>
      </c>
      <c r="I104" s="704" t="s">
        <v>3400</v>
      </c>
      <c r="J104" s="705" t="s">
        <v>729</v>
      </c>
      <c r="K104" s="706" t="s">
        <v>3408</v>
      </c>
      <c r="L104" s="707" t="s">
        <v>3418</v>
      </c>
      <c r="M104" s="708">
        <v>282019.7</v>
      </c>
      <c r="N104" s="709">
        <v>14100.99</v>
      </c>
      <c r="O104" s="710">
        <v>47379.31</v>
      </c>
      <c r="P104" s="711">
        <v>343500</v>
      </c>
      <c r="Q104" s="548"/>
      <c r="R104" s="713">
        <v>255426.86</v>
      </c>
      <c r="S104" s="549">
        <f t="shared" si="31"/>
        <v>88073.140000000014</v>
      </c>
      <c r="T104" s="267" t="s">
        <v>131</v>
      </c>
      <c r="U104" s="626" t="str">
        <f t="shared" si="32"/>
        <v>AA10782</v>
      </c>
      <c r="V104" s="627" t="str">
        <f t="shared" si="45"/>
        <v>1071-TCN17</v>
      </c>
      <c r="W104" s="626">
        <f t="shared" si="46"/>
        <v>1520604</v>
      </c>
      <c r="X104" s="626" t="str">
        <f t="shared" si="47"/>
        <v>HILUX PICK UP D CAB SR A/C</v>
      </c>
      <c r="Y104" s="627">
        <f t="shared" si="48"/>
        <v>2017</v>
      </c>
      <c r="Z104" s="628">
        <f t="shared" si="49"/>
        <v>282019.7</v>
      </c>
      <c r="AA104" s="629"/>
      <c r="AB104" s="664"/>
      <c r="AC104" s="629">
        <f t="shared" si="50"/>
        <v>246423.66</v>
      </c>
      <c r="AD104" s="630">
        <f t="shared" si="51"/>
        <v>0.05</v>
      </c>
      <c r="AE104" s="629">
        <f t="shared" si="52"/>
        <v>4928.3900000000003</v>
      </c>
      <c r="AF104" s="629">
        <f t="shared" si="53"/>
        <v>14100.99</v>
      </c>
      <c r="AG104" s="555">
        <f t="shared" si="37"/>
        <v>0</v>
      </c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2.75" customHeight="1" x14ac:dyDescent="0.2">
      <c r="A105" s="423">
        <f t="shared" si="38"/>
        <v>100</v>
      </c>
      <c r="B105" s="683" t="s">
        <v>2874</v>
      </c>
      <c r="C105" s="699">
        <v>1520604</v>
      </c>
      <c r="D105" s="700">
        <v>7495</v>
      </c>
      <c r="E105" s="701" t="s">
        <v>718</v>
      </c>
      <c r="F105" s="546">
        <v>2017</v>
      </c>
      <c r="G105" s="702">
        <v>42837</v>
      </c>
      <c r="H105" s="703" t="s">
        <v>774</v>
      </c>
      <c r="I105" s="704" t="s">
        <v>3071</v>
      </c>
      <c r="J105" s="705" t="s">
        <v>729</v>
      </c>
      <c r="K105" s="706" t="s">
        <v>3186</v>
      </c>
      <c r="L105" s="707" t="s">
        <v>3337</v>
      </c>
      <c r="M105" s="708">
        <v>282019.7</v>
      </c>
      <c r="N105" s="709">
        <v>14100.99</v>
      </c>
      <c r="O105" s="710">
        <v>47379.31</v>
      </c>
      <c r="P105" s="711">
        <v>343500</v>
      </c>
      <c r="Q105" s="548"/>
      <c r="R105" s="713">
        <v>255426.86</v>
      </c>
      <c r="S105" s="549">
        <f t="shared" si="31"/>
        <v>88073.140000000014</v>
      </c>
      <c r="T105" s="113" t="s">
        <v>131</v>
      </c>
      <c r="U105" s="626" t="str">
        <f t="shared" si="32"/>
        <v>AA10845</v>
      </c>
      <c r="V105" s="627" t="str">
        <f t="shared" si="45"/>
        <v>1105-TCN17</v>
      </c>
      <c r="W105" s="626">
        <f t="shared" si="46"/>
        <v>1520604</v>
      </c>
      <c r="X105" s="626" t="str">
        <f t="shared" si="47"/>
        <v>HILUX PICK UP D CAB SR A/C</v>
      </c>
      <c r="Y105" s="627">
        <f t="shared" si="48"/>
        <v>2017</v>
      </c>
      <c r="Z105" s="628">
        <f t="shared" si="49"/>
        <v>282019.7</v>
      </c>
      <c r="AA105" s="629"/>
      <c r="AB105" s="664"/>
      <c r="AC105" s="629">
        <f t="shared" si="50"/>
        <v>246423.66</v>
      </c>
      <c r="AD105" s="630">
        <f t="shared" si="51"/>
        <v>0.05</v>
      </c>
      <c r="AE105" s="629">
        <f t="shared" si="52"/>
        <v>4928.3900000000003</v>
      </c>
      <c r="AF105" s="629">
        <f t="shared" si="53"/>
        <v>14100.99</v>
      </c>
      <c r="AG105" s="555">
        <f t="shared" si="37"/>
        <v>0</v>
      </c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customHeight="1" x14ac:dyDescent="0.2">
      <c r="A106" s="423">
        <f t="shared" si="38"/>
        <v>101</v>
      </c>
      <c r="B106" s="683" t="s">
        <v>2868</v>
      </c>
      <c r="C106" s="699">
        <v>1520604</v>
      </c>
      <c r="D106" s="700">
        <v>7495</v>
      </c>
      <c r="E106" s="701" t="s">
        <v>718</v>
      </c>
      <c r="F106" s="546">
        <v>2017</v>
      </c>
      <c r="G106" s="702">
        <v>42835</v>
      </c>
      <c r="H106" s="703" t="s">
        <v>788</v>
      </c>
      <c r="I106" s="704" t="s">
        <v>3065</v>
      </c>
      <c r="J106" s="705" t="s">
        <v>729</v>
      </c>
      <c r="K106" s="706" t="s">
        <v>3182</v>
      </c>
      <c r="L106" s="707" t="s">
        <v>3331</v>
      </c>
      <c r="M106" s="708">
        <v>282019.7</v>
      </c>
      <c r="N106" s="709">
        <v>14100.99</v>
      </c>
      <c r="O106" s="710">
        <v>47379.31</v>
      </c>
      <c r="P106" s="711">
        <v>343500</v>
      </c>
      <c r="Q106" s="548"/>
      <c r="R106" s="713">
        <v>255426.86</v>
      </c>
      <c r="S106" s="549">
        <f t="shared" si="31"/>
        <v>88073.140000000014</v>
      </c>
      <c r="T106" s="267" t="s">
        <v>131</v>
      </c>
      <c r="U106" s="626" t="str">
        <f t="shared" si="32"/>
        <v>AA10821</v>
      </c>
      <c r="V106" s="627" t="str">
        <f t="shared" si="45"/>
        <v>1099-TCN17</v>
      </c>
      <c r="W106" s="626">
        <f t="shared" si="46"/>
        <v>1520604</v>
      </c>
      <c r="X106" s="626" t="str">
        <f t="shared" si="47"/>
        <v>HILUX PICK UP D CAB SR A/C</v>
      </c>
      <c r="Y106" s="627">
        <f t="shared" si="48"/>
        <v>2017</v>
      </c>
      <c r="Z106" s="628">
        <f t="shared" si="49"/>
        <v>282019.7</v>
      </c>
      <c r="AA106" s="629"/>
      <c r="AB106" s="664"/>
      <c r="AC106" s="629">
        <f t="shared" si="50"/>
        <v>246423.66</v>
      </c>
      <c r="AD106" s="630">
        <f t="shared" si="51"/>
        <v>0.05</v>
      </c>
      <c r="AE106" s="629">
        <f t="shared" si="52"/>
        <v>4928.3900000000003</v>
      </c>
      <c r="AF106" s="629">
        <f t="shared" si="53"/>
        <v>14100.99</v>
      </c>
      <c r="AG106" s="555">
        <f t="shared" si="37"/>
        <v>0</v>
      </c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2.75" customHeight="1" x14ac:dyDescent="0.2">
      <c r="A107" s="423">
        <f t="shared" si="38"/>
        <v>102</v>
      </c>
      <c r="B107" s="683" t="s">
        <v>2882</v>
      </c>
      <c r="C107" s="699">
        <v>1520604</v>
      </c>
      <c r="D107" s="700">
        <v>7495</v>
      </c>
      <c r="E107" s="701" t="s">
        <v>718</v>
      </c>
      <c r="F107" s="546">
        <v>2017</v>
      </c>
      <c r="G107" s="702">
        <v>42842</v>
      </c>
      <c r="H107" s="703" t="s">
        <v>2214</v>
      </c>
      <c r="I107" s="704" t="s">
        <v>3077</v>
      </c>
      <c r="J107" s="705" t="s">
        <v>729</v>
      </c>
      <c r="K107" s="706" t="s">
        <v>3191</v>
      </c>
      <c r="L107" s="707" t="s">
        <v>3343</v>
      </c>
      <c r="M107" s="708">
        <v>282019.7</v>
      </c>
      <c r="N107" s="709">
        <v>14100.99</v>
      </c>
      <c r="O107" s="710">
        <v>47379.31</v>
      </c>
      <c r="P107" s="711">
        <v>343500</v>
      </c>
      <c r="Q107" s="548"/>
      <c r="R107" s="713">
        <v>255426.86</v>
      </c>
      <c r="S107" s="549">
        <f t="shared" si="31"/>
        <v>88073.140000000014</v>
      </c>
      <c r="T107" s="267" t="s">
        <v>131</v>
      </c>
      <c r="U107" s="626" t="str">
        <f t="shared" si="32"/>
        <v>AA10865</v>
      </c>
      <c r="V107" s="627" t="str">
        <f t="shared" si="45"/>
        <v>1119-TCN17</v>
      </c>
      <c r="W107" s="626">
        <f t="shared" si="46"/>
        <v>1520604</v>
      </c>
      <c r="X107" s="626" t="str">
        <f t="shared" si="47"/>
        <v>HILUX PICK UP D CAB SR A/C</v>
      </c>
      <c r="Y107" s="627">
        <f t="shared" si="48"/>
        <v>2017</v>
      </c>
      <c r="Z107" s="628">
        <f t="shared" si="49"/>
        <v>282019.7</v>
      </c>
      <c r="AA107" s="629"/>
      <c r="AB107" s="664"/>
      <c r="AC107" s="629">
        <f t="shared" si="50"/>
        <v>246423.66</v>
      </c>
      <c r="AD107" s="630">
        <f t="shared" si="51"/>
        <v>0.05</v>
      </c>
      <c r="AE107" s="629">
        <f t="shared" si="52"/>
        <v>4928.3900000000003</v>
      </c>
      <c r="AF107" s="629">
        <f t="shared" si="53"/>
        <v>14100.99</v>
      </c>
      <c r="AG107" s="555">
        <f t="shared" si="37"/>
        <v>0</v>
      </c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ht="12.75" customHeight="1" x14ac:dyDescent="0.2">
      <c r="A108" s="423">
        <f t="shared" si="38"/>
        <v>103</v>
      </c>
      <c r="B108" s="683" t="s">
        <v>2884</v>
      </c>
      <c r="C108" s="699">
        <v>1520604</v>
      </c>
      <c r="D108" s="700">
        <v>7495</v>
      </c>
      <c r="E108" s="701" t="s">
        <v>718</v>
      </c>
      <c r="F108" s="546">
        <v>2017</v>
      </c>
      <c r="G108" s="702">
        <v>42845</v>
      </c>
      <c r="H108" s="703" t="s">
        <v>788</v>
      </c>
      <c r="I108" s="704" t="s">
        <v>3072</v>
      </c>
      <c r="J108" s="705" t="s">
        <v>729</v>
      </c>
      <c r="K108" s="706" t="s">
        <v>830</v>
      </c>
      <c r="L108" s="707" t="s">
        <v>3338</v>
      </c>
      <c r="M108" s="708">
        <v>282019.7</v>
      </c>
      <c r="N108" s="709">
        <v>14100.99</v>
      </c>
      <c r="O108" s="710">
        <v>47379.31</v>
      </c>
      <c r="P108" s="711">
        <v>343500</v>
      </c>
      <c r="Q108" s="548"/>
      <c r="R108" s="713">
        <v>255426.86</v>
      </c>
      <c r="S108" s="549">
        <f t="shared" si="31"/>
        <v>88073.140000000014</v>
      </c>
      <c r="T108" s="267" t="s">
        <v>131</v>
      </c>
      <c r="U108" s="626" t="str">
        <f t="shared" si="32"/>
        <v>AA10895</v>
      </c>
      <c r="V108" s="627" t="str">
        <f t="shared" si="45"/>
        <v>0902-TCN17</v>
      </c>
      <c r="W108" s="626">
        <f t="shared" si="46"/>
        <v>1520604</v>
      </c>
      <c r="X108" s="626" t="str">
        <f t="shared" si="47"/>
        <v>HILUX PICK UP D CAB SR A/C</v>
      </c>
      <c r="Y108" s="627">
        <f t="shared" si="48"/>
        <v>2017</v>
      </c>
      <c r="Z108" s="628">
        <f t="shared" si="49"/>
        <v>282019.7</v>
      </c>
      <c r="AA108" s="629"/>
      <c r="AB108" s="664"/>
      <c r="AC108" s="629">
        <f t="shared" si="50"/>
        <v>246423.66</v>
      </c>
      <c r="AD108" s="630">
        <f t="shared" si="51"/>
        <v>0.05</v>
      </c>
      <c r="AE108" s="629">
        <f t="shared" si="52"/>
        <v>4928.3900000000003</v>
      </c>
      <c r="AF108" s="629">
        <f t="shared" si="53"/>
        <v>14100.99</v>
      </c>
      <c r="AG108" s="555">
        <f t="shared" si="37"/>
        <v>0</v>
      </c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ht="12.75" customHeight="1" x14ac:dyDescent="0.2">
      <c r="A109" s="423">
        <f t="shared" si="38"/>
        <v>104</v>
      </c>
      <c r="B109" s="683" t="s">
        <v>2873</v>
      </c>
      <c r="C109" s="699">
        <v>1520604</v>
      </c>
      <c r="D109" s="700">
        <v>7495</v>
      </c>
      <c r="E109" s="701" t="s">
        <v>718</v>
      </c>
      <c r="F109" s="546">
        <v>2017</v>
      </c>
      <c r="G109" s="702">
        <v>42836</v>
      </c>
      <c r="H109" s="703" t="s">
        <v>743</v>
      </c>
      <c r="I109" s="704" t="s">
        <v>3070</v>
      </c>
      <c r="J109" s="705" t="s">
        <v>729</v>
      </c>
      <c r="K109" s="706" t="s">
        <v>3185</v>
      </c>
      <c r="L109" s="707" t="s">
        <v>3336</v>
      </c>
      <c r="M109" s="708">
        <v>282019.7</v>
      </c>
      <c r="N109" s="709">
        <v>14100.99</v>
      </c>
      <c r="O109" s="710">
        <v>47379.31</v>
      </c>
      <c r="P109" s="711">
        <v>343500</v>
      </c>
      <c r="Q109" s="548"/>
      <c r="R109" s="713">
        <v>255426.86</v>
      </c>
      <c r="S109" s="549">
        <f t="shared" si="31"/>
        <v>88073.140000000014</v>
      </c>
      <c r="T109" s="267" t="s">
        <v>131</v>
      </c>
      <c r="U109" s="626" t="str">
        <f t="shared" si="32"/>
        <v>AA10832</v>
      </c>
      <c r="V109" s="627" t="str">
        <f t="shared" si="45"/>
        <v>1112-TCN17</v>
      </c>
      <c r="W109" s="626">
        <f t="shared" si="46"/>
        <v>1520604</v>
      </c>
      <c r="X109" s="626" t="str">
        <f t="shared" si="47"/>
        <v>HILUX PICK UP D CAB SR A/C</v>
      </c>
      <c r="Y109" s="627">
        <f t="shared" si="48"/>
        <v>2017</v>
      </c>
      <c r="Z109" s="628">
        <f t="shared" si="49"/>
        <v>282019.7</v>
      </c>
      <c r="AA109" s="629"/>
      <c r="AB109" s="664"/>
      <c r="AC109" s="629">
        <f t="shared" si="50"/>
        <v>246423.66</v>
      </c>
      <c r="AD109" s="630">
        <f t="shared" si="51"/>
        <v>0.05</v>
      </c>
      <c r="AE109" s="629">
        <f t="shared" si="52"/>
        <v>4928.3900000000003</v>
      </c>
      <c r="AF109" s="629">
        <f t="shared" si="53"/>
        <v>14100.99</v>
      </c>
      <c r="AG109" s="555">
        <f t="shared" si="37"/>
        <v>0</v>
      </c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ht="12.75" customHeight="1" x14ac:dyDescent="0.2">
      <c r="A110" s="423">
        <f t="shared" si="38"/>
        <v>105</v>
      </c>
      <c r="B110" s="683" t="s">
        <v>3389</v>
      </c>
      <c r="C110" s="699">
        <v>1520604</v>
      </c>
      <c r="D110" s="700">
        <v>7495</v>
      </c>
      <c r="E110" s="701" t="s">
        <v>718</v>
      </c>
      <c r="F110" s="546">
        <v>2017</v>
      </c>
      <c r="G110" s="702">
        <v>42826</v>
      </c>
      <c r="H110" s="703" t="s">
        <v>760</v>
      </c>
      <c r="I110" s="704" t="s">
        <v>3399</v>
      </c>
      <c r="J110" s="705" t="s">
        <v>729</v>
      </c>
      <c r="K110" s="706" t="s">
        <v>3407</v>
      </c>
      <c r="L110" s="707" t="s">
        <v>3417</v>
      </c>
      <c r="M110" s="708">
        <v>282019.7</v>
      </c>
      <c r="N110" s="709">
        <v>14100.99</v>
      </c>
      <c r="O110" s="710">
        <v>47379.31</v>
      </c>
      <c r="P110" s="711">
        <v>343500</v>
      </c>
      <c r="Q110" s="548"/>
      <c r="R110" s="713">
        <v>255426.86</v>
      </c>
      <c r="S110" s="549">
        <f t="shared" si="31"/>
        <v>88073.140000000014</v>
      </c>
      <c r="T110" s="267" t="s">
        <v>131</v>
      </c>
      <c r="U110" s="626" t="str">
        <f t="shared" si="32"/>
        <v>AA10781</v>
      </c>
      <c r="V110" s="627" t="str">
        <f t="shared" si="45"/>
        <v>1070-TCN17</v>
      </c>
      <c r="W110" s="626">
        <f t="shared" si="46"/>
        <v>1520604</v>
      </c>
      <c r="X110" s="626" t="str">
        <f t="shared" si="47"/>
        <v>HILUX PICK UP D CAB SR A/C</v>
      </c>
      <c r="Y110" s="627">
        <f t="shared" si="48"/>
        <v>2017</v>
      </c>
      <c r="Z110" s="628">
        <f t="shared" si="49"/>
        <v>282019.7</v>
      </c>
      <c r="AA110" s="629"/>
      <c r="AB110" s="664"/>
      <c r="AC110" s="629">
        <f t="shared" si="50"/>
        <v>246423.66</v>
      </c>
      <c r="AD110" s="630">
        <f t="shared" si="51"/>
        <v>0.05</v>
      </c>
      <c r="AE110" s="629">
        <f t="shared" si="52"/>
        <v>4928.3900000000003</v>
      </c>
      <c r="AF110" s="629">
        <f t="shared" si="53"/>
        <v>14100.99</v>
      </c>
      <c r="AG110" s="555">
        <f t="shared" si="37"/>
        <v>0</v>
      </c>
      <c r="AH110" s="361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2.75" customHeight="1" x14ac:dyDescent="0.2">
      <c r="A111" s="423">
        <f t="shared" si="38"/>
        <v>106</v>
      </c>
      <c r="B111" s="683" t="s">
        <v>2887</v>
      </c>
      <c r="C111" s="699">
        <v>1520604</v>
      </c>
      <c r="D111" s="700">
        <v>7495</v>
      </c>
      <c r="E111" s="701" t="s">
        <v>718</v>
      </c>
      <c r="F111" s="546">
        <v>2017</v>
      </c>
      <c r="G111" s="702">
        <v>42845</v>
      </c>
      <c r="H111" s="703" t="s">
        <v>908</v>
      </c>
      <c r="I111" s="704" t="s">
        <v>3078</v>
      </c>
      <c r="J111" s="705" t="s">
        <v>724</v>
      </c>
      <c r="K111" s="706" t="s">
        <v>3187</v>
      </c>
      <c r="L111" s="707" t="s">
        <v>3344</v>
      </c>
      <c r="M111" s="708">
        <v>282019.7</v>
      </c>
      <c r="N111" s="709">
        <v>14100.99</v>
      </c>
      <c r="O111" s="710">
        <v>47379.31</v>
      </c>
      <c r="P111" s="711">
        <v>343500</v>
      </c>
      <c r="Q111" s="548"/>
      <c r="R111" s="713">
        <v>255781.34</v>
      </c>
      <c r="S111" s="549">
        <f t="shared" si="31"/>
        <v>87718.66</v>
      </c>
      <c r="T111" s="444" t="s">
        <v>131</v>
      </c>
      <c r="U111" s="626" t="str">
        <f t="shared" si="32"/>
        <v>AA10901</v>
      </c>
      <c r="V111" s="627" t="str">
        <f t="shared" si="45"/>
        <v>1141-TCN17</v>
      </c>
      <c r="W111" s="626">
        <f t="shared" si="46"/>
        <v>1520604</v>
      </c>
      <c r="X111" s="626" t="str">
        <f t="shared" si="47"/>
        <v>HILUX PICK UP D CAB SR A/C</v>
      </c>
      <c r="Y111" s="627">
        <f t="shared" si="48"/>
        <v>2017</v>
      </c>
      <c r="Z111" s="628">
        <f t="shared" si="49"/>
        <v>282019.7</v>
      </c>
      <c r="AA111" s="629"/>
      <c r="AB111" s="664"/>
      <c r="AC111" s="629">
        <f t="shared" si="50"/>
        <v>246423.66</v>
      </c>
      <c r="AD111" s="630">
        <f t="shared" si="51"/>
        <v>0.05</v>
      </c>
      <c r="AE111" s="629">
        <f t="shared" si="52"/>
        <v>4928.3900000000003</v>
      </c>
      <c r="AF111" s="629">
        <f t="shared" si="53"/>
        <v>14100.99</v>
      </c>
      <c r="AG111" s="555">
        <f t="shared" si="37"/>
        <v>0</v>
      </c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2.75" customHeight="1" x14ac:dyDescent="0.2">
      <c r="A112" s="423">
        <f t="shared" si="38"/>
        <v>107</v>
      </c>
      <c r="B112" s="683" t="s">
        <v>2863</v>
      </c>
      <c r="C112" s="699">
        <v>1520604</v>
      </c>
      <c r="D112" s="700">
        <v>7495</v>
      </c>
      <c r="E112" s="701" t="s">
        <v>718</v>
      </c>
      <c r="F112" s="546">
        <v>2017</v>
      </c>
      <c r="G112" s="702">
        <v>42829</v>
      </c>
      <c r="H112" s="703" t="s">
        <v>2213</v>
      </c>
      <c r="I112" s="704" t="s">
        <v>3062</v>
      </c>
      <c r="J112" s="705" t="s">
        <v>729</v>
      </c>
      <c r="K112" s="706" t="s">
        <v>3180</v>
      </c>
      <c r="L112" s="707" t="s">
        <v>3328</v>
      </c>
      <c r="M112" s="708">
        <v>282019.7</v>
      </c>
      <c r="N112" s="709">
        <v>14100.99</v>
      </c>
      <c r="O112" s="710">
        <v>47379.31</v>
      </c>
      <c r="P112" s="711">
        <v>343500</v>
      </c>
      <c r="Q112" s="548"/>
      <c r="R112" s="713">
        <v>255426.86</v>
      </c>
      <c r="S112" s="549">
        <f t="shared" si="31"/>
        <v>88073.140000000014</v>
      </c>
      <c r="T112" s="267" t="s">
        <v>131</v>
      </c>
      <c r="U112" s="626" t="str">
        <f t="shared" si="32"/>
        <v>AA10788</v>
      </c>
      <c r="V112" s="627" t="str">
        <f t="shared" si="45"/>
        <v>1069-TCN17</v>
      </c>
      <c r="W112" s="626">
        <f t="shared" si="46"/>
        <v>1520604</v>
      </c>
      <c r="X112" s="626" t="str">
        <f t="shared" si="47"/>
        <v>HILUX PICK UP D CAB SR A/C</v>
      </c>
      <c r="Y112" s="627">
        <f t="shared" si="48"/>
        <v>2017</v>
      </c>
      <c r="Z112" s="628">
        <f t="shared" si="49"/>
        <v>282019.7</v>
      </c>
      <c r="AA112" s="629"/>
      <c r="AB112" s="664"/>
      <c r="AC112" s="629">
        <f t="shared" si="50"/>
        <v>246423.66</v>
      </c>
      <c r="AD112" s="630">
        <f t="shared" si="51"/>
        <v>0.05</v>
      </c>
      <c r="AE112" s="629">
        <f t="shared" si="52"/>
        <v>4928.3900000000003</v>
      </c>
      <c r="AF112" s="629">
        <f t="shared" si="53"/>
        <v>14100.99</v>
      </c>
      <c r="AG112" s="555">
        <f t="shared" si="37"/>
        <v>0</v>
      </c>
      <c r="AH112" s="361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ht="12.75" customHeight="1" x14ac:dyDescent="0.2">
      <c r="A113" s="423">
        <f t="shared" si="38"/>
        <v>108</v>
      </c>
      <c r="B113" s="683" t="s">
        <v>2888</v>
      </c>
      <c r="C113" s="699">
        <v>1520604</v>
      </c>
      <c r="D113" s="700">
        <v>7495</v>
      </c>
      <c r="E113" s="701" t="s">
        <v>718</v>
      </c>
      <c r="F113" s="546">
        <v>2017</v>
      </c>
      <c r="G113" s="702">
        <v>42849</v>
      </c>
      <c r="H113" s="703" t="s">
        <v>2216</v>
      </c>
      <c r="I113" s="704" t="s">
        <v>3079</v>
      </c>
      <c r="J113" s="705" t="s">
        <v>729</v>
      </c>
      <c r="K113" s="706" t="s">
        <v>3192</v>
      </c>
      <c r="L113" s="707" t="s">
        <v>3345</v>
      </c>
      <c r="M113" s="708">
        <v>282019.7</v>
      </c>
      <c r="N113" s="709">
        <v>14100.99</v>
      </c>
      <c r="O113" s="710">
        <v>47379.31</v>
      </c>
      <c r="P113" s="711">
        <v>343500</v>
      </c>
      <c r="Q113" s="548"/>
      <c r="R113" s="713">
        <v>255426.86</v>
      </c>
      <c r="S113" s="549">
        <f t="shared" si="31"/>
        <v>88073.140000000014</v>
      </c>
      <c r="T113" s="267" t="s">
        <v>131</v>
      </c>
      <c r="U113" s="626" t="str">
        <f t="shared" si="32"/>
        <v>AA10929</v>
      </c>
      <c r="V113" s="627" t="str">
        <f t="shared" si="45"/>
        <v>1151-TCN17</v>
      </c>
      <c r="W113" s="626">
        <f t="shared" si="46"/>
        <v>1520604</v>
      </c>
      <c r="X113" s="626" t="str">
        <f t="shared" si="47"/>
        <v>HILUX PICK UP D CAB SR A/C</v>
      </c>
      <c r="Y113" s="627">
        <f t="shared" si="48"/>
        <v>2017</v>
      </c>
      <c r="Z113" s="628">
        <f t="shared" si="49"/>
        <v>282019.7</v>
      </c>
      <c r="AA113" s="629"/>
      <c r="AB113" s="664"/>
      <c r="AC113" s="629">
        <f t="shared" si="50"/>
        <v>246423.66</v>
      </c>
      <c r="AD113" s="630">
        <f t="shared" si="51"/>
        <v>0.05</v>
      </c>
      <c r="AE113" s="629">
        <f t="shared" si="52"/>
        <v>4928.3900000000003</v>
      </c>
      <c r="AF113" s="629">
        <f t="shared" si="53"/>
        <v>14100.99</v>
      </c>
      <c r="AG113" s="555">
        <f t="shared" si="37"/>
        <v>0</v>
      </c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customHeight="1" x14ac:dyDescent="0.2">
      <c r="A114" s="423">
        <f t="shared" si="38"/>
        <v>109</v>
      </c>
      <c r="B114" s="683" t="s">
        <v>2879</v>
      </c>
      <c r="C114" s="699">
        <v>1520604</v>
      </c>
      <c r="D114" s="700">
        <v>7495</v>
      </c>
      <c r="E114" s="701" t="s">
        <v>718</v>
      </c>
      <c r="F114" s="546">
        <v>2017</v>
      </c>
      <c r="G114" s="702">
        <v>42838</v>
      </c>
      <c r="H114" s="703" t="s">
        <v>908</v>
      </c>
      <c r="I114" s="704" t="s">
        <v>3074</v>
      </c>
      <c r="J114" s="705" t="s">
        <v>729</v>
      </c>
      <c r="K114" s="706" t="s">
        <v>3189</v>
      </c>
      <c r="L114" s="707" t="s">
        <v>3340</v>
      </c>
      <c r="M114" s="708">
        <v>282019.7</v>
      </c>
      <c r="N114" s="709">
        <v>14100.99</v>
      </c>
      <c r="O114" s="710">
        <v>47379.31</v>
      </c>
      <c r="P114" s="711">
        <v>343500</v>
      </c>
      <c r="Q114" s="548"/>
      <c r="R114" s="713">
        <v>255426.86</v>
      </c>
      <c r="S114" s="549">
        <f t="shared" si="31"/>
        <v>88073.140000000014</v>
      </c>
      <c r="T114" s="113" t="s">
        <v>131</v>
      </c>
      <c r="U114" s="626" t="str">
        <f t="shared" si="32"/>
        <v>AA10863</v>
      </c>
      <c r="V114" s="627" t="str">
        <f t="shared" si="45"/>
        <v>1113-TCN17</v>
      </c>
      <c r="W114" s="626">
        <f t="shared" si="46"/>
        <v>1520604</v>
      </c>
      <c r="X114" s="626" t="str">
        <f t="shared" si="47"/>
        <v>HILUX PICK UP D CAB SR A/C</v>
      </c>
      <c r="Y114" s="627">
        <f t="shared" si="48"/>
        <v>2017</v>
      </c>
      <c r="Z114" s="628">
        <f t="shared" si="49"/>
        <v>282019.7</v>
      </c>
      <c r="AA114" s="629"/>
      <c r="AB114" s="664"/>
      <c r="AC114" s="629">
        <f t="shared" si="50"/>
        <v>246423.66</v>
      </c>
      <c r="AD114" s="630">
        <f t="shared" si="51"/>
        <v>0.05</v>
      </c>
      <c r="AE114" s="629">
        <f t="shared" si="52"/>
        <v>4928.3900000000003</v>
      </c>
      <c r="AF114" s="629">
        <f t="shared" si="53"/>
        <v>14100.99</v>
      </c>
      <c r="AG114" s="555">
        <f t="shared" si="37"/>
        <v>0</v>
      </c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ht="12.75" customHeight="1" x14ac:dyDescent="0.2">
      <c r="A115" s="423">
        <f t="shared" si="38"/>
        <v>110</v>
      </c>
      <c r="B115" s="683" t="s">
        <v>2894</v>
      </c>
      <c r="C115" s="699">
        <v>1520604</v>
      </c>
      <c r="D115" s="700">
        <v>7495</v>
      </c>
      <c r="E115" s="701" t="s">
        <v>718</v>
      </c>
      <c r="F115" s="546">
        <v>2017</v>
      </c>
      <c r="G115" s="702">
        <v>42853</v>
      </c>
      <c r="H115" s="703" t="s">
        <v>810</v>
      </c>
      <c r="I115" s="704" t="s">
        <v>3082</v>
      </c>
      <c r="J115" s="705" t="s">
        <v>729</v>
      </c>
      <c r="K115" s="706" t="s">
        <v>3194</v>
      </c>
      <c r="L115" s="707" t="s">
        <v>3348</v>
      </c>
      <c r="M115" s="708">
        <v>282019.7</v>
      </c>
      <c r="N115" s="709">
        <v>14100.99</v>
      </c>
      <c r="O115" s="710">
        <v>47379.31</v>
      </c>
      <c r="P115" s="711">
        <v>343500</v>
      </c>
      <c r="Q115" s="548"/>
      <c r="R115" s="713">
        <v>255426.86</v>
      </c>
      <c r="S115" s="549">
        <f t="shared" si="31"/>
        <v>88073.140000000014</v>
      </c>
      <c r="T115" s="113" t="s">
        <v>131</v>
      </c>
      <c r="U115" s="626" t="str">
        <f t="shared" si="32"/>
        <v>AA10979</v>
      </c>
      <c r="V115" s="627" t="str">
        <f t="shared" si="45"/>
        <v>1192-TCN17</v>
      </c>
      <c r="W115" s="626">
        <f t="shared" si="46"/>
        <v>1520604</v>
      </c>
      <c r="X115" s="626" t="str">
        <f t="shared" si="47"/>
        <v>HILUX PICK UP D CAB SR A/C</v>
      </c>
      <c r="Y115" s="627">
        <f t="shared" si="48"/>
        <v>2017</v>
      </c>
      <c r="Z115" s="628">
        <f t="shared" si="49"/>
        <v>282019.7</v>
      </c>
      <c r="AA115" s="629"/>
      <c r="AB115" s="664"/>
      <c r="AC115" s="629">
        <f t="shared" si="50"/>
        <v>246423.66</v>
      </c>
      <c r="AD115" s="630">
        <f t="shared" si="51"/>
        <v>0.05</v>
      </c>
      <c r="AE115" s="629">
        <f t="shared" si="52"/>
        <v>4928.3900000000003</v>
      </c>
      <c r="AF115" s="629">
        <f t="shared" si="53"/>
        <v>14100.99</v>
      </c>
      <c r="AG115" s="555">
        <f t="shared" si="37"/>
        <v>0</v>
      </c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ht="12.75" customHeight="1" x14ac:dyDescent="0.2">
      <c r="A116" s="423">
        <f t="shared" si="38"/>
        <v>111</v>
      </c>
      <c r="B116" s="683" t="s">
        <v>2891</v>
      </c>
      <c r="C116" s="699">
        <v>1520604</v>
      </c>
      <c r="D116" s="700">
        <v>7495</v>
      </c>
      <c r="E116" s="701" t="s">
        <v>718</v>
      </c>
      <c r="F116" s="546">
        <v>2017</v>
      </c>
      <c r="G116" s="702">
        <v>42850</v>
      </c>
      <c r="H116" s="703" t="s">
        <v>817</v>
      </c>
      <c r="I116" s="704" t="s">
        <v>3081</v>
      </c>
      <c r="J116" s="705" t="s">
        <v>729</v>
      </c>
      <c r="K116" s="706" t="s">
        <v>3193</v>
      </c>
      <c r="L116" s="707" t="s">
        <v>3347</v>
      </c>
      <c r="M116" s="708">
        <v>282019.7</v>
      </c>
      <c r="N116" s="709">
        <v>14100.99</v>
      </c>
      <c r="O116" s="710">
        <v>47379.31</v>
      </c>
      <c r="P116" s="711">
        <v>343500</v>
      </c>
      <c r="Q116" s="548"/>
      <c r="R116" s="713">
        <v>255426.86</v>
      </c>
      <c r="S116" s="549">
        <f t="shared" si="31"/>
        <v>88073.140000000014</v>
      </c>
      <c r="T116" s="267" t="s">
        <v>131</v>
      </c>
      <c r="U116" s="626" t="str">
        <f t="shared" si="32"/>
        <v>AA10940</v>
      </c>
      <c r="V116" s="627" t="str">
        <f t="shared" si="45"/>
        <v>1160-TCN17</v>
      </c>
      <c r="W116" s="626">
        <f t="shared" si="46"/>
        <v>1520604</v>
      </c>
      <c r="X116" s="626" t="str">
        <f t="shared" si="47"/>
        <v>HILUX PICK UP D CAB SR A/C</v>
      </c>
      <c r="Y116" s="627">
        <f t="shared" si="48"/>
        <v>2017</v>
      </c>
      <c r="Z116" s="628">
        <f t="shared" si="49"/>
        <v>282019.7</v>
      </c>
      <c r="AA116" s="629"/>
      <c r="AB116" s="664"/>
      <c r="AC116" s="629">
        <f t="shared" si="50"/>
        <v>246423.66</v>
      </c>
      <c r="AD116" s="630">
        <f t="shared" si="51"/>
        <v>0.05</v>
      </c>
      <c r="AE116" s="629">
        <f t="shared" si="52"/>
        <v>4928.3900000000003</v>
      </c>
      <c r="AF116" s="629">
        <f t="shared" si="53"/>
        <v>14100.99</v>
      </c>
      <c r="AG116" s="555">
        <f t="shared" si="37"/>
        <v>0</v>
      </c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ht="12.75" customHeight="1" x14ac:dyDescent="0.2">
      <c r="A117" s="423">
        <f t="shared" si="38"/>
        <v>112</v>
      </c>
      <c r="B117" s="683" t="s">
        <v>2871</v>
      </c>
      <c r="C117" s="699">
        <v>1520604</v>
      </c>
      <c r="D117" s="700">
        <v>7495</v>
      </c>
      <c r="E117" s="701" t="s">
        <v>718</v>
      </c>
      <c r="F117" s="546">
        <v>2017</v>
      </c>
      <c r="G117" s="702">
        <v>42836</v>
      </c>
      <c r="H117" s="703" t="s">
        <v>1207</v>
      </c>
      <c r="I117" s="704" t="s">
        <v>3068</v>
      </c>
      <c r="J117" s="705" t="s">
        <v>729</v>
      </c>
      <c r="K117" s="706" t="s">
        <v>3183</v>
      </c>
      <c r="L117" s="707" t="s">
        <v>3334</v>
      </c>
      <c r="M117" s="708">
        <v>282019.7</v>
      </c>
      <c r="N117" s="709">
        <v>14100.99</v>
      </c>
      <c r="O117" s="710">
        <v>47379.31</v>
      </c>
      <c r="P117" s="711">
        <v>343500</v>
      </c>
      <c r="Q117" s="548"/>
      <c r="R117" s="713">
        <v>255426.86</v>
      </c>
      <c r="S117" s="549">
        <f t="shared" si="31"/>
        <v>88073.140000000014</v>
      </c>
      <c r="T117" s="267" t="s">
        <v>131</v>
      </c>
      <c r="U117" s="626" t="str">
        <f t="shared" si="32"/>
        <v>AA10831</v>
      </c>
      <c r="V117" s="627" t="str">
        <f t="shared" si="45"/>
        <v>1104-TCN17</v>
      </c>
      <c r="W117" s="626">
        <f t="shared" si="46"/>
        <v>1520604</v>
      </c>
      <c r="X117" s="626" t="str">
        <f t="shared" si="47"/>
        <v>HILUX PICK UP D CAB SR A/C</v>
      </c>
      <c r="Y117" s="627">
        <f t="shared" si="48"/>
        <v>2017</v>
      </c>
      <c r="Z117" s="628">
        <f t="shared" si="49"/>
        <v>282019.7</v>
      </c>
      <c r="AA117" s="629"/>
      <c r="AB117" s="664"/>
      <c r="AC117" s="629">
        <f t="shared" si="50"/>
        <v>246423.66</v>
      </c>
      <c r="AD117" s="630">
        <f t="shared" si="51"/>
        <v>0.05</v>
      </c>
      <c r="AE117" s="629">
        <f t="shared" si="52"/>
        <v>4928.3900000000003</v>
      </c>
      <c r="AF117" s="629">
        <f t="shared" si="53"/>
        <v>14100.99</v>
      </c>
      <c r="AG117" s="555">
        <f t="shared" si="37"/>
        <v>0</v>
      </c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ht="12.75" customHeight="1" x14ac:dyDescent="0.2">
      <c r="A118" s="423">
        <f t="shared" si="38"/>
        <v>113</v>
      </c>
      <c r="B118" s="683" t="s">
        <v>2860</v>
      </c>
      <c r="C118" s="699">
        <v>1520604</v>
      </c>
      <c r="D118" s="700">
        <v>7495</v>
      </c>
      <c r="E118" s="701" t="s">
        <v>718</v>
      </c>
      <c r="F118" s="546">
        <v>2017</v>
      </c>
      <c r="G118" s="702">
        <v>42826</v>
      </c>
      <c r="H118" s="703" t="s">
        <v>792</v>
      </c>
      <c r="I118" s="704" t="s">
        <v>3060</v>
      </c>
      <c r="J118" s="705" t="s">
        <v>729</v>
      </c>
      <c r="K118" s="706" t="s">
        <v>3178</v>
      </c>
      <c r="L118" s="707" t="s">
        <v>3326</v>
      </c>
      <c r="M118" s="708">
        <v>282019.7</v>
      </c>
      <c r="N118" s="709">
        <v>14100.99</v>
      </c>
      <c r="O118" s="710">
        <v>47379.31</v>
      </c>
      <c r="P118" s="711">
        <v>343500</v>
      </c>
      <c r="Q118" s="548"/>
      <c r="R118" s="713">
        <v>255426.85</v>
      </c>
      <c r="S118" s="549">
        <f t="shared" si="31"/>
        <v>88073.15</v>
      </c>
      <c r="T118" s="113" t="s">
        <v>131</v>
      </c>
      <c r="U118" s="626" t="str">
        <f t="shared" si="32"/>
        <v>AA10780</v>
      </c>
      <c r="V118" s="627" t="str">
        <f t="shared" si="45"/>
        <v>1072-TCN17</v>
      </c>
      <c r="W118" s="626">
        <f t="shared" si="46"/>
        <v>1520604</v>
      </c>
      <c r="X118" s="626" t="str">
        <f t="shared" si="47"/>
        <v>HILUX PICK UP D CAB SR A/C</v>
      </c>
      <c r="Y118" s="627">
        <f t="shared" si="48"/>
        <v>2017</v>
      </c>
      <c r="Z118" s="628">
        <f t="shared" si="49"/>
        <v>282019.7</v>
      </c>
      <c r="AA118" s="629"/>
      <c r="AB118" s="664"/>
      <c r="AC118" s="629">
        <f t="shared" si="50"/>
        <v>246423.66</v>
      </c>
      <c r="AD118" s="630">
        <f t="shared" si="51"/>
        <v>0.05</v>
      </c>
      <c r="AE118" s="629">
        <f t="shared" si="52"/>
        <v>4928.3900000000003</v>
      </c>
      <c r="AF118" s="629">
        <f t="shared" si="53"/>
        <v>14100.99</v>
      </c>
      <c r="AG118" s="555">
        <f t="shared" si="37"/>
        <v>0</v>
      </c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ht="12.75" customHeight="1" x14ac:dyDescent="0.2">
      <c r="A119" s="423">
        <f t="shared" si="38"/>
        <v>114</v>
      </c>
      <c r="B119" s="683" t="s">
        <v>2872</v>
      </c>
      <c r="C119" s="699">
        <v>1520604</v>
      </c>
      <c r="D119" s="700">
        <v>7495</v>
      </c>
      <c r="E119" s="701" t="s">
        <v>718</v>
      </c>
      <c r="F119" s="546">
        <v>2017</v>
      </c>
      <c r="G119" s="702">
        <v>42836</v>
      </c>
      <c r="H119" s="703" t="s">
        <v>739</v>
      </c>
      <c r="I119" s="704" t="s">
        <v>3069</v>
      </c>
      <c r="J119" s="705" t="s">
        <v>729</v>
      </c>
      <c r="K119" s="706" t="s">
        <v>3184</v>
      </c>
      <c r="L119" s="707" t="s">
        <v>3335</v>
      </c>
      <c r="M119" s="708">
        <v>282019.7</v>
      </c>
      <c r="N119" s="709">
        <v>14100.99</v>
      </c>
      <c r="O119" s="710">
        <v>47379.31</v>
      </c>
      <c r="P119" s="711">
        <v>343500</v>
      </c>
      <c r="Q119" s="548"/>
      <c r="R119" s="713">
        <v>255426.86</v>
      </c>
      <c r="S119" s="549">
        <f t="shared" si="31"/>
        <v>88073.140000000014</v>
      </c>
      <c r="T119" s="113" t="s">
        <v>131</v>
      </c>
      <c r="U119" s="626" t="str">
        <f t="shared" si="32"/>
        <v>AA10836</v>
      </c>
      <c r="V119" s="627" t="str">
        <f t="shared" si="45"/>
        <v>1107-TCN17</v>
      </c>
      <c r="W119" s="626">
        <f t="shared" si="46"/>
        <v>1520604</v>
      </c>
      <c r="X119" s="626" t="str">
        <f t="shared" si="47"/>
        <v>HILUX PICK UP D CAB SR A/C</v>
      </c>
      <c r="Y119" s="627">
        <f t="shared" si="48"/>
        <v>2017</v>
      </c>
      <c r="Z119" s="628">
        <f t="shared" si="49"/>
        <v>282019.7</v>
      </c>
      <c r="AA119" s="629"/>
      <c r="AB119" s="664"/>
      <c r="AC119" s="629">
        <f t="shared" si="50"/>
        <v>246423.66</v>
      </c>
      <c r="AD119" s="630">
        <f t="shared" si="51"/>
        <v>0.05</v>
      </c>
      <c r="AE119" s="629">
        <f t="shared" si="52"/>
        <v>4928.3900000000003</v>
      </c>
      <c r="AF119" s="629">
        <f t="shared" si="53"/>
        <v>14100.99</v>
      </c>
      <c r="AG119" s="555">
        <f t="shared" si="37"/>
        <v>0</v>
      </c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ht="12.75" customHeight="1" x14ac:dyDescent="0.2">
      <c r="A120" s="423">
        <f t="shared" si="38"/>
        <v>115</v>
      </c>
      <c r="B120" s="683" t="s">
        <v>2897</v>
      </c>
      <c r="C120" s="699">
        <v>1520604</v>
      </c>
      <c r="D120" s="700">
        <v>7495</v>
      </c>
      <c r="E120" s="701" t="s">
        <v>718</v>
      </c>
      <c r="F120" s="546">
        <v>2017</v>
      </c>
      <c r="G120" s="702">
        <v>42854</v>
      </c>
      <c r="H120" s="703" t="s">
        <v>722</v>
      </c>
      <c r="I120" s="704" t="s">
        <v>3085</v>
      </c>
      <c r="J120" s="705" t="s">
        <v>729</v>
      </c>
      <c r="K120" s="706" t="s">
        <v>3195</v>
      </c>
      <c r="L120" s="707" t="s">
        <v>3351</v>
      </c>
      <c r="M120" s="708">
        <v>282019.7</v>
      </c>
      <c r="N120" s="709">
        <v>14100.99</v>
      </c>
      <c r="O120" s="710">
        <v>47379.31</v>
      </c>
      <c r="P120" s="711">
        <v>343500</v>
      </c>
      <c r="Q120" s="548"/>
      <c r="R120" s="713">
        <v>255426.86</v>
      </c>
      <c r="S120" s="549">
        <f t="shared" si="31"/>
        <v>88073.140000000014</v>
      </c>
      <c r="T120" s="444" t="s">
        <v>131</v>
      </c>
      <c r="U120" s="626" t="str">
        <f t="shared" si="32"/>
        <v>AA10997</v>
      </c>
      <c r="V120" s="627" t="str">
        <f t="shared" si="45"/>
        <v>1200-TCN17</v>
      </c>
      <c r="W120" s="626">
        <f t="shared" si="46"/>
        <v>1520604</v>
      </c>
      <c r="X120" s="626" t="str">
        <f t="shared" si="47"/>
        <v>HILUX PICK UP D CAB SR A/C</v>
      </c>
      <c r="Y120" s="627">
        <f t="shared" si="48"/>
        <v>2017</v>
      </c>
      <c r="Z120" s="628">
        <f t="shared" si="49"/>
        <v>282019.7</v>
      </c>
      <c r="AA120" s="629">
        <f>+SUM(Z100:Z120)</f>
        <v>5922413.700000002</v>
      </c>
      <c r="AB120" s="677">
        <v>21</v>
      </c>
      <c r="AC120" s="629">
        <f t="shared" si="50"/>
        <v>246423.66</v>
      </c>
      <c r="AD120" s="630">
        <f t="shared" si="51"/>
        <v>0.05</v>
      </c>
      <c r="AE120" s="629">
        <f t="shared" si="52"/>
        <v>4928.3900000000003</v>
      </c>
      <c r="AF120" s="629">
        <f t="shared" si="53"/>
        <v>14100.99</v>
      </c>
      <c r="AG120" s="555">
        <f t="shared" si="37"/>
        <v>0</v>
      </c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ht="12.75" customHeight="1" x14ac:dyDescent="0.2">
      <c r="A121" s="423">
        <f t="shared" si="38"/>
        <v>116</v>
      </c>
      <c r="B121" s="683" t="s">
        <v>2807</v>
      </c>
      <c r="C121" s="699">
        <v>520818</v>
      </c>
      <c r="D121" s="700">
        <v>4495</v>
      </c>
      <c r="E121" s="701" t="s">
        <v>1519</v>
      </c>
      <c r="F121" s="546">
        <v>2017</v>
      </c>
      <c r="G121" s="702">
        <v>42852</v>
      </c>
      <c r="H121" s="703" t="s">
        <v>819</v>
      </c>
      <c r="I121" s="704" t="s">
        <v>3030</v>
      </c>
      <c r="J121" s="705" t="s">
        <v>729</v>
      </c>
      <c r="K121" s="706" t="s">
        <v>830</v>
      </c>
      <c r="L121" s="707" t="s">
        <v>3296</v>
      </c>
      <c r="M121" s="708">
        <v>-407598.37</v>
      </c>
      <c r="N121" s="709">
        <v>-21711.97</v>
      </c>
      <c r="O121" s="710">
        <v>-68689.66</v>
      </c>
      <c r="P121" s="711">
        <v>-498000</v>
      </c>
      <c r="Q121" s="548"/>
      <c r="R121" s="713">
        <v>-356670.4</v>
      </c>
      <c r="S121" s="549">
        <f t="shared" si="31"/>
        <v>-141329.59999999998</v>
      </c>
      <c r="T121" s="267" t="s">
        <v>1268</v>
      </c>
      <c r="U121" s="626"/>
      <c r="V121" s="627"/>
      <c r="W121" s="626"/>
      <c r="X121" s="626"/>
      <c r="Y121" s="627"/>
      <c r="Z121" s="628"/>
      <c r="AA121" s="629"/>
      <c r="AB121" s="677"/>
      <c r="AC121" s="629"/>
      <c r="AD121" s="630"/>
      <c r="AE121" s="629"/>
      <c r="AF121" s="629"/>
      <c r="AG121" s="555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ht="12.75" customHeight="1" x14ac:dyDescent="0.2">
      <c r="A122" s="423">
        <f t="shared" si="38"/>
        <v>117</v>
      </c>
      <c r="B122" s="683" t="s">
        <v>2808</v>
      </c>
      <c r="C122" s="699">
        <v>520818</v>
      </c>
      <c r="D122" s="700">
        <v>4495</v>
      </c>
      <c r="E122" s="701" t="s">
        <v>1519</v>
      </c>
      <c r="F122" s="546">
        <v>2017</v>
      </c>
      <c r="G122" s="702">
        <v>42852</v>
      </c>
      <c r="H122" s="703" t="s">
        <v>819</v>
      </c>
      <c r="I122" s="704" t="s">
        <v>3030</v>
      </c>
      <c r="J122" s="705" t="s">
        <v>729</v>
      </c>
      <c r="K122" s="706" t="s">
        <v>830</v>
      </c>
      <c r="L122" s="707" t="s">
        <v>3296</v>
      </c>
      <c r="M122" s="708">
        <v>407598.37</v>
      </c>
      <c r="N122" s="709">
        <v>21711.97</v>
      </c>
      <c r="O122" s="710">
        <v>68689.66</v>
      </c>
      <c r="P122" s="711">
        <v>498000</v>
      </c>
      <c r="Q122" s="548"/>
      <c r="R122" s="713">
        <v>356670.4</v>
      </c>
      <c r="S122" s="549">
        <f t="shared" si="31"/>
        <v>141329.59999999998</v>
      </c>
      <c r="T122" s="113" t="s">
        <v>1268</v>
      </c>
      <c r="U122" s="626"/>
      <c r="V122" s="627"/>
      <c r="W122" s="626"/>
      <c r="X122" s="626"/>
      <c r="Y122" s="627"/>
      <c r="Z122" s="628"/>
      <c r="AA122" s="629"/>
      <c r="AB122" s="677"/>
      <c r="AC122" s="629"/>
      <c r="AD122" s="630"/>
      <c r="AE122" s="629"/>
      <c r="AF122" s="629"/>
      <c r="AG122" s="555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ht="12.75" customHeight="1" x14ac:dyDescent="0.2">
      <c r="A123" s="423">
        <f t="shared" si="38"/>
        <v>118</v>
      </c>
      <c r="B123" s="683" t="s">
        <v>2688</v>
      </c>
      <c r="C123" s="699">
        <v>522403</v>
      </c>
      <c r="D123" s="700">
        <v>1060</v>
      </c>
      <c r="E123" s="701" t="s">
        <v>267</v>
      </c>
      <c r="F123" s="546">
        <v>2017</v>
      </c>
      <c r="G123" s="702">
        <v>42843</v>
      </c>
      <c r="H123" s="703" t="s">
        <v>747</v>
      </c>
      <c r="I123" s="704" t="s">
        <v>2955</v>
      </c>
      <c r="J123" s="705" t="s">
        <v>724</v>
      </c>
      <c r="K123" s="706" t="s">
        <v>3115</v>
      </c>
      <c r="L123" s="707" t="s">
        <v>3221</v>
      </c>
      <c r="M123" s="708">
        <v>-204655.17</v>
      </c>
      <c r="N123" s="709">
        <v>0</v>
      </c>
      <c r="O123" s="710">
        <v>-32744.83</v>
      </c>
      <c r="P123" s="711">
        <v>-237400</v>
      </c>
      <c r="Q123" s="548"/>
      <c r="R123" s="713">
        <v>-185478.43</v>
      </c>
      <c r="S123" s="549">
        <f t="shared" si="31"/>
        <v>-51921.570000000007</v>
      </c>
      <c r="T123" s="113" t="s">
        <v>1268</v>
      </c>
      <c r="U123" s="626"/>
      <c r="V123" s="627"/>
      <c r="W123" s="626"/>
      <c r="X123" s="626"/>
      <c r="Y123" s="627"/>
      <c r="Z123" s="628"/>
      <c r="AA123" s="629"/>
      <c r="AB123" s="677"/>
      <c r="AC123" s="629"/>
      <c r="AD123" s="630"/>
      <c r="AE123" s="629"/>
      <c r="AF123" s="629"/>
      <c r="AG123" s="555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ht="12.75" customHeight="1" x14ac:dyDescent="0.2">
      <c r="A124" s="423">
        <f t="shared" si="38"/>
        <v>119</v>
      </c>
      <c r="B124" s="683" t="s">
        <v>2689</v>
      </c>
      <c r="C124" s="699">
        <v>522403</v>
      </c>
      <c r="D124" s="700">
        <v>1060</v>
      </c>
      <c r="E124" s="701" t="s">
        <v>267</v>
      </c>
      <c r="F124" s="546">
        <v>2017</v>
      </c>
      <c r="G124" s="702">
        <v>42843</v>
      </c>
      <c r="H124" s="703" t="s">
        <v>747</v>
      </c>
      <c r="I124" s="704" t="s">
        <v>2955</v>
      </c>
      <c r="J124" s="705" t="s">
        <v>724</v>
      </c>
      <c r="K124" s="706" t="s">
        <v>3115</v>
      </c>
      <c r="L124" s="707" t="s">
        <v>3221</v>
      </c>
      <c r="M124" s="708">
        <v>204655.17</v>
      </c>
      <c r="N124" s="709">
        <v>0</v>
      </c>
      <c r="O124" s="710">
        <v>32744.83</v>
      </c>
      <c r="P124" s="711">
        <v>237400</v>
      </c>
      <c r="Q124" s="548"/>
      <c r="R124" s="713">
        <v>185478.43</v>
      </c>
      <c r="S124" s="549">
        <f t="shared" si="31"/>
        <v>51921.570000000007</v>
      </c>
      <c r="T124" s="267" t="s">
        <v>1268</v>
      </c>
      <c r="U124" s="626"/>
      <c r="V124" s="627"/>
      <c r="W124" s="626"/>
      <c r="X124" s="626"/>
      <c r="Y124" s="627"/>
      <c r="Z124" s="628"/>
      <c r="AA124" s="629"/>
      <c r="AB124" s="677"/>
      <c r="AC124" s="629"/>
      <c r="AD124" s="630"/>
      <c r="AE124" s="629"/>
      <c r="AF124" s="629"/>
      <c r="AG124" s="555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ht="12.75" customHeight="1" x14ac:dyDescent="0.2">
      <c r="A125" s="423">
        <f t="shared" si="38"/>
        <v>120</v>
      </c>
      <c r="B125" s="683" t="s">
        <v>2839</v>
      </c>
      <c r="C125" s="699">
        <v>521908</v>
      </c>
      <c r="D125" s="700">
        <v>6980</v>
      </c>
      <c r="E125" s="701" t="s">
        <v>706</v>
      </c>
      <c r="F125" s="546">
        <v>2017</v>
      </c>
      <c r="G125" s="702">
        <v>42843</v>
      </c>
      <c r="H125" s="703" t="s">
        <v>908</v>
      </c>
      <c r="I125" s="704" t="s">
        <v>3046</v>
      </c>
      <c r="J125" s="705" t="s">
        <v>729</v>
      </c>
      <c r="K125" s="706" t="s">
        <v>3171</v>
      </c>
      <c r="L125" s="707" t="s">
        <v>3312</v>
      </c>
      <c r="M125" s="708">
        <v>-496630.49</v>
      </c>
      <c r="N125" s="709">
        <v>-36128.129999999997</v>
      </c>
      <c r="O125" s="710">
        <v>-85241.38</v>
      </c>
      <c r="P125" s="711">
        <v>-618000</v>
      </c>
      <c r="Q125" s="548"/>
      <c r="R125" s="713">
        <v>-439547.74</v>
      </c>
      <c r="S125" s="549">
        <f t="shared" si="31"/>
        <v>-178452.26</v>
      </c>
      <c r="T125" s="267" t="s">
        <v>1268</v>
      </c>
      <c r="U125" s="626"/>
      <c r="V125" s="627"/>
      <c r="W125" s="626"/>
      <c r="X125" s="626"/>
      <c r="Y125" s="627"/>
      <c r="Z125" s="628"/>
      <c r="AA125" s="629"/>
      <c r="AB125" s="677"/>
      <c r="AC125" s="629"/>
      <c r="AD125" s="630"/>
      <c r="AE125" s="629"/>
      <c r="AF125" s="629"/>
      <c r="AG125" s="555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ht="12.75" customHeight="1" x14ac:dyDescent="0.2">
      <c r="A126" s="423">
        <f t="shared" si="38"/>
        <v>121</v>
      </c>
      <c r="B126" s="683" t="s">
        <v>2840</v>
      </c>
      <c r="C126" s="699">
        <v>521908</v>
      </c>
      <c r="D126" s="700">
        <v>6980</v>
      </c>
      <c r="E126" s="701" t="s">
        <v>706</v>
      </c>
      <c r="F126" s="546">
        <v>2017</v>
      </c>
      <c r="G126" s="702">
        <v>42843</v>
      </c>
      <c r="H126" s="703" t="s">
        <v>908</v>
      </c>
      <c r="I126" s="704" t="s">
        <v>3046</v>
      </c>
      <c r="J126" s="705" t="s">
        <v>729</v>
      </c>
      <c r="K126" s="706" t="s">
        <v>3171</v>
      </c>
      <c r="L126" s="707" t="s">
        <v>3312</v>
      </c>
      <c r="M126" s="708">
        <v>496630.49</v>
      </c>
      <c r="N126" s="709">
        <v>36128.129999999997</v>
      </c>
      <c r="O126" s="710">
        <v>85241.38</v>
      </c>
      <c r="P126" s="711">
        <v>618000</v>
      </c>
      <c r="Q126" s="548"/>
      <c r="R126" s="713">
        <v>439547.74</v>
      </c>
      <c r="S126" s="549">
        <f t="shared" si="31"/>
        <v>178452.26</v>
      </c>
      <c r="T126" s="113" t="s">
        <v>1268</v>
      </c>
      <c r="U126" s="626"/>
      <c r="V126" s="627"/>
      <c r="W126" s="626"/>
      <c r="X126" s="626"/>
      <c r="Y126" s="627"/>
      <c r="Z126" s="628"/>
      <c r="AA126" s="629"/>
      <c r="AB126" s="677"/>
      <c r="AC126" s="629"/>
      <c r="AD126" s="630"/>
      <c r="AE126" s="629"/>
      <c r="AF126" s="629"/>
      <c r="AG126" s="555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ht="12.75" customHeight="1" x14ac:dyDescent="0.2">
      <c r="A127" s="423">
        <f t="shared" si="38"/>
        <v>122</v>
      </c>
      <c r="B127" s="683" t="s">
        <v>2811</v>
      </c>
      <c r="C127" s="699">
        <v>520513</v>
      </c>
      <c r="D127" s="700">
        <v>5396</v>
      </c>
      <c r="E127" s="701" t="s">
        <v>132</v>
      </c>
      <c r="F127" s="546">
        <v>2017</v>
      </c>
      <c r="G127" s="702">
        <v>42837</v>
      </c>
      <c r="H127" s="703" t="s">
        <v>760</v>
      </c>
      <c r="I127" s="704" t="s">
        <v>3032</v>
      </c>
      <c r="J127" s="705" t="s">
        <v>729</v>
      </c>
      <c r="K127" s="706" t="s">
        <v>3165</v>
      </c>
      <c r="L127" s="707" t="s">
        <v>3298</v>
      </c>
      <c r="M127" s="708">
        <v>-470326.34</v>
      </c>
      <c r="N127" s="709">
        <v>-31656.42</v>
      </c>
      <c r="O127" s="710">
        <v>-80317.240000000005</v>
      </c>
      <c r="P127" s="711">
        <v>-582300</v>
      </c>
      <c r="Q127" s="548"/>
      <c r="R127" s="713">
        <v>-416400.08</v>
      </c>
      <c r="S127" s="549">
        <f t="shared" si="31"/>
        <v>-165899.91999999998</v>
      </c>
      <c r="T127" s="113" t="s">
        <v>1268</v>
      </c>
      <c r="U127" s="626"/>
      <c r="V127" s="627"/>
      <c r="W127" s="626"/>
      <c r="X127" s="626"/>
      <c r="Y127" s="627"/>
      <c r="Z127" s="628"/>
      <c r="AA127" s="629"/>
      <c r="AB127" s="677"/>
      <c r="AC127" s="629"/>
      <c r="AD127" s="630"/>
      <c r="AE127" s="629"/>
      <c r="AF127" s="629"/>
      <c r="AG127" s="555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ht="12.75" customHeight="1" x14ac:dyDescent="0.2">
      <c r="A128" s="423">
        <f t="shared" si="38"/>
        <v>123</v>
      </c>
      <c r="B128" s="683" t="s">
        <v>2812</v>
      </c>
      <c r="C128" s="699">
        <v>520513</v>
      </c>
      <c r="D128" s="700">
        <v>5396</v>
      </c>
      <c r="E128" s="701" t="s">
        <v>132</v>
      </c>
      <c r="F128" s="546">
        <v>2017</v>
      </c>
      <c r="G128" s="702">
        <v>42837</v>
      </c>
      <c r="H128" s="703" t="s">
        <v>760</v>
      </c>
      <c r="I128" s="704" t="s">
        <v>3032</v>
      </c>
      <c r="J128" s="705" t="s">
        <v>729</v>
      </c>
      <c r="K128" s="706" t="s">
        <v>3165</v>
      </c>
      <c r="L128" s="707" t="s">
        <v>3298</v>
      </c>
      <c r="M128" s="708">
        <v>470326.34</v>
      </c>
      <c r="N128" s="709">
        <v>31656.42</v>
      </c>
      <c r="O128" s="710">
        <v>80317.240000000005</v>
      </c>
      <c r="P128" s="711">
        <v>582300</v>
      </c>
      <c r="Q128" s="548"/>
      <c r="R128" s="713">
        <v>416400.08</v>
      </c>
      <c r="S128" s="549">
        <f t="shared" si="31"/>
        <v>165899.91999999998</v>
      </c>
      <c r="T128" s="267" t="s">
        <v>1268</v>
      </c>
      <c r="U128" s="626"/>
      <c r="V128" s="627"/>
      <c r="W128" s="626"/>
      <c r="X128" s="626"/>
      <c r="Y128" s="627"/>
      <c r="Z128" s="628"/>
      <c r="AA128" s="629"/>
      <c r="AB128" s="677"/>
      <c r="AC128" s="629"/>
      <c r="AD128" s="630"/>
      <c r="AE128" s="629"/>
      <c r="AF128" s="629"/>
      <c r="AG128" s="555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ht="12.75" customHeight="1" x14ac:dyDescent="0.2">
      <c r="A129" s="423">
        <f t="shared" si="38"/>
        <v>124</v>
      </c>
      <c r="B129" s="683" t="s">
        <v>2815</v>
      </c>
      <c r="C129" s="699">
        <v>520514</v>
      </c>
      <c r="D129" s="700">
        <v>5398</v>
      </c>
      <c r="E129" s="701" t="s">
        <v>117</v>
      </c>
      <c r="F129" s="546">
        <v>2017</v>
      </c>
      <c r="G129" s="702">
        <v>42830</v>
      </c>
      <c r="H129" s="703" t="s">
        <v>2215</v>
      </c>
      <c r="I129" s="704" t="s">
        <v>2294</v>
      </c>
      <c r="J129" s="705" t="s">
        <v>729</v>
      </c>
      <c r="K129" s="706" t="s">
        <v>3167</v>
      </c>
      <c r="L129" s="707" t="s">
        <v>2592</v>
      </c>
      <c r="M129" s="708">
        <v>-515345.49</v>
      </c>
      <c r="N129" s="709">
        <v>-39309.68</v>
      </c>
      <c r="O129" s="710">
        <v>-88744.83</v>
      </c>
      <c r="P129" s="711">
        <v>-643400</v>
      </c>
      <c r="Q129" s="548"/>
      <c r="R129" s="713">
        <v>-455911.22</v>
      </c>
      <c r="S129" s="549">
        <f t="shared" si="31"/>
        <v>-187488.78000000003</v>
      </c>
      <c r="T129" s="113" t="s">
        <v>1268</v>
      </c>
      <c r="U129" s="626"/>
      <c r="V129" s="627"/>
      <c r="W129" s="626"/>
      <c r="X129" s="626"/>
      <c r="Y129" s="627"/>
      <c r="Z129" s="628"/>
      <c r="AA129" s="629"/>
      <c r="AB129" s="677"/>
      <c r="AC129" s="629"/>
      <c r="AD129" s="630"/>
      <c r="AE129" s="629"/>
      <c r="AF129" s="629"/>
      <c r="AG129" s="555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ht="12.75" customHeight="1" x14ac:dyDescent="0.2">
      <c r="A130" s="423">
        <f t="shared" si="38"/>
        <v>125</v>
      </c>
      <c r="B130" s="683" t="s">
        <v>2816</v>
      </c>
      <c r="C130" s="699">
        <v>520514</v>
      </c>
      <c r="D130" s="700">
        <v>5398</v>
      </c>
      <c r="E130" s="701" t="s">
        <v>117</v>
      </c>
      <c r="F130" s="546">
        <v>2017</v>
      </c>
      <c r="G130" s="702">
        <v>42830</v>
      </c>
      <c r="H130" s="703" t="s">
        <v>2215</v>
      </c>
      <c r="I130" s="704" t="s">
        <v>2294</v>
      </c>
      <c r="J130" s="705" t="s">
        <v>729</v>
      </c>
      <c r="K130" s="706" t="s">
        <v>3167</v>
      </c>
      <c r="L130" s="707" t="s">
        <v>2592</v>
      </c>
      <c r="M130" s="708">
        <v>515345.49</v>
      </c>
      <c r="N130" s="709">
        <v>39309.68</v>
      </c>
      <c r="O130" s="710">
        <v>88744.83</v>
      </c>
      <c r="P130" s="711">
        <v>643400</v>
      </c>
      <c r="Q130" s="548"/>
      <c r="R130" s="713">
        <v>455911.22</v>
      </c>
      <c r="S130" s="549">
        <f t="shared" si="31"/>
        <v>187488.78000000003</v>
      </c>
      <c r="T130" s="113" t="s">
        <v>1268</v>
      </c>
      <c r="U130" s="626"/>
      <c r="V130" s="627"/>
      <c r="W130" s="626"/>
      <c r="X130" s="626"/>
      <c r="Y130" s="627"/>
      <c r="Z130" s="628"/>
      <c r="AA130" s="629"/>
      <c r="AB130" s="677"/>
      <c r="AC130" s="629"/>
      <c r="AD130" s="630"/>
      <c r="AE130" s="629"/>
      <c r="AF130" s="629"/>
      <c r="AG130" s="555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ht="12.75" customHeight="1" x14ac:dyDescent="0.2">
      <c r="A131" s="423">
        <f t="shared" si="38"/>
        <v>126</v>
      </c>
      <c r="B131" s="683" t="s">
        <v>2707</v>
      </c>
      <c r="C131" s="699">
        <v>520224</v>
      </c>
      <c r="D131" s="700">
        <v>1781</v>
      </c>
      <c r="E131" s="701" t="s">
        <v>690</v>
      </c>
      <c r="F131" s="546">
        <v>2017</v>
      </c>
      <c r="G131" s="702">
        <v>42852</v>
      </c>
      <c r="H131" s="703" t="s">
        <v>774</v>
      </c>
      <c r="I131" s="704" t="s">
        <v>2964</v>
      </c>
      <c r="J131" s="705" t="s">
        <v>724</v>
      </c>
      <c r="K131" s="706" t="s">
        <v>830</v>
      </c>
      <c r="L131" s="707" t="s">
        <v>3230</v>
      </c>
      <c r="M131" s="708">
        <v>-255750.9</v>
      </c>
      <c r="N131" s="709">
        <v>-2697.38</v>
      </c>
      <c r="O131" s="710">
        <v>-41351.72</v>
      </c>
      <c r="P131" s="711">
        <v>-299800</v>
      </c>
      <c r="Q131" s="548"/>
      <c r="R131" s="713">
        <v>-238419.3</v>
      </c>
      <c r="S131" s="549">
        <f t="shared" si="31"/>
        <v>-61380.700000000012</v>
      </c>
      <c r="T131" s="113" t="s">
        <v>1268</v>
      </c>
      <c r="U131" s="626"/>
      <c r="V131" s="627"/>
      <c r="W131" s="626"/>
      <c r="X131" s="626"/>
      <c r="Y131" s="627"/>
      <c r="Z131" s="628"/>
      <c r="AA131" s="629"/>
      <c r="AB131" s="677"/>
      <c r="AC131" s="629"/>
      <c r="AD131" s="630"/>
      <c r="AE131" s="629"/>
      <c r="AF131" s="629"/>
      <c r="AG131" s="555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ht="12.75" customHeight="1" x14ac:dyDescent="0.2">
      <c r="A132" s="423">
        <f t="shared" si="38"/>
        <v>127</v>
      </c>
      <c r="B132" s="683" t="s">
        <v>2708</v>
      </c>
      <c r="C132" s="699">
        <v>520224</v>
      </c>
      <c r="D132" s="700">
        <v>1781</v>
      </c>
      <c r="E132" s="701" t="s">
        <v>690</v>
      </c>
      <c r="F132" s="546">
        <v>2017</v>
      </c>
      <c r="G132" s="702">
        <v>42852</v>
      </c>
      <c r="H132" s="703" t="s">
        <v>774</v>
      </c>
      <c r="I132" s="704" t="s">
        <v>2964</v>
      </c>
      <c r="J132" s="705" t="s">
        <v>724</v>
      </c>
      <c r="K132" s="706" t="s">
        <v>830</v>
      </c>
      <c r="L132" s="707" t="s">
        <v>3230</v>
      </c>
      <c r="M132" s="708">
        <v>255750.9</v>
      </c>
      <c r="N132" s="709">
        <v>2697.38</v>
      </c>
      <c r="O132" s="710">
        <v>41351.72</v>
      </c>
      <c r="P132" s="711">
        <v>299800</v>
      </c>
      <c r="Q132" s="548"/>
      <c r="R132" s="713">
        <v>238419.3</v>
      </c>
      <c r="S132" s="549">
        <f t="shared" si="31"/>
        <v>61380.700000000012</v>
      </c>
      <c r="T132" s="445" t="s">
        <v>1268</v>
      </c>
      <c r="U132" s="626"/>
      <c r="V132" s="627"/>
      <c r="W132" s="626"/>
      <c r="X132" s="626"/>
      <c r="Y132" s="627"/>
      <c r="Z132" s="628"/>
      <c r="AA132" s="629"/>
      <c r="AB132" s="677"/>
      <c r="AC132" s="629"/>
      <c r="AD132" s="630"/>
      <c r="AE132" s="629"/>
      <c r="AF132" s="629"/>
      <c r="AG132" s="555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ht="12.75" customHeight="1" x14ac:dyDescent="0.2">
      <c r="A133" s="423">
        <f t="shared" si="38"/>
        <v>128</v>
      </c>
      <c r="B133" s="683" t="s">
        <v>2714</v>
      </c>
      <c r="C133" s="699">
        <v>520220</v>
      </c>
      <c r="D133" s="700">
        <v>1794</v>
      </c>
      <c r="E133" s="701" t="s">
        <v>687</v>
      </c>
      <c r="F133" s="546">
        <v>2017</v>
      </c>
      <c r="G133" s="702">
        <v>42844</v>
      </c>
      <c r="H133" s="703" t="s">
        <v>774</v>
      </c>
      <c r="I133" s="704" t="s">
        <v>2968</v>
      </c>
      <c r="J133" s="705" t="s">
        <v>729</v>
      </c>
      <c r="K133" s="706" t="s">
        <v>3122</v>
      </c>
      <c r="L133" s="707" t="s">
        <v>3234</v>
      </c>
      <c r="M133" s="708">
        <v>262226.93</v>
      </c>
      <c r="N133" s="709">
        <v>2859.28</v>
      </c>
      <c r="O133" s="710">
        <v>42413.79</v>
      </c>
      <c r="P133" s="711">
        <v>307500</v>
      </c>
      <c r="Q133" s="548"/>
      <c r="R133" s="713">
        <v>230484.92</v>
      </c>
      <c r="S133" s="549">
        <f t="shared" si="31"/>
        <v>77015.079999999987</v>
      </c>
      <c r="T133" s="113" t="s">
        <v>1268</v>
      </c>
      <c r="U133" s="626"/>
      <c r="V133" s="627"/>
      <c r="W133" s="626"/>
      <c r="X133" s="626"/>
      <c r="Y133" s="627"/>
      <c r="Z133" s="628"/>
      <c r="AA133" s="629"/>
      <c r="AB133" s="677"/>
      <c r="AC133" s="629"/>
      <c r="AD133" s="630"/>
      <c r="AE133" s="629"/>
      <c r="AF133" s="629"/>
      <c r="AG133" s="555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ht="12.75" customHeight="1" x14ac:dyDescent="0.2">
      <c r="A134" s="423">
        <f t="shared" si="38"/>
        <v>129</v>
      </c>
      <c r="B134" s="683" t="s">
        <v>2715</v>
      </c>
      <c r="C134" s="699">
        <v>520220</v>
      </c>
      <c r="D134" s="700">
        <v>1794</v>
      </c>
      <c r="E134" s="701" t="s">
        <v>687</v>
      </c>
      <c r="F134" s="546">
        <v>2017</v>
      </c>
      <c r="G134" s="702">
        <v>42845</v>
      </c>
      <c r="H134" s="703" t="s">
        <v>774</v>
      </c>
      <c r="I134" s="704" t="s">
        <v>2968</v>
      </c>
      <c r="J134" s="705" t="s">
        <v>729</v>
      </c>
      <c r="K134" s="706" t="s">
        <v>3122</v>
      </c>
      <c r="L134" s="707" t="s">
        <v>3234</v>
      </c>
      <c r="M134" s="708">
        <v>-262226.93</v>
      </c>
      <c r="N134" s="709">
        <v>-2859.28</v>
      </c>
      <c r="O134" s="710">
        <v>-42413.79</v>
      </c>
      <c r="P134" s="711">
        <v>-307500</v>
      </c>
      <c r="Q134" s="548"/>
      <c r="R134" s="713">
        <v>-230484.92</v>
      </c>
      <c r="S134" s="549">
        <f t="shared" ref="S134:S197" si="54">+P134-R134</f>
        <v>-77015.079999999987</v>
      </c>
      <c r="T134" s="267" t="s">
        <v>1268</v>
      </c>
      <c r="U134" s="626"/>
      <c r="V134" s="627"/>
      <c r="W134" s="626"/>
      <c r="X134" s="626"/>
      <c r="Y134" s="627"/>
      <c r="Z134" s="628"/>
      <c r="AA134" s="629"/>
      <c r="AB134" s="677"/>
      <c r="AC134" s="629"/>
      <c r="AD134" s="630"/>
      <c r="AE134" s="629"/>
      <c r="AF134" s="629"/>
      <c r="AG134" s="555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ht="12.75" customHeight="1" x14ac:dyDescent="0.2">
      <c r="A135" s="423">
        <f t="shared" si="38"/>
        <v>130</v>
      </c>
      <c r="B135" s="683" t="s">
        <v>2716</v>
      </c>
      <c r="C135" s="699">
        <v>520220</v>
      </c>
      <c r="D135" s="700">
        <v>1794</v>
      </c>
      <c r="E135" s="701" t="s">
        <v>687</v>
      </c>
      <c r="F135" s="546">
        <v>2017</v>
      </c>
      <c r="G135" s="702">
        <v>42845</v>
      </c>
      <c r="H135" s="703" t="s">
        <v>774</v>
      </c>
      <c r="I135" s="704" t="s">
        <v>2968</v>
      </c>
      <c r="J135" s="705" t="s">
        <v>729</v>
      </c>
      <c r="K135" s="706" t="s">
        <v>3122</v>
      </c>
      <c r="L135" s="707" t="s">
        <v>3234</v>
      </c>
      <c r="M135" s="708">
        <v>-262226.93</v>
      </c>
      <c r="N135" s="709">
        <v>-2859.28</v>
      </c>
      <c r="O135" s="710">
        <v>-42413.79</v>
      </c>
      <c r="P135" s="711">
        <v>-307500</v>
      </c>
      <c r="Q135" s="548"/>
      <c r="R135" s="713">
        <v>-230484.92</v>
      </c>
      <c r="S135" s="549">
        <f t="shared" si="54"/>
        <v>-77015.079999999987</v>
      </c>
      <c r="T135" s="113" t="s">
        <v>1268</v>
      </c>
      <c r="U135" s="626"/>
      <c r="V135" s="627"/>
      <c r="W135" s="626"/>
      <c r="X135" s="626"/>
      <c r="Y135" s="627"/>
      <c r="Z135" s="628"/>
      <c r="AA135" s="629"/>
      <c r="AB135" s="677"/>
      <c r="AC135" s="629"/>
      <c r="AD135" s="630"/>
      <c r="AE135" s="629"/>
      <c r="AF135" s="629"/>
      <c r="AG135" s="555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ht="12.75" customHeight="1" x14ac:dyDescent="0.2">
      <c r="A136" s="423">
        <f t="shared" ref="A136:A199" si="55">+A135+1</f>
        <v>131</v>
      </c>
      <c r="B136" s="683" t="s">
        <v>2717</v>
      </c>
      <c r="C136" s="699">
        <v>520220</v>
      </c>
      <c r="D136" s="700">
        <v>1794</v>
      </c>
      <c r="E136" s="701" t="s">
        <v>687</v>
      </c>
      <c r="F136" s="546">
        <v>2017</v>
      </c>
      <c r="G136" s="702">
        <v>42845</v>
      </c>
      <c r="H136" s="703" t="s">
        <v>774</v>
      </c>
      <c r="I136" s="704" t="s">
        <v>2968</v>
      </c>
      <c r="J136" s="705" t="s">
        <v>729</v>
      </c>
      <c r="K136" s="706" t="s">
        <v>3122</v>
      </c>
      <c r="L136" s="707" t="s">
        <v>3234</v>
      </c>
      <c r="M136" s="708">
        <v>262226.93</v>
      </c>
      <c r="N136" s="709">
        <v>2859.28</v>
      </c>
      <c r="O136" s="710">
        <v>42413.79</v>
      </c>
      <c r="P136" s="711">
        <v>307500</v>
      </c>
      <c r="Q136" s="548"/>
      <c r="R136" s="713">
        <v>230484.92</v>
      </c>
      <c r="S136" s="549">
        <f t="shared" si="54"/>
        <v>77015.079999999987</v>
      </c>
      <c r="T136" s="267" t="s">
        <v>1268</v>
      </c>
      <c r="U136" s="626"/>
      <c r="V136" s="627"/>
      <c r="W136" s="626"/>
      <c r="X136" s="626"/>
      <c r="Y136" s="627"/>
      <c r="Z136" s="628"/>
      <c r="AA136" s="629"/>
      <c r="AB136" s="677"/>
      <c r="AC136" s="629"/>
      <c r="AD136" s="630"/>
      <c r="AE136" s="629"/>
      <c r="AF136" s="629"/>
      <c r="AG136" s="555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ht="12.75" customHeight="1" x14ac:dyDescent="0.2">
      <c r="A137" s="423">
        <f t="shared" si="55"/>
        <v>132</v>
      </c>
      <c r="B137" s="683" t="s">
        <v>2718</v>
      </c>
      <c r="C137" s="699">
        <v>520220</v>
      </c>
      <c r="D137" s="700">
        <v>1794</v>
      </c>
      <c r="E137" s="701" t="s">
        <v>687</v>
      </c>
      <c r="F137" s="546">
        <v>2017</v>
      </c>
      <c r="G137" s="702">
        <v>42845</v>
      </c>
      <c r="H137" s="703" t="s">
        <v>774</v>
      </c>
      <c r="I137" s="704" t="s">
        <v>2968</v>
      </c>
      <c r="J137" s="705" t="s">
        <v>729</v>
      </c>
      <c r="K137" s="706" t="s">
        <v>3122</v>
      </c>
      <c r="L137" s="707" t="s">
        <v>3234</v>
      </c>
      <c r="M137" s="708">
        <v>252134.41</v>
      </c>
      <c r="N137" s="709">
        <v>2606.9699999999998</v>
      </c>
      <c r="O137" s="710">
        <v>40758.620000000003</v>
      </c>
      <c r="P137" s="711">
        <v>295500</v>
      </c>
      <c r="Q137" s="548"/>
      <c r="R137" s="713">
        <v>230484.92</v>
      </c>
      <c r="S137" s="549">
        <f t="shared" si="54"/>
        <v>65015.079999999987</v>
      </c>
      <c r="T137" s="113" t="s">
        <v>1268</v>
      </c>
      <c r="U137" s="626"/>
      <c r="V137" s="627"/>
      <c r="W137" s="626"/>
      <c r="X137" s="626"/>
      <c r="Y137" s="627"/>
      <c r="Z137" s="628"/>
      <c r="AA137" s="629"/>
      <c r="AB137" s="677"/>
      <c r="AC137" s="629"/>
      <c r="AD137" s="630"/>
      <c r="AE137" s="629"/>
      <c r="AF137" s="629"/>
      <c r="AG137" s="555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ht="12.75" customHeight="1" x14ac:dyDescent="0.2">
      <c r="A138" s="423">
        <f t="shared" si="55"/>
        <v>133</v>
      </c>
      <c r="B138" s="683" t="s">
        <v>2719</v>
      </c>
      <c r="C138" s="699">
        <v>520220</v>
      </c>
      <c r="D138" s="700">
        <v>1794</v>
      </c>
      <c r="E138" s="701" t="s">
        <v>687</v>
      </c>
      <c r="F138" s="546">
        <v>2017</v>
      </c>
      <c r="G138" s="702">
        <v>42846</v>
      </c>
      <c r="H138" s="703" t="s">
        <v>774</v>
      </c>
      <c r="I138" s="704" t="s">
        <v>2968</v>
      </c>
      <c r="J138" s="705" t="s">
        <v>729</v>
      </c>
      <c r="K138" s="706" t="s">
        <v>3122</v>
      </c>
      <c r="L138" s="707" t="s">
        <v>3234</v>
      </c>
      <c r="M138" s="708">
        <v>-252134.41</v>
      </c>
      <c r="N138" s="709">
        <v>-2606.9699999999998</v>
      </c>
      <c r="O138" s="710">
        <v>-40758.620000000003</v>
      </c>
      <c r="P138" s="711">
        <v>-295500</v>
      </c>
      <c r="Q138" s="548"/>
      <c r="R138" s="713">
        <v>-230484.92</v>
      </c>
      <c r="S138" s="549">
        <f t="shared" si="54"/>
        <v>-65015.079999999987</v>
      </c>
      <c r="T138" s="113" t="s">
        <v>1268</v>
      </c>
      <c r="U138" s="626"/>
      <c r="V138" s="627"/>
      <c r="W138" s="626"/>
      <c r="X138" s="626"/>
      <c r="Y138" s="627"/>
      <c r="Z138" s="628"/>
      <c r="AA138" s="629"/>
      <c r="AB138" s="677"/>
      <c r="AC138" s="629"/>
      <c r="AD138" s="630"/>
      <c r="AE138" s="629"/>
      <c r="AF138" s="629"/>
      <c r="AG138" s="555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ht="12.75" customHeight="1" x14ac:dyDescent="0.2">
      <c r="A139" s="423">
        <f t="shared" si="55"/>
        <v>134</v>
      </c>
      <c r="B139" s="683" t="s">
        <v>2692</v>
      </c>
      <c r="C139" s="699">
        <v>521101</v>
      </c>
      <c r="D139" s="700">
        <v>1251</v>
      </c>
      <c r="E139" s="701" t="s">
        <v>700</v>
      </c>
      <c r="F139" s="546">
        <v>2017</v>
      </c>
      <c r="G139" s="702">
        <v>42843</v>
      </c>
      <c r="H139" s="703" t="s">
        <v>722</v>
      </c>
      <c r="I139" s="704" t="s">
        <v>2957</v>
      </c>
      <c r="J139" s="705" t="s">
        <v>724</v>
      </c>
      <c r="K139" s="706" t="s">
        <v>3116</v>
      </c>
      <c r="L139" s="707" t="s">
        <v>3223</v>
      </c>
      <c r="M139" s="708">
        <v>-312327.59000000003</v>
      </c>
      <c r="N139" s="709">
        <v>0</v>
      </c>
      <c r="O139" s="710">
        <v>-49972.41</v>
      </c>
      <c r="P139" s="711">
        <v>-362300</v>
      </c>
      <c r="Q139" s="548"/>
      <c r="R139" s="713">
        <v>-284021.32</v>
      </c>
      <c r="S139" s="549">
        <f t="shared" si="54"/>
        <v>-78278.679999999993</v>
      </c>
      <c r="T139" s="113" t="s">
        <v>1268</v>
      </c>
      <c r="U139" s="626"/>
      <c r="V139" s="627"/>
      <c r="W139" s="626"/>
      <c r="X139" s="626"/>
      <c r="Y139" s="627"/>
      <c r="Z139" s="628"/>
      <c r="AA139" s="629"/>
      <c r="AB139" s="677"/>
      <c r="AC139" s="629"/>
      <c r="AD139" s="630"/>
      <c r="AE139" s="629"/>
      <c r="AF139" s="629"/>
      <c r="AG139" s="555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ht="12.75" customHeight="1" x14ac:dyDescent="0.2">
      <c r="A140" s="423">
        <f t="shared" si="55"/>
        <v>135</v>
      </c>
      <c r="B140" s="683" t="s">
        <v>2693</v>
      </c>
      <c r="C140" s="699">
        <v>521101</v>
      </c>
      <c r="D140" s="700">
        <v>1251</v>
      </c>
      <c r="E140" s="701" t="s">
        <v>700</v>
      </c>
      <c r="F140" s="546">
        <v>2017</v>
      </c>
      <c r="G140" s="702">
        <v>42843</v>
      </c>
      <c r="H140" s="703" t="s">
        <v>722</v>
      </c>
      <c r="I140" s="704" t="s">
        <v>2957</v>
      </c>
      <c r="J140" s="705" t="s">
        <v>724</v>
      </c>
      <c r="K140" s="706" t="s">
        <v>3116</v>
      </c>
      <c r="L140" s="707" t="s">
        <v>3223</v>
      </c>
      <c r="M140" s="708">
        <v>312327.59000000003</v>
      </c>
      <c r="N140" s="709">
        <v>0</v>
      </c>
      <c r="O140" s="710">
        <v>49972.41</v>
      </c>
      <c r="P140" s="711">
        <v>362300</v>
      </c>
      <c r="Q140" s="548"/>
      <c r="R140" s="713">
        <v>284021.32</v>
      </c>
      <c r="S140" s="549">
        <f t="shared" si="54"/>
        <v>78278.679999999993</v>
      </c>
      <c r="T140" s="113" t="s">
        <v>1268</v>
      </c>
      <c r="U140" s="626"/>
      <c r="V140" s="627"/>
      <c r="W140" s="626"/>
      <c r="X140" s="626"/>
      <c r="Y140" s="627"/>
      <c r="Z140" s="628"/>
      <c r="AA140" s="629"/>
      <c r="AB140" s="677"/>
      <c r="AC140" s="629"/>
      <c r="AD140" s="630"/>
      <c r="AE140" s="629"/>
      <c r="AF140" s="629"/>
      <c r="AG140" s="555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customHeight="1" x14ac:dyDescent="0.2">
      <c r="A141" s="423">
        <f t="shared" si="55"/>
        <v>136</v>
      </c>
      <c r="B141" s="683" t="s">
        <v>2697</v>
      </c>
      <c r="C141" s="699">
        <v>521101</v>
      </c>
      <c r="D141" s="700">
        <v>1253</v>
      </c>
      <c r="E141" s="701" t="s">
        <v>30</v>
      </c>
      <c r="F141" s="546">
        <v>2017</v>
      </c>
      <c r="G141" s="702">
        <v>42837</v>
      </c>
      <c r="H141" s="703" t="s">
        <v>819</v>
      </c>
      <c r="I141" s="704" t="s">
        <v>2959</v>
      </c>
      <c r="J141" s="705" t="s">
        <v>729</v>
      </c>
      <c r="K141" s="706" t="s">
        <v>857</v>
      </c>
      <c r="L141" s="707" t="s">
        <v>3225</v>
      </c>
      <c r="M141" s="708">
        <v>350172.41</v>
      </c>
      <c r="N141" s="709">
        <v>0</v>
      </c>
      <c r="O141" s="710">
        <v>56027.59</v>
      </c>
      <c r="P141" s="711">
        <v>406200</v>
      </c>
      <c r="Q141" s="548"/>
      <c r="R141" s="713">
        <v>326020.56</v>
      </c>
      <c r="S141" s="549">
        <f t="shared" si="54"/>
        <v>80179.44</v>
      </c>
      <c r="T141" s="113" t="s">
        <v>1268</v>
      </c>
      <c r="U141" s="626"/>
      <c r="V141" s="627"/>
      <c r="W141" s="626"/>
      <c r="X141" s="626"/>
      <c r="Y141" s="627"/>
      <c r="Z141" s="628"/>
      <c r="AA141" s="629"/>
      <c r="AB141" s="677"/>
      <c r="AC141" s="629"/>
      <c r="AD141" s="630"/>
      <c r="AE141" s="629"/>
      <c r="AF141" s="629"/>
      <c r="AG141" s="555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ht="12.75" customHeight="1" x14ac:dyDescent="0.2">
      <c r="A142" s="423">
        <f t="shared" si="55"/>
        <v>137</v>
      </c>
      <c r="B142" s="683" t="s">
        <v>2698</v>
      </c>
      <c r="C142" s="699">
        <v>521101</v>
      </c>
      <c r="D142" s="700">
        <v>1253</v>
      </c>
      <c r="E142" s="701" t="s">
        <v>30</v>
      </c>
      <c r="F142" s="546">
        <v>2017</v>
      </c>
      <c r="G142" s="702">
        <v>42838</v>
      </c>
      <c r="H142" s="703" t="s">
        <v>819</v>
      </c>
      <c r="I142" s="704" t="s">
        <v>2959</v>
      </c>
      <c r="J142" s="705" t="s">
        <v>729</v>
      </c>
      <c r="K142" s="706" t="s">
        <v>857</v>
      </c>
      <c r="L142" s="707" t="s">
        <v>3225</v>
      </c>
      <c r="M142" s="708">
        <v>-350172.41</v>
      </c>
      <c r="N142" s="709">
        <v>0</v>
      </c>
      <c r="O142" s="710">
        <v>-56027.59</v>
      </c>
      <c r="P142" s="711">
        <v>-406200</v>
      </c>
      <c r="Q142" s="548"/>
      <c r="R142" s="713">
        <v>-326020.56</v>
      </c>
      <c r="S142" s="549">
        <f t="shared" si="54"/>
        <v>-80179.44</v>
      </c>
      <c r="T142" s="113" t="s">
        <v>1268</v>
      </c>
      <c r="U142" s="626"/>
      <c r="V142" s="627"/>
      <c r="W142" s="626"/>
      <c r="X142" s="626"/>
      <c r="Y142" s="627"/>
      <c r="Z142" s="628"/>
      <c r="AA142" s="629"/>
      <c r="AB142" s="677"/>
      <c r="AC142" s="629"/>
      <c r="AD142" s="630"/>
      <c r="AE142" s="629"/>
      <c r="AF142" s="629"/>
      <c r="AG142" s="555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ht="12.75" customHeight="1" x14ac:dyDescent="0.2">
      <c r="A143" s="423">
        <f t="shared" si="55"/>
        <v>138</v>
      </c>
      <c r="B143" s="683" t="s">
        <v>2699</v>
      </c>
      <c r="C143" s="699">
        <v>521101</v>
      </c>
      <c r="D143" s="700">
        <v>1253</v>
      </c>
      <c r="E143" s="701" t="s">
        <v>30</v>
      </c>
      <c r="F143" s="546">
        <v>2017</v>
      </c>
      <c r="G143" s="702">
        <v>42838</v>
      </c>
      <c r="H143" s="703" t="s">
        <v>819</v>
      </c>
      <c r="I143" s="704" t="s">
        <v>2959</v>
      </c>
      <c r="J143" s="705" t="s">
        <v>729</v>
      </c>
      <c r="K143" s="706" t="s">
        <v>857</v>
      </c>
      <c r="L143" s="707" t="s">
        <v>3225</v>
      </c>
      <c r="M143" s="708">
        <v>-367413.79</v>
      </c>
      <c r="N143" s="709">
        <v>0</v>
      </c>
      <c r="O143" s="710">
        <v>-58786.21</v>
      </c>
      <c r="P143" s="711">
        <v>-426200</v>
      </c>
      <c r="Q143" s="548"/>
      <c r="R143" s="713">
        <v>-326020.56</v>
      </c>
      <c r="S143" s="549">
        <f t="shared" si="54"/>
        <v>-100179.44</v>
      </c>
      <c r="T143" s="267" t="s">
        <v>1268</v>
      </c>
      <c r="U143" s="626" t="str">
        <f t="shared" si="32"/>
        <v>ZA04011</v>
      </c>
      <c r="V143" s="627" t="str">
        <f t="shared" si="33"/>
        <v>0996-TCN17</v>
      </c>
      <c r="W143" s="626">
        <f t="shared" si="34"/>
        <v>521101</v>
      </c>
      <c r="X143" s="626" t="str">
        <f t="shared" si="35"/>
        <v>PRIUS</v>
      </c>
      <c r="Y143" s="627">
        <f t="shared" si="35"/>
        <v>2017</v>
      </c>
      <c r="Z143" s="628">
        <f t="shared" si="36"/>
        <v>-367413.79</v>
      </c>
      <c r="AA143" s="629"/>
      <c r="AB143" s="677"/>
      <c r="AC143" s="629" t="e">
        <f t="shared" ref="AC143:AC150" si="56">VLOOKUP(Z143,TARIFA,1)</f>
        <v>#N/A</v>
      </c>
      <c r="AD143" s="630" t="e">
        <f t="shared" ref="AD143:AD150" si="57">VLOOKUP(Z143,TARIFA,4)</f>
        <v>#N/A</v>
      </c>
      <c r="AE143" s="629" t="e">
        <f t="shared" ref="AE143:AE150" si="58">VLOOKUP(Z143,TARIFA,3)</f>
        <v>#N/A</v>
      </c>
      <c r="AF143" s="629">
        <f t="shared" ref="AF143:AF150" si="59">+N143</f>
        <v>0</v>
      </c>
      <c r="AG143" s="555">
        <f t="shared" si="37"/>
        <v>0</v>
      </c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ht="12.75" customHeight="1" x14ac:dyDescent="0.2">
      <c r="A144" s="423">
        <f t="shared" si="55"/>
        <v>139</v>
      </c>
      <c r="B144" s="683" t="s">
        <v>2700</v>
      </c>
      <c r="C144" s="699">
        <v>521101</v>
      </c>
      <c r="D144" s="700">
        <v>1253</v>
      </c>
      <c r="E144" s="701" t="s">
        <v>30</v>
      </c>
      <c r="F144" s="546">
        <v>2017</v>
      </c>
      <c r="G144" s="702">
        <v>42838</v>
      </c>
      <c r="H144" s="703" t="s">
        <v>819</v>
      </c>
      <c r="I144" s="704" t="s">
        <v>2959</v>
      </c>
      <c r="J144" s="705" t="s">
        <v>729</v>
      </c>
      <c r="K144" s="706" t="s">
        <v>857</v>
      </c>
      <c r="L144" s="707" t="s">
        <v>3225</v>
      </c>
      <c r="M144" s="708">
        <v>367413.79</v>
      </c>
      <c r="N144" s="709">
        <v>0</v>
      </c>
      <c r="O144" s="710">
        <v>58786.21</v>
      </c>
      <c r="P144" s="711">
        <v>426200</v>
      </c>
      <c r="Q144" s="548"/>
      <c r="R144" s="713">
        <v>326020.56</v>
      </c>
      <c r="S144" s="549">
        <f t="shared" si="54"/>
        <v>100179.44</v>
      </c>
      <c r="T144" s="113" t="s">
        <v>1268</v>
      </c>
      <c r="U144" s="626" t="str">
        <f t="shared" si="32"/>
        <v>AA10850</v>
      </c>
      <c r="V144" s="627" t="str">
        <f t="shared" si="33"/>
        <v>0996-TCN17</v>
      </c>
      <c r="W144" s="626">
        <f t="shared" si="34"/>
        <v>521101</v>
      </c>
      <c r="X144" s="626" t="str">
        <f t="shared" si="35"/>
        <v>PRIUS</v>
      </c>
      <c r="Y144" s="627">
        <f t="shared" si="35"/>
        <v>2017</v>
      </c>
      <c r="Z144" s="628">
        <f t="shared" si="36"/>
        <v>367413.79</v>
      </c>
      <c r="AA144" s="629"/>
      <c r="AB144" s="677"/>
      <c r="AC144" s="629">
        <f t="shared" si="56"/>
        <v>344993.21</v>
      </c>
      <c r="AD144" s="630">
        <f t="shared" si="57"/>
        <v>0.15</v>
      </c>
      <c r="AE144" s="629">
        <f t="shared" si="58"/>
        <v>12321.2</v>
      </c>
      <c r="AF144" s="629">
        <f t="shared" si="59"/>
        <v>0</v>
      </c>
      <c r="AG144" s="555">
        <f t="shared" si="37"/>
        <v>0</v>
      </c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ht="12.75" customHeight="1" x14ac:dyDescent="0.2">
      <c r="A145" s="423">
        <f t="shared" si="55"/>
        <v>140</v>
      </c>
      <c r="B145" s="683" t="s">
        <v>2833</v>
      </c>
      <c r="C145" s="699">
        <v>521502</v>
      </c>
      <c r="D145" s="700">
        <v>5611</v>
      </c>
      <c r="E145" s="701" t="s">
        <v>225</v>
      </c>
      <c r="F145" s="546">
        <v>2017</v>
      </c>
      <c r="G145" s="702">
        <v>42845</v>
      </c>
      <c r="H145" s="703" t="s">
        <v>778</v>
      </c>
      <c r="I145" s="704" t="s">
        <v>2312</v>
      </c>
      <c r="J145" s="705" t="s">
        <v>724</v>
      </c>
      <c r="K145" s="706" t="s">
        <v>2462</v>
      </c>
      <c r="L145" s="707" t="s">
        <v>2610</v>
      </c>
      <c r="M145" s="708">
        <v>-379112.61</v>
      </c>
      <c r="N145" s="709">
        <v>-17439.11</v>
      </c>
      <c r="O145" s="710">
        <v>-63448.28</v>
      </c>
      <c r="P145" s="711">
        <v>-460000</v>
      </c>
      <c r="Q145" s="548"/>
      <c r="R145" s="713">
        <v>-336170</v>
      </c>
      <c r="S145" s="549">
        <f t="shared" si="54"/>
        <v>-123830</v>
      </c>
      <c r="T145" s="113" t="s">
        <v>1268</v>
      </c>
      <c r="U145" s="626" t="str">
        <f t="shared" si="32"/>
        <v>ZA04024</v>
      </c>
      <c r="V145" s="627" t="str">
        <f t="shared" si="33"/>
        <v>1035-TCN17</v>
      </c>
      <c r="W145" s="626">
        <f t="shared" si="34"/>
        <v>521502</v>
      </c>
      <c r="X145" s="626" t="str">
        <f t="shared" si="35"/>
        <v>HIACE PANEL 15 PASAJ AC</v>
      </c>
      <c r="Y145" s="627">
        <f t="shared" si="35"/>
        <v>2017</v>
      </c>
      <c r="Z145" s="628">
        <f t="shared" si="36"/>
        <v>-379112.61</v>
      </c>
      <c r="AA145" s="629"/>
      <c r="AB145" s="677"/>
      <c r="AC145" s="629" t="e">
        <f t="shared" si="56"/>
        <v>#N/A</v>
      </c>
      <c r="AD145" s="630" t="e">
        <f t="shared" si="57"/>
        <v>#N/A</v>
      </c>
      <c r="AE145" s="629" t="e">
        <f t="shared" si="58"/>
        <v>#N/A</v>
      </c>
      <c r="AF145" s="629">
        <f t="shared" si="59"/>
        <v>-17439.11</v>
      </c>
      <c r="AG145" s="555">
        <f t="shared" si="37"/>
        <v>0</v>
      </c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ht="12.75" customHeight="1" x14ac:dyDescent="0.2">
      <c r="A146" s="423">
        <f t="shared" si="55"/>
        <v>141</v>
      </c>
      <c r="B146" s="683" t="s">
        <v>2834</v>
      </c>
      <c r="C146" s="699">
        <v>521502</v>
      </c>
      <c r="D146" s="700">
        <v>5611</v>
      </c>
      <c r="E146" s="701" t="s">
        <v>225</v>
      </c>
      <c r="F146" s="546">
        <v>2017</v>
      </c>
      <c r="G146" s="702">
        <v>42845</v>
      </c>
      <c r="H146" s="703" t="s">
        <v>778</v>
      </c>
      <c r="I146" s="704" t="s">
        <v>2312</v>
      </c>
      <c r="J146" s="705" t="s">
        <v>724</v>
      </c>
      <c r="K146" s="706" t="s">
        <v>2462</v>
      </c>
      <c r="L146" s="707" t="s">
        <v>2610</v>
      </c>
      <c r="M146" s="708">
        <v>379112.61</v>
      </c>
      <c r="N146" s="709">
        <v>17439.11</v>
      </c>
      <c r="O146" s="710">
        <v>63448.28</v>
      </c>
      <c r="P146" s="711">
        <v>460000</v>
      </c>
      <c r="Q146" s="548"/>
      <c r="R146" s="713">
        <v>336170</v>
      </c>
      <c r="S146" s="549">
        <f t="shared" si="54"/>
        <v>123830</v>
      </c>
      <c r="T146" s="113" t="s">
        <v>1268</v>
      </c>
      <c r="U146" s="626" t="str">
        <f t="shared" si="32"/>
        <v>AA10894</v>
      </c>
      <c r="V146" s="627" t="str">
        <f t="shared" si="33"/>
        <v>1035-TCN17</v>
      </c>
      <c r="W146" s="626">
        <f t="shared" si="34"/>
        <v>521502</v>
      </c>
      <c r="X146" s="626" t="str">
        <f t="shared" si="35"/>
        <v>HIACE PANEL 15 PASAJ AC</v>
      </c>
      <c r="Y146" s="627">
        <f t="shared" si="35"/>
        <v>2017</v>
      </c>
      <c r="Z146" s="628">
        <f t="shared" si="36"/>
        <v>379112.61</v>
      </c>
      <c r="AA146" s="629"/>
      <c r="AB146" s="677"/>
      <c r="AC146" s="629">
        <f t="shared" si="56"/>
        <v>344993.21</v>
      </c>
      <c r="AD146" s="630">
        <f t="shared" si="57"/>
        <v>0.15</v>
      </c>
      <c r="AE146" s="629">
        <f t="shared" si="58"/>
        <v>12321.2</v>
      </c>
      <c r="AF146" s="629">
        <f t="shared" si="59"/>
        <v>17439.11</v>
      </c>
      <c r="AG146" s="555">
        <f t="shared" si="37"/>
        <v>0</v>
      </c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ht="12.75" customHeight="1" x14ac:dyDescent="0.2">
      <c r="A147" s="423">
        <f t="shared" si="55"/>
        <v>142</v>
      </c>
      <c r="B147" s="683" t="s">
        <v>2835</v>
      </c>
      <c r="C147" s="699">
        <v>521502</v>
      </c>
      <c r="D147" s="700">
        <v>5611</v>
      </c>
      <c r="E147" s="701" t="s">
        <v>225</v>
      </c>
      <c r="F147" s="546">
        <v>2017</v>
      </c>
      <c r="G147" s="702">
        <v>42854</v>
      </c>
      <c r="H147" s="703" t="s">
        <v>747</v>
      </c>
      <c r="I147" s="704" t="s">
        <v>1614</v>
      </c>
      <c r="J147" s="705" t="s">
        <v>729</v>
      </c>
      <c r="K147" s="706" t="s">
        <v>2453</v>
      </c>
      <c r="L147" s="707" t="s">
        <v>1876</v>
      </c>
      <c r="M147" s="708">
        <v>-379112.61</v>
      </c>
      <c r="N147" s="709">
        <v>-17439.11</v>
      </c>
      <c r="O147" s="710">
        <v>-63448.28</v>
      </c>
      <c r="P147" s="711">
        <v>-460000</v>
      </c>
      <c r="Q147" s="548"/>
      <c r="R147" s="713">
        <v>-335727.72</v>
      </c>
      <c r="S147" s="549">
        <f t="shared" si="54"/>
        <v>-124272.28000000003</v>
      </c>
      <c r="T147" s="113" t="s">
        <v>1268</v>
      </c>
      <c r="U147" s="626" t="str">
        <f t="shared" si="32"/>
        <v>ZA04048</v>
      </c>
      <c r="V147" s="627" t="str">
        <f t="shared" si="33"/>
        <v>0795-TCN17</v>
      </c>
      <c r="W147" s="626">
        <f t="shared" si="34"/>
        <v>521502</v>
      </c>
      <c r="X147" s="626" t="str">
        <f t="shared" si="35"/>
        <v>HIACE PANEL 15 PASAJ AC</v>
      </c>
      <c r="Y147" s="627">
        <f t="shared" si="35"/>
        <v>2017</v>
      </c>
      <c r="Z147" s="628">
        <f t="shared" si="36"/>
        <v>-379112.61</v>
      </c>
      <c r="AA147" s="629"/>
      <c r="AB147" s="677"/>
      <c r="AC147" s="629" t="e">
        <f t="shared" si="56"/>
        <v>#N/A</v>
      </c>
      <c r="AD147" s="630" t="e">
        <f t="shared" si="57"/>
        <v>#N/A</v>
      </c>
      <c r="AE147" s="629" t="e">
        <f t="shared" si="58"/>
        <v>#N/A</v>
      </c>
      <c r="AF147" s="629">
        <f t="shared" si="59"/>
        <v>-17439.11</v>
      </c>
      <c r="AG147" s="555">
        <f t="shared" si="37"/>
        <v>0</v>
      </c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ht="12.75" customHeight="1" x14ac:dyDescent="0.2">
      <c r="A148" s="423">
        <f t="shared" si="55"/>
        <v>143</v>
      </c>
      <c r="B148" s="683" t="s">
        <v>2836</v>
      </c>
      <c r="C148" s="699">
        <v>521502</v>
      </c>
      <c r="D148" s="700">
        <v>5611</v>
      </c>
      <c r="E148" s="701" t="s">
        <v>225</v>
      </c>
      <c r="F148" s="546">
        <v>2017</v>
      </c>
      <c r="G148" s="702">
        <v>42854</v>
      </c>
      <c r="H148" s="703" t="s">
        <v>747</v>
      </c>
      <c r="I148" s="704" t="s">
        <v>1614</v>
      </c>
      <c r="J148" s="705" t="s">
        <v>729</v>
      </c>
      <c r="K148" s="706" t="s">
        <v>2453</v>
      </c>
      <c r="L148" s="707" t="s">
        <v>1876</v>
      </c>
      <c r="M148" s="708">
        <v>379112.61</v>
      </c>
      <c r="N148" s="709">
        <v>17439.11</v>
      </c>
      <c r="O148" s="710">
        <v>63448.28</v>
      </c>
      <c r="P148" s="711">
        <v>460000</v>
      </c>
      <c r="Q148" s="548"/>
      <c r="R148" s="713">
        <v>335727.72</v>
      </c>
      <c r="S148" s="549">
        <f t="shared" si="54"/>
        <v>124272.28000000003</v>
      </c>
      <c r="T148" s="267" t="s">
        <v>1268</v>
      </c>
      <c r="U148" s="626" t="str">
        <f t="shared" si="32"/>
        <v>AA10995</v>
      </c>
      <c r="V148" s="627" t="str">
        <f t="shared" si="33"/>
        <v>0795-TCN17</v>
      </c>
      <c r="W148" s="626">
        <f t="shared" si="34"/>
        <v>521502</v>
      </c>
      <c r="X148" s="626" t="str">
        <f t="shared" si="35"/>
        <v>HIACE PANEL 15 PASAJ AC</v>
      </c>
      <c r="Y148" s="627">
        <f t="shared" si="35"/>
        <v>2017</v>
      </c>
      <c r="Z148" s="628">
        <f t="shared" si="36"/>
        <v>379112.61</v>
      </c>
      <c r="AA148" s="629"/>
      <c r="AB148" s="677"/>
      <c r="AC148" s="629">
        <f t="shared" si="56"/>
        <v>344993.21</v>
      </c>
      <c r="AD148" s="630">
        <f t="shared" si="57"/>
        <v>0.15</v>
      </c>
      <c r="AE148" s="629">
        <f t="shared" si="58"/>
        <v>12321.2</v>
      </c>
      <c r="AF148" s="629">
        <f t="shared" si="59"/>
        <v>17439.11</v>
      </c>
      <c r="AG148" s="555">
        <f t="shared" si="37"/>
        <v>0</v>
      </c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ht="12.75" customHeight="1" x14ac:dyDescent="0.2">
      <c r="A149" s="423">
        <f t="shared" si="55"/>
        <v>144</v>
      </c>
      <c r="B149" s="683" t="s">
        <v>2829</v>
      </c>
      <c r="C149" s="699">
        <v>521502</v>
      </c>
      <c r="D149" s="700">
        <v>5611</v>
      </c>
      <c r="E149" s="701" t="s">
        <v>225</v>
      </c>
      <c r="F149" s="546">
        <v>2017</v>
      </c>
      <c r="G149" s="702">
        <v>42832</v>
      </c>
      <c r="H149" s="703" t="s">
        <v>2216</v>
      </c>
      <c r="I149" s="704" t="s">
        <v>3043</v>
      </c>
      <c r="J149" s="705" t="s">
        <v>724</v>
      </c>
      <c r="K149" s="706" t="s">
        <v>1128</v>
      </c>
      <c r="L149" s="707" t="s">
        <v>3309</v>
      </c>
      <c r="M149" s="708">
        <v>379112.61</v>
      </c>
      <c r="N149" s="709">
        <v>17439.11</v>
      </c>
      <c r="O149" s="710">
        <v>63448.28</v>
      </c>
      <c r="P149" s="711">
        <v>460000</v>
      </c>
      <c r="Q149" s="548"/>
      <c r="R149" s="713">
        <v>336082.21</v>
      </c>
      <c r="S149" s="549">
        <f t="shared" si="54"/>
        <v>123917.78999999998</v>
      </c>
      <c r="T149" s="267" t="s">
        <v>1268</v>
      </c>
      <c r="U149" s="626" t="str">
        <f t="shared" si="32"/>
        <v>AA10813</v>
      </c>
      <c r="V149" s="627" t="str">
        <f t="shared" si="33"/>
        <v>1067-TCN17</v>
      </c>
      <c r="W149" s="626">
        <f t="shared" si="34"/>
        <v>521502</v>
      </c>
      <c r="X149" s="626" t="str">
        <f t="shared" si="35"/>
        <v>HIACE PANEL 15 PASAJ AC</v>
      </c>
      <c r="Y149" s="627">
        <f t="shared" si="35"/>
        <v>2017</v>
      </c>
      <c r="Z149" s="628">
        <f t="shared" si="36"/>
        <v>379112.61</v>
      </c>
      <c r="AA149" s="629"/>
      <c r="AB149" s="677"/>
      <c r="AC149" s="629">
        <f t="shared" si="56"/>
        <v>344993.21</v>
      </c>
      <c r="AD149" s="630">
        <f t="shared" si="57"/>
        <v>0.15</v>
      </c>
      <c r="AE149" s="629">
        <f t="shared" si="58"/>
        <v>12321.2</v>
      </c>
      <c r="AF149" s="629">
        <f t="shared" si="59"/>
        <v>17439.11</v>
      </c>
      <c r="AG149" s="555">
        <f t="shared" si="37"/>
        <v>0</v>
      </c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ht="12.75" customHeight="1" x14ac:dyDescent="0.2">
      <c r="A150" s="423">
        <f t="shared" si="55"/>
        <v>145</v>
      </c>
      <c r="B150" s="683" t="s">
        <v>2831</v>
      </c>
      <c r="C150" s="699">
        <v>521502</v>
      </c>
      <c r="D150" s="700">
        <v>5611</v>
      </c>
      <c r="E150" s="701" t="s">
        <v>225</v>
      </c>
      <c r="F150" s="546">
        <v>2017</v>
      </c>
      <c r="G150" s="702">
        <v>42843</v>
      </c>
      <c r="H150" s="703" t="s">
        <v>2216</v>
      </c>
      <c r="I150" s="704" t="s">
        <v>3043</v>
      </c>
      <c r="J150" s="705" t="s">
        <v>724</v>
      </c>
      <c r="K150" s="706" t="s">
        <v>1128</v>
      </c>
      <c r="L150" s="707" t="s">
        <v>3309</v>
      </c>
      <c r="M150" s="708">
        <v>-379112.61</v>
      </c>
      <c r="N150" s="709">
        <v>-17439.11</v>
      </c>
      <c r="O150" s="710">
        <v>-63448.28</v>
      </c>
      <c r="P150" s="711">
        <v>-460000</v>
      </c>
      <c r="Q150" s="548"/>
      <c r="R150" s="713">
        <v>-336082.21</v>
      </c>
      <c r="S150" s="549">
        <f t="shared" si="54"/>
        <v>-123917.78999999998</v>
      </c>
      <c r="T150" s="267" t="s">
        <v>1268</v>
      </c>
      <c r="U150" s="626" t="str">
        <f t="shared" si="32"/>
        <v>ZA04023</v>
      </c>
      <c r="V150" s="627" t="str">
        <f t="shared" si="33"/>
        <v>1067-TCN17</v>
      </c>
      <c r="W150" s="626">
        <f t="shared" si="34"/>
        <v>521502</v>
      </c>
      <c r="X150" s="626" t="str">
        <f t="shared" si="35"/>
        <v>HIACE PANEL 15 PASAJ AC</v>
      </c>
      <c r="Y150" s="627">
        <f t="shared" si="35"/>
        <v>2017</v>
      </c>
      <c r="Z150" s="628">
        <f t="shared" si="36"/>
        <v>-379112.61</v>
      </c>
      <c r="AA150" s="629"/>
      <c r="AB150" s="677"/>
      <c r="AC150" s="629" t="e">
        <f t="shared" si="56"/>
        <v>#N/A</v>
      </c>
      <c r="AD150" s="630" t="e">
        <f t="shared" si="57"/>
        <v>#N/A</v>
      </c>
      <c r="AE150" s="629" t="e">
        <f t="shared" si="58"/>
        <v>#N/A</v>
      </c>
      <c r="AF150" s="629">
        <f t="shared" si="59"/>
        <v>-17439.11</v>
      </c>
      <c r="AG150" s="555">
        <f t="shared" si="37"/>
        <v>0</v>
      </c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ht="12.75" customHeight="1" x14ac:dyDescent="0.2">
      <c r="A151" s="423">
        <f t="shared" si="55"/>
        <v>146</v>
      </c>
      <c r="B151" s="683" t="s">
        <v>2785</v>
      </c>
      <c r="C151" s="699">
        <v>521802</v>
      </c>
      <c r="D151" s="700">
        <v>2204</v>
      </c>
      <c r="E151" s="701" t="s">
        <v>705</v>
      </c>
      <c r="F151" s="546">
        <v>2017</v>
      </c>
      <c r="G151" s="702">
        <v>42835</v>
      </c>
      <c r="H151" s="703" t="s">
        <v>1038</v>
      </c>
      <c r="I151" s="704" t="s">
        <v>3015</v>
      </c>
      <c r="J151" s="705" t="s">
        <v>729</v>
      </c>
      <c r="K151" s="706" t="s">
        <v>3152</v>
      </c>
      <c r="L151" s="707" t="s">
        <v>3281</v>
      </c>
      <c r="M151" s="708">
        <v>-226206.9</v>
      </c>
      <c r="N151" s="709">
        <v>0</v>
      </c>
      <c r="O151" s="710">
        <v>-36193.1</v>
      </c>
      <c r="P151" s="711">
        <v>-262400</v>
      </c>
      <c r="Q151" s="548"/>
      <c r="R151" s="713">
        <v>-204658.22</v>
      </c>
      <c r="S151" s="549">
        <f t="shared" si="54"/>
        <v>-57741.78</v>
      </c>
      <c r="T151" s="267" t="s">
        <v>1268</v>
      </c>
      <c r="U151" s="626" t="str">
        <f t="shared" ref="U151:U160" si="60">+B151</f>
        <v>ZA04003</v>
      </c>
      <c r="V151" s="627" t="str">
        <f t="shared" ref="V151:V160" si="61">+I151</f>
        <v>0915-TCN17</v>
      </c>
      <c r="W151" s="626">
        <f t="shared" ref="W151:W160" si="62">+C151</f>
        <v>521802</v>
      </c>
      <c r="X151" s="626" t="str">
        <f t="shared" ref="X151:X160" si="63">+E151</f>
        <v>AVANZA LIMITED</v>
      </c>
      <c r="Y151" s="627">
        <f t="shared" ref="Y151:Y160" si="64">+F151</f>
        <v>2017</v>
      </c>
      <c r="Z151" s="628">
        <f t="shared" ref="Z151:Z160" si="65">+M151</f>
        <v>-226206.9</v>
      </c>
      <c r="AA151" s="629"/>
      <c r="AB151" s="677"/>
      <c r="AC151" s="629" t="e">
        <f t="shared" ref="AC151:AC160" si="66">VLOOKUP(Z151,TARIFA,1)</f>
        <v>#N/A</v>
      </c>
      <c r="AD151" s="630" t="e">
        <f t="shared" ref="AD151:AD160" si="67">VLOOKUP(Z151,TARIFA,4)</f>
        <v>#N/A</v>
      </c>
      <c r="AE151" s="629" t="e">
        <f t="shared" ref="AE151:AE160" si="68">VLOOKUP(Z151,TARIFA,3)</f>
        <v>#N/A</v>
      </c>
      <c r="AF151" s="629">
        <f t="shared" ref="AF151:AF160" si="69">+N151</f>
        <v>0</v>
      </c>
      <c r="AG151" s="555">
        <f t="shared" ref="AG151:AG160" si="70">+N151-AF151</f>
        <v>0</v>
      </c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ht="12.75" customHeight="1" x14ac:dyDescent="0.2">
      <c r="A152" s="423">
        <f t="shared" si="55"/>
        <v>147</v>
      </c>
      <c r="B152" s="683" t="s">
        <v>2786</v>
      </c>
      <c r="C152" s="699">
        <v>521802</v>
      </c>
      <c r="D152" s="700">
        <v>2204</v>
      </c>
      <c r="E152" s="701" t="s">
        <v>705</v>
      </c>
      <c r="F152" s="546">
        <v>2017</v>
      </c>
      <c r="G152" s="702">
        <v>42835</v>
      </c>
      <c r="H152" s="703" t="s">
        <v>1038</v>
      </c>
      <c r="I152" s="704" t="s">
        <v>3015</v>
      </c>
      <c r="J152" s="705" t="s">
        <v>729</v>
      </c>
      <c r="K152" s="706" t="s">
        <v>3152</v>
      </c>
      <c r="L152" s="707" t="s">
        <v>3281</v>
      </c>
      <c r="M152" s="708">
        <v>-226206.9</v>
      </c>
      <c r="N152" s="709">
        <v>0</v>
      </c>
      <c r="O152" s="710">
        <v>-36193.1</v>
      </c>
      <c r="P152" s="711">
        <v>-262400</v>
      </c>
      <c r="Q152" s="548"/>
      <c r="R152" s="713">
        <v>-204658.22</v>
      </c>
      <c r="S152" s="549">
        <f t="shared" si="54"/>
        <v>-57741.78</v>
      </c>
      <c r="T152" s="267" t="s">
        <v>1268</v>
      </c>
      <c r="U152" s="626" t="str">
        <f t="shared" si="60"/>
        <v>ZA04004</v>
      </c>
      <c r="V152" s="627" t="str">
        <f t="shared" si="61"/>
        <v>0915-TCN17</v>
      </c>
      <c r="W152" s="626">
        <f t="shared" si="62"/>
        <v>521802</v>
      </c>
      <c r="X152" s="626" t="str">
        <f t="shared" si="63"/>
        <v>AVANZA LIMITED</v>
      </c>
      <c r="Y152" s="627">
        <f t="shared" si="64"/>
        <v>2017</v>
      </c>
      <c r="Z152" s="628">
        <f t="shared" si="65"/>
        <v>-226206.9</v>
      </c>
      <c r="AA152" s="661"/>
      <c r="AB152" s="678"/>
      <c r="AC152" s="629" t="e">
        <f t="shared" si="66"/>
        <v>#N/A</v>
      </c>
      <c r="AD152" s="630" t="e">
        <f t="shared" si="67"/>
        <v>#N/A</v>
      </c>
      <c r="AE152" s="629" t="e">
        <f t="shared" si="68"/>
        <v>#N/A</v>
      </c>
      <c r="AF152" s="629">
        <f t="shared" si="69"/>
        <v>0</v>
      </c>
      <c r="AG152" s="555">
        <f t="shared" si="70"/>
        <v>0</v>
      </c>
      <c r="AH152" s="361"/>
      <c r="AI152" s="313"/>
      <c r="AJ152" s="374"/>
      <c r="AK152" s="331"/>
      <c r="AL152" s="331"/>
      <c r="AM152" s="331"/>
    </row>
    <row r="153" spans="1:47" s="412" customFormat="1" ht="12.75" customHeight="1" x14ac:dyDescent="0.2">
      <c r="A153" s="423">
        <f t="shared" si="55"/>
        <v>148</v>
      </c>
      <c r="B153" s="683" t="s">
        <v>2787</v>
      </c>
      <c r="C153" s="699">
        <v>521802</v>
      </c>
      <c r="D153" s="700">
        <v>2204</v>
      </c>
      <c r="E153" s="701" t="s">
        <v>705</v>
      </c>
      <c r="F153" s="546">
        <v>2017</v>
      </c>
      <c r="G153" s="702">
        <v>42835</v>
      </c>
      <c r="H153" s="703" t="s">
        <v>1038</v>
      </c>
      <c r="I153" s="704" t="s">
        <v>3015</v>
      </c>
      <c r="J153" s="705" t="s">
        <v>729</v>
      </c>
      <c r="K153" s="706" t="s">
        <v>3152</v>
      </c>
      <c r="L153" s="707" t="s">
        <v>3281</v>
      </c>
      <c r="M153" s="708">
        <v>226206.9</v>
      </c>
      <c r="N153" s="709">
        <v>0</v>
      </c>
      <c r="O153" s="710">
        <v>36193.1</v>
      </c>
      <c r="P153" s="711">
        <v>262400</v>
      </c>
      <c r="Q153" s="548"/>
      <c r="R153" s="713">
        <v>204658.22</v>
      </c>
      <c r="S153" s="549">
        <f t="shared" si="54"/>
        <v>57741.78</v>
      </c>
      <c r="T153" s="267" t="s">
        <v>1268</v>
      </c>
      <c r="U153" s="626" t="str">
        <f t="shared" si="60"/>
        <v>AA10817</v>
      </c>
      <c r="V153" s="627" t="str">
        <f t="shared" si="61"/>
        <v>0915-TCN17</v>
      </c>
      <c r="W153" s="626">
        <f t="shared" si="62"/>
        <v>521802</v>
      </c>
      <c r="X153" s="626" t="str">
        <f t="shared" si="63"/>
        <v>AVANZA LIMITED</v>
      </c>
      <c r="Y153" s="627">
        <f t="shared" si="64"/>
        <v>2017</v>
      </c>
      <c r="Z153" s="628">
        <f t="shared" si="65"/>
        <v>226206.9</v>
      </c>
      <c r="AA153" s="662"/>
      <c r="AB153" s="678"/>
      <c r="AC153" s="629">
        <f t="shared" si="66"/>
        <v>0.01</v>
      </c>
      <c r="AD153" s="630">
        <f t="shared" si="67"/>
        <v>0.02</v>
      </c>
      <c r="AE153" s="629">
        <f t="shared" si="68"/>
        <v>0</v>
      </c>
      <c r="AF153" s="629">
        <f t="shared" si="69"/>
        <v>0</v>
      </c>
      <c r="AG153" s="555">
        <f t="shared" si="70"/>
        <v>0</v>
      </c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ht="12.75" customHeight="1" x14ac:dyDescent="0.2">
      <c r="A154" s="423">
        <f t="shared" si="55"/>
        <v>149</v>
      </c>
      <c r="B154" s="683" t="s">
        <v>2788</v>
      </c>
      <c r="C154" s="699">
        <v>521802</v>
      </c>
      <c r="D154" s="700">
        <v>2204</v>
      </c>
      <c r="E154" s="701" t="s">
        <v>705</v>
      </c>
      <c r="F154" s="546">
        <v>2017</v>
      </c>
      <c r="G154" s="702">
        <v>42835</v>
      </c>
      <c r="H154" s="703" t="s">
        <v>1038</v>
      </c>
      <c r="I154" s="704" t="s">
        <v>3015</v>
      </c>
      <c r="J154" s="705" t="s">
        <v>729</v>
      </c>
      <c r="K154" s="706" t="s">
        <v>3152</v>
      </c>
      <c r="L154" s="707" t="s">
        <v>3281</v>
      </c>
      <c r="M154" s="708">
        <v>226206.9</v>
      </c>
      <c r="N154" s="709">
        <v>0</v>
      </c>
      <c r="O154" s="710">
        <v>36193.1</v>
      </c>
      <c r="P154" s="711">
        <v>262400</v>
      </c>
      <c r="Q154" s="548"/>
      <c r="R154" s="713">
        <v>204658.22</v>
      </c>
      <c r="S154" s="549">
        <f t="shared" si="54"/>
        <v>57741.78</v>
      </c>
      <c r="T154" s="267" t="s">
        <v>1268</v>
      </c>
      <c r="U154" s="626" t="str">
        <f t="shared" si="60"/>
        <v>AA10818</v>
      </c>
      <c r="V154" s="627" t="str">
        <f t="shared" si="61"/>
        <v>0915-TCN17</v>
      </c>
      <c r="W154" s="626">
        <f t="shared" si="62"/>
        <v>521802</v>
      </c>
      <c r="X154" s="626" t="str">
        <f t="shared" si="63"/>
        <v>AVANZA LIMITED</v>
      </c>
      <c r="Y154" s="627">
        <f t="shared" si="64"/>
        <v>2017</v>
      </c>
      <c r="Z154" s="628">
        <f t="shared" si="65"/>
        <v>226206.9</v>
      </c>
      <c r="AA154" s="661"/>
      <c r="AB154" s="678"/>
      <c r="AC154" s="629">
        <f t="shared" si="66"/>
        <v>0.01</v>
      </c>
      <c r="AD154" s="630">
        <f t="shared" si="67"/>
        <v>0.02</v>
      </c>
      <c r="AE154" s="629">
        <f t="shared" si="68"/>
        <v>0</v>
      </c>
      <c r="AF154" s="629">
        <f t="shared" si="69"/>
        <v>0</v>
      </c>
      <c r="AG154" s="555">
        <f t="shared" si="70"/>
        <v>0</v>
      </c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ht="12.75" customHeight="1" x14ac:dyDescent="0.2">
      <c r="A155" s="423">
        <f t="shared" si="55"/>
        <v>150</v>
      </c>
      <c r="B155" s="683" t="s">
        <v>2791</v>
      </c>
      <c r="C155" s="699">
        <v>521802</v>
      </c>
      <c r="D155" s="700">
        <v>2204</v>
      </c>
      <c r="E155" s="701" t="s">
        <v>705</v>
      </c>
      <c r="F155" s="546">
        <v>2017</v>
      </c>
      <c r="G155" s="702">
        <v>42836</v>
      </c>
      <c r="H155" s="703" t="s">
        <v>908</v>
      </c>
      <c r="I155" s="704" t="s">
        <v>3017</v>
      </c>
      <c r="J155" s="705" t="s">
        <v>729</v>
      </c>
      <c r="K155" s="706" t="s">
        <v>3153</v>
      </c>
      <c r="L155" s="707" t="s">
        <v>3283</v>
      </c>
      <c r="M155" s="708">
        <v>226206.9</v>
      </c>
      <c r="N155" s="709">
        <v>0</v>
      </c>
      <c r="O155" s="710">
        <v>36193.1</v>
      </c>
      <c r="P155" s="711">
        <v>262400</v>
      </c>
      <c r="Q155" s="548"/>
      <c r="R155" s="713">
        <v>204658.22</v>
      </c>
      <c r="S155" s="549">
        <f t="shared" si="54"/>
        <v>57741.78</v>
      </c>
      <c r="T155" s="267" t="s">
        <v>1268</v>
      </c>
      <c r="U155" s="626" t="str">
        <f t="shared" si="60"/>
        <v>AA10833</v>
      </c>
      <c r="V155" s="627" t="str">
        <f t="shared" si="61"/>
        <v>1118-TCN17</v>
      </c>
      <c r="W155" s="626">
        <f t="shared" si="62"/>
        <v>521802</v>
      </c>
      <c r="X155" s="626" t="str">
        <f t="shared" si="63"/>
        <v>AVANZA LIMITED</v>
      </c>
      <c r="Y155" s="627">
        <f t="shared" si="64"/>
        <v>2017</v>
      </c>
      <c r="Z155" s="628">
        <f t="shared" si="65"/>
        <v>226206.9</v>
      </c>
      <c r="AA155" s="661"/>
      <c r="AB155" s="678"/>
      <c r="AC155" s="629">
        <f t="shared" si="66"/>
        <v>0.01</v>
      </c>
      <c r="AD155" s="630">
        <f t="shared" si="67"/>
        <v>0.02</v>
      </c>
      <c r="AE155" s="629">
        <f t="shared" si="68"/>
        <v>0</v>
      </c>
      <c r="AF155" s="629">
        <f t="shared" si="69"/>
        <v>0</v>
      </c>
      <c r="AG155" s="555">
        <f t="shared" si="70"/>
        <v>0</v>
      </c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ht="12.75" customHeight="1" x14ac:dyDescent="0.2">
      <c r="A156" s="423">
        <f t="shared" si="55"/>
        <v>151</v>
      </c>
      <c r="B156" s="683" t="s">
        <v>2792</v>
      </c>
      <c r="C156" s="699">
        <v>521802</v>
      </c>
      <c r="D156" s="700">
        <v>2204</v>
      </c>
      <c r="E156" s="701" t="s">
        <v>705</v>
      </c>
      <c r="F156" s="546">
        <v>2017</v>
      </c>
      <c r="G156" s="702">
        <v>42837</v>
      </c>
      <c r="H156" s="703" t="s">
        <v>908</v>
      </c>
      <c r="I156" s="704" t="s">
        <v>3017</v>
      </c>
      <c r="J156" s="705" t="s">
        <v>729</v>
      </c>
      <c r="K156" s="706" t="s">
        <v>3153</v>
      </c>
      <c r="L156" s="707" t="s">
        <v>3283</v>
      </c>
      <c r="M156" s="708">
        <v>-226206.9</v>
      </c>
      <c r="N156" s="709">
        <v>0</v>
      </c>
      <c r="O156" s="710">
        <v>-36193.1</v>
      </c>
      <c r="P156" s="711">
        <v>-262400</v>
      </c>
      <c r="Q156" s="548"/>
      <c r="R156" s="713">
        <v>-204658.22</v>
      </c>
      <c r="S156" s="549">
        <f t="shared" si="54"/>
        <v>-57741.78</v>
      </c>
      <c r="T156" s="267" t="s">
        <v>1268</v>
      </c>
      <c r="U156" s="626" t="str">
        <f t="shared" si="60"/>
        <v>ZA04009</v>
      </c>
      <c r="V156" s="627" t="str">
        <f t="shared" si="61"/>
        <v>1118-TCN17</v>
      </c>
      <c r="W156" s="626">
        <f t="shared" si="62"/>
        <v>521802</v>
      </c>
      <c r="X156" s="626" t="str">
        <f t="shared" si="63"/>
        <v>AVANZA LIMITED</v>
      </c>
      <c r="Y156" s="627">
        <f t="shared" si="64"/>
        <v>2017</v>
      </c>
      <c r="Z156" s="628">
        <f t="shared" si="65"/>
        <v>-226206.9</v>
      </c>
      <c r="AA156" s="662"/>
      <c r="AB156" s="678"/>
      <c r="AC156" s="629" t="e">
        <f t="shared" si="66"/>
        <v>#N/A</v>
      </c>
      <c r="AD156" s="630" t="e">
        <f t="shared" si="67"/>
        <v>#N/A</v>
      </c>
      <c r="AE156" s="629" t="e">
        <f t="shared" si="68"/>
        <v>#N/A</v>
      </c>
      <c r="AF156" s="629">
        <f t="shared" si="69"/>
        <v>0</v>
      </c>
      <c r="AG156" s="555">
        <f t="shared" si="70"/>
        <v>0</v>
      </c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ht="12.75" customHeight="1" x14ac:dyDescent="0.2">
      <c r="A157" s="423">
        <f t="shared" si="55"/>
        <v>152</v>
      </c>
      <c r="B157" s="683" t="s">
        <v>2852</v>
      </c>
      <c r="C157" s="699">
        <v>1520104</v>
      </c>
      <c r="D157" s="700">
        <v>7493</v>
      </c>
      <c r="E157" s="701" t="s">
        <v>711</v>
      </c>
      <c r="F157" s="546">
        <v>2017</v>
      </c>
      <c r="G157" s="702">
        <v>42846</v>
      </c>
      <c r="H157" s="703" t="s">
        <v>2220</v>
      </c>
      <c r="I157" s="704" t="s">
        <v>3054</v>
      </c>
      <c r="J157" s="705" t="s">
        <v>729</v>
      </c>
      <c r="K157" s="706" t="s">
        <v>3175</v>
      </c>
      <c r="L157" s="707" t="s">
        <v>3320</v>
      </c>
      <c r="M157" s="708">
        <v>238095.24</v>
      </c>
      <c r="N157" s="709">
        <v>11904.76</v>
      </c>
      <c r="O157" s="710">
        <v>40000</v>
      </c>
      <c r="P157" s="711">
        <v>290000</v>
      </c>
      <c r="Q157" s="548"/>
      <c r="R157" s="713">
        <v>218207.39</v>
      </c>
      <c r="S157" s="549">
        <f t="shared" si="54"/>
        <v>71792.609999999986</v>
      </c>
      <c r="T157" s="267" t="s">
        <v>1268</v>
      </c>
      <c r="U157" s="626" t="str">
        <f t="shared" si="60"/>
        <v>AA10917</v>
      </c>
      <c r="V157" s="627" t="str">
        <f t="shared" si="61"/>
        <v>0857-TCN17</v>
      </c>
      <c r="W157" s="626">
        <f t="shared" si="62"/>
        <v>1520104</v>
      </c>
      <c r="X157" s="626" t="str">
        <f t="shared" si="63"/>
        <v>HILUX PICK UP BASIC CAB L4 16V AC</v>
      </c>
      <c r="Y157" s="627">
        <f t="shared" si="64"/>
        <v>2017</v>
      </c>
      <c r="Z157" s="628">
        <f t="shared" si="65"/>
        <v>238095.24</v>
      </c>
      <c r="AA157" s="662"/>
      <c r="AB157" s="678"/>
      <c r="AC157" s="629">
        <f t="shared" si="66"/>
        <v>0.01</v>
      </c>
      <c r="AD157" s="630">
        <f t="shared" si="67"/>
        <v>0.02</v>
      </c>
      <c r="AE157" s="629">
        <f t="shared" si="68"/>
        <v>0</v>
      </c>
      <c r="AF157" s="629">
        <f t="shared" si="69"/>
        <v>11904.76</v>
      </c>
      <c r="AG157" s="555">
        <f t="shared" si="70"/>
        <v>0</v>
      </c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ht="12.75" customHeight="1" x14ac:dyDescent="0.2">
      <c r="A158" s="423">
        <f t="shared" si="55"/>
        <v>153</v>
      </c>
      <c r="B158" s="683" t="s">
        <v>2853</v>
      </c>
      <c r="C158" s="699">
        <v>1520104</v>
      </c>
      <c r="D158" s="700">
        <v>7493</v>
      </c>
      <c r="E158" s="701" t="s">
        <v>711</v>
      </c>
      <c r="F158" s="546">
        <v>2017</v>
      </c>
      <c r="G158" s="702">
        <v>42847</v>
      </c>
      <c r="H158" s="703" t="s">
        <v>2220</v>
      </c>
      <c r="I158" s="704" t="s">
        <v>3054</v>
      </c>
      <c r="J158" s="705" t="s">
        <v>729</v>
      </c>
      <c r="K158" s="706" t="s">
        <v>3175</v>
      </c>
      <c r="L158" s="707" t="s">
        <v>3320</v>
      </c>
      <c r="M158" s="708">
        <v>-238095.24</v>
      </c>
      <c r="N158" s="709">
        <v>-11904.76</v>
      </c>
      <c r="O158" s="710">
        <v>-40000</v>
      </c>
      <c r="P158" s="711">
        <v>-290000</v>
      </c>
      <c r="Q158" s="548"/>
      <c r="R158" s="713">
        <v>-218207.39</v>
      </c>
      <c r="S158" s="549">
        <f t="shared" si="54"/>
        <v>-71792.609999999986</v>
      </c>
      <c r="T158" s="267" t="s">
        <v>1268</v>
      </c>
      <c r="U158" s="626" t="str">
        <f t="shared" si="60"/>
        <v>ZA04032</v>
      </c>
      <c r="V158" s="627" t="str">
        <f t="shared" si="61"/>
        <v>0857-TCN17</v>
      </c>
      <c r="W158" s="626">
        <f t="shared" si="62"/>
        <v>1520104</v>
      </c>
      <c r="X158" s="626" t="str">
        <f t="shared" si="63"/>
        <v>HILUX PICK UP BASIC CAB L4 16V AC</v>
      </c>
      <c r="Y158" s="627">
        <f t="shared" si="64"/>
        <v>2017</v>
      </c>
      <c r="Z158" s="628">
        <f t="shared" si="65"/>
        <v>-238095.24</v>
      </c>
      <c r="AA158" s="661"/>
      <c r="AB158" s="678"/>
      <c r="AC158" s="629" t="e">
        <f t="shared" si="66"/>
        <v>#N/A</v>
      </c>
      <c r="AD158" s="630" t="e">
        <f t="shared" si="67"/>
        <v>#N/A</v>
      </c>
      <c r="AE158" s="629" t="e">
        <f t="shared" si="68"/>
        <v>#N/A</v>
      </c>
      <c r="AF158" s="629">
        <f t="shared" si="69"/>
        <v>-11904.76</v>
      </c>
      <c r="AG158" s="555">
        <f t="shared" si="70"/>
        <v>0</v>
      </c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ht="12.75" customHeight="1" x14ac:dyDescent="0.2">
      <c r="A159" s="423">
        <f t="shared" si="55"/>
        <v>154</v>
      </c>
      <c r="B159" s="683" t="s">
        <v>2849</v>
      </c>
      <c r="C159" s="699">
        <v>1520104</v>
      </c>
      <c r="D159" s="700">
        <v>7493</v>
      </c>
      <c r="E159" s="701" t="s">
        <v>711</v>
      </c>
      <c r="F159" s="546">
        <v>2017</v>
      </c>
      <c r="G159" s="702">
        <v>42843</v>
      </c>
      <c r="H159" s="703" t="s">
        <v>819</v>
      </c>
      <c r="I159" s="704" t="s">
        <v>3053</v>
      </c>
      <c r="J159" s="705" t="s">
        <v>729</v>
      </c>
      <c r="K159" s="706" t="s">
        <v>1008</v>
      </c>
      <c r="L159" s="707" t="s">
        <v>3319</v>
      </c>
      <c r="M159" s="708">
        <v>-238095.24</v>
      </c>
      <c r="N159" s="709">
        <v>-11904.76</v>
      </c>
      <c r="O159" s="710">
        <v>-40000</v>
      </c>
      <c r="P159" s="711">
        <v>-290000</v>
      </c>
      <c r="Q159" s="548"/>
      <c r="R159" s="713">
        <v>-218207.39</v>
      </c>
      <c r="S159" s="549">
        <f t="shared" si="54"/>
        <v>-71792.609999999986</v>
      </c>
      <c r="T159" s="267" t="s">
        <v>1268</v>
      </c>
      <c r="U159" s="626" t="str">
        <f t="shared" si="60"/>
        <v>ZA04019</v>
      </c>
      <c r="V159" s="627" t="str">
        <f t="shared" si="61"/>
        <v>0858-TCN17</v>
      </c>
      <c r="W159" s="626">
        <f t="shared" si="62"/>
        <v>1520104</v>
      </c>
      <c r="X159" s="626" t="str">
        <f t="shared" si="63"/>
        <v>HILUX PICK UP BASIC CAB L4 16V AC</v>
      </c>
      <c r="Y159" s="627">
        <f t="shared" si="64"/>
        <v>2017</v>
      </c>
      <c r="Z159" s="628">
        <f t="shared" si="65"/>
        <v>-238095.24</v>
      </c>
      <c r="AA159" s="661"/>
      <c r="AB159" s="678"/>
      <c r="AC159" s="629" t="e">
        <f t="shared" si="66"/>
        <v>#N/A</v>
      </c>
      <c r="AD159" s="630" t="e">
        <f t="shared" si="67"/>
        <v>#N/A</v>
      </c>
      <c r="AE159" s="629" t="e">
        <f t="shared" si="68"/>
        <v>#N/A</v>
      </c>
      <c r="AF159" s="629">
        <f t="shared" si="69"/>
        <v>-11904.76</v>
      </c>
      <c r="AG159" s="555">
        <f t="shared" si="70"/>
        <v>0</v>
      </c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ht="12.75" customHeight="1" x14ac:dyDescent="0.2">
      <c r="A160" s="423">
        <f t="shared" si="55"/>
        <v>155</v>
      </c>
      <c r="B160" s="683" t="s">
        <v>2850</v>
      </c>
      <c r="C160" s="699">
        <v>1520104</v>
      </c>
      <c r="D160" s="700">
        <v>7493</v>
      </c>
      <c r="E160" s="701" t="s">
        <v>711</v>
      </c>
      <c r="F160" s="546">
        <v>2017</v>
      </c>
      <c r="G160" s="702">
        <v>42843</v>
      </c>
      <c r="H160" s="703" t="s">
        <v>819</v>
      </c>
      <c r="I160" s="704" t="s">
        <v>3053</v>
      </c>
      <c r="J160" s="705" t="s">
        <v>729</v>
      </c>
      <c r="K160" s="706" t="s">
        <v>1008</v>
      </c>
      <c r="L160" s="707" t="s">
        <v>3319</v>
      </c>
      <c r="M160" s="708">
        <v>238095.24</v>
      </c>
      <c r="N160" s="709">
        <v>11904.76</v>
      </c>
      <c r="O160" s="710">
        <v>40000</v>
      </c>
      <c r="P160" s="711">
        <v>290000</v>
      </c>
      <c r="Q160" s="548"/>
      <c r="R160" s="713">
        <v>218207.39</v>
      </c>
      <c r="S160" s="549">
        <f t="shared" si="54"/>
        <v>71792.609999999986</v>
      </c>
      <c r="T160" s="267" t="s">
        <v>1268</v>
      </c>
      <c r="U160" s="626" t="str">
        <f t="shared" si="60"/>
        <v>AA10878</v>
      </c>
      <c r="V160" s="627" t="str">
        <f t="shared" si="61"/>
        <v>0858-TCN17</v>
      </c>
      <c r="W160" s="626">
        <f t="shared" si="62"/>
        <v>1520104</v>
      </c>
      <c r="X160" s="626" t="str">
        <f t="shared" si="63"/>
        <v>HILUX PICK UP BASIC CAB L4 16V AC</v>
      </c>
      <c r="Y160" s="627">
        <f t="shared" si="64"/>
        <v>2017</v>
      </c>
      <c r="Z160" s="628">
        <f t="shared" si="65"/>
        <v>238095.24</v>
      </c>
      <c r="AA160" s="628">
        <f>+SUM(Z91:Z160)</f>
        <v>8545566.3700000029</v>
      </c>
      <c r="AB160" s="678">
        <v>19</v>
      </c>
      <c r="AC160" s="629">
        <f t="shared" si="66"/>
        <v>0.01</v>
      </c>
      <c r="AD160" s="630">
        <f t="shared" si="67"/>
        <v>0.02</v>
      </c>
      <c r="AE160" s="629">
        <f t="shared" si="68"/>
        <v>0</v>
      </c>
      <c r="AF160" s="629">
        <f t="shared" si="69"/>
        <v>11904.76</v>
      </c>
      <c r="AG160" s="555">
        <f t="shared" si="70"/>
        <v>0</v>
      </c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ht="12.75" customHeight="1" x14ac:dyDescent="0.2">
      <c r="A161" s="423">
        <f t="shared" si="55"/>
        <v>156</v>
      </c>
      <c r="B161" s="683" t="s">
        <v>2904</v>
      </c>
      <c r="C161" s="699">
        <v>1520603</v>
      </c>
      <c r="D161" s="700">
        <v>7497</v>
      </c>
      <c r="E161" s="701" t="s">
        <v>717</v>
      </c>
      <c r="F161" s="546">
        <v>2017</v>
      </c>
      <c r="G161" s="702">
        <v>42850</v>
      </c>
      <c r="H161" s="703" t="s">
        <v>819</v>
      </c>
      <c r="I161" s="704" t="s">
        <v>3090</v>
      </c>
      <c r="J161" s="705" t="s">
        <v>729</v>
      </c>
      <c r="K161" s="706" t="s">
        <v>3176</v>
      </c>
      <c r="L161" s="707" t="s">
        <v>3356</v>
      </c>
      <c r="M161" s="708">
        <v>-272988.5</v>
      </c>
      <c r="N161" s="709">
        <v>-13649.43</v>
      </c>
      <c r="O161" s="710">
        <v>-45862.07</v>
      </c>
      <c r="P161" s="711">
        <v>-332500</v>
      </c>
      <c r="Q161" s="548"/>
      <c r="R161" s="713">
        <v>-247640.05</v>
      </c>
      <c r="S161" s="549">
        <f t="shared" si="54"/>
        <v>-84859.950000000012</v>
      </c>
      <c r="T161" s="113" t="s">
        <v>1268</v>
      </c>
      <c r="AB161" s="666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ht="12.75" customHeight="1" x14ac:dyDescent="0.2">
      <c r="A162" s="423">
        <f t="shared" si="55"/>
        <v>157</v>
      </c>
      <c r="B162" s="683" t="s">
        <v>2905</v>
      </c>
      <c r="C162" s="699">
        <v>1520603</v>
      </c>
      <c r="D162" s="700">
        <v>7497</v>
      </c>
      <c r="E162" s="701" t="s">
        <v>717</v>
      </c>
      <c r="F162" s="546">
        <v>2017</v>
      </c>
      <c r="G162" s="702">
        <v>42850</v>
      </c>
      <c r="H162" s="703" t="s">
        <v>819</v>
      </c>
      <c r="I162" s="704" t="s">
        <v>3090</v>
      </c>
      <c r="J162" s="705" t="s">
        <v>729</v>
      </c>
      <c r="K162" s="706" t="s">
        <v>3176</v>
      </c>
      <c r="L162" s="707" t="s">
        <v>3356</v>
      </c>
      <c r="M162" s="708">
        <v>272988.5</v>
      </c>
      <c r="N162" s="709">
        <v>13649.43</v>
      </c>
      <c r="O162" s="710">
        <v>45862.07</v>
      </c>
      <c r="P162" s="711">
        <v>332500</v>
      </c>
      <c r="Q162" s="548"/>
      <c r="R162" s="713">
        <v>247640.05</v>
      </c>
      <c r="S162" s="549">
        <f t="shared" si="54"/>
        <v>84859.950000000012</v>
      </c>
      <c r="T162" s="113" t="s">
        <v>1268</v>
      </c>
      <c r="AB162" s="114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ht="12.75" customHeight="1" thickBot="1" x14ac:dyDescent="0.25">
      <c r="A163" s="423">
        <f t="shared" si="55"/>
        <v>158</v>
      </c>
      <c r="B163" s="683" t="s">
        <v>2866</v>
      </c>
      <c r="C163" s="699">
        <v>1520604</v>
      </c>
      <c r="D163" s="700">
        <v>7495</v>
      </c>
      <c r="E163" s="701" t="s">
        <v>718</v>
      </c>
      <c r="F163" s="546">
        <v>2017</v>
      </c>
      <c r="G163" s="702">
        <v>42835</v>
      </c>
      <c r="H163" s="703" t="s">
        <v>788</v>
      </c>
      <c r="I163" s="704" t="s">
        <v>3065</v>
      </c>
      <c r="J163" s="705" t="s">
        <v>729</v>
      </c>
      <c r="K163" s="706" t="s">
        <v>3182</v>
      </c>
      <c r="L163" s="707" t="s">
        <v>3331</v>
      </c>
      <c r="M163" s="708">
        <v>-282019.7</v>
      </c>
      <c r="N163" s="709">
        <v>-14100.99</v>
      </c>
      <c r="O163" s="710">
        <v>-47379.31</v>
      </c>
      <c r="P163" s="711">
        <v>-343500</v>
      </c>
      <c r="Q163" s="548"/>
      <c r="R163" s="713">
        <v>-255426.86</v>
      </c>
      <c r="S163" s="549">
        <f t="shared" si="54"/>
        <v>-88073.140000000014</v>
      </c>
      <c r="T163" s="267" t="s">
        <v>1268</v>
      </c>
      <c r="U163" s="291"/>
      <c r="V163" s="291"/>
      <c r="W163" s="291"/>
      <c r="X163" s="291"/>
      <c r="Y163" s="291"/>
      <c r="Z163" s="291"/>
      <c r="AA163" s="291"/>
      <c r="AB163" s="667"/>
      <c r="AC163" s="291"/>
      <c r="AD163" s="291"/>
      <c r="AE163" s="291"/>
      <c r="AF163" s="291"/>
      <c r="AG163" s="395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ht="12.75" customHeight="1" thickBot="1" x14ac:dyDescent="0.25">
      <c r="A164" s="423">
        <f t="shared" si="55"/>
        <v>159</v>
      </c>
      <c r="B164" s="683" t="s">
        <v>2867</v>
      </c>
      <c r="C164" s="699">
        <v>1520604</v>
      </c>
      <c r="D164" s="700">
        <v>7495</v>
      </c>
      <c r="E164" s="701" t="s">
        <v>718</v>
      </c>
      <c r="F164" s="546">
        <v>2017</v>
      </c>
      <c r="G164" s="702">
        <v>42835</v>
      </c>
      <c r="H164" s="703" t="s">
        <v>788</v>
      </c>
      <c r="I164" s="704" t="s">
        <v>3065</v>
      </c>
      <c r="J164" s="705" t="s">
        <v>729</v>
      </c>
      <c r="K164" s="706" t="s">
        <v>3182</v>
      </c>
      <c r="L164" s="707" t="s">
        <v>3331</v>
      </c>
      <c r="M164" s="708">
        <v>282019.7</v>
      </c>
      <c r="N164" s="709">
        <v>14100.99</v>
      </c>
      <c r="O164" s="710">
        <v>47379.31</v>
      </c>
      <c r="P164" s="711">
        <v>343500</v>
      </c>
      <c r="Q164" s="548"/>
      <c r="R164" s="713">
        <v>255426.86</v>
      </c>
      <c r="S164" s="549">
        <f t="shared" si="54"/>
        <v>88073.140000000014</v>
      </c>
      <c r="T164" s="267" t="s">
        <v>1268</v>
      </c>
      <c r="U164" s="307"/>
      <c r="V164" s="423"/>
      <c r="W164" s="362"/>
      <c r="X164" s="362"/>
      <c r="Y164" s="619">
        <f>154-4</f>
        <v>150</v>
      </c>
      <c r="Z164" s="620">
        <f>+SUM(Z6:Z160)</f>
        <v>30881421.039999947</v>
      </c>
      <c r="AA164" s="620">
        <f>+SUM(AA6:AA160)</f>
        <v>39426987.410000011</v>
      </c>
      <c r="AB164" s="643">
        <f>+SUM(AB6:AB160)</f>
        <v>130</v>
      </c>
      <c r="AC164" s="620"/>
      <c r="AD164" s="620"/>
      <c r="AE164" s="620"/>
      <c r="AF164" s="620">
        <f>+SUM(AF6:AF160)</f>
        <v>1131820.6192999994</v>
      </c>
      <c r="AG164" s="379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ht="12.75" customHeight="1" thickTop="1" x14ac:dyDescent="0.2">
      <c r="A165" s="423">
        <f t="shared" si="55"/>
        <v>160</v>
      </c>
      <c r="B165" s="683" t="s">
        <v>2889</v>
      </c>
      <c r="C165" s="699">
        <v>1520604</v>
      </c>
      <c r="D165" s="700">
        <v>7495</v>
      </c>
      <c r="E165" s="701" t="s">
        <v>718</v>
      </c>
      <c r="F165" s="546">
        <v>2017</v>
      </c>
      <c r="G165" s="702">
        <v>42850</v>
      </c>
      <c r="H165" s="703" t="s">
        <v>817</v>
      </c>
      <c r="I165" s="704" t="s">
        <v>3080</v>
      </c>
      <c r="J165" s="705" t="s">
        <v>729</v>
      </c>
      <c r="K165" s="706" t="s">
        <v>3193</v>
      </c>
      <c r="L165" s="707" t="s">
        <v>3346</v>
      </c>
      <c r="M165" s="708">
        <v>-282019.7</v>
      </c>
      <c r="N165" s="709">
        <v>-14100.99</v>
      </c>
      <c r="O165" s="710">
        <v>-47379.31</v>
      </c>
      <c r="P165" s="711">
        <v>-343500</v>
      </c>
      <c r="Q165" s="548"/>
      <c r="R165" s="713">
        <v>-255426.86</v>
      </c>
      <c r="S165" s="549">
        <f t="shared" si="54"/>
        <v>-88073.140000000014</v>
      </c>
      <c r="T165" s="113" t="s">
        <v>1268</v>
      </c>
      <c r="U165" s="434"/>
      <c r="V165" s="427"/>
      <c r="W165" s="428"/>
      <c r="X165" s="428"/>
      <c r="Y165" s="93"/>
      <c r="Z165" s="260"/>
      <c r="AA165" s="431"/>
      <c r="AB165" s="668"/>
      <c r="AC165" s="431"/>
      <c r="AD165" s="436"/>
      <c r="AE165" s="431"/>
      <c r="AF165" s="431">
        <f>+N288</f>
        <v>1128380.5999999994</v>
      </c>
      <c r="AG165" s="440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ht="12.75" customHeight="1" x14ac:dyDescent="0.2">
      <c r="A166" s="423">
        <f t="shared" si="55"/>
        <v>161</v>
      </c>
      <c r="B166" s="683" t="s">
        <v>2890</v>
      </c>
      <c r="C166" s="699">
        <v>1520604</v>
      </c>
      <c r="D166" s="700">
        <v>7495</v>
      </c>
      <c r="E166" s="701" t="s">
        <v>718</v>
      </c>
      <c r="F166" s="546">
        <v>2017</v>
      </c>
      <c r="G166" s="702">
        <v>42850</v>
      </c>
      <c r="H166" s="703" t="s">
        <v>817</v>
      </c>
      <c r="I166" s="704" t="s">
        <v>3080</v>
      </c>
      <c r="J166" s="705" t="s">
        <v>729</v>
      </c>
      <c r="K166" s="706" t="s">
        <v>3193</v>
      </c>
      <c r="L166" s="707" t="s">
        <v>3346</v>
      </c>
      <c r="M166" s="708">
        <v>282019.7</v>
      </c>
      <c r="N166" s="709">
        <v>14100.99</v>
      </c>
      <c r="O166" s="710">
        <v>47379.31</v>
      </c>
      <c r="P166" s="711">
        <v>343500</v>
      </c>
      <c r="Q166" s="548"/>
      <c r="R166" s="713">
        <v>255426.86</v>
      </c>
      <c r="S166" s="549">
        <f t="shared" si="54"/>
        <v>88073.140000000014</v>
      </c>
      <c r="T166" s="267" t="s">
        <v>1268</v>
      </c>
      <c r="U166" s="93"/>
      <c r="V166" s="93"/>
      <c r="W166" s="267"/>
      <c r="X166" s="271"/>
      <c r="Y166" s="469"/>
      <c r="Z166" s="470"/>
      <c r="AA166" s="431"/>
      <c r="AB166" s="668"/>
      <c r="AC166" s="396"/>
      <c r="AD166" s="425"/>
      <c r="AE166" s="395"/>
      <c r="AF166" s="379"/>
      <c r="AG166" s="395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ht="12.75" customHeight="1" x14ac:dyDescent="0.2">
      <c r="A167" s="423">
        <f t="shared" si="55"/>
        <v>162</v>
      </c>
      <c r="B167" s="683" t="s">
        <v>2900</v>
      </c>
      <c r="C167" s="699">
        <v>1520603</v>
      </c>
      <c r="D167" s="700">
        <v>7497</v>
      </c>
      <c r="E167" s="701" t="s">
        <v>717</v>
      </c>
      <c r="F167" s="546">
        <v>2017</v>
      </c>
      <c r="G167" s="702">
        <v>42850</v>
      </c>
      <c r="H167" s="703" t="s">
        <v>819</v>
      </c>
      <c r="I167" s="704" t="s">
        <v>3088</v>
      </c>
      <c r="J167" s="705" t="s">
        <v>729</v>
      </c>
      <c r="K167" s="706" t="s">
        <v>3176</v>
      </c>
      <c r="L167" s="707" t="s">
        <v>3354</v>
      </c>
      <c r="M167" s="708">
        <v>-272988.5</v>
      </c>
      <c r="N167" s="709">
        <v>-13649.43</v>
      </c>
      <c r="O167" s="710">
        <v>-45862.07</v>
      </c>
      <c r="P167" s="711">
        <v>-332500</v>
      </c>
      <c r="Q167" s="548"/>
      <c r="R167" s="713">
        <v>-247285.57</v>
      </c>
      <c r="S167" s="549">
        <f t="shared" si="54"/>
        <v>-85214.43</v>
      </c>
      <c r="T167" s="113" t="s">
        <v>1268</v>
      </c>
      <c r="U167" s="429"/>
      <c r="V167" s="298" t="s">
        <v>250</v>
      </c>
      <c r="W167" s="437" t="s">
        <v>2127</v>
      </c>
      <c r="X167" s="382"/>
      <c r="Y167" s="441"/>
      <c r="Z167" s="438"/>
      <c r="AA167" s="439"/>
      <c r="AB167" s="669"/>
      <c r="AC167" s="396"/>
      <c r="AD167" s="425"/>
      <c r="AE167" s="440"/>
      <c r="AF167" s="439">
        <f>+AF164-AF165</f>
        <v>3440.0193000000436</v>
      </c>
      <c r="AG167" s="396">
        <f>SUM(AG6:AG166)</f>
        <v>-3440.0192999999422</v>
      </c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ht="12.75" customHeight="1" x14ac:dyDescent="0.2">
      <c r="A168" s="423">
        <f t="shared" si="55"/>
        <v>163</v>
      </c>
      <c r="B168" s="683" t="s">
        <v>2901</v>
      </c>
      <c r="C168" s="699">
        <v>1520603</v>
      </c>
      <c r="D168" s="700">
        <v>7497</v>
      </c>
      <c r="E168" s="701" t="s">
        <v>717</v>
      </c>
      <c r="F168" s="546">
        <v>2017</v>
      </c>
      <c r="G168" s="702">
        <v>42850</v>
      </c>
      <c r="H168" s="703" t="s">
        <v>819</v>
      </c>
      <c r="I168" s="704" t="s">
        <v>3088</v>
      </c>
      <c r="J168" s="705" t="s">
        <v>729</v>
      </c>
      <c r="K168" s="706" t="s">
        <v>3176</v>
      </c>
      <c r="L168" s="707" t="s">
        <v>3354</v>
      </c>
      <c r="M168" s="708">
        <v>272988.5</v>
      </c>
      <c r="N168" s="709">
        <v>13649.43</v>
      </c>
      <c r="O168" s="710">
        <v>45862.07</v>
      </c>
      <c r="P168" s="711">
        <v>332500</v>
      </c>
      <c r="Q168" s="548"/>
      <c r="R168" s="713">
        <v>247285.57</v>
      </c>
      <c r="S168" s="549">
        <f t="shared" si="54"/>
        <v>85214.43</v>
      </c>
      <c r="T168" s="113" t="s">
        <v>1268</v>
      </c>
      <c r="U168" s="93"/>
      <c r="V168" s="298" t="s">
        <v>251</v>
      </c>
      <c r="W168" s="437" t="s">
        <v>1991</v>
      </c>
      <c r="X168" s="271"/>
      <c r="Y168" s="441"/>
      <c r="Z168" s="471">
        <f>+AB160+AB90+AB89+AB88+AB87+AB84+AB83+AB81</f>
        <v>28</v>
      </c>
      <c r="AA168" s="472">
        <f>+AA160+AA90+AA89+AA88+AA87+AA84+AA83+AA81</f>
        <v>10732347.990000002</v>
      </c>
      <c r="AB168" s="646"/>
      <c r="AC168" s="474" t="s">
        <v>1269</v>
      </c>
      <c r="AD168" s="436"/>
      <c r="AE168" s="431"/>
      <c r="AF168" s="431"/>
      <c r="AG168" s="440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ht="12.75" customHeight="1" x14ac:dyDescent="0.2">
      <c r="A169" s="423">
        <f t="shared" si="55"/>
        <v>164</v>
      </c>
      <c r="B169" s="683" t="s">
        <v>2875</v>
      </c>
      <c r="C169" s="699">
        <v>1520604</v>
      </c>
      <c r="D169" s="700">
        <v>7495</v>
      </c>
      <c r="E169" s="701" t="s">
        <v>718</v>
      </c>
      <c r="F169" s="546">
        <v>2017</v>
      </c>
      <c r="G169" s="702">
        <v>42838</v>
      </c>
      <c r="H169" s="703" t="s">
        <v>908</v>
      </c>
      <c r="I169" s="704" t="s">
        <v>3072</v>
      </c>
      <c r="J169" s="705" t="s">
        <v>729</v>
      </c>
      <c r="K169" s="706" t="s">
        <v>3187</v>
      </c>
      <c r="L169" s="707" t="s">
        <v>3338</v>
      </c>
      <c r="M169" s="708">
        <v>282019.7</v>
      </c>
      <c r="N169" s="709">
        <v>14100.99</v>
      </c>
      <c r="O169" s="710">
        <v>47379.31</v>
      </c>
      <c r="P169" s="711">
        <v>343500</v>
      </c>
      <c r="Q169" s="548"/>
      <c r="R169" s="713">
        <v>255426.86</v>
      </c>
      <c r="S169" s="549">
        <f t="shared" si="54"/>
        <v>88073.140000000014</v>
      </c>
      <c r="T169" s="267" t="s">
        <v>1268</v>
      </c>
      <c r="U169" s="93"/>
      <c r="V169" s="93"/>
      <c r="W169" s="267"/>
      <c r="X169" s="271"/>
      <c r="Y169" s="94"/>
      <c r="Z169" s="475">
        <f>+AB76+AB75+AB74+AB68+AB63+AB62+AB54+AB29+AB27</f>
        <v>8</v>
      </c>
      <c r="AA169" s="472">
        <f>+AA76+AA75+AA74+AA68+AA63+AA62+AA54+AA29+AA27</f>
        <v>2548714.34</v>
      </c>
      <c r="AB169" s="646"/>
      <c r="AC169" s="474" t="s">
        <v>1270</v>
      </c>
      <c r="AD169" s="425"/>
      <c r="AE169" s="424"/>
      <c r="AF169" s="424"/>
      <c r="AG169" s="346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ht="12.75" customHeight="1" x14ac:dyDescent="0.2">
      <c r="A170" s="423">
        <f t="shared" si="55"/>
        <v>165</v>
      </c>
      <c r="B170" s="683" t="s">
        <v>2883</v>
      </c>
      <c r="C170" s="699">
        <v>1520604</v>
      </c>
      <c r="D170" s="700">
        <v>7495</v>
      </c>
      <c r="E170" s="701" t="s">
        <v>718</v>
      </c>
      <c r="F170" s="546">
        <v>2017</v>
      </c>
      <c r="G170" s="702">
        <v>42845</v>
      </c>
      <c r="H170" s="703" t="s">
        <v>908</v>
      </c>
      <c r="I170" s="704" t="s">
        <v>3072</v>
      </c>
      <c r="J170" s="705" t="s">
        <v>729</v>
      </c>
      <c r="K170" s="706" t="s">
        <v>3187</v>
      </c>
      <c r="L170" s="707" t="s">
        <v>3338</v>
      </c>
      <c r="M170" s="708">
        <v>-282019.7</v>
      </c>
      <c r="N170" s="709">
        <v>-14100.99</v>
      </c>
      <c r="O170" s="710">
        <v>-47379.31</v>
      </c>
      <c r="P170" s="711">
        <v>-343500</v>
      </c>
      <c r="Q170" s="548"/>
      <c r="R170" s="713">
        <v>-255426.86</v>
      </c>
      <c r="S170" s="549">
        <f t="shared" si="54"/>
        <v>-88073.140000000014</v>
      </c>
      <c r="T170" s="113" t="s">
        <v>1268</v>
      </c>
      <c r="U170" s="429"/>
      <c r="V170" s="429"/>
      <c r="W170" s="426"/>
      <c r="X170" s="382"/>
      <c r="Y170" s="442"/>
      <c r="Z170" s="476">
        <f>+AB69+AB51+AB24+AB23+AB21+AB17+AB16+AB15+AB13+AB12+AB11+AB10+AB6</f>
        <v>23</v>
      </c>
      <c r="AA170" s="472">
        <f>+AA69+AA51+AA24+AA23+AA21+AA17+AA16+AA15+AA13+AA12+AA11+AA10+AA6</f>
        <v>6060579.3800000008</v>
      </c>
      <c r="AB170" s="646"/>
      <c r="AC170" s="474" t="s">
        <v>1271</v>
      </c>
      <c r="AD170" s="443"/>
      <c r="AE170" s="439"/>
      <c r="AF170" s="439"/>
      <c r="AG170" s="291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ht="12.75" customHeight="1" thickBot="1" x14ac:dyDescent="0.25">
      <c r="A171" s="423">
        <f t="shared" si="55"/>
        <v>166</v>
      </c>
      <c r="B171" s="683" t="s">
        <v>2885</v>
      </c>
      <c r="C171" s="699">
        <v>1520604</v>
      </c>
      <c r="D171" s="700">
        <v>7495</v>
      </c>
      <c r="E171" s="701" t="s">
        <v>718</v>
      </c>
      <c r="F171" s="546">
        <v>2017</v>
      </c>
      <c r="G171" s="702">
        <v>42845</v>
      </c>
      <c r="H171" s="703" t="s">
        <v>908</v>
      </c>
      <c r="I171" s="704" t="s">
        <v>3078</v>
      </c>
      <c r="J171" s="705" t="s">
        <v>724</v>
      </c>
      <c r="K171" s="706" t="s">
        <v>3187</v>
      </c>
      <c r="L171" s="707" t="s">
        <v>3344</v>
      </c>
      <c r="M171" s="708">
        <v>-282019.7</v>
      </c>
      <c r="N171" s="709">
        <v>-14100.99</v>
      </c>
      <c r="O171" s="710">
        <v>-47379.31</v>
      </c>
      <c r="P171" s="711">
        <v>-343500</v>
      </c>
      <c r="Q171" s="548"/>
      <c r="R171" s="713">
        <v>-255781.34</v>
      </c>
      <c r="S171" s="549">
        <f t="shared" si="54"/>
        <v>-87718.66</v>
      </c>
      <c r="T171" s="444" t="s">
        <v>1268</v>
      </c>
      <c r="Y171" s="352"/>
      <c r="Z171" s="477">
        <f>+AB40</f>
        <v>0</v>
      </c>
      <c r="AA171" s="478">
        <f>+AA40</f>
        <v>0</v>
      </c>
      <c r="AB171" s="646"/>
      <c r="AC171" s="474" t="s">
        <v>1272</v>
      </c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ht="12.75" customHeight="1" thickTop="1" x14ac:dyDescent="0.2">
      <c r="A172" s="423">
        <f t="shared" si="55"/>
        <v>167</v>
      </c>
      <c r="B172" s="683" t="s">
        <v>2886</v>
      </c>
      <c r="C172" s="699">
        <v>1520604</v>
      </c>
      <c r="D172" s="700">
        <v>7495</v>
      </c>
      <c r="E172" s="701" t="s">
        <v>718</v>
      </c>
      <c r="F172" s="546">
        <v>2017</v>
      </c>
      <c r="G172" s="702">
        <v>42845</v>
      </c>
      <c r="H172" s="703" t="s">
        <v>908</v>
      </c>
      <c r="I172" s="704" t="s">
        <v>3078</v>
      </c>
      <c r="J172" s="705" t="s">
        <v>724</v>
      </c>
      <c r="K172" s="706" t="s">
        <v>3187</v>
      </c>
      <c r="L172" s="707" t="s">
        <v>3344</v>
      </c>
      <c r="M172" s="708">
        <v>282019.7</v>
      </c>
      <c r="N172" s="709">
        <v>14100.99</v>
      </c>
      <c r="O172" s="710">
        <v>47379.31</v>
      </c>
      <c r="P172" s="711">
        <v>343500</v>
      </c>
      <c r="Q172" s="548"/>
      <c r="R172" s="713">
        <v>255781.34</v>
      </c>
      <c r="S172" s="549">
        <f t="shared" si="54"/>
        <v>87718.66</v>
      </c>
      <c r="T172" s="113" t="s">
        <v>1268</v>
      </c>
      <c r="Z172" s="479">
        <f>+SUM(Z168:Z171)</f>
        <v>59</v>
      </c>
      <c r="AA172" s="480">
        <f>SUM(AA168:AA171)</f>
        <v>19341641.710000001</v>
      </c>
      <c r="AB172" s="646"/>
      <c r="AC172" s="472"/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ht="12.75" customHeight="1" x14ac:dyDescent="0.2">
      <c r="A173" s="423">
        <f t="shared" si="55"/>
        <v>168</v>
      </c>
      <c r="B173" s="683" t="s">
        <v>3388</v>
      </c>
      <c r="C173" s="699">
        <v>1520604</v>
      </c>
      <c r="D173" s="700">
        <v>7495</v>
      </c>
      <c r="E173" s="701" t="s">
        <v>718</v>
      </c>
      <c r="F173" s="546">
        <v>2017</v>
      </c>
      <c r="G173" s="702">
        <v>42826</v>
      </c>
      <c r="H173" s="703" t="s">
        <v>2213</v>
      </c>
      <c r="I173" s="704" t="s">
        <v>3062</v>
      </c>
      <c r="J173" s="705" t="s">
        <v>729</v>
      </c>
      <c r="K173" s="706" t="s">
        <v>3180</v>
      </c>
      <c r="L173" s="707" t="s">
        <v>3328</v>
      </c>
      <c r="M173" s="708">
        <v>282019.7</v>
      </c>
      <c r="N173" s="709">
        <v>14100.99</v>
      </c>
      <c r="O173" s="710">
        <v>47379.31</v>
      </c>
      <c r="P173" s="711">
        <v>343500</v>
      </c>
      <c r="Q173" s="548"/>
      <c r="R173" s="713">
        <v>255426.86</v>
      </c>
      <c r="S173" s="549">
        <f t="shared" si="54"/>
        <v>88073.140000000014</v>
      </c>
      <c r="T173" s="113" t="s">
        <v>1268</v>
      </c>
      <c r="U173" s="267"/>
      <c r="V173" s="93"/>
      <c r="W173" s="267"/>
      <c r="X173" s="267"/>
      <c r="Y173" s="93"/>
      <c r="Z173" s="618"/>
      <c r="AA173" s="424"/>
      <c r="AB173" s="480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ht="12.75" customHeight="1" x14ac:dyDescent="0.2">
      <c r="A174" s="423">
        <f t="shared" si="55"/>
        <v>169</v>
      </c>
      <c r="B174" s="683" t="s">
        <v>2862</v>
      </c>
      <c r="C174" s="699">
        <v>1520604</v>
      </c>
      <c r="D174" s="700">
        <v>7495</v>
      </c>
      <c r="E174" s="701" t="s">
        <v>718</v>
      </c>
      <c r="F174" s="546">
        <v>2017</v>
      </c>
      <c r="G174" s="702">
        <v>42829</v>
      </c>
      <c r="H174" s="703" t="s">
        <v>2213</v>
      </c>
      <c r="I174" s="704" t="s">
        <v>3062</v>
      </c>
      <c r="J174" s="705" t="s">
        <v>729</v>
      </c>
      <c r="K174" s="706" t="s">
        <v>3180</v>
      </c>
      <c r="L174" s="707" t="s">
        <v>3328</v>
      </c>
      <c r="M174" s="708">
        <v>-282019.7</v>
      </c>
      <c r="N174" s="709">
        <v>-14100.99</v>
      </c>
      <c r="O174" s="710">
        <v>-47379.31</v>
      </c>
      <c r="P174" s="711">
        <v>-343500</v>
      </c>
      <c r="Q174" s="548"/>
      <c r="R174" s="713">
        <v>-255426.86</v>
      </c>
      <c r="S174" s="549">
        <f t="shared" si="54"/>
        <v>-88073.140000000014</v>
      </c>
      <c r="T174" s="113" t="s">
        <v>1268</v>
      </c>
      <c r="U174" s="267"/>
      <c r="V174" s="93"/>
      <c r="W174" s="267"/>
      <c r="X174" s="267"/>
      <c r="Y174" s="93"/>
      <c r="Z174" s="618"/>
      <c r="AA174" s="424"/>
      <c r="AB174" s="480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ht="12.75" customHeight="1" x14ac:dyDescent="0.2">
      <c r="A175" s="423">
        <f t="shared" si="55"/>
        <v>170</v>
      </c>
      <c r="B175" s="683" t="s">
        <v>2877</v>
      </c>
      <c r="C175" s="699">
        <v>1520604</v>
      </c>
      <c r="D175" s="700">
        <v>7495</v>
      </c>
      <c r="E175" s="701" t="s">
        <v>718</v>
      </c>
      <c r="F175" s="546">
        <v>2017</v>
      </c>
      <c r="G175" s="702">
        <v>42838</v>
      </c>
      <c r="H175" s="703" t="s">
        <v>908</v>
      </c>
      <c r="I175" s="704" t="s">
        <v>3074</v>
      </c>
      <c r="J175" s="705" t="s">
        <v>729</v>
      </c>
      <c r="K175" s="706" t="s">
        <v>3189</v>
      </c>
      <c r="L175" s="707" t="s">
        <v>3340</v>
      </c>
      <c r="M175" s="708">
        <v>-282019.7</v>
      </c>
      <c r="N175" s="709">
        <v>-14100.99</v>
      </c>
      <c r="O175" s="710">
        <v>-47379.31</v>
      </c>
      <c r="P175" s="711">
        <v>-343500</v>
      </c>
      <c r="Q175" s="548"/>
      <c r="R175" s="713">
        <v>-255426.86</v>
      </c>
      <c r="S175" s="549">
        <f t="shared" si="54"/>
        <v>-88073.140000000014</v>
      </c>
      <c r="T175" s="267" t="s">
        <v>1268</v>
      </c>
      <c r="U175" s="267"/>
      <c r="V175" s="93"/>
      <c r="W175" s="267"/>
      <c r="X175" s="267"/>
      <c r="Y175" s="93"/>
      <c r="Z175" s="618"/>
      <c r="AA175" s="424"/>
      <c r="AB175" s="480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ht="12.75" customHeight="1" x14ac:dyDescent="0.2">
      <c r="A176" s="423">
        <f t="shared" si="55"/>
        <v>171</v>
      </c>
      <c r="B176" s="683" t="s">
        <v>2878</v>
      </c>
      <c r="C176" s="699">
        <v>1520604</v>
      </c>
      <c r="D176" s="700">
        <v>7495</v>
      </c>
      <c r="E176" s="701" t="s">
        <v>718</v>
      </c>
      <c r="F176" s="546">
        <v>2017</v>
      </c>
      <c r="G176" s="702">
        <v>42838</v>
      </c>
      <c r="H176" s="703" t="s">
        <v>908</v>
      </c>
      <c r="I176" s="704" t="s">
        <v>3074</v>
      </c>
      <c r="J176" s="705" t="s">
        <v>729</v>
      </c>
      <c r="K176" s="706" t="s">
        <v>3189</v>
      </c>
      <c r="L176" s="707" t="s">
        <v>3340</v>
      </c>
      <c r="M176" s="708">
        <v>282019.7</v>
      </c>
      <c r="N176" s="709">
        <v>14100.99</v>
      </c>
      <c r="O176" s="710">
        <v>47379.31</v>
      </c>
      <c r="P176" s="711">
        <v>343500</v>
      </c>
      <c r="Q176" s="548"/>
      <c r="R176" s="713">
        <v>255426.86</v>
      </c>
      <c r="S176" s="549">
        <f t="shared" si="54"/>
        <v>88073.140000000014</v>
      </c>
      <c r="T176" s="113" t="s">
        <v>1268</v>
      </c>
      <c r="U176" s="267"/>
      <c r="V176" s="93"/>
      <c r="W176" s="267"/>
      <c r="X176" s="267"/>
      <c r="Y176" s="93"/>
      <c r="Z176" s="618"/>
      <c r="AA176" s="424"/>
      <c r="AB176" s="480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ht="12.75" customHeight="1" x14ac:dyDescent="0.2">
      <c r="A177" s="423">
        <f t="shared" si="55"/>
        <v>172</v>
      </c>
      <c r="B177" s="683" t="s">
        <v>2892</v>
      </c>
      <c r="C177" s="699">
        <v>1520604</v>
      </c>
      <c r="D177" s="700">
        <v>7495</v>
      </c>
      <c r="E177" s="701" t="s">
        <v>718</v>
      </c>
      <c r="F177" s="546">
        <v>2017</v>
      </c>
      <c r="G177" s="702">
        <v>42853</v>
      </c>
      <c r="H177" s="703" t="s">
        <v>810</v>
      </c>
      <c r="I177" s="704" t="s">
        <v>3082</v>
      </c>
      <c r="J177" s="705" t="s">
        <v>729</v>
      </c>
      <c r="K177" s="706" t="s">
        <v>3194</v>
      </c>
      <c r="L177" s="707" t="s">
        <v>3348</v>
      </c>
      <c r="M177" s="708">
        <v>-282019.7</v>
      </c>
      <c r="N177" s="709">
        <v>-14100.99</v>
      </c>
      <c r="O177" s="710">
        <v>-47379.31</v>
      </c>
      <c r="P177" s="711">
        <v>-343500</v>
      </c>
      <c r="Q177" s="548"/>
      <c r="R177" s="713">
        <v>-255426.86</v>
      </c>
      <c r="S177" s="549">
        <f t="shared" si="54"/>
        <v>-88073.140000000014</v>
      </c>
      <c r="T177" s="267" t="s">
        <v>1268</v>
      </c>
      <c r="U177" s="267"/>
      <c r="V177" s="93"/>
      <c r="W177" s="267"/>
      <c r="X177" s="267"/>
      <c r="Y177" s="93"/>
      <c r="Z177" s="618"/>
      <c r="AA177" s="424"/>
      <c r="AB177" s="480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ht="12.75" customHeight="1" x14ac:dyDescent="0.2">
      <c r="A178" s="423">
        <f t="shared" si="55"/>
        <v>173</v>
      </c>
      <c r="B178" s="683" t="s">
        <v>2893</v>
      </c>
      <c r="C178" s="699">
        <v>1520604</v>
      </c>
      <c r="D178" s="700">
        <v>7495</v>
      </c>
      <c r="E178" s="701" t="s">
        <v>718</v>
      </c>
      <c r="F178" s="546">
        <v>2017</v>
      </c>
      <c r="G178" s="702">
        <v>42853</v>
      </c>
      <c r="H178" s="703" t="s">
        <v>810</v>
      </c>
      <c r="I178" s="704" t="s">
        <v>3082</v>
      </c>
      <c r="J178" s="705" t="s">
        <v>729</v>
      </c>
      <c r="K178" s="706" t="s">
        <v>3194</v>
      </c>
      <c r="L178" s="707" t="s">
        <v>3348</v>
      </c>
      <c r="M178" s="708">
        <v>282019.7</v>
      </c>
      <c r="N178" s="709">
        <v>14100.99</v>
      </c>
      <c r="O178" s="710">
        <v>47379.31</v>
      </c>
      <c r="P178" s="711">
        <v>343500</v>
      </c>
      <c r="Q178" s="548"/>
      <c r="R178" s="713">
        <v>255426.86</v>
      </c>
      <c r="S178" s="549">
        <f t="shared" si="54"/>
        <v>88073.140000000014</v>
      </c>
      <c r="T178" s="445" t="s">
        <v>1268</v>
      </c>
      <c r="U178" s="267"/>
      <c r="V178" s="93"/>
      <c r="W178" s="267"/>
      <c r="X178" s="267"/>
      <c r="Y178" s="93"/>
      <c r="Z178" s="618"/>
      <c r="AA178" s="424"/>
      <c r="AB178" s="480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ht="12.75" customHeight="1" x14ac:dyDescent="0.2">
      <c r="A179" s="423">
        <f t="shared" si="55"/>
        <v>174</v>
      </c>
      <c r="B179" s="683" t="s">
        <v>2902</v>
      </c>
      <c r="C179" s="699">
        <v>1520603</v>
      </c>
      <c r="D179" s="700">
        <v>7497</v>
      </c>
      <c r="E179" s="701" t="s">
        <v>717</v>
      </c>
      <c r="F179" s="546">
        <v>2017</v>
      </c>
      <c r="G179" s="702">
        <v>42850</v>
      </c>
      <c r="H179" s="703" t="s">
        <v>819</v>
      </c>
      <c r="I179" s="704" t="s">
        <v>3089</v>
      </c>
      <c r="J179" s="705" t="s">
        <v>729</v>
      </c>
      <c r="K179" s="706" t="s">
        <v>3176</v>
      </c>
      <c r="L179" s="707" t="s">
        <v>3355</v>
      </c>
      <c r="M179" s="708">
        <v>-272988.5</v>
      </c>
      <c r="N179" s="709">
        <v>-13649.43</v>
      </c>
      <c r="O179" s="710">
        <v>-45862.07</v>
      </c>
      <c r="P179" s="711">
        <v>-332500</v>
      </c>
      <c r="Q179" s="548"/>
      <c r="R179" s="713">
        <v>-247329.71</v>
      </c>
      <c r="S179" s="549">
        <f t="shared" si="54"/>
        <v>-85170.290000000008</v>
      </c>
      <c r="T179" s="267" t="s">
        <v>1268</v>
      </c>
      <c r="U179" s="267"/>
      <c r="V179" s="93"/>
      <c r="W179" s="267"/>
      <c r="X179" s="267"/>
      <c r="Y179" s="93"/>
      <c r="Z179" s="618"/>
      <c r="AA179" s="424"/>
      <c r="AB179" s="480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ht="12.75" customHeight="1" x14ac:dyDescent="0.2">
      <c r="A180" s="423">
        <f t="shared" si="55"/>
        <v>175</v>
      </c>
      <c r="B180" s="683" t="s">
        <v>2903</v>
      </c>
      <c r="C180" s="699">
        <v>1520603</v>
      </c>
      <c r="D180" s="700">
        <v>7497</v>
      </c>
      <c r="E180" s="701" t="s">
        <v>717</v>
      </c>
      <c r="F180" s="546">
        <v>2017</v>
      </c>
      <c r="G180" s="702">
        <v>42850</v>
      </c>
      <c r="H180" s="703" t="s">
        <v>819</v>
      </c>
      <c r="I180" s="704" t="s">
        <v>3089</v>
      </c>
      <c r="J180" s="705" t="s">
        <v>729</v>
      </c>
      <c r="K180" s="706" t="s">
        <v>3176</v>
      </c>
      <c r="L180" s="707" t="s">
        <v>3355</v>
      </c>
      <c r="M180" s="708">
        <v>272988.5</v>
      </c>
      <c r="N180" s="709">
        <v>13649.43</v>
      </c>
      <c r="O180" s="710">
        <v>45862.07</v>
      </c>
      <c r="P180" s="711">
        <v>332500</v>
      </c>
      <c r="Q180" s="548"/>
      <c r="R180" s="713">
        <v>247329.71</v>
      </c>
      <c r="S180" s="549">
        <f t="shared" si="54"/>
        <v>85170.290000000008</v>
      </c>
      <c r="T180" s="267" t="s">
        <v>1268</v>
      </c>
      <c r="U180" s="267"/>
      <c r="V180" s="93"/>
      <c r="W180" s="267"/>
      <c r="X180" s="267"/>
      <c r="Y180" s="93"/>
      <c r="Z180" s="618"/>
      <c r="AA180" s="424"/>
      <c r="AB180" s="480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ht="12.75" customHeight="1" x14ac:dyDescent="0.2">
      <c r="A181" s="423">
        <f t="shared" si="55"/>
        <v>176</v>
      </c>
      <c r="B181" s="683" t="s">
        <v>2757</v>
      </c>
      <c r="C181" s="699">
        <v>521707</v>
      </c>
      <c r="D181" s="700">
        <v>2006</v>
      </c>
      <c r="E181" s="701" t="s">
        <v>702</v>
      </c>
      <c r="F181" s="546">
        <v>2017</v>
      </c>
      <c r="G181" s="702">
        <v>42845</v>
      </c>
      <c r="H181" s="703" t="s">
        <v>819</v>
      </c>
      <c r="I181" s="704" t="s">
        <v>2991</v>
      </c>
      <c r="J181" s="705" t="s">
        <v>724</v>
      </c>
      <c r="K181" s="706" t="s">
        <v>3140</v>
      </c>
      <c r="L181" s="707" t="s">
        <v>3257</v>
      </c>
      <c r="M181" s="708">
        <v>195172.41</v>
      </c>
      <c r="N181" s="709">
        <v>0</v>
      </c>
      <c r="O181" s="710">
        <v>31227.59</v>
      </c>
      <c r="P181" s="711">
        <v>226400</v>
      </c>
      <c r="Q181" s="548"/>
      <c r="R181" s="713">
        <v>177270.62</v>
      </c>
      <c r="S181" s="549">
        <f t="shared" si="54"/>
        <v>49129.380000000005</v>
      </c>
      <c r="T181" s="113" t="s">
        <v>1268</v>
      </c>
      <c r="U181" s="267"/>
      <c r="V181" s="93"/>
      <c r="W181" s="267"/>
      <c r="X181" s="267"/>
      <c r="Y181" s="93"/>
      <c r="Z181" s="618"/>
      <c r="AA181" s="424"/>
      <c r="AB181" s="480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ht="12.75" customHeight="1" x14ac:dyDescent="0.2">
      <c r="A182" s="423">
        <f t="shared" si="55"/>
        <v>177</v>
      </c>
      <c r="B182" s="683" t="s">
        <v>2759</v>
      </c>
      <c r="C182" s="699">
        <v>521707</v>
      </c>
      <c r="D182" s="700">
        <v>2006</v>
      </c>
      <c r="E182" s="701" t="s">
        <v>702</v>
      </c>
      <c r="F182" s="546">
        <v>2017</v>
      </c>
      <c r="G182" s="702">
        <v>42846</v>
      </c>
      <c r="H182" s="703" t="s">
        <v>819</v>
      </c>
      <c r="I182" s="704" t="s">
        <v>2991</v>
      </c>
      <c r="J182" s="705" t="s">
        <v>724</v>
      </c>
      <c r="K182" s="706" t="s">
        <v>3140</v>
      </c>
      <c r="L182" s="707" t="s">
        <v>3257</v>
      </c>
      <c r="M182" s="708">
        <v>-195172.41</v>
      </c>
      <c r="N182" s="709">
        <v>0</v>
      </c>
      <c r="O182" s="710">
        <v>-31227.59</v>
      </c>
      <c r="P182" s="711">
        <v>-226400</v>
      </c>
      <c r="Q182" s="548"/>
      <c r="R182" s="713">
        <v>-177270.62</v>
      </c>
      <c r="S182" s="549">
        <f t="shared" si="54"/>
        <v>-49129.380000000005</v>
      </c>
      <c r="T182" s="267" t="s">
        <v>1268</v>
      </c>
      <c r="U182" s="267"/>
      <c r="V182" s="93"/>
      <c r="W182" s="267"/>
      <c r="X182" s="267"/>
      <c r="Y182" s="93"/>
      <c r="Z182" s="618"/>
      <c r="AA182" s="424"/>
      <c r="AB182" s="480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ht="12.75" customHeight="1" x14ac:dyDescent="0.2">
      <c r="A183" s="423">
        <f t="shared" si="55"/>
        <v>178</v>
      </c>
      <c r="B183" s="683" t="s">
        <v>2746</v>
      </c>
      <c r="C183" s="699">
        <v>521707</v>
      </c>
      <c r="D183" s="700">
        <v>2006</v>
      </c>
      <c r="E183" s="701" t="s">
        <v>702</v>
      </c>
      <c r="F183" s="546">
        <v>2017</v>
      </c>
      <c r="G183" s="702">
        <v>42829</v>
      </c>
      <c r="H183" s="703" t="s">
        <v>819</v>
      </c>
      <c r="I183" s="704" t="s">
        <v>2258</v>
      </c>
      <c r="J183" s="705" t="s">
        <v>729</v>
      </c>
      <c r="K183" s="706" t="s">
        <v>2420</v>
      </c>
      <c r="L183" s="707" t="s">
        <v>2556</v>
      </c>
      <c r="M183" s="708">
        <v>-195172.41</v>
      </c>
      <c r="N183" s="709">
        <v>0</v>
      </c>
      <c r="O183" s="710">
        <v>-31227.59</v>
      </c>
      <c r="P183" s="711">
        <v>-226400</v>
      </c>
      <c r="Q183" s="548"/>
      <c r="R183" s="713">
        <v>-176916.14</v>
      </c>
      <c r="S183" s="549">
        <f t="shared" si="54"/>
        <v>-49483.859999999986</v>
      </c>
      <c r="T183" s="444" t="s">
        <v>1268</v>
      </c>
      <c r="U183" s="267"/>
      <c r="V183" s="93"/>
      <c r="W183" s="267"/>
      <c r="X183" s="267"/>
      <c r="Y183" s="93"/>
      <c r="Z183" s="618"/>
      <c r="AA183" s="424"/>
      <c r="AB183" s="480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ht="12.75" customHeight="1" x14ac:dyDescent="0.2">
      <c r="A184" s="423">
        <f t="shared" si="55"/>
        <v>179</v>
      </c>
      <c r="B184" s="683" t="s">
        <v>2749</v>
      </c>
      <c r="C184" s="699">
        <v>521707</v>
      </c>
      <c r="D184" s="700">
        <v>2006</v>
      </c>
      <c r="E184" s="701" t="s">
        <v>702</v>
      </c>
      <c r="F184" s="546">
        <v>2017</v>
      </c>
      <c r="G184" s="702">
        <v>42837</v>
      </c>
      <c r="H184" s="703" t="s">
        <v>819</v>
      </c>
      <c r="I184" s="704" t="s">
        <v>2258</v>
      </c>
      <c r="J184" s="705" t="s">
        <v>729</v>
      </c>
      <c r="K184" s="706" t="s">
        <v>3135</v>
      </c>
      <c r="L184" s="707" t="s">
        <v>2556</v>
      </c>
      <c r="M184" s="708">
        <v>195172.41</v>
      </c>
      <c r="N184" s="709">
        <v>0</v>
      </c>
      <c r="O184" s="710">
        <v>31227.59</v>
      </c>
      <c r="P184" s="711">
        <v>226400</v>
      </c>
      <c r="Q184" s="548"/>
      <c r="R184" s="713">
        <v>176916.14</v>
      </c>
      <c r="S184" s="549">
        <f t="shared" si="54"/>
        <v>49483.859999999986</v>
      </c>
      <c r="T184" s="113" t="s">
        <v>1268</v>
      </c>
      <c r="U184" s="267"/>
      <c r="V184" s="93"/>
      <c r="W184" s="267"/>
      <c r="X184" s="267"/>
      <c r="Y184" s="93"/>
      <c r="Z184" s="618"/>
      <c r="AA184" s="424"/>
      <c r="AB184" s="480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ht="12.75" customHeight="1" x14ac:dyDescent="0.2">
      <c r="A185" s="423">
        <f t="shared" si="55"/>
        <v>180</v>
      </c>
      <c r="B185" s="683" t="s">
        <v>2748</v>
      </c>
      <c r="C185" s="699">
        <v>521707</v>
      </c>
      <c r="D185" s="700">
        <v>2006</v>
      </c>
      <c r="E185" s="701" t="s">
        <v>702</v>
      </c>
      <c r="F185" s="546">
        <v>2017</v>
      </c>
      <c r="G185" s="702">
        <v>42832</v>
      </c>
      <c r="H185" s="703" t="s">
        <v>2214</v>
      </c>
      <c r="I185" s="704" t="s">
        <v>2987</v>
      </c>
      <c r="J185" s="705" t="s">
        <v>729</v>
      </c>
      <c r="K185" s="706" t="s">
        <v>3134</v>
      </c>
      <c r="L185" s="707" t="s">
        <v>3253</v>
      </c>
      <c r="M185" s="708">
        <v>195172.41</v>
      </c>
      <c r="N185" s="709">
        <v>0</v>
      </c>
      <c r="O185" s="710">
        <v>31227.59</v>
      </c>
      <c r="P185" s="711">
        <v>226400</v>
      </c>
      <c r="Q185" s="548"/>
      <c r="R185" s="713">
        <v>176916.14</v>
      </c>
      <c r="S185" s="549">
        <f t="shared" si="54"/>
        <v>49483.859999999986</v>
      </c>
      <c r="T185" s="113" t="s">
        <v>1268</v>
      </c>
      <c r="U185" s="267"/>
      <c r="V185" s="93"/>
      <c r="W185" s="267"/>
      <c r="X185" s="267"/>
      <c r="Y185" s="93"/>
      <c r="Z185" s="618"/>
      <c r="AA185" s="424"/>
      <c r="AB185" s="480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ht="12.75" customHeight="1" x14ac:dyDescent="0.2">
      <c r="A186" s="423">
        <f t="shared" si="55"/>
        <v>181</v>
      </c>
      <c r="B186" s="683" t="s">
        <v>2752</v>
      </c>
      <c r="C186" s="699">
        <v>521707</v>
      </c>
      <c r="D186" s="700">
        <v>2006</v>
      </c>
      <c r="E186" s="701" t="s">
        <v>702</v>
      </c>
      <c r="F186" s="546">
        <v>2017</v>
      </c>
      <c r="G186" s="702">
        <v>42842</v>
      </c>
      <c r="H186" s="703" t="s">
        <v>2214</v>
      </c>
      <c r="I186" s="704" t="s">
        <v>2987</v>
      </c>
      <c r="J186" s="705" t="s">
        <v>729</v>
      </c>
      <c r="K186" s="706" t="s">
        <v>3134</v>
      </c>
      <c r="L186" s="707" t="s">
        <v>3253</v>
      </c>
      <c r="M186" s="708">
        <v>-195172.41</v>
      </c>
      <c r="N186" s="709">
        <v>0</v>
      </c>
      <c r="O186" s="710">
        <v>-31227.59</v>
      </c>
      <c r="P186" s="711">
        <v>-226400</v>
      </c>
      <c r="Q186" s="548"/>
      <c r="R186" s="713">
        <v>-176916.14</v>
      </c>
      <c r="S186" s="549">
        <f t="shared" si="54"/>
        <v>-49483.859999999986</v>
      </c>
      <c r="T186" s="267" t="s">
        <v>1268</v>
      </c>
      <c r="U186" s="267"/>
      <c r="V186" s="93"/>
      <c r="W186" s="267"/>
      <c r="X186" s="267"/>
      <c r="Y186" s="93"/>
      <c r="Z186" s="618"/>
      <c r="AA186" s="424"/>
      <c r="AB186" s="480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ht="12.75" customHeight="1" x14ac:dyDescent="0.2">
      <c r="A187" s="423">
        <f t="shared" si="55"/>
        <v>182</v>
      </c>
      <c r="B187" s="683" t="s">
        <v>2753</v>
      </c>
      <c r="C187" s="699">
        <v>521707</v>
      </c>
      <c r="D187" s="700">
        <v>2006</v>
      </c>
      <c r="E187" s="701" t="s">
        <v>702</v>
      </c>
      <c r="F187" s="546">
        <v>2017</v>
      </c>
      <c r="G187" s="702">
        <v>42842</v>
      </c>
      <c r="H187" s="703" t="s">
        <v>2214</v>
      </c>
      <c r="I187" s="704" t="s">
        <v>2987</v>
      </c>
      <c r="J187" s="705" t="s">
        <v>729</v>
      </c>
      <c r="K187" s="706" t="s">
        <v>3138</v>
      </c>
      <c r="L187" s="707" t="s">
        <v>3253</v>
      </c>
      <c r="M187" s="708">
        <v>-195172.41</v>
      </c>
      <c r="N187" s="709">
        <v>0</v>
      </c>
      <c r="O187" s="710">
        <v>-31227.59</v>
      </c>
      <c r="P187" s="711">
        <v>-226400</v>
      </c>
      <c r="Q187" s="548"/>
      <c r="R187" s="713">
        <v>-176916.14</v>
      </c>
      <c r="S187" s="549">
        <f t="shared" si="54"/>
        <v>-49483.859999999986</v>
      </c>
      <c r="T187" s="267" t="s">
        <v>1268</v>
      </c>
      <c r="U187" s="267"/>
      <c r="V187" s="93"/>
      <c r="W187" s="267"/>
      <c r="X187" s="267"/>
      <c r="Y187" s="93"/>
      <c r="Z187" s="618"/>
      <c r="AA187" s="424"/>
      <c r="AB187" s="480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ht="12.75" customHeight="1" x14ac:dyDescent="0.2">
      <c r="A188" s="423">
        <f t="shared" si="55"/>
        <v>183</v>
      </c>
      <c r="B188" s="683" t="s">
        <v>2754</v>
      </c>
      <c r="C188" s="699">
        <v>521707</v>
      </c>
      <c r="D188" s="700">
        <v>2006</v>
      </c>
      <c r="E188" s="701" t="s">
        <v>702</v>
      </c>
      <c r="F188" s="546">
        <v>2017</v>
      </c>
      <c r="G188" s="702">
        <v>42842</v>
      </c>
      <c r="H188" s="703" t="s">
        <v>2214</v>
      </c>
      <c r="I188" s="704" t="s">
        <v>2987</v>
      </c>
      <c r="J188" s="705" t="s">
        <v>729</v>
      </c>
      <c r="K188" s="706" t="s">
        <v>3138</v>
      </c>
      <c r="L188" s="707" t="s">
        <v>3253</v>
      </c>
      <c r="M188" s="708">
        <v>195172.41</v>
      </c>
      <c r="N188" s="709">
        <v>0</v>
      </c>
      <c r="O188" s="710">
        <v>31227.59</v>
      </c>
      <c r="P188" s="711">
        <v>226400</v>
      </c>
      <c r="Q188" s="548"/>
      <c r="R188" s="713">
        <v>176916.14</v>
      </c>
      <c r="S188" s="549">
        <f t="shared" si="54"/>
        <v>49483.859999999986</v>
      </c>
      <c r="T188" s="113" t="s">
        <v>1268</v>
      </c>
      <c r="U188" s="267"/>
      <c r="V188" s="93"/>
      <c r="W188" s="267"/>
      <c r="X188" s="267"/>
      <c r="Y188" s="93"/>
      <c r="Z188" s="618"/>
      <c r="AA188" s="424"/>
      <c r="AB188" s="480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ht="12.75" customHeight="1" x14ac:dyDescent="0.2">
      <c r="A189" s="423">
        <f t="shared" si="55"/>
        <v>184</v>
      </c>
      <c r="B189" s="683" t="s">
        <v>2733</v>
      </c>
      <c r="C189" s="699">
        <v>521702</v>
      </c>
      <c r="D189" s="700">
        <v>2005</v>
      </c>
      <c r="E189" s="701" t="s">
        <v>701</v>
      </c>
      <c r="F189" s="546">
        <v>2017</v>
      </c>
      <c r="G189" s="702">
        <v>42829</v>
      </c>
      <c r="H189" s="703" t="s">
        <v>727</v>
      </c>
      <c r="I189" s="704" t="s">
        <v>2975</v>
      </c>
      <c r="J189" s="705" t="s">
        <v>729</v>
      </c>
      <c r="K189" s="706" t="s">
        <v>3124</v>
      </c>
      <c r="L189" s="707" t="s">
        <v>3241</v>
      </c>
      <c r="M189" s="708">
        <v>177413.79</v>
      </c>
      <c r="N189" s="709">
        <v>0</v>
      </c>
      <c r="O189" s="710">
        <v>28386.21</v>
      </c>
      <c r="P189" s="711">
        <v>205800</v>
      </c>
      <c r="Q189" s="548"/>
      <c r="R189" s="713">
        <v>160915.62</v>
      </c>
      <c r="S189" s="549">
        <f t="shared" si="54"/>
        <v>44884.380000000005</v>
      </c>
      <c r="T189" s="267" t="s">
        <v>1268</v>
      </c>
      <c r="U189" s="267"/>
      <c r="V189" s="93"/>
      <c r="W189" s="267"/>
      <c r="X189" s="267"/>
      <c r="Y189" s="93"/>
      <c r="Z189" s="618"/>
      <c r="AA189" s="424"/>
      <c r="AB189" s="480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ht="12.75" customHeight="1" x14ac:dyDescent="0.2">
      <c r="A190" s="423">
        <f t="shared" si="55"/>
        <v>185</v>
      </c>
      <c r="B190" s="683" t="s">
        <v>2736</v>
      </c>
      <c r="C190" s="699">
        <v>521702</v>
      </c>
      <c r="D190" s="700">
        <v>2005</v>
      </c>
      <c r="E190" s="701" t="s">
        <v>701</v>
      </c>
      <c r="F190" s="546">
        <v>2017</v>
      </c>
      <c r="G190" s="702">
        <v>42830</v>
      </c>
      <c r="H190" s="703" t="s">
        <v>727</v>
      </c>
      <c r="I190" s="704" t="s">
        <v>2975</v>
      </c>
      <c r="J190" s="705" t="s">
        <v>729</v>
      </c>
      <c r="K190" s="706" t="s">
        <v>3124</v>
      </c>
      <c r="L190" s="707" t="s">
        <v>3241</v>
      </c>
      <c r="M190" s="708">
        <v>-177413.79</v>
      </c>
      <c r="N190" s="709">
        <v>0</v>
      </c>
      <c r="O190" s="710">
        <v>-28386.21</v>
      </c>
      <c r="P190" s="711">
        <v>-205800</v>
      </c>
      <c r="Q190" s="548"/>
      <c r="R190" s="713">
        <v>-160915.62</v>
      </c>
      <c r="S190" s="549">
        <f t="shared" si="54"/>
        <v>-44884.380000000005</v>
      </c>
      <c r="T190" s="267" t="s">
        <v>1268</v>
      </c>
      <c r="AB190" s="670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ht="12.75" customHeight="1" x14ac:dyDescent="0.2">
      <c r="A191" s="423">
        <f t="shared" si="55"/>
        <v>186</v>
      </c>
      <c r="B191" s="683" t="s">
        <v>2704</v>
      </c>
      <c r="C191" s="699">
        <v>520224</v>
      </c>
      <c r="D191" s="700">
        <v>1781</v>
      </c>
      <c r="E191" s="701" t="s">
        <v>690</v>
      </c>
      <c r="F191" s="546"/>
      <c r="G191" s="702">
        <v>42838</v>
      </c>
      <c r="H191" s="703"/>
      <c r="I191" s="704" t="s">
        <v>2961</v>
      </c>
      <c r="J191" s="705" t="s">
        <v>729</v>
      </c>
      <c r="K191" s="706" t="s">
        <v>99</v>
      </c>
      <c r="L191" s="707" t="s">
        <v>3227</v>
      </c>
      <c r="M191" s="708">
        <v>238420.16</v>
      </c>
      <c r="N191" s="709">
        <v>0</v>
      </c>
      <c r="O191" s="710">
        <v>38147.230000000003</v>
      </c>
      <c r="P191" s="711">
        <v>276567.39</v>
      </c>
      <c r="Q191" s="548"/>
      <c r="R191" s="713">
        <v>238055.64</v>
      </c>
      <c r="S191" s="549">
        <f t="shared" si="54"/>
        <v>38511.75</v>
      </c>
      <c r="T191" s="113" t="s">
        <v>283</v>
      </c>
      <c r="AB191" s="667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ht="12.75" customHeight="1" x14ac:dyDescent="0.2">
      <c r="A192" s="423">
        <f t="shared" si="55"/>
        <v>187</v>
      </c>
      <c r="B192" s="683" t="s">
        <v>2706</v>
      </c>
      <c r="C192" s="699">
        <v>520224</v>
      </c>
      <c r="D192" s="700">
        <v>1781</v>
      </c>
      <c r="E192" s="701" t="s">
        <v>690</v>
      </c>
      <c r="F192" s="546"/>
      <c r="G192" s="702">
        <v>42850</v>
      </c>
      <c r="H192" s="703"/>
      <c r="I192" s="704" t="s">
        <v>2963</v>
      </c>
      <c r="J192" s="705" t="s">
        <v>729</v>
      </c>
      <c r="K192" s="706" t="s">
        <v>1173</v>
      </c>
      <c r="L192" s="707" t="s">
        <v>3229</v>
      </c>
      <c r="M192" s="708">
        <v>238410.98</v>
      </c>
      <c r="N192" s="709">
        <v>0</v>
      </c>
      <c r="O192" s="710">
        <v>38145.760000000002</v>
      </c>
      <c r="P192" s="711">
        <v>276556.74</v>
      </c>
      <c r="Q192" s="548"/>
      <c r="R192" s="713">
        <v>238055.64</v>
      </c>
      <c r="S192" s="549">
        <f t="shared" si="54"/>
        <v>38501.099999999977</v>
      </c>
      <c r="T192" s="267" t="s">
        <v>283</v>
      </c>
      <c r="AB192" s="667"/>
      <c r="AI192" s="313"/>
      <c r="AK192" s="296"/>
      <c r="AL192" s="374"/>
      <c r="AM192" s="374"/>
    </row>
    <row r="193" spans="1:45" s="291" customFormat="1" ht="12.75" customHeight="1" x14ac:dyDescent="0.2">
      <c r="A193" s="423">
        <f t="shared" si="55"/>
        <v>188</v>
      </c>
      <c r="B193" s="683" t="s">
        <v>2710</v>
      </c>
      <c r="C193" s="699">
        <v>520225</v>
      </c>
      <c r="D193" s="700">
        <v>1782</v>
      </c>
      <c r="E193" s="701" t="s">
        <v>691</v>
      </c>
      <c r="F193" s="546"/>
      <c r="G193" s="702">
        <v>42838</v>
      </c>
      <c r="H193" s="703"/>
      <c r="I193" s="704" t="s">
        <v>2965</v>
      </c>
      <c r="J193" s="705" t="s">
        <v>729</v>
      </c>
      <c r="K193" s="706" t="s">
        <v>1189</v>
      </c>
      <c r="L193" s="707" t="s">
        <v>3231</v>
      </c>
      <c r="M193" s="708">
        <v>253497.2</v>
      </c>
      <c r="N193" s="709">
        <v>0</v>
      </c>
      <c r="O193" s="710">
        <v>40559.550000000003</v>
      </c>
      <c r="P193" s="711">
        <v>294056.75</v>
      </c>
      <c r="Q193" s="548"/>
      <c r="R193" s="713">
        <v>253141.85</v>
      </c>
      <c r="S193" s="549">
        <f t="shared" si="54"/>
        <v>40914.899999999994</v>
      </c>
      <c r="T193" s="445" t="s">
        <v>283</v>
      </c>
      <c r="AB193" s="667"/>
      <c r="AI193" s="313"/>
      <c r="AK193" s="296"/>
      <c r="AL193" s="374"/>
      <c r="AM193" s="374"/>
    </row>
    <row r="194" spans="1:45" s="291" customFormat="1" ht="12.75" customHeight="1" x14ac:dyDescent="0.2">
      <c r="A194" s="423">
        <f t="shared" si="55"/>
        <v>189</v>
      </c>
      <c r="B194" s="683" t="s">
        <v>2711</v>
      </c>
      <c r="C194" s="699">
        <v>520226</v>
      </c>
      <c r="D194" s="700">
        <v>1783</v>
      </c>
      <c r="E194" s="701" t="s">
        <v>692</v>
      </c>
      <c r="F194" s="546"/>
      <c r="G194" s="702">
        <v>42845</v>
      </c>
      <c r="H194" s="703"/>
      <c r="I194" s="704" t="s">
        <v>2966</v>
      </c>
      <c r="J194" s="705" t="s">
        <v>729</v>
      </c>
      <c r="K194" s="706" t="s">
        <v>1144</v>
      </c>
      <c r="L194" s="707" t="s">
        <v>3232</v>
      </c>
      <c r="M194" s="708">
        <v>265024.34000000003</v>
      </c>
      <c r="N194" s="709">
        <v>0</v>
      </c>
      <c r="O194" s="710">
        <v>42403.9</v>
      </c>
      <c r="P194" s="711">
        <v>307428.24</v>
      </c>
      <c r="Q194" s="548"/>
      <c r="R194" s="713">
        <v>264669</v>
      </c>
      <c r="S194" s="549">
        <f t="shared" si="54"/>
        <v>42759.239999999991</v>
      </c>
      <c r="T194" s="267" t="s">
        <v>283</v>
      </c>
      <c r="AB194" s="667"/>
      <c r="AI194" s="313"/>
      <c r="AJ194" s="374"/>
      <c r="AK194" s="374"/>
      <c r="AL194" s="374"/>
      <c r="AM194" s="374"/>
    </row>
    <row r="195" spans="1:45" s="348" customFormat="1" ht="12.75" customHeight="1" x14ac:dyDescent="0.2">
      <c r="A195" s="423">
        <f t="shared" si="55"/>
        <v>190</v>
      </c>
      <c r="B195" s="683" t="s">
        <v>2712</v>
      </c>
      <c r="C195" s="699">
        <v>520220</v>
      </c>
      <c r="D195" s="700">
        <v>1794</v>
      </c>
      <c r="E195" s="701" t="s">
        <v>687</v>
      </c>
      <c r="F195" s="546"/>
      <c r="G195" s="702">
        <v>42829</v>
      </c>
      <c r="H195" s="703"/>
      <c r="I195" s="704" t="s">
        <v>1549</v>
      </c>
      <c r="J195" s="705" t="s">
        <v>729</v>
      </c>
      <c r="K195" s="706" t="s">
        <v>1175</v>
      </c>
      <c r="L195" s="707" t="s">
        <v>1811</v>
      </c>
      <c r="M195" s="708">
        <v>230831.09</v>
      </c>
      <c r="N195" s="709">
        <v>0</v>
      </c>
      <c r="O195" s="710">
        <v>36932.97</v>
      </c>
      <c r="P195" s="711">
        <v>267764.06</v>
      </c>
      <c r="Q195" s="548"/>
      <c r="R195" s="713">
        <v>230475.74</v>
      </c>
      <c r="S195" s="549">
        <f t="shared" si="54"/>
        <v>37288.320000000007</v>
      </c>
      <c r="T195" s="113" t="s">
        <v>283</v>
      </c>
      <c r="AB195" s="671"/>
      <c r="AI195" s="363"/>
      <c r="AJ195" s="330"/>
      <c r="AK195" s="330"/>
      <c r="AL195" s="330"/>
      <c r="AM195" s="330"/>
    </row>
    <row r="196" spans="1:45" s="351" customFormat="1" x14ac:dyDescent="0.2">
      <c r="A196" s="423">
        <f t="shared" si="55"/>
        <v>191</v>
      </c>
      <c r="B196" s="683" t="s">
        <v>2722</v>
      </c>
      <c r="C196" s="699">
        <v>520220</v>
      </c>
      <c r="D196" s="700">
        <v>1794</v>
      </c>
      <c r="E196" s="701" t="s">
        <v>687</v>
      </c>
      <c r="F196" s="546"/>
      <c r="G196" s="702">
        <v>42852</v>
      </c>
      <c r="H196" s="703"/>
      <c r="I196" s="704" t="s">
        <v>2970</v>
      </c>
      <c r="J196" s="705" t="s">
        <v>729</v>
      </c>
      <c r="K196" s="706" t="s">
        <v>1698</v>
      </c>
      <c r="L196" s="707" t="s">
        <v>3236</v>
      </c>
      <c r="M196" s="708">
        <v>-230831.09</v>
      </c>
      <c r="N196" s="709">
        <v>0</v>
      </c>
      <c r="O196" s="710">
        <v>-36932.97</v>
      </c>
      <c r="P196" s="711">
        <v>-267764.06</v>
      </c>
      <c r="Q196" s="548"/>
      <c r="R196" s="713">
        <v>-230475.74</v>
      </c>
      <c r="S196" s="549">
        <f t="shared" si="54"/>
        <v>-37288.320000000007</v>
      </c>
      <c r="T196" s="267" t="s">
        <v>283</v>
      </c>
      <c r="AB196" s="670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x14ac:dyDescent="0.2">
      <c r="A197" s="423">
        <f t="shared" si="55"/>
        <v>192</v>
      </c>
      <c r="B197" s="683" t="s">
        <v>2723</v>
      </c>
      <c r="C197" s="699">
        <v>520220</v>
      </c>
      <c r="D197" s="700">
        <v>1794</v>
      </c>
      <c r="E197" s="701" t="s">
        <v>687</v>
      </c>
      <c r="F197" s="546"/>
      <c r="G197" s="702">
        <v>42852</v>
      </c>
      <c r="H197" s="703"/>
      <c r="I197" s="704" t="s">
        <v>2970</v>
      </c>
      <c r="J197" s="705" t="s">
        <v>729</v>
      </c>
      <c r="K197" s="706" t="s">
        <v>1698</v>
      </c>
      <c r="L197" s="707" t="s">
        <v>3236</v>
      </c>
      <c r="M197" s="708">
        <v>-230831.09</v>
      </c>
      <c r="N197" s="709">
        <v>0</v>
      </c>
      <c r="O197" s="710">
        <v>-36932.97</v>
      </c>
      <c r="P197" s="711">
        <v>-267764.06</v>
      </c>
      <c r="Q197" s="548"/>
      <c r="R197" s="713">
        <v>-230475.74</v>
      </c>
      <c r="S197" s="549">
        <f t="shared" si="54"/>
        <v>-37288.320000000007</v>
      </c>
      <c r="T197" s="267" t="s">
        <v>283</v>
      </c>
      <c r="AB197" s="671"/>
      <c r="AI197" s="313"/>
      <c r="AJ197" s="331"/>
      <c r="AK197" s="330"/>
      <c r="AL197" s="330"/>
      <c r="AM197" s="330"/>
    </row>
    <row r="198" spans="1:45" s="291" customFormat="1" x14ac:dyDescent="0.2">
      <c r="A198" s="423">
        <f t="shared" si="55"/>
        <v>193</v>
      </c>
      <c r="B198" s="683" t="s">
        <v>2724</v>
      </c>
      <c r="C198" s="699">
        <v>520220</v>
      </c>
      <c r="D198" s="700">
        <v>1794</v>
      </c>
      <c r="E198" s="701" t="s">
        <v>687</v>
      </c>
      <c r="F198" s="546"/>
      <c r="G198" s="702">
        <v>42852</v>
      </c>
      <c r="H198" s="703"/>
      <c r="I198" s="704" t="s">
        <v>2970</v>
      </c>
      <c r="J198" s="705" t="s">
        <v>729</v>
      </c>
      <c r="K198" s="706" t="s">
        <v>1698</v>
      </c>
      <c r="L198" s="707" t="s">
        <v>3236</v>
      </c>
      <c r="M198" s="708">
        <v>230831.09</v>
      </c>
      <c r="N198" s="709">
        <v>0</v>
      </c>
      <c r="O198" s="710">
        <v>36932.97</v>
      </c>
      <c r="P198" s="711">
        <v>267764.06</v>
      </c>
      <c r="Q198" s="548"/>
      <c r="R198" s="713">
        <v>230475.74</v>
      </c>
      <c r="S198" s="549">
        <f t="shared" ref="S198:S261" si="71">+P198-R198</f>
        <v>37288.320000000007</v>
      </c>
      <c r="T198" s="113" t="s">
        <v>283</v>
      </c>
      <c r="AB198" s="667"/>
      <c r="AI198" s="313"/>
      <c r="AJ198" s="331"/>
      <c r="AK198" s="374"/>
      <c r="AL198" s="374"/>
      <c r="AM198" s="374"/>
    </row>
    <row r="199" spans="1:45" s="351" customFormat="1" x14ac:dyDescent="0.2">
      <c r="A199" s="423">
        <f t="shared" si="55"/>
        <v>194</v>
      </c>
      <c r="B199" s="683" t="s">
        <v>2725</v>
      </c>
      <c r="C199" s="699">
        <v>520220</v>
      </c>
      <c r="D199" s="700">
        <v>1794</v>
      </c>
      <c r="E199" s="701" t="s">
        <v>687</v>
      </c>
      <c r="F199" s="546"/>
      <c r="G199" s="702">
        <v>42852</v>
      </c>
      <c r="H199" s="703"/>
      <c r="I199" s="704" t="s">
        <v>2970</v>
      </c>
      <c r="J199" s="705" t="s">
        <v>729</v>
      </c>
      <c r="K199" s="706" t="s">
        <v>1698</v>
      </c>
      <c r="L199" s="707" t="s">
        <v>3236</v>
      </c>
      <c r="M199" s="708">
        <v>230831.09</v>
      </c>
      <c r="N199" s="709">
        <v>0</v>
      </c>
      <c r="O199" s="710">
        <v>36932.97</v>
      </c>
      <c r="P199" s="711">
        <v>267764.06</v>
      </c>
      <c r="Q199" s="548"/>
      <c r="R199" s="713">
        <v>230475.74</v>
      </c>
      <c r="S199" s="549">
        <f t="shared" si="71"/>
        <v>37288.320000000007</v>
      </c>
      <c r="T199" s="113" t="s">
        <v>283</v>
      </c>
      <c r="AB199" s="670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x14ac:dyDescent="0.2">
      <c r="A200" s="423">
        <f t="shared" ref="A200:A263" si="72">+A199+1</f>
        <v>195</v>
      </c>
      <c r="B200" s="683" t="s">
        <v>2726</v>
      </c>
      <c r="C200" s="699">
        <v>520220</v>
      </c>
      <c r="D200" s="700">
        <v>1794</v>
      </c>
      <c r="E200" s="701" t="s">
        <v>687</v>
      </c>
      <c r="F200" s="546"/>
      <c r="G200" s="702">
        <v>42852</v>
      </c>
      <c r="H200" s="703"/>
      <c r="I200" s="704" t="s">
        <v>2970</v>
      </c>
      <c r="J200" s="705" t="s">
        <v>729</v>
      </c>
      <c r="K200" s="706" t="s">
        <v>1698</v>
      </c>
      <c r="L200" s="707" t="s">
        <v>3236</v>
      </c>
      <c r="M200" s="708">
        <v>230831.09</v>
      </c>
      <c r="N200" s="709">
        <v>0</v>
      </c>
      <c r="O200" s="710">
        <v>36932.97</v>
      </c>
      <c r="P200" s="711">
        <v>267764.06</v>
      </c>
      <c r="Q200" s="548"/>
      <c r="R200" s="713">
        <v>230475.74</v>
      </c>
      <c r="S200" s="549">
        <f t="shared" si="71"/>
        <v>37288.320000000007</v>
      </c>
      <c r="T200" s="267" t="s">
        <v>283</v>
      </c>
      <c r="AB200" s="671"/>
      <c r="AI200" s="313"/>
      <c r="AJ200" s="374"/>
      <c r="AK200" s="330"/>
      <c r="AL200" s="330"/>
      <c r="AM200" s="330"/>
    </row>
    <row r="201" spans="1:45" s="291" customFormat="1" x14ac:dyDescent="0.2">
      <c r="A201" s="423">
        <f t="shared" si="72"/>
        <v>196</v>
      </c>
      <c r="B201" s="683" t="s">
        <v>2727</v>
      </c>
      <c r="C201" s="699">
        <v>520223</v>
      </c>
      <c r="D201" s="700">
        <v>1796</v>
      </c>
      <c r="E201" s="701" t="s">
        <v>689</v>
      </c>
      <c r="F201" s="546"/>
      <c r="G201" s="702">
        <v>42838</v>
      </c>
      <c r="H201" s="703"/>
      <c r="I201" s="704" t="s">
        <v>2971</v>
      </c>
      <c r="J201" s="705" t="s">
        <v>729</v>
      </c>
      <c r="K201" s="706" t="s">
        <v>1175</v>
      </c>
      <c r="L201" s="707" t="s">
        <v>3237</v>
      </c>
      <c r="M201" s="708">
        <v>211926.03</v>
      </c>
      <c r="N201" s="709">
        <v>0</v>
      </c>
      <c r="O201" s="710">
        <v>33908.17</v>
      </c>
      <c r="P201" s="711">
        <v>245834.2</v>
      </c>
      <c r="Q201" s="548"/>
      <c r="R201" s="713">
        <v>211571.1</v>
      </c>
      <c r="S201" s="549">
        <f t="shared" si="71"/>
        <v>34263.100000000006</v>
      </c>
      <c r="T201" s="113" t="s">
        <v>283</v>
      </c>
      <c r="AB201" s="667"/>
      <c r="AI201" s="313"/>
      <c r="AJ201" s="331"/>
      <c r="AK201" s="374"/>
      <c r="AL201" s="374"/>
      <c r="AM201" s="374"/>
    </row>
    <row r="202" spans="1:45" s="291" customFormat="1" x14ac:dyDescent="0.2">
      <c r="A202" s="423">
        <f t="shared" si="72"/>
        <v>197</v>
      </c>
      <c r="B202" s="683" t="s">
        <v>2728</v>
      </c>
      <c r="C202" s="699">
        <v>520222</v>
      </c>
      <c r="D202" s="700">
        <v>1797</v>
      </c>
      <c r="E202" s="701" t="s">
        <v>688</v>
      </c>
      <c r="F202" s="546"/>
      <c r="G202" s="702">
        <v>42852</v>
      </c>
      <c r="H202" s="703"/>
      <c r="I202" s="704" t="s">
        <v>2972</v>
      </c>
      <c r="J202" s="705" t="s">
        <v>724</v>
      </c>
      <c r="K202" s="706" t="s">
        <v>1710</v>
      </c>
      <c r="L202" s="707" t="s">
        <v>3238</v>
      </c>
      <c r="M202" s="708">
        <v>-204308.66</v>
      </c>
      <c r="N202" s="709">
        <v>0</v>
      </c>
      <c r="O202" s="710">
        <v>-32689.38</v>
      </c>
      <c r="P202" s="711">
        <v>-236998.04</v>
      </c>
      <c r="Q202" s="548"/>
      <c r="R202" s="713">
        <v>-204307.79</v>
      </c>
      <c r="S202" s="549">
        <f t="shared" si="71"/>
        <v>-32690.25</v>
      </c>
      <c r="T202" s="113" t="s">
        <v>283</v>
      </c>
      <c r="AB202" s="667"/>
      <c r="AI202" s="313"/>
      <c r="AJ202" s="374"/>
      <c r="AK202" s="374"/>
      <c r="AL202" s="374"/>
      <c r="AM202" s="374"/>
    </row>
    <row r="203" spans="1:45" s="348" customFormat="1" x14ac:dyDescent="0.2">
      <c r="A203" s="423">
        <f t="shared" si="72"/>
        <v>198</v>
      </c>
      <c r="B203" s="683" t="s">
        <v>2729</v>
      </c>
      <c r="C203" s="699">
        <v>520222</v>
      </c>
      <c r="D203" s="700">
        <v>1797</v>
      </c>
      <c r="E203" s="701" t="s">
        <v>688</v>
      </c>
      <c r="F203" s="546"/>
      <c r="G203" s="702">
        <v>42852</v>
      </c>
      <c r="H203" s="703"/>
      <c r="I203" s="704" t="s">
        <v>2972</v>
      </c>
      <c r="J203" s="705" t="s">
        <v>724</v>
      </c>
      <c r="K203" s="706" t="s">
        <v>1710</v>
      </c>
      <c r="L203" s="707" t="s">
        <v>3238</v>
      </c>
      <c r="M203" s="708">
        <v>204308.66</v>
      </c>
      <c r="N203" s="709">
        <v>0</v>
      </c>
      <c r="O203" s="710">
        <v>32689.38</v>
      </c>
      <c r="P203" s="711">
        <v>236998.04</v>
      </c>
      <c r="Q203" s="548"/>
      <c r="R203" s="713">
        <v>204307.79</v>
      </c>
      <c r="S203" s="549">
        <f t="shared" si="71"/>
        <v>32690.25</v>
      </c>
      <c r="T203" s="267" t="s">
        <v>283</v>
      </c>
      <c r="AB203" s="671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x14ac:dyDescent="0.2">
      <c r="A204" s="423">
        <f t="shared" si="72"/>
        <v>199</v>
      </c>
      <c r="B204" s="683" t="s">
        <v>2730</v>
      </c>
      <c r="C204" s="699">
        <v>520222</v>
      </c>
      <c r="D204" s="700">
        <v>1797</v>
      </c>
      <c r="E204" s="701" t="s">
        <v>688</v>
      </c>
      <c r="F204" s="546"/>
      <c r="G204" s="702">
        <v>42853</v>
      </c>
      <c r="H204" s="703"/>
      <c r="I204" s="704" t="s">
        <v>2972</v>
      </c>
      <c r="J204" s="705" t="s">
        <v>724</v>
      </c>
      <c r="K204" s="706" t="s">
        <v>1672</v>
      </c>
      <c r="L204" s="707" t="s">
        <v>3238</v>
      </c>
      <c r="M204" s="708">
        <v>204308.66</v>
      </c>
      <c r="N204" s="709">
        <v>0</v>
      </c>
      <c r="O204" s="710">
        <v>32689.38</v>
      </c>
      <c r="P204" s="711">
        <v>236998.04</v>
      </c>
      <c r="Q204" s="548"/>
      <c r="R204" s="713">
        <v>204307.79</v>
      </c>
      <c r="S204" s="549">
        <f t="shared" si="71"/>
        <v>32690.25</v>
      </c>
      <c r="T204" s="113" t="s">
        <v>283</v>
      </c>
      <c r="AB204" s="671"/>
      <c r="AI204" s="313"/>
      <c r="AJ204" s="374"/>
      <c r="AK204" s="330"/>
      <c r="AL204" s="330"/>
      <c r="AM204" s="330"/>
    </row>
    <row r="205" spans="1:45" s="348" customFormat="1" x14ac:dyDescent="0.2">
      <c r="A205" s="423">
        <f t="shared" si="72"/>
        <v>200</v>
      </c>
      <c r="B205" s="683" t="s">
        <v>2740</v>
      </c>
      <c r="C205" s="699">
        <v>521702</v>
      </c>
      <c r="D205" s="700">
        <v>2005</v>
      </c>
      <c r="E205" s="701" t="s">
        <v>701</v>
      </c>
      <c r="F205" s="546"/>
      <c r="G205" s="702">
        <v>42843</v>
      </c>
      <c r="H205" s="703"/>
      <c r="I205" s="704" t="s">
        <v>2980</v>
      </c>
      <c r="J205" s="705" t="s">
        <v>729</v>
      </c>
      <c r="K205" s="706" t="s">
        <v>59</v>
      </c>
      <c r="L205" s="707" t="s">
        <v>3246</v>
      </c>
      <c r="M205" s="708">
        <v>161270.97</v>
      </c>
      <c r="N205" s="709">
        <v>0</v>
      </c>
      <c r="O205" s="710">
        <v>25803.35</v>
      </c>
      <c r="P205" s="711">
        <v>187074.32</v>
      </c>
      <c r="Q205" s="548"/>
      <c r="R205" s="713">
        <v>160915.62</v>
      </c>
      <c r="S205" s="549">
        <f t="shared" si="71"/>
        <v>26158.700000000012</v>
      </c>
      <c r="T205" s="444" t="s">
        <v>283</v>
      </c>
      <c r="U205" s="360"/>
      <c r="V205" s="360"/>
      <c r="W205" s="358"/>
      <c r="X205" s="331"/>
      <c r="Y205" s="360"/>
      <c r="Z205" s="334"/>
      <c r="AA205" s="334"/>
      <c r="AB205" s="672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x14ac:dyDescent="0.2">
      <c r="A206" s="423">
        <f t="shared" si="72"/>
        <v>201</v>
      </c>
      <c r="B206" s="683" t="s">
        <v>2741</v>
      </c>
      <c r="C206" s="699">
        <v>521702</v>
      </c>
      <c r="D206" s="700">
        <v>2005</v>
      </c>
      <c r="E206" s="701" t="s">
        <v>701</v>
      </c>
      <c r="F206" s="546"/>
      <c r="G206" s="702">
        <v>42843</v>
      </c>
      <c r="H206" s="703"/>
      <c r="I206" s="704" t="s">
        <v>2981</v>
      </c>
      <c r="J206" s="705" t="s">
        <v>729</v>
      </c>
      <c r="K206" s="706" t="s">
        <v>3129</v>
      </c>
      <c r="L206" s="707" t="s">
        <v>3247</v>
      </c>
      <c r="M206" s="708">
        <v>161270.97</v>
      </c>
      <c r="N206" s="709">
        <v>0</v>
      </c>
      <c r="O206" s="710">
        <v>25803.35</v>
      </c>
      <c r="P206" s="711">
        <v>187074.32</v>
      </c>
      <c r="Q206" s="548"/>
      <c r="R206" s="713">
        <v>160915.62</v>
      </c>
      <c r="S206" s="549">
        <f t="shared" si="71"/>
        <v>26158.700000000012</v>
      </c>
      <c r="T206" s="267" t="s">
        <v>283</v>
      </c>
      <c r="U206" s="370"/>
      <c r="V206" s="370"/>
      <c r="W206" s="375"/>
      <c r="X206" s="374"/>
      <c r="Y206" s="370"/>
      <c r="Z206" s="371"/>
      <c r="AA206" s="371"/>
      <c r="AB206" s="673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x14ac:dyDescent="0.2">
      <c r="A207" s="423">
        <f t="shared" si="72"/>
        <v>202</v>
      </c>
      <c r="B207" s="683" t="s">
        <v>2742</v>
      </c>
      <c r="C207" s="699">
        <v>521702</v>
      </c>
      <c r="D207" s="700">
        <v>2005</v>
      </c>
      <c r="E207" s="701" t="s">
        <v>701</v>
      </c>
      <c r="F207" s="546"/>
      <c r="G207" s="702">
        <v>42847</v>
      </c>
      <c r="H207" s="703"/>
      <c r="I207" s="704" t="s">
        <v>2982</v>
      </c>
      <c r="J207" s="705" t="s">
        <v>724</v>
      </c>
      <c r="K207" s="706" t="s">
        <v>3130</v>
      </c>
      <c r="L207" s="707" t="s">
        <v>3248</v>
      </c>
      <c r="M207" s="708">
        <v>193996.33</v>
      </c>
      <c r="N207" s="709">
        <v>0</v>
      </c>
      <c r="O207" s="710">
        <v>31039.41</v>
      </c>
      <c r="P207" s="711">
        <v>225035.74</v>
      </c>
      <c r="Q207" s="548"/>
      <c r="R207" s="713">
        <v>193995.47</v>
      </c>
      <c r="S207" s="549">
        <f t="shared" si="71"/>
        <v>31040.26999999999</v>
      </c>
      <c r="T207" s="113" t="s">
        <v>283</v>
      </c>
      <c r="U207" s="370"/>
      <c r="V207" s="370"/>
      <c r="W207" s="375"/>
      <c r="X207" s="374"/>
      <c r="Y207" s="370"/>
      <c r="Z207" s="371"/>
      <c r="AA207" s="371"/>
      <c r="AB207" s="673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3">
        <f t="shared" si="72"/>
        <v>203</v>
      </c>
      <c r="B208" s="683" t="s">
        <v>2764</v>
      </c>
      <c r="C208" s="699">
        <v>521707</v>
      </c>
      <c r="D208" s="700">
        <v>2006</v>
      </c>
      <c r="E208" s="701" t="s">
        <v>702</v>
      </c>
      <c r="F208" s="546"/>
      <c r="G208" s="702">
        <v>42847</v>
      </c>
      <c r="H208" s="703"/>
      <c r="I208" s="704" t="s">
        <v>2996</v>
      </c>
      <c r="J208" s="705" t="s">
        <v>724</v>
      </c>
      <c r="K208" s="706" t="s">
        <v>1710</v>
      </c>
      <c r="L208" s="707" t="s">
        <v>3262</v>
      </c>
      <c r="M208" s="708">
        <v>177271.48</v>
      </c>
      <c r="N208" s="709">
        <v>0</v>
      </c>
      <c r="O208" s="710">
        <v>28363.439999999999</v>
      </c>
      <c r="P208" s="711">
        <v>205634.92</v>
      </c>
      <c r="Q208" s="548"/>
      <c r="R208" s="713">
        <v>177270.62</v>
      </c>
      <c r="S208" s="549">
        <f t="shared" si="71"/>
        <v>28364.300000000017</v>
      </c>
      <c r="T208" s="267" t="s">
        <v>283</v>
      </c>
      <c r="U208" s="354"/>
      <c r="V208" s="354"/>
      <c r="W208" s="355"/>
      <c r="X208" s="330"/>
      <c r="Y208" s="354"/>
      <c r="Z208" s="328"/>
      <c r="AA208" s="328"/>
      <c r="AB208" s="674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x14ac:dyDescent="0.2">
      <c r="A209" s="423">
        <f t="shared" si="72"/>
        <v>204</v>
      </c>
      <c r="B209" s="683" t="s">
        <v>2774</v>
      </c>
      <c r="C209" s="699">
        <v>520909</v>
      </c>
      <c r="D209" s="700">
        <v>2009</v>
      </c>
      <c r="E209" s="701" t="s">
        <v>698</v>
      </c>
      <c r="F209" s="546"/>
      <c r="G209" s="702">
        <v>42845</v>
      </c>
      <c r="H209" s="703"/>
      <c r="I209" s="704" t="s">
        <v>3006</v>
      </c>
      <c r="J209" s="705" t="s">
        <v>729</v>
      </c>
      <c r="K209" s="706" t="s">
        <v>1706</v>
      </c>
      <c r="L209" s="707" t="s">
        <v>3272</v>
      </c>
      <c r="M209" s="708">
        <v>193996.33</v>
      </c>
      <c r="N209" s="709">
        <v>0</v>
      </c>
      <c r="O209" s="710">
        <v>31039.41</v>
      </c>
      <c r="P209" s="711">
        <v>225035.74</v>
      </c>
      <c r="Q209" s="548"/>
      <c r="R209" s="713">
        <v>193640.98</v>
      </c>
      <c r="S209" s="549">
        <f t="shared" si="71"/>
        <v>31394.75999999998</v>
      </c>
      <c r="T209" s="267" t="s">
        <v>283</v>
      </c>
      <c r="U209" s="360"/>
      <c r="V209" s="360"/>
      <c r="W209" s="358"/>
      <c r="X209" s="331"/>
      <c r="Y209" s="360"/>
      <c r="Z209" s="334"/>
      <c r="AA209" s="334"/>
      <c r="AB209" s="672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x14ac:dyDescent="0.2">
      <c r="A210" s="423">
        <f t="shared" si="72"/>
        <v>205</v>
      </c>
      <c r="B210" s="683" t="s">
        <v>2775</v>
      </c>
      <c r="C210" s="699">
        <v>520909</v>
      </c>
      <c r="D210" s="700">
        <v>2009</v>
      </c>
      <c r="E210" s="701" t="s">
        <v>698</v>
      </c>
      <c r="F210" s="546"/>
      <c r="G210" s="702">
        <v>42846</v>
      </c>
      <c r="H210" s="703"/>
      <c r="I210" s="704" t="s">
        <v>3007</v>
      </c>
      <c r="J210" s="705" t="s">
        <v>729</v>
      </c>
      <c r="K210" s="706" t="s">
        <v>1155</v>
      </c>
      <c r="L210" s="707" t="s">
        <v>3273</v>
      </c>
      <c r="M210" s="708">
        <v>193996.33</v>
      </c>
      <c r="N210" s="709">
        <v>0</v>
      </c>
      <c r="O210" s="710">
        <v>31039.41</v>
      </c>
      <c r="P210" s="711">
        <v>225035.74</v>
      </c>
      <c r="Q210" s="548"/>
      <c r="R210" s="713">
        <v>193640.98</v>
      </c>
      <c r="S210" s="549">
        <f t="shared" si="71"/>
        <v>31394.75999999998</v>
      </c>
      <c r="T210" s="267" t="s">
        <v>283</v>
      </c>
      <c r="U210" s="360"/>
      <c r="V210" s="360"/>
      <c r="W210" s="358"/>
      <c r="X210" s="331"/>
      <c r="Y210" s="360"/>
      <c r="Z210" s="334"/>
      <c r="AA210" s="334"/>
      <c r="AB210" s="672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x14ac:dyDescent="0.2">
      <c r="A211" s="423">
        <f t="shared" si="72"/>
        <v>206</v>
      </c>
      <c r="B211" s="683" t="s">
        <v>2778</v>
      </c>
      <c r="C211" s="699">
        <v>521801</v>
      </c>
      <c r="D211" s="700">
        <v>2201</v>
      </c>
      <c r="E211" s="701" t="s">
        <v>704</v>
      </c>
      <c r="F211" s="546"/>
      <c r="G211" s="702">
        <v>42850</v>
      </c>
      <c r="H211" s="703"/>
      <c r="I211" s="704" t="s">
        <v>3010</v>
      </c>
      <c r="J211" s="705" t="s">
        <v>729</v>
      </c>
      <c r="K211" s="706" t="s">
        <v>357</v>
      </c>
      <c r="L211" s="707" t="s">
        <v>3276</v>
      </c>
      <c r="M211" s="708">
        <v>179254.95</v>
      </c>
      <c r="N211" s="709">
        <v>0</v>
      </c>
      <c r="O211" s="710">
        <v>28680.79</v>
      </c>
      <c r="P211" s="711">
        <v>207935.74</v>
      </c>
      <c r="Q211" s="548"/>
      <c r="R211" s="713">
        <v>178899.6</v>
      </c>
      <c r="S211" s="549">
        <f t="shared" si="71"/>
        <v>29036.139999999985</v>
      </c>
      <c r="T211" s="267" t="s">
        <v>283</v>
      </c>
      <c r="U211" s="360"/>
      <c r="V211" s="360"/>
      <c r="W211" s="358"/>
      <c r="X211" s="331"/>
      <c r="Y211" s="360"/>
      <c r="Z211" s="334"/>
      <c r="AA211" s="334"/>
      <c r="AB211" s="672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x14ac:dyDescent="0.2">
      <c r="A212" s="423">
        <f t="shared" si="72"/>
        <v>207</v>
      </c>
      <c r="B212" s="683" t="s">
        <v>2780</v>
      </c>
      <c r="C212" s="699">
        <v>521801</v>
      </c>
      <c r="D212" s="700">
        <v>2201</v>
      </c>
      <c r="E212" s="701" t="s">
        <v>704</v>
      </c>
      <c r="F212" s="546"/>
      <c r="G212" s="702">
        <v>42853</v>
      </c>
      <c r="H212" s="703"/>
      <c r="I212" s="704" t="s">
        <v>3012</v>
      </c>
      <c r="J212" s="705" t="s">
        <v>724</v>
      </c>
      <c r="K212" s="706" t="s">
        <v>59</v>
      </c>
      <c r="L212" s="707" t="s">
        <v>3278</v>
      </c>
      <c r="M212" s="708">
        <v>179254.95</v>
      </c>
      <c r="N212" s="709">
        <v>0</v>
      </c>
      <c r="O212" s="710">
        <v>28680.79</v>
      </c>
      <c r="P212" s="711">
        <v>207935.74</v>
      </c>
      <c r="Q212" s="548"/>
      <c r="R212" s="713">
        <v>179254.09</v>
      </c>
      <c r="S212" s="549">
        <f t="shared" si="71"/>
        <v>28681.649999999994</v>
      </c>
      <c r="T212" s="267" t="s">
        <v>283</v>
      </c>
      <c r="U212" s="370"/>
      <c r="V212" s="370"/>
      <c r="W212" s="375"/>
      <c r="X212" s="374"/>
      <c r="Y212" s="370"/>
      <c r="Z212" s="371"/>
      <c r="AA212" s="371"/>
      <c r="AB212" s="673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x14ac:dyDescent="0.2">
      <c r="A213" s="423">
        <f t="shared" si="72"/>
        <v>208</v>
      </c>
      <c r="B213" s="683" t="s">
        <v>2781</v>
      </c>
      <c r="C213" s="699">
        <v>521801</v>
      </c>
      <c r="D213" s="700">
        <v>2201</v>
      </c>
      <c r="E213" s="701" t="s">
        <v>704</v>
      </c>
      <c r="F213" s="546"/>
      <c r="G213" s="702">
        <v>42854</v>
      </c>
      <c r="H213" s="703"/>
      <c r="I213" s="704" t="s">
        <v>3012</v>
      </c>
      <c r="J213" s="705" t="s">
        <v>724</v>
      </c>
      <c r="K213" s="706" t="s">
        <v>59</v>
      </c>
      <c r="L213" s="707" t="s">
        <v>3278</v>
      </c>
      <c r="M213" s="708">
        <v>-179254.95</v>
      </c>
      <c r="N213" s="709">
        <v>0</v>
      </c>
      <c r="O213" s="710">
        <v>-28680.79</v>
      </c>
      <c r="P213" s="711">
        <v>-207935.74</v>
      </c>
      <c r="Q213" s="548"/>
      <c r="R213" s="713">
        <v>-179254.09</v>
      </c>
      <c r="S213" s="549">
        <f t="shared" si="71"/>
        <v>-28681.649999999994</v>
      </c>
      <c r="T213" s="267" t="s">
        <v>283</v>
      </c>
      <c r="U213" s="360"/>
      <c r="V213" s="360"/>
      <c r="W213" s="358"/>
      <c r="X213" s="331"/>
      <c r="Y213" s="360"/>
      <c r="Z213" s="334"/>
      <c r="AA213" s="334"/>
      <c r="AB213" s="672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x14ac:dyDescent="0.2">
      <c r="A214" s="423">
        <f t="shared" si="72"/>
        <v>209</v>
      </c>
      <c r="B214" s="683" t="s">
        <v>2782</v>
      </c>
      <c r="C214" s="699">
        <v>521801</v>
      </c>
      <c r="D214" s="700">
        <v>2201</v>
      </c>
      <c r="E214" s="701" t="s">
        <v>704</v>
      </c>
      <c r="F214" s="546"/>
      <c r="G214" s="702">
        <v>42854</v>
      </c>
      <c r="H214" s="703"/>
      <c r="I214" s="704" t="s">
        <v>3012</v>
      </c>
      <c r="J214" s="705" t="s">
        <v>724</v>
      </c>
      <c r="K214" s="706" t="s">
        <v>1144</v>
      </c>
      <c r="L214" s="707" t="s">
        <v>3278</v>
      </c>
      <c r="M214" s="708">
        <v>179254.95</v>
      </c>
      <c r="N214" s="709">
        <v>0</v>
      </c>
      <c r="O214" s="710">
        <v>28680.79</v>
      </c>
      <c r="P214" s="711">
        <v>207935.74</v>
      </c>
      <c r="Q214" s="548"/>
      <c r="R214" s="713">
        <v>179254.09</v>
      </c>
      <c r="S214" s="549">
        <f t="shared" si="71"/>
        <v>28681.649999999994</v>
      </c>
      <c r="T214" s="267" t="s">
        <v>283</v>
      </c>
      <c r="U214" s="370"/>
      <c r="V214" s="370"/>
      <c r="W214" s="375"/>
      <c r="X214" s="374"/>
      <c r="Y214" s="370"/>
      <c r="Z214" s="371"/>
      <c r="AA214" s="371"/>
      <c r="AB214" s="673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x14ac:dyDescent="0.2">
      <c r="A215" s="423">
        <f t="shared" si="72"/>
        <v>210</v>
      </c>
      <c r="B215" s="683" t="s">
        <v>2784</v>
      </c>
      <c r="C215" s="699">
        <v>521802</v>
      </c>
      <c r="D215" s="700">
        <v>2202</v>
      </c>
      <c r="E215" s="701" t="s">
        <v>703</v>
      </c>
      <c r="F215" s="546"/>
      <c r="G215" s="702">
        <v>42852</v>
      </c>
      <c r="H215" s="703"/>
      <c r="I215" s="704" t="s">
        <v>3014</v>
      </c>
      <c r="J215" s="705" t="s">
        <v>729</v>
      </c>
      <c r="K215" s="706" t="s">
        <v>59</v>
      </c>
      <c r="L215" s="707" t="s">
        <v>3280</v>
      </c>
      <c r="M215" s="708">
        <v>183211.84</v>
      </c>
      <c r="N215" s="709">
        <v>0</v>
      </c>
      <c r="O215" s="710">
        <v>29313.9</v>
      </c>
      <c r="P215" s="711">
        <v>212525.74</v>
      </c>
      <c r="Q215" s="548"/>
      <c r="R215" s="713">
        <v>182856.5</v>
      </c>
      <c r="S215" s="549">
        <f t="shared" si="71"/>
        <v>29669.239999999991</v>
      </c>
      <c r="T215" s="267" t="s">
        <v>283</v>
      </c>
      <c r="U215" s="370"/>
      <c r="V215" s="370"/>
      <c r="W215" s="375"/>
      <c r="X215" s="374"/>
      <c r="Y215" s="370"/>
      <c r="Z215" s="371"/>
      <c r="AA215" s="371"/>
      <c r="AB215" s="673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x14ac:dyDescent="0.2">
      <c r="A216" s="423">
        <f t="shared" si="72"/>
        <v>211</v>
      </c>
      <c r="B216" s="683" t="s">
        <v>2790</v>
      </c>
      <c r="C216" s="699">
        <v>521802</v>
      </c>
      <c r="D216" s="700">
        <v>2204</v>
      </c>
      <c r="E216" s="701" t="s">
        <v>705</v>
      </c>
      <c r="F216" s="546"/>
      <c r="G216" s="702">
        <v>42835</v>
      </c>
      <c r="H216" s="703"/>
      <c r="I216" s="704" t="s">
        <v>3016</v>
      </c>
      <c r="J216" s="705" t="s">
        <v>729</v>
      </c>
      <c r="K216" s="706" t="s">
        <v>1672</v>
      </c>
      <c r="L216" s="707" t="s">
        <v>3282</v>
      </c>
      <c r="M216" s="708">
        <v>205013.57</v>
      </c>
      <c r="N216" s="709">
        <v>0</v>
      </c>
      <c r="O216" s="710">
        <v>32802.17</v>
      </c>
      <c r="P216" s="711">
        <v>237815.74</v>
      </c>
      <c r="Q216" s="548"/>
      <c r="R216" s="713">
        <v>204658.22</v>
      </c>
      <c r="S216" s="549">
        <f t="shared" si="71"/>
        <v>33157.51999999999</v>
      </c>
      <c r="T216" s="267" t="s">
        <v>283</v>
      </c>
      <c r="U216" s="360"/>
      <c r="V216" s="360"/>
      <c r="W216" s="358"/>
      <c r="X216" s="331"/>
      <c r="Y216" s="360"/>
      <c r="Z216" s="334"/>
      <c r="AA216" s="334"/>
      <c r="AB216" s="672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x14ac:dyDescent="0.2">
      <c r="A217" s="423">
        <f t="shared" si="72"/>
        <v>212</v>
      </c>
      <c r="B217" s="683" t="s">
        <v>2798</v>
      </c>
      <c r="C217" s="699">
        <v>520112</v>
      </c>
      <c r="D217" s="700">
        <v>2594</v>
      </c>
      <c r="E217" s="701" t="s">
        <v>720</v>
      </c>
      <c r="F217" s="546"/>
      <c r="G217" s="702">
        <v>42850</v>
      </c>
      <c r="H217" s="703"/>
      <c r="I217" s="704" t="s">
        <v>3021</v>
      </c>
      <c r="J217" s="705" t="s">
        <v>729</v>
      </c>
      <c r="K217" s="706" t="s">
        <v>1189</v>
      </c>
      <c r="L217" s="707" t="s">
        <v>3287</v>
      </c>
      <c r="M217" s="708">
        <v>309975.33</v>
      </c>
      <c r="N217" s="709">
        <v>0</v>
      </c>
      <c r="O217" s="710">
        <v>49596.05</v>
      </c>
      <c r="P217" s="711">
        <v>359571.38</v>
      </c>
      <c r="Q217" s="548"/>
      <c r="R217" s="713">
        <v>309664.12</v>
      </c>
      <c r="S217" s="549">
        <f t="shared" si="71"/>
        <v>49907.260000000009</v>
      </c>
      <c r="T217" s="267" t="s">
        <v>283</v>
      </c>
      <c r="U217" s="360"/>
      <c r="V217" s="360"/>
      <c r="W217" s="358"/>
      <c r="X217" s="331"/>
      <c r="Y217" s="360"/>
      <c r="Z217" s="334"/>
      <c r="AA217" s="334"/>
      <c r="AB217" s="672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x14ac:dyDescent="0.2">
      <c r="A218" s="423">
        <f t="shared" si="72"/>
        <v>213</v>
      </c>
      <c r="B218" s="683" t="s">
        <v>2801</v>
      </c>
      <c r="C218" s="699">
        <v>520815</v>
      </c>
      <c r="D218" s="700">
        <v>4492</v>
      </c>
      <c r="E218" s="701" t="s">
        <v>694</v>
      </c>
      <c r="F218" s="546"/>
      <c r="G218" s="702">
        <v>42847</v>
      </c>
      <c r="H218" s="703"/>
      <c r="I218" s="704" t="s">
        <v>3024</v>
      </c>
      <c r="J218" s="705" t="s">
        <v>729</v>
      </c>
      <c r="K218" s="706" t="s">
        <v>1155</v>
      </c>
      <c r="L218" s="707" t="s">
        <v>3290</v>
      </c>
      <c r="M218" s="708">
        <v>303808.34000000003</v>
      </c>
      <c r="N218" s="709">
        <v>0</v>
      </c>
      <c r="O218" s="710">
        <v>48609.34</v>
      </c>
      <c r="P218" s="711">
        <v>352417.68</v>
      </c>
      <c r="Q218" s="548"/>
      <c r="R218" s="713">
        <v>303453</v>
      </c>
      <c r="S218" s="549">
        <f t="shared" si="71"/>
        <v>48964.679999999993</v>
      </c>
      <c r="T218" s="267" t="s">
        <v>283</v>
      </c>
      <c r="U218" s="354"/>
      <c r="V218" s="354"/>
      <c r="W218" s="355"/>
      <c r="X218" s="330"/>
      <c r="Y218" s="354"/>
      <c r="Z218" s="328"/>
      <c r="AA218" s="328"/>
      <c r="AB218" s="674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x14ac:dyDescent="0.2">
      <c r="A219" s="423">
        <f t="shared" si="72"/>
        <v>214</v>
      </c>
      <c r="B219" s="683" t="s">
        <v>2821</v>
      </c>
      <c r="C219" s="699">
        <v>1520204</v>
      </c>
      <c r="D219" s="700">
        <v>5603</v>
      </c>
      <c r="E219" s="701" t="s">
        <v>713</v>
      </c>
      <c r="F219" s="546"/>
      <c r="G219" s="702">
        <v>42852</v>
      </c>
      <c r="H219" s="703"/>
      <c r="I219" s="704" t="s">
        <v>3035</v>
      </c>
      <c r="J219" s="705" t="s">
        <v>729</v>
      </c>
      <c r="K219" s="706" t="s">
        <v>1149</v>
      </c>
      <c r="L219" s="707" t="s">
        <v>3301</v>
      </c>
      <c r="M219" s="708">
        <v>286637.15000000002</v>
      </c>
      <c r="N219" s="709">
        <v>0</v>
      </c>
      <c r="O219" s="710">
        <v>45861.94</v>
      </c>
      <c r="P219" s="711">
        <v>332499.09000000003</v>
      </c>
      <c r="Q219" s="548"/>
      <c r="R219" s="713">
        <v>277250.59999999998</v>
      </c>
      <c r="S219" s="549">
        <f t="shared" si="71"/>
        <v>55248.490000000049</v>
      </c>
      <c r="T219" s="267" t="s">
        <v>283</v>
      </c>
      <c r="U219" s="370"/>
      <c r="V219" s="370"/>
      <c r="W219" s="375"/>
      <c r="X219" s="374"/>
      <c r="Y219" s="370"/>
      <c r="Z219" s="371"/>
      <c r="AA219" s="371"/>
      <c r="AB219" s="673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x14ac:dyDescent="0.2">
      <c r="A220" s="423">
        <f t="shared" si="72"/>
        <v>215</v>
      </c>
      <c r="B220" s="683" t="s">
        <v>2822</v>
      </c>
      <c r="C220" s="699">
        <v>1520204</v>
      </c>
      <c r="D220" s="700">
        <v>5603</v>
      </c>
      <c r="E220" s="701" t="s">
        <v>713</v>
      </c>
      <c r="F220" s="546"/>
      <c r="G220" s="702">
        <v>42852</v>
      </c>
      <c r="H220" s="703"/>
      <c r="I220" s="704" t="s">
        <v>3036</v>
      </c>
      <c r="J220" s="705" t="s">
        <v>729</v>
      </c>
      <c r="K220" s="706" t="s">
        <v>1149</v>
      </c>
      <c r="L220" s="707" t="s">
        <v>3302</v>
      </c>
      <c r="M220" s="708">
        <v>286637.15000000002</v>
      </c>
      <c r="N220" s="709">
        <v>0</v>
      </c>
      <c r="O220" s="710">
        <v>45861.94</v>
      </c>
      <c r="P220" s="711">
        <v>332499.09000000003</v>
      </c>
      <c r="Q220" s="548"/>
      <c r="R220" s="713">
        <v>277250.59999999998</v>
      </c>
      <c r="S220" s="549">
        <f t="shared" si="71"/>
        <v>55248.490000000049</v>
      </c>
      <c r="T220" s="267" t="s">
        <v>283</v>
      </c>
      <c r="U220" s="360"/>
      <c r="V220" s="360"/>
      <c r="W220" s="358"/>
      <c r="X220" s="331"/>
      <c r="Y220" s="360"/>
      <c r="Z220" s="334"/>
      <c r="AA220" s="334"/>
      <c r="AB220" s="672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x14ac:dyDescent="0.2">
      <c r="A221" s="423">
        <f t="shared" si="72"/>
        <v>216</v>
      </c>
      <c r="B221" s="683" t="s">
        <v>2823</v>
      </c>
      <c r="C221" s="699">
        <v>1520204</v>
      </c>
      <c r="D221" s="700">
        <v>5603</v>
      </c>
      <c r="E221" s="701" t="s">
        <v>713</v>
      </c>
      <c r="F221" s="546"/>
      <c r="G221" s="702">
        <v>42853</v>
      </c>
      <c r="H221" s="703"/>
      <c r="I221" s="704" t="s">
        <v>3037</v>
      </c>
      <c r="J221" s="705" t="s">
        <v>729</v>
      </c>
      <c r="K221" s="706" t="s">
        <v>1730</v>
      </c>
      <c r="L221" s="707" t="s">
        <v>3303</v>
      </c>
      <c r="M221" s="708">
        <v>286637.15000000002</v>
      </c>
      <c r="N221" s="709">
        <v>0</v>
      </c>
      <c r="O221" s="710">
        <v>45861.94</v>
      </c>
      <c r="P221" s="711">
        <v>332499.09000000003</v>
      </c>
      <c r="Q221" s="548"/>
      <c r="R221" s="713">
        <v>277250.59999999998</v>
      </c>
      <c r="S221" s="549">
        <f t="shared" si="71"/>
        <v>55248.490000000049</v>
      </c>
      <c r="T221" s="267" t="s">
        <v>283</v>
      </c>
      <c r="U221" s="370"/>
      <c r="V221" s="370"/>
      <c r="W221" s="375"/>
      <c r="X221" s="374"/>
      <c r="Y221" s="370"/>
      <c r="Z221" s="371"/>
      <c r="AA221" s="371"/>
      <c r="AB221" s="673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x14ac:dyDescent="0.2">
      <c r="A222" s="423">
        <f t="shared" si="72"/>
        <v>217</v>
      </c>
      <c r="B222" s="683" t="s">
        <v>2824</v>
      </c>
      <c r="C222" s="699">
        <v>1520204</v>
      </c>
      <c r="D222" s="700">
        <v>5603</v>
      </c>
      <c r="E222" s="701" t="s">
        <v>713</v>
      </c>
      <c r="F222" s="546"/>
      <c r="G222" s="702">
        <v>42854</v>
      </c>
      <c r="H222" s="703"/>
      <c r="I222" s="704" t="s">
        <v>3038</v>
      </c>
      <c r="J222" s="705" t="s">
        <v>729</v>
      </c>
      <c r="K222" s="706" t="s">
        <v>2411</v>
      </c>
      <c r="L222" s="707" t="s">
        <v>3304</v>
      </c>
      <c r="M222" s="708">
        <v>286638.01</v>
      </c>
      <c r="N222" s="709">
        <v>0</v>
      </c>
      <c r="O222" s="710">
        <v>45862.080000000002</v>
      </c>
      <c r="P222" s="711">
        <v>332500.09000000003</v>
      </c>
      <c r="Q222" s="548"/>
      <c r="R222" s="713">
        <v>277250.59999999998</v>
      </c>
      <c r="S222" s="549">
        <f t="shared" si="71"/>
        <v>55249.490000000049</v>
      </c>
      <c r="T222" s="267" t="s">
        <v>283</v>
      </c>
      <c r="U222" s="370"/>
      <c r="V222" s="370"/>
      <c r="W222" s="375"/>
      <c r="X222" s="374"/>
      <c r="Y222" s="370"/>
      <c r="Z222" s="371"/>
      <c r="AA222" s="371"/>
      <c r="AB222" s="673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x14ac:dyDescent="0.2">
      <c r="A223" s="423">
        <f t="shared" si="72"/>
        <v>218</v>
      </c>
      <c r="B223" s="683" t="s">
        <v>2825</v>
      </c>
      <c r="C223" s="699">
        <v>1520204</v>
      </c>
      <c r="D223" s="700">
        <v>5603</v>
      </c>
      <c r="E223" s="701" t="s">
        <v>713</v>
      </c>
      <c r="F223" s="546"/>
      <c r="G223" s="702">
        <v>42854</v>
      </c>
      <c r="H223" s="703"/>
      <c r="I223" s="704" t="s">
        <v>3039</v>
      </c>
      <c r="J223" s="705" t="s">
        <v>729</v>
      </c>
      <c r="K223" s="706" t="s">
        <v>1149</v>
      </c>
      <c r="L223" s="707" t="s">
        <v>3305</v>
      </c>
      <c r="M223" s="708">
        <v>286638.01</v>
      </c>
      <c r="N223" s="709">
        <v>0</v>
      </c>
      <c r="O223" s="710">
        <v>45862.080000000002</v>
      </c>
      <c r="P223" s="711">
        <v>332500.09000000003</v>
      </c>
      <c r="Q223" s="548"/>
      <c r="R223" s="713">
        <v>277250.59999999998</v>
      </c>
      <c r="S223" s="549">
        <f t="shared" si="71"/>
        <v>55249.490000000049</v>
      </c>
      <c r="T223" s="267" t="s">
        <v>283</v>
      </c>
      <c r="U223" s="370"/>
      <c r="V223" s="370"/>
      <c r="W223" s="375"/>
      <c r="X223" s="374"/>
      <c r="Y223" s="370"/>
      <c r="Z223" s="371"/>
      <c r="AA223" s="371"/>
      <c r="AB223" s="673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x14ac:dyDescent="0.2">
      <c r="A224" s="423">
        <f t="shared" si="72"/>
        <v>219</v>
      </c>
      <c r="B224" s="683" t="s">
        <v>2826</v>
      </c>
      <c r="C224" s="699">
        <v>1520204</v>
      </c>
      <c r="D224" s="700">
        <v>5603</v>
      </c>
      <c r="E224" s="701" t="s">
        <v>713</v>
      </c>
      <c r="F224" s="546"/>
      <c r="G224" s="702">
        <v>42854</v>
      </c>
      <c r="H224" s="703"/>
      <c r="I224" s="704" t="s">
        <v>3040</v>
      </c>
      <c r="J224" s="705" t="s">
        <v>729</v>
      </c>
      <c r="K224" s="706" t="s">
        <v>1149</v>
      </c>
      <c r="L224" s="707" t="s">
        <v>3306</v>
      </c>
      <c r="M224" s="708">
        <v>286638.01</v>
      </c>
      <c r="N224" s="709">
        <v>0</v>
      </c>
      <c r="O224" s="710">
        <v>45862.080000000002</v>
      </c>
      <c r="P224" s="711">
        <v>332500.09000000003</v>
      </c>
      <c r="Q224" s="548"/>
      <c r="R224" s="713">
        <v>277250.59999999998</v>
      </c>
      <c r="S224" s="549">
        <f t="shared" si="71"/>
        <v>55249.490000000049</v>
      </c>
      <c r="T224" s="113" t="s">
        <v>283</v>
      </c>
      <c r="U224" s="370"/>
      <c r="V224" s="370"/>
      <c r="W224" s="375"/>
      <c r="X224" s="374"/>
      <c r="Y224" s="370"/>
      <c r="Z224" s="371"/>
      <c r="AA224" s="371"/>
      <c r="AB224" s="673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39" s="291" customFormat="1" x14ac:dyDescent="0.2">
      <c r="A225" s="423">
        <f t="shared" si="72"/>
        <v>220</v>
      </c>
      <c r="B225" s="683" t="s">
        <v>2827</v>
      </c>
      <c r="C225" s="699">
        <v>1520204</v>
      </c>
      <c r="D225" s="700">
        <v>5603</v>
      </c>
      <c r="E225" s="701" t="s">
        <v>713</v>
      </c>
      <c r="F225" s="546"/>
      <c r="G225" s="702">
        <v>42854</v>
      </c>
      <c r="H225" s="703"/>
      <c r="I225" s="704" t="s">
        <v>3041</v>
      </c>
      <c r="J225" s="705" t="s">
        <v>729</v>
      </c>
      <c r="K225" s="706" t="s">
        <v>1730</v>
      </c>
      <c r="L225" s="707" t="s">
        <v>3307</v>
      </c>
      <c r="M225" s="708">
        <v>286638.01</v>
      </c>
      <c r="N225" s="709">
        <v>0</v>
      </c>
      <c r="O225" s="710">
        <v>45862.080000000002</v>
      </c>
      <c r="P225" s="711">
        <v>332500.09000000003</v>
      </c>
      <c r="Q225" s="548"/>
      <c r="R225" s="713">
        <v>277250.59999999998</v>
      </c>
      <c r="S225" s="549">
        <f t="shared" si="71"/>
        <v>55249.490000000049</v>
      </c>
      <c r="T225" s="267" t="s">
        <v>283</v>
      </c>
      <c r="U225" s="370"/>
      <c r="V225" s="370"/>
      <c r="W225" s="375"/>
      <c r="X225" s="374"/>
      <c r="Y225" s="370"/>
      <c r="Z225" s="371"/>
      <c r="AA225" s="371"/>
      <c r="AB225" s="673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39" s="348" customFormat="1" x14ac:dyDescent="0.2">
      <c r="A226" s="423">
        <f t="shared" si="72"/>
        <v>221</v>
      </c>
      <c r="B226" s="683" t="s">
        <v>2828</v>
      </c>
      <c r="C226" s="699">
        <v>1520204</v>
      </c>
      <c r="D226" s="700">
        <v>5603</v>
      </c>
      <c r="E226" s="701" t="s">
        <v>713</v>
      </c>
      <c r="F226" s="546"/>
      <c r="G226" s="702">
        <v>42854</v>
      </c>
      <c r="H226" s="703"/>
      <c r="I226" s="704" t="s">
        <v>3042</v>
      </c>
      <c r="J226" s="705" t="s">
        <v>729</v>
      </c>
      <c r="K226" s="706" t="s">
        <v>1149</v>
      </c>
      <c r="L226" s="707" t="s">
        <v>3308</v>
      </c>
      <c r="M226" s="708">
        <v>286638.01</v>
      </c>
      <c r="N226" s="709">
        <v>0</v>
      </c>
      <c r="O226" s="710">
        <v>45862.080000000002</v>
      </c>
      <c r="P226" s="711">
        <v>332500.09000000003</v>
      </c>
      <c r="Q226" s="548"/>
      <c r="R226" s="713">
        <v>277250.59999999998</v>
      </c>
      <c r="S226" s="549">
        <f t="shared" si="71"/>
        <v>55249.490000000049</v>
      </c>
      <c r="T226" s="267" t="s">
        <v>283</v>
      </c>
      <c r="U226" s="370"/>
      <c r="V226" s="370"/>
      <c r="W226" s="375"/>
      <c r="X226" s="374"/>
      <c r="Y226" s="370"/>
      <c r="Z226" s="371"/>
      <c r="AA226" s="371"/>
      <c r="AB226" s="673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39" s="348" customFormat="1" x14ac:dyDescent="0.2">
      <c r="A227" s="423">
        <f t="shared" si="72"/>
        <v>222</v>
      </c>
      <c r="B227" s="683" t="s">
        <v>2842</v>
      </c>
      <c r="C227" s="699">
        <v>521907</v>
      </c>
      <c r="D227" s="700">
        <v>6981</v>
      </c>
      <c r="E227" s="701" t="s">
        <v>2952</v>
      </c>
      <c r="F227" s="546"/>
      <c r="G227" s="702">
        <v>42847</v>
      </c>
      <c r="H227" s="703"/>
      <c r="I227" s="704" t="s">
        <v>3048</v>
      </c>
      <c r="J227" s="705" t="s">
        <v>729</v>
      </c>
      <c r="K227" s="706" t="s">
        <v>1175</v>
      </c>
      <c r="L227" s="707" t="s">
        <v>3314</v>
      </c>
      <c r="M227" s="708">
        <v>387281.96</v>
      </c>
      <c r="N227" s="709">
        <v>0</v>
      </c>
      <c r="O227" s="710">
        <v>61965.11</v>
      </c>
      <c r="P227" s="711">
        <v>449247.07</v>
      </c>
      <c r="Q227" s="548"/>
      <c r="R227" s="713">
        <v>386926.61</v>
      </c>
      <c r="S227" s="549">
        <f t="shared" si="71"/>
        <v>62320.460000000021</v>
      </c>
      <c r="T227" s="267" t="s">
        <v>283</v>
      </c>
      <c r="U227" s="370"/>
      <c r="V227" s="370"/>
      <c r="W227" s="375"/>
      <c r="X227" s="374"/>
      <c r="Y227" s="370"/>
      <c r="Z227" s="371"/>
      <c r="AA227" s="371"/>
      <c r="AB227" s="673"/>
      <c r="AC227" s="270"/>
      <c r="AD227" s="372"/>
      <c r="AE227" s="270"/>
      <c r="AF227" s="270"/>
      <c r="AG227" s="270"/>
      <c r="AH227" s="350"/>
      <c r="AI227" s="365"/>
      <c r="AJ227" s="331"/>
      <c r="AK227" s="330"/>
      <c r="AL227" s="330"/>
      <c r="AM227" s="330"/>
    </row>
    <row r="228" spans="1:39" s="348" customFormat="1" x14ac:dyDescent="0.2">
      <c r="A228" s="423">
        <f t="shared" si="72"/>
        <v>223</v>
      </c>
      <c r="B228" s="683" t="s">
        <v>2843</v>
      </c>
      <c r="C228" s="699">
        <v>521909</v>
      </c>
      <c r="D228" s="700">
        <v>6987</v>
      </c>
      <c r="E228" s="701" t="s">
        <v>708</v>
      </c>
      <c r="F228" s="546"/>
      <c r="G228" s="702">
        <v>42830</v>
      </c>
      <c r="H228" s="703"/>
      <c r="I228" s="704" t="s">
        <v>3049</v>
      </c>
      <c r="J228" s="705" t="s">
        <v>729</v>
      </c>
      <c r="K228" s="706" t="s">
        <v>59</v>
      </c>
      <c r="L228" s="707" t="s">
        <v>3315</v>
      </c>
      <c r="M228" s="708">
        <v>-478612.2</v>
      </c>
      <c r="N228" s="709">
        <v>0</v>
      </c>
      <c r="O228" s="710">
        <v>-76577.95</v>
      </c>
      <c r="P228" s="711">
        <v>-555190.15</v>
      </c>
      <c r="Q228" s="548"/>
      <c r="R228" s="713">
        <v>-478256.85</v>
      </c>
      <c r="S228" s="549">
        <f t="shared" si="71"/>
        <v>-76933.300000000047</v>
      </c>
      <c r="T228" s="113" t="s">
        <v>283</v>
      </c>
      <c r="U228" s="370"/>
      <c r="V228" s="370"/>
      <c r="W228" s="375"/>
      <c r="X228" s="374"/>
      <c r="Y228" s="370"/>
      <c r="Z228" s="371"/>
      <c r="AA228" s="371"/>
      <c r="AB228" s="673"/>
      <c r="AC228" s="270"/>
      <c r="AD228" s="372"/>
      <c r="AE228" s="270"/>
      <c r="AF228" s="270"/>
      <c r="AG228" s="270"/>
      <c r="AH228" s="347"/>
      <c r="AI228" s="363"/>
      <c r="AJ228" s="330"/>
      <c r="AK228" s="330"/>
      <c r="AL228" s="330"/>
      <c r="AM228" s="330"/>
    </row>
    <row r="229" spans="1:39" s="291" customFormat="1" x14ac:dyDescent="0.2">
      <c r="A229" s="423">
        <f t="shared" si="72"/>
        <v>224</v>
      </c>
      <c r="B229" s="683" t="s">
        <v>2844</v>
      </c>
      <c r="C229" s="699">
        <v>521909</v>
      </c>
      <c r="D229" s="700">
        <v>6987</v>
      </c>
      <c r="E229" s="701" t="s">
        <v>708</v>
      </c>
      <c r="F229" s="546"/>
      <c r="G229" s="702">
        <v>42830</v>
      </c>
      <c r="H229" s="703"/>
      <c r="I229" s="704" t="s">
        <v>3049</v>
      </c>
      <c r="J229" s="705" t="s">
        <v>729</v>
      </c>
      <c r="K229" s="706" t="s">
        <v>59</v>
      </c>
      <c r="L229" s="707" t="s">
        <v>3315</v>
      </c>
      <c r="M229" s="708">
        <v>478612.2</v>
      </c>
      <c r="N229" s="709">
        <v>0</v>
      </c>
      <c r="O229" s="710">
        <v>76577.95</v>
      </c>
      <c r="P229" s="711">
        <v>555190.15</v>
      </c>
      <c r="Q229" s="548"/>
      <c r="R229" s="713">
        <v>478256.85</v>
      </c>
      <c r="S229" s="549">
        <f t="shared" si="71"/>
        <v>76933.300000000047</v>
      </c>
      <c r="T229" s="445" t="s">
        <v>283</v>
      </c>
      <c r="U229" s="370"/>
      <c r="V229" s="370"/>
      <c r="W229" s="375"/>
      <c r="X229" s="374"/>
      <c r="Y229" s="370"/>
      <c r="Z229" s="371"/>
      <c r="AA229" s="371"/>
      <c r="AB229" s="673"/>
      <c r="AC229" s="270"/>
      <c r="AD229" s="372"/>
      <c r="AE229" s="270"/>
      <c r="AF229" s="270"/>
      <c r="AG229" s="270"/>
      <c r="AH229" s="272"/>
      <c r="AI229" s="313"/>
      <c r="AJ229" s="331"/>
      <c r="AK229" s="374"/>
      <c r="AL229" s="374"/>
      <c r="AM229" s="374"/>
    </row>
    <row r="230" spans="1:39" s="291" customFormat="1" x14ac:dyDescent="0.2">
      <c r="A230" s="423">
        <f t="shared" si="72"/>
        <v>225</v>
      </c>
      <c r="B230" s="683" t="s">
        <v>2845</v>
      </c>
      <c r="C230" s="699">
        <v>521909</v>
      </c>
      <c r="D230" s="700">
        <v>6987</v>
      </c>
      <c r="E230" s="701" t="s">
        <v>708</v>
      </c>
      <c r="F230" s="546"/>
      <c r="G230" s="702">
        <v>42830</v>
      </c>
      <c r="H230" s="703"/>
      <c r="I230" s="704" t="s">
        <v>3049</v>
      </c>
      <c r="J230" s="705" t="s">
        <v>729</v>
      </c>
      <c r="K230" s="706" t="s">
        <v>59</v>
      </c>
      <c r="L230" s="707" t="s">
        <v>3315</v>
      </c>
      <c r="M230" s="708">
        <v>478612.2</v>
      </c>
      <c r="N230" s="709">
        <v>0</v>
      </c>
      <c r="O230" s="710">
        <v>76577.95</v>
      </c>
      <c r="P230" s="711">
        <v>555190.15</v>
      </c>
      <c r="Q230" s="548"/>
      <c r="R230" s="713">
        <v>478256.85</v>
      </c>
      <c r="S230" s="549">
        <f t="shared" si="71"/>
        <v>76933.300000000047</v>
      </c>
      <c r="T230" s="267" t="s">
        <v>283</v>
      </c>
      <c r="U230" s="370"/>
      <c r="V230" s="370"/>
      <c r="W230" s="375"/>
      <c r="X230" s="374"/>
      <c r="Y230" s="370"/>
      <c r="Z230" s="371"/>
      <c r="AA230" s="371"/>
      <c r="AB230" s="673"/>
      <c r="AC230" s="270"/>
      <c r="AD230" s="372"/>
      <c r="AE230" s="270"/>
      <c r="AF230" s="270"/>
      <c r="AG230" s="270"/>
      <c r="AH230" s="350"/>
      <c r="AI230" s="365"/>
      <c r="AJ230" s="330"/>
      <c r="AK230" s="374"/>
      <c r="AL230" s="374"/>
      <c r="AM230" s="374"/>
    </row>
    <row r="231" spans="1:39" s="291" customFormat="1" x14ac:dyDescent="0.2">
      <c r="A231" s="423">
        <f t="shared" si="72"/>
        <v>226</v>
      </c>
      <c r="B231" s="683" t="s">
        <v>2848</v>
      </c>
      <c r="C231" s="699">
        <v>1520104</v>
      </c>
      <c r="D231" s="700">
        <v>7493</v>
      </c>
      <c r="E231" s="701" t="s">
        <v>711</v>
      </c>
      <c r="F231" s="546"/>
      <c r="G231" s="702">
        <v>42835</v>
      </c>
      <c r="H231" s="703"/>
      <c r="I231" s="704" t="s">
        <v>3052</v>
      </c>
      <c r="J231" s="705" t="s">
        <v>729</v>
      </c>
      <c r="K231" s="706" t="s">
        <v>1710</v>
      </c>
      <c r="L231" s="707" t="s">
        <v>3318</v>
      </c>
      <c r="M231" s="708">
        <v>218562.73</v>
      </c>
      <c r="N231" s="709">
        <v>0</v>
      </c>
      <c r="O231" s="710">
        <v>34970.04</v>
      </c>
      <c r="P231" s="711">
        <v>253532.77</v>
      </c>
      <c r="Q231" s="548"/>
      <c r="R231" s="713">
        <v>218207.39</v>
      </c>
      <c r="S231" s="549">
        <f t="shared" si="71"/>
        <v>35325.379999999976</v>
      </c>
      <c r="T231" s="267" t="s">
        <v>283</v>
      </c>
      <c r="U231" s="360"/>
      <c r="V231" s="360"/>
      <c r="W231" s="358"/>
      <c r="X231" s="331"/>
      <c r="Y231" s="360"/>
      <c r="Z231" s="334"/>
      <c r="AA231" s="334"/>
      <c r="AB231" s="672"/>
      <c r="AC231" s="349"/>
      <c r="AD231" s="335"/>
      <c r="AE231" s="349"/>
      <c r="AF231" s="349"/>
      <c r="AG231" s="349"/>
      <c r="AH231" s="272"/>
      <c r="AI231" s="313"/>
      <c r="AJ231" s="331"/>
      <c r="AK231" s="374"/>
      <c r="AL231" s="374"/>
      <c r="AM231" s="374"/>
    </row>
    <row r="232" spans="1:39" s="291" customFormat="1" x14ac:dyDescent="0.2">
      <c r="A232" s="423">
        <f t="shared" si="72"/>
        <v>227</v>
      </c>
      <c r="B232" s="683" t="s">
        <v>2869</v>
      </c>
      <c r="C232" s="699">
        <v>1520604</v>
      </c>
      <c r="D232" s="700">
        <v>7495</v>
      </c>
      <c r="E232" s="701" t="s">
        <v>718</v>
      </c>
      <c r="F232" s="546"/>
      <c r="G232" s="702">
        <v>42835</v>
      </c>
      <c r="H232" s="703"/>
      <c r="I232" s="704" t="s">
        <v>3066</v>
      </c>
      <c r="J232" s="705" t="s">
        <v>729</v>
      </c>
      <c r="K232" s="706" t="s">
        <v>1698</v>
      </c>
      <c r="L232" s="707" t="s">
        <v>3332</v>
      </c>
      <c r="M232" s="708">
        <v>255782.21</v>
      </c>
      <c r="N232" s="709">
        <v>0</v>
      </c>
      <c r="O232" s="710">
        <v>40925.15</v>
      </c>
      <c r="P232" s="711">
        <v>296707.36</v>
      </c>
      <c r="Q232" s="548"/>
      <c r="R232" s="713">
        <v>255426.86</v>
      </c>
      <c r="S232" s="549">
        <f t="shared" si="71"/>
        <v>41280.5</v>
      </c>
      <c r="T232" s="113" t="s">
        <v>283</v>
      </c>
      <c r="U232" s="360"/>
      <c r="V232" s="360"/>
      <c r="W232" s="358"/>
      <c r="X232" s="331"/>
      <c r="Y232" s="360"/>
      <c r="Z232" s="334"/>
      <c r="AA232" s="334"/>
      <c r="AB232" s="672"/>
      <c r="AC232" s="349"/>
      <c r="AD232" s="335"/>
      <c r="AE232" s="349"/>
      <c r="AF232" s="349"/>
      <c r="AG232" s="349"/>
      <c r="AH232" s="350"/>
      <c r="AI232" s="365"/>
      <c r="AJ232" s="330"/>
      <c r="AK232" s="374"/>
      <c r="AL232" s="374"/>
      <c r="AM232" s="374"/>
    </row>
    <row r="233" spans="1:39" s="291" customFormat="1" x14ac:dyDescent="0.2">
      <c r="A233" s="423">
        <f t="shared" si="72"/>
        <v>228</v>
      </c>
      <c r="B233" s="683" t="s">
        <v>2870</v>
      </c>
      <c r="C233" s="699">
        <v>1520604</v>
      </c>
      <c r="D233" s="700">
        <v>7495</v>
      </c>
      <c r="E233" s="701" t="s">
        <v>718</v>
      </c>
      <c r="F233" s="546"/>
      <c r="G233" s="702">
        <v>42835</v>
      </c>
      <c r="H233" s="703"/>
      <c r="I233" s="704" t="s">
        <v>3067</v>
      </c>
      <c r="J233" s="705" t="s">
        <v>729</v>
      </c>
      <c r="K233" s="706" t="s">
        <v>357</v>
      </c>
      <c r="L233" s="707" t="s">
        <v>3333</v>
      </c>
      <c r="M233" s="708">
        <v>255782.21</v>
      </c>
      <c r="N233" s="709">
        <v>0</v>
      </c>
      <c r="O233" s="710">
        <v>40925.15</v>
      </c>
      <c r="P233" s="711">
        <v>296707.36</v>
      </c>
      <c r="Q233" s="548"/>
      <c r="R233" s="713">
        <v>255426.86</v>
      </c>
      <c r="S233" s="549">
        <f t="shared" si="71"/>
        <v>41280.5</v>
      </c>
      <c r="T233" s="267" t="s">
        <v>283</v>
      </c>
      <c r="U233" s="370"/>
      <c r="V233" s="370"/>
      <c r="W233" s="375"/>
      <c r="X233" s="374"/>
      <c r="Y233" s="370"/>
      <c r="Z233" s="371"/>
      <c r="AA233" s="371"/>
      <c r="AB233" s="673"/>
      <c r="AC233" s="270"/>
      <c r="AD233" s="372"/>
      <c r="AE233" s="270"/>
      <c r="AF233" s="270"/>
      <c r="AG233" s="270"/>
      <c r="AH233" s="350"/>
      <c r="AI233" s="365"/>
      <c r="AJ233" s="374"/>
      <c r="AK233" s="374"/>
      <c r="AL233" s="374"/>
      <c r="AM233" s="374"/>
    </row>
    <row r="234" spans="1:39" s="348" customFormat="1" x14ac:dyDescent="0.2">
      <c r="A234" s="423">
        <f t="shared" si="72"/>
        <v>229</v>
      </c>
      <c r="B234" s="683" t="s">
        <v>2880</v>
      </c>
      <c r="C234" s="699">
        <v>1520604</v>
      </c>
      <c r="D234" s="700">
        <v>7495</v>
      </c>
      <c r="E234" s="701" t="s">
        <v>718</v>
      </c>
      <c r="F234" s="546"/>
      <c r="G234" s="702">
        <v>42838</v>
      </c>
      <c r="H234" s="703"/>
      <c r="I234" s="704" t="s">
        <v>3075</v>
      </c>
      <c r="J234" s="705" t="s">
        <v>729</v>
      </c>
      <c r="K234" s="706" t="s">
        <v>99</v>
      </c>
      <c r="L234" s="707" t="s">
        <v>3341</v>
      </c>
      <c r="M234" s="708">
        <v>255782.21</v>
      </c>
      <c r="N234" s="709">
        <v>0</v>
      </c>
      <c r="O234" s="710">
        <v>40925.15</v>
      </c>
      <c r="P234" s="711">
        <v>296707.36</v>
      </c>
      <c r="Q234" s="548"/>
      <c r="R234" s="713">
        <v>255426.86</v>
      </c>
      <c r="S234" s="549">
        <f t="shared" si="71"/>
        <v>41280.5</v>
      </c>
      <c r="T234" s="113" t="s">
        <v>283</v>
      </c>
      <c r="U234" s="360"/>
      <c r="V234" s="360"/>
      <c r="W234" s="358"/>
      <c r="X234" s="331"/>
      <c r="Y234" s="360"/>
      <c r="Z234" s="334"/>
      <c r="AA234" s="334"/>
      <c r="AB234" s="672"/>
      <c r="AC234" s="349"/>
      <c r="AD234" s="335"/>
      <c r="AE234" s="349"/>
      <c r="AF234" s="349"/>
      <c r="AG234" s="349"/>
      <c r="AH234" s="272"/>
      <c r="AI234" s="313"/>
      <c r="AJ234" s="374"/>
      <c r="AK234" s="330"/>
      <c r="AL234" s="330"/>
      <c r="AM234" s="330"/>
    </row>
    <row r="235" spans="1:39" s="291" customFormat="1" x14ac:dyDescent="0.2">
      <c r="A235" s="423">
        <f t="shared" si="72"/>
        <v>230</v>
      </c>
      <c r="B235" s="683" t="s">
        <v>2895</v>
      </c>
      <c r="C235" s="699">
        <v>1520604</v>
      </c>
      <c r="D235" s="700">
        <v>7495</v>
      </c>
      <c r="E235" s="701" t="s">
        <v>718</v>
      </c>
      <c r="F235" s="546"/>
      <c r="G235" s="702">
        <v>42854</v>
      </c>
      <c r="H235" s="703"/>
      <c r="I235" s="704" t="s">
        <v>3083</v>
      </c>
      <c r="J235" s="705" t="s">
        <v>729</v>
      </c>
      <c r="K235" s="706" t="s">
        <v>1144</v>
      </c>
      <c r="L235" s="707" t="s">
        <v>3349</v>
      </c>
      <c r="M235" s="708">
        <v>255782.21</v>
      </c>
      <c r="N235" s="709">
        <v>0</v>
      </c>
      <c r="O235" s="710">
        <v>40925.15</v>
      </c>
      <c r="P235" s="711">
        <v>296707.36</v>
      </c>
      <c r="Q235" s="548"/>
      <c r="R235" s="713">
        <v>255426.86</v>
      </c>
      <c r="S235" s="549">
        <f t="shared" si="71"/>
        <v>41280.5</v>
      </c>
      <c r="T235" s="267" t="s">
        <v>283</v>
      </c>
      <c r="U235" s="360"/>
      <c r="V235" s="360"/>
      <c r="W235" s="358"/>
      <c r="X235" s="331"/>
      <c r="Y235" s="360"/>
      <c r="Z235" s="334"/>
      <c r="AA235" s="334"/>
      <c r="AB235" s="672"/>
      <c r="AC235" s="349"/>
      <c r="AD235" s="335"/>
      <c r="AE235" s="349"/>
      <c r="AF235" s="349"/>
      <c r="AG235" s="349"/>
      <c r="AH235" s="350"/>
      <c r="AI235" s="365"/>
      <c r="AJ235" s="374"/>
      <c r="AK235" s="374"/>
      <c r="AL235" s="374"/>
      <c r="AM235" s="374"/>
    </row>
    <row r="236" spans="1:39" s="291" customFormat="1" x14ac:dyDescent="0.2">
      <c r="A236" s="423">
        <f t="shared" si="72"/>
        <v>231</v>
      </c>
      <c r="B236" s="683" t="s">
        <v>2896</v>
      </c>
      <c r="C236" s="699">
        <v>1520604</v>
      </c>
      <c r="D236" s="700">
        <v>7495</v>
      </c>
      <c r="E236" s="701" t="s">
        <v>718</v>
      </c>
      <c r="F236" s="546"/>
      <c r="G236" s="702">
        <v>42854</v>
      </c>
      <c r="H236" s="703"/>
      <c r="I236" s="704" t="s">
        <v>3084</v>
      </c>
      <c r="J236" s="705" t="s">
        <v>729</v>
      </c>
      <c r="K236" s="706" t="s">
        <v>59</v>
      </c>
      <c r="L236" s="707" t="s">
        <v>3350</v>
      </c>
      <c r="M236" s="708">
        <v>255782.21</v>
      </c>
      <c r="N236" s="709">
        <v>0</v>
      </c>
      <c r="O236" s="710">
        <v>40925.15</v>
      </c>
      <c r="P236" s="711">
        <v>296707.36</v>
      </c>
      <c r="Q236" s="548"/>
      <c r="R236" s="713">
        <v>255426.86</v>
      </c>
      <c r="S236" s="549">
        <f t="shared" si="71"/>
        <v>41280.5</v>
      </c>
      <c r="T236" s="267" t="s">
        <v>283</v>
      </c>
      <c r="U236" s="354"/>
      <c r="V236" s="354"/>
      <c r="W236" s="355"/>
      <c r="X236" s="330"/>
      <c r="Y236" s="354"/>
      <c r="Z236" s="328"/>
      <c r="AA236" s="328"/>
      <c r="AB236" s="674"/>
      <c r="AC236" s="346"/>
      <c r="AD236" s="333"/>
      <c r="AE236" s="346"/>
      <c r="AF236" s="346"/>
      <c r="AG236" s="346"/>
      <c r="AH236" s="350"/>
      <c r="AI236" s="365"/>
      <c r="AJ236" s="374"/>
      <c r="AK236" s="374"/>
      <c r="AL236" s="374"/>
      <c r="AM236" s="374"/>
    </row>
    <row r="237" spans="1:39" s="296" customFormat="1" x14ac:dyDescent="0.2">
      <c r="A237" s="423">
        <f t="shared" si="72"/>
        <v>232</v>
      </c>
      <c r="B237" s="683" t="s">
        <v>2908</v>
      </c>
      <c r="C237" s="684">
        <v>44610</v>
      </c>
      <c r="D237" s="685" t="s">
        <v>721</v>
      </c>
      <c r="E237" s="688" t="s">
        <v>2953</v>
      </c>
      <c r="F237" s="546"/>
      <c r="G237" s="689">
        <v>42826</v>
      </c>
      <c r="H237" s="690" t="s">
        <v>1211</v>
      </c>
      <c r="I237" s="691" t="s">
        <v>2383</v>
      </c>
      <c r="J237" s="692" t="s">
        <v>724</v>
      </c>
      <c r="K237" s="693" t="s">
        <v>2493</v>
      </c>
      <c r="L237" s="694" t="s">
        <v>2681</v>
      </c>
      <c r="M237" s="695">
        <v>-109482.76</v>
      </c>
      <c r="N237" s="695">
        <v>0</v>
      </c>
      <c r="O237" s="696">
        <v>-17517.240000000002</v>
      </c>
      <c r="P237" s="697">
        <v>-127000</v>
      </c>
      <c r="Q237" s="548"/>
      <c r="R237" s="698">
        <v>-91718.1</v>
      </c>
      <c r="S237" s="549">
        <f t="shared" si="71"/>
        <v>-35281.899999999994</v>
      </c>
      <c r="T237" s="113" t="s">
        <v>263</v>
      </c>
      <c r="U237" s="369"/>
      <c r="V237" s="370"/>
      <c r="W237" s="375"/>
      <c r="X237" s="375"/>
      <c r="Y237" s="375"/>
      <c r="Z237" s="371"/>
      <c r="AA237" s="371"/>
      <c r="AB237" s="673"/>
      <c r="AC237" s="371"/>
      <c r="AD237" s="372"/>
      <c r="AE237" s="371"/>
      <c r="AF237" s="371"/>
      <c r="AG237" s="270"/>
      <c r="AH237" s="350"/>
      <c r="AI237" s="365"/>
      <c r="AJ237" s="374"/>
      <c r="AK237" s="374"/>
      <c r="AL237" s="374"/>
      <c r="AM237" s="374"/>
    </row>
    <row r="238" spans="1:39" s="291" customFormat="1" x14ac:dyDescent="0.2">
      <c r="A238" s="423">
        <f t="shared" si="72"/>
        <v>233</v>
      </c>
      <c r="B238" s="683" t="s">
        <v>2909</v>
      </c>
      <c r="C238" s="684">
        <v>44610</v>
      </c>
      <c r="D238" s="685" t="s">
        <v>721</v>
      </c>
      <c r="E238" s="688" t="s">
        <v>2953</v>
      </c>
      <c r="F238" s="546"/>
      <c r="G238" s="689">
        <v>42826</v>
      </c>
      <c r="H238" s="690" t="s">
        <v>1211</v>
      </c>
      <c r="I238" s="691" t="s">
        <v>2383</v>
      </c>
      <c r="J238" s="692" t="s">
        <v>724</v>
      </c>
      <c r="K238" s="693" t="s">
        <v>2493</v>
      </c>
      <c r="L238" s="694" t="s">
        <v>2681</v>
      </c>
      <c r="M238" s="695">
        <v>109482.76</v>
      </c>
      <c r="N238" s="695">
        <v>0</v>
      </c>
      <c r="O238" s="696">
        <v>17517.240000000002</v>
      </c>
      <c r="P238" s="697">
        <v>127000</v>
      </c>
      <c r="Q238" s="548"/>
      <c r="R238" s="698">
        <v>91718.1</v>
      </c>
      <c r="S238" s="549">
        <f t="shared" si="71"/>
        <v>35281.899999999994</v>
      </c>
      <c r="T238" s="113" t="s">
        <v>263</v>
      </c>
      <c r="U238" s="369"/>
      <c r="V238" s="370"/>
      <c r="W238" s="375"/>
      <c r="X238" s="375"/>
      <c r="Y238" s="375"/>
      <c r="Z238" s="371"/>
      <c r="AA238" s="371"/>
      <c r="AB238" s="673"/>
      <c r="AC238" s="371"/>
      <c r="AD238" s="372"/>
      <c r="AE238" s="371"/>
      <c r="AF238" s="371"/>
      <c r="AG238" s="270"/>
      <c r="AH238" s="350"/>
      <c r="AI238" s="365"/>
      <c r="AJ238" s="374"/>
      <c r="AK238" s="374"/>
      <c r="AL238" s="374"/>
      <c r="AM238" s="374"/>
    </row>
    <row r="239" spans="1:39" s="348" customFormat="1" x14ac:dyDescent="0.2">
      <c r="A239" s="423">
        <f t="shared" si="72"/>
        <v>234</v>
      </c>
      <c r="B239" s="683" t="s">
        <v>2910</v>
      </c>
      <c r="C239" s="684">
        <v>38115</v>
      </c>
      <c r="D239" s="685" t="s">
        <v>721</v>
      </c>
      <c r="E239" s="688" t="s">
        <v>2953</v>
      </c>
      <c r="F239" s="546"/>
      <c r="G239" s="689">
        <v>42828</v>
      </c>
      <c r="H239" s="690" t="s">
        <v>912</v>
      </c>
      <c r="I239" s="691" t="s">
        <v>3093</v>
      </c>
      <c r="J239" s="692" t="s">
        <v>724</v>
      </c>
      <c r="K239" s="693" t="s">
        <v>3199</v>
      </c>
      <c r="L239" s="694" t="s">
        <v>3359</v>
      </c>
      <c r="M239" s="695">
        <v>112068.97</v>
      </c>
      <c r="N239" s="695">
        <v>0</v>
      </c>
      <c r="O239" s="696">
        <v>17931.03</v>
      </c>
      <c r="P239" s="697">
        <v>130000</v>
      </c>
      <c r="Q239" s="548"/>
      <c r="R239" s="698">
        <v>93143.1</v>
      </c>
      <c r="S239" s="549">
        <f t="shared" si="71"/>
        <v>36856.899999999994</v>
      </c>
      <c r="T239" s="113" t="s">
        <v>263</v>
      </c>
      <c r="U239" s="369"/>
      <c r="V239" s="370"/>
      <c r="W239" s="375"/>
      <c r="X239" s="375"/>
      <c r="Y239" s="375"/>
      <c r="Z239" s="371"/>
      <c r="AA239" s="371"/>
      <c r="AB239" s="673"/>
      <c r="AC239" s="371"/>
      <c r="AD239" s="372"/>
      <c r="AE239" s="371"/>
      <c r="AF239" s="371"/>
      <c r="AG239" s="270"/>
      <c r="AH239" s="350"/>
      <c r="AI239" s="365"/>
      <c r="AJ239" s="374"/>
      <c r="AK239" s="330"/>
      <c r="AL239" s="330"/>
      <c r="AM239" s="330"/>
    </row>
    <row r="240" spans="1:39" s="291" customFormat="1" x14ac:dyDescent="0.2">
      <c r="A240" s="423">
        <f t="shared" si="72"/>
        <v>235</v>
      </c>
      <c r="B240" s="683" t="s">
        <v>2911</v>
      </c>
      <c r="C240" s="684">
        <v>38503</v>
      </c>
      <c r="D240" s="685" t="s">
        <v>721</v>
      </c>
      <c r="E240" s="688" t="s">
        <v>2953</v>
      </c>
      <c r="F240" s="546"/>
      <c r="G240" s="689">
        <v>42828</v>
      </c>
      <c r="H240" s="690" t="s">
        <v>912</v>
      </c>
      <c r="I240" s="691" t="s">
        <v>3094</v>
      </c>
      <c r="J240" s="692" t="s">
        <v>724</v>
      </c>
      <c r="K240" s="693" t="s">
        <v>3200</v>
      </c>
      <c r="L240" s="694" t="s">
        <v>1912</v>
      </c>
      <c r="M240" s="695">
        <v>112379.31</v>
      </c>
      <c r="N240" s="695">
        <v>0</v>
      </c>
      <c r="O240" s="696">
        <v>2620.69</v>
      </c>
      <c r="P240" s="697">
        <v>115000</v>
      </c>
      <c r="Q240" s="548"/>
      <c r="R240" s="698">
        <v>96000</v>
      </c>
      <c r="S240" s="549">
        <f t="shared" si="71"/>
        <v>19000</v>
      </c>
      <c r="T240" s="113" t="s">
        <v>263</v>
      </c>
      <c r="U240" s="369"/>
      <c r="V240" s="370"/>
      <c r="W240" s="375"/>
      <c r="X240" s="375"/>
      <c r="Y240" s="375"/>
      <c r="Z240" s="371"/>
      <c r="AA240" s="371"/>
      <c r="AB240" s="673"/>
      <c r="AC240" s="371"/>
      <c r="AD240" s="372"/>
      <c r="AE240" s="371"/>
      <c r="AF240" s="371"/>
      <c r="AG240" s="270"/>
      <c r="AH240" s="350"/>
      <c r="AI240" s="365"/>
      <c r="AJ240" s="374"/>
      <c r="AK240" s="374"/>
      <c r="AL240" s="374"/>
      <c r="AM240" s="374"/>
    </row>
    <row r="241" spans="1:39" s="348" customFormat="1" x14ac:dyDescent="0.2">
      <c r="A241" s="423">
        <f t="shared" si="72"/>
        <v>236</v>
      </c>
      <c r="B241" s="683" t="s">
        <v>2912</v>
      </c>
      <c r="C241" s="684">
        <v>520506</v>
      </c>
      <c r="D241" s="685" t="s">
        <v>721</v>
      </c>
      <c r="E241" s="688" t="s">
        <v>2953</v>
      </c>
      <c r="F241" s="546"/>
      <c r="G241" s="689">
        <v>42829</v>
      </c>
      <c r="H241" s="690" t="s">
        <v>735</v>
      </c>
      <c r="I241" s="691" t="s">
        <v>3095</v>
      </c>
      <c r="J241" s="692" t="s">
        <v>724</v>
      </c>
      <c r="K241" s="693" t="s">
        <v>3201</v>
      </c>
      <c r="L241" s="694" t="s">
        <v>3360</v>
      </c>
      <c r="M241" s="695">
        <v>180862.07</v>
      </c>
      <c r="N241" s="695">
        <v>0</v>
      </c>
      <c r="O241" s="696">
        <v>4137.93</v>
      </c>
      <c r="P241" s="697">
        <v>185000</v>
      </c>
      <c r="Q241" s="548"/>
      <c r="R241" s="698">
        <v>155000</v>
      </c>
      <c r="S241" s="549">
        <f t="shared" si="71"/>
        <v>30000</v>
      </c>
      <c r="T241" s="267" t="s">
        <v>263</v>
      </c>
      <c r="U241" s="369"/>
      <c r="V241" s="370"/>
      <c r="W241" s="375"/>
      <c r="X241" s="375"/>
      <c r="Y241" s="375"/>
      <c r="Z241" s="371"/>
      <c r="AA241" s="371"/>
      <c r="AB241" s="673"/>
      <c r="AC241" s="371"/>
      <c r="AD241" s="372"/>
      <c r="AE241" s="371"/>
      <c r="AF241" s="371"/>
      <c r="AG241" s="270"/>
      <c r="AH241" s="350"/>
      <c r="AI241" s="365"/>
      <c r="AJ241" s="330"/>
      <c r="AK241" s="330"/>
      <c r="AL241" s="330"/>
      <c r="AM241" s="330"/>
    </row>
    <row r="242" spans="1:39" s="291" customFormat="1" x14ac:dyDescent="0.2">
      <c r="A242" s="423">
        <f t="shared" si="72"/>
        <v>237</v>
      </c>
      <c r="B242" s="683" t="s">
        <v>2913</v>
      </c>
      <c r="C242" s="684">
        <v>38503</v>
      </c>
      <c r="D242" s="685" t="s">
        <v>721</v>
      </c>
      <c r="E242" s="688" t="s">
        <v>2953</v>
      </c>
      <c r="F242" s="546"/>
      <c r="G242" s="689">
        <v>42832</v>
      </c>
      <c r="H242" s="690" t="s">
        <v>912</v>
      </c>
      <c r="I242" s="691" t="s">
        <v>3094</v>
      </c>
      <c r="J242" s="692" t="s">
        <v>724</v>
      </c>
      <c r="K242" s="693" t="s">
        <v>3200</v>
      </c>
      <c r="L242" s="694" t="s">
        <v>1912</v>
      </c>
      <c r="M242" s="695">
        <v>-112379.31</v>
      </c>
      <c r="N242" s="695">
        <v>0</v>
      </c>
      <c r="O242" s="696">
        <v>-2620.69</v>
      </c>
      <c r="P242" s="697">
        <v>-115000</v>
      </c>
      <c r="Q242" s="548"/>
      <c r="R242" s="698">
        <v>-96000</v>
      </c>
      <c r="S242" s="549">
        <f t="shared" si="71"/>
        <v>-19000</v>
      </c>
      <c r="T242" s="267" t="s">
        <v>263</v>
      </c>
      <c r="U242" s="369"/>
      <c r="V242" s="370"/>
      <c r="W242" s="375"/>
      <c r="X242" s="375"/>
      <c r="Y242" s="375"/>
      <c r="Z242" s="371"/>
      <c r="AA242" s="371"/>
      <c r="AB242" s="673"/>
      <c r="AC242" s="371"/>
      <c r="AD242" s="372"/>
      <c r="AE242" s="371"/>
      <c r="AF242" s="371"/>
      <c r="AG242" s="270"/>
      <c r="AH242" s="350"/>
      <c r="AI242" s="365"/>
      <c r="AJ242" s="374"/>
      <c r="AK242" s="374"/>
      <c r="AL242" s="374"/>
      <c r="AM242" s="374"/>
    </row>
    <row r="243" spans="1:39" s="291" customFormat="1" x14ac:dyDescent="0.2">
      <c r="A243" s="423">
        <f t="shared" si="72"/>
        <v>238</v>
      </c>
      <c r="B243" s="683" t="s">
        <v>2914</v>
      </c>
      <c r="C243" s="684">
        <v>38503</v>
      </c>
      <c r="D243" s="685" t="s">
        <v>721</v>
      </c>
      <c r="E243" s="688" t="s">
        <v>2953</v>
      </c>
      <c r="F243" s="546"/>
      <c r="G243" s="689">
        <v>42832</v>
      </c>
      <c r="H243" s="690" t="s">
        <v>735</v>
      </c>
      <c r="I243" s="691" t="s">
        <v>3094</v>
      </c>
      <c r="J243" s="692" t="s">
        <v>724</v>
      </c>
      <c r="K243" s="693" t="s">
        <v>3202</v>
      </c>
      <c r="L243" s="694" t="s">
        <v>1912</v>
      </c>
      <c r="M243" s="695">
        <v>108931.03</v>
      </c>
      <c r="N243" s="695">
        <v>0</v>
      </c>
      <c r="O243" s="696">
        <v>2068.9699999999998</v>
      </c>
      <c r="P243" s="697">
        <v>111000</v>
      </c>
      <c r="Q243" s="548"/>
      <c r="R243" s="698">
        <v>96000</v>
      </c>
      <c r="S243" s="549">
        <f t="shared" si="71"/>
        <v>15000</v>
      </c>
      <c r="T243" s="113" t="s">
        <v>263</v>
      </c>
      <c r="U243" s="369"/>
      <c r="V243" s="370"/>
      <c r="W243" s="375"/>
      <c r="X243" s="375"/>
      <c r="Y243" s="375"/>
      <c r="Z243" s="371"/>
      <c r="AA243" s="371"/>
      <c r="AB243" s="673"/>
      <c r="AC243" s="371"/>
      <c r="AD243" s="372"/>
      <c r="AE243" s="371"/>
      <c r="AF243" s="371"/>
      <c r="AG243" s="270"/>
      <c r="AH243" s="350"/>
      <c r="AI243" s="365"/>
      <c r="AJ243" s="374"/>
      <c r="AK243" s="374"/>
      <c r="AL243" s="374"/>
      <c r="AM243" s="374"/>
    </row>
    <row r="244" spans="1:39" s="291" customFormat="1" x14ac:dyDescent="0.2">
      <c r="A244" s="423">
        <f t="shared" si="72"/>
        <v>239</v>
      </c>
      <c r="B244" s="683" t="s">
        <v>2915</v>
      </c>
      <c r="C244" s="684">
        <v>72402</v>
      </c>
      <c r="D244" s="685" t="s">
        <v>721</v>
      </c>
      <c r="E244" s="688" t="s">
        <v>2953</v>
      </c>
      <c r="F244" s="546"/>
      <c r="G244" s="689">
        <v>42833</v>
      </c>
      <c r="H244" s="690" t="s">
        <v>735</v>
      </c>
      <c r="I244" s="691" t="s">
        <v>3096</v>
      </c>
      <c r="J244" s="692" t="s">
        <v>724</v>
      </c>
      <c r="K244" s="693" t="s">
        <v>3203</v>
      </c>
      <c r="L244" s="694" t="s">
        <v>3361</v>
      </c>
      <c r="M244" s="695">
        <v>146551.72</v>
      </c>
      <c r="N244" s="695">
        <v>0</v>
      </c>
      <c r="O244" s="696">
        <v>23448.28</v>
      </c>
      <c r="P244" s="697">
        <v>170000</v>
      </c>
      <c r="Q244" s="548"/>
      <c r="R244" s="698">
        <v>125150</v>
      </c>
      <c r="S244" s="549">
        <f t="shared" si="71"/>
        <v>44850</v>
      </c>
      <c r="T244" s="267" t="s">
        <v>263</v>
      </c>
      <c r="U244" s="369"/>
      <c r="V244" s="370"/>
      <c r="W244" s="375"/>
      <c r="X244" s="375"/>
      <c r="Y244" s="375"/>
      <c r="Z244" s="371"/>
      <c r="AA244" s="371"/>
      <c r="AB244" s="673"/>
      <c r="AC244" s="371"/>
      <c r="AD244" s="372"/>
      <c r="AE244" s="371"/>
      <c r="AF244" s="371"/>
      <c r="AG244" s="270"/>
      <c r="AH244" s="350"/>
      <c r="AI244" s="365"/>
      <c r="AJ244" s="374"/>
      <c r="AK244" s="374"/>
      <c r="AL244" s="374"/>
      <c r="AM244" s="374"/>
    </row>
    <row r="245" spans="1:39" s="291" customFormat="1" x14ac:dyDescent="0.2">
      <c r="A245" s="423">
        <f t="shared" si="72"/>
        <v>240</v>
      </c>
      <c r="B245" s="683" t="s">
        <v>2916</v>
      </c>
      <c r="C245" s="684">
        <v>16902</v>
      </c>
      <c r="D245" s="685" t="s">
        <v>721</v>
      </c>
      <c r="E245" s="688" t="s">
        <v>2953</v>
      </c>
      <c r="F245" s="546"/>
      <c r="G245" s="689">
        <v>42835</v>
      </c>
      <c r="H245" s="690" t="s">
        <v>2220</v>
      </c>
      <c r="I245" s="691" t="s">
        <v>3097</v>
      </c>
      <c r="J245" s="692" t="s">
        <v>724</v>
      </c>
      <c r="K245" s="693" t="s">
        <v>3138</v>
      </c>
      <c r="L245" s="694" t="s">
        <v>3362</v>
      </c>
      <c r="M245" s="695">
        <v>139655.17000000001</v>
      </c>
      <c r="N245" s="695">
        <v>0</v>
      </c>
      <c r="O245" s="696">
        <v>22344.83</v>
      </c>
      <c r="P245" s="697">
        <v>162000</v>
      </c>
      <c r="Q245" s="548"/>
      <c r="R245" s="698">
        <v>110492.24</v>
      </c>
      <c r="S245" s="549">
        <f t="shared" si="71"/>
        <v>51507.759999999995</v>
      </c>
      <c r="T245" s="267" t="s">
        <v>263</v>
      </c>
      <c r="U245" s="369"/>
      <c r="V245" s="370"/>
      <c r="W245" s="375"/>
      <c r="X245" s="375"/>
      <c r="Y245" s="375"/>
      <c r="Z245" s="371"/>
      <c r="AA245" s="371"/>
      <c r="AB245" s="673"/>
      <c r="AC245" s="371"/>
      <c r="AD245" s="372"/>
      <c r="AE245" s="371"/>
      <c r="AF245" s="371"/>
      <c r="AG245" s="270"/>
      <c r="AH245" s="350"/>
      <c r="AI245" s="365"/>
      <c r="AJ245" s="374"/>
      <c r="AK245" s="374"/>
      <c r="AL245" s="374"/>
      <c r="AM245" s="374"/>
    </row>
    <row r="246" spans="1:39" s="291" customFormat="1" x14ac:dyDescent="0.2">
      <c r="A246" s="423">
        <f t="shared" si="72"/>
        <v>241</v>
      </c>
      <c r="B246" s="683" t="s">
        <v>2917</v>
      </c>
      <c r="C246" s="684">
        <v>1051110</v>
      </c>
      <c r="D246" s="686" t="s">
        <v>721</v>
      </c>
      <c r="E246" s="688" t="s">
        <v>2953</v>
      </c>
      <c r="F246" s="546"/>
      <c r="G246" s="689">
        <v>42836</v>
      </c>
      <c r="H246" s="690" t="s">
        <v>912</v>
      </c>
      <c r="I246" s="691" t="s">
        <v>3098</v>
      </c>
      <c r="J246" s="692" t="s">
        <v>724</v>
      </c>
      <c r="K246" s="693" t="s">
        <v>3204</v>
      </c>
      <c r="L246" s="694" t="s">
        <v>3363</v>
      </c>
      <c r="M246" s="695">
        <v>271551.71999999997</v>
      </c>
      <c r="N246" s="695">
        <v>0</v>
      </c>
      <c r="O246" s="696">
        <v>43448.28</v>
      </c>
      <c r="P246" s="697">
        <v>315000</v>
      </c>
      <c r="Q246" s="548"/>
      <c r="R246" s="698">
        <v>228663.8</v>
      </c>
      <c r="S246" s="549">
        <f t="shared" si="71"/>
        <v>86336.200000000012</v>
      </c>
      <c r="T246" s="113" t="s">
        <v>263</v>
      </c>
      <c r="U246" s="369"/>
      <c r="V246" s="370"/>
      <c r="W246" s="375"/>
      <c r="X246" s="375"/>
      <c r="Y246" s="375"/>
      <c r="Z246" s="371"/>
      <c r="AA246" s="371"/>
      <c r="AB246" s="673"/>
      <c r="AC246" s="371"/>
      <c r="AD246" s="372"/>
      <c r="AE246" s="371"/>
      <c r="AF246" s="371"/>
      <c r="AG246" s="270"/>
      <c r="AH246" s="350"/>
      <c r="AI246" s="365"/>
      <c r="AJ246" s="374"/>
      <c r="AK246" s="374"/>
      <c r="AL246" s="374"/>
      <c r="AM246" s="374"/>
    </row>
    <row r="247" spans="1:39" s="291" customFormat="1" x14ac:dyDescent="0.2">
      <c r="A247" s="423">
        <f t="shared" si="72"/>
        <v>242</v>
      </c>
      <c r="B247" s="683" t="s">
        <v>2918</v>
      </c>
      <c r="C247" s="684">
        <v>1051110</v>
      </c>
      <c r="D247" s="686" t="s">
        <v>721</v>
      </c>
      <c r="E247" s="688" t="s">
        <v>2953</v>
      </c>
      <c r="F247" s="546"/>
      <c r="G247" s="689">
        <v>42837</v>
      </c>
      <c r="H247" s="690" t="s">
        <v>912</v>
      </c>
      <c r="I247" s="691" t="s">
        <v>3098</v>
      </c>
      <c r="J247" s="692" t="s">
        <v>724</v>
      </c>
      <c r="K247" s="693" t="s">
        <v>3204</v>
      </c>
      <c r="L247" s="694" t="s">
        <v>3363</v>
      </c>
      <c r="M247" s="695">
        <v>-271551.71999999997</v>
      </c>
      <c r="N247" s="695">
        <v>0</v>
      </c>
      <c r="O247" s="696">
        <v>-43448.28</v>
      </c>
      <c r="P247" s="697">
        <v>-315000</v>
      </c>
      <c r="Q247" s="548"/>
      <c r="R247" s="698">
        <v>-228663.8</v>
      </c>
      <c r="S247" s="549">
        <f t="shared" si="71"/>
        <v>-86336.200000000012</v>
      </c>
      <c r="T247" s="267" t="s">
        <v>263</v>
      </c>
      <c r="U247" s="369"/>
      <c r="V247" s="370"/>
      <c r="W247" s="375"/>
      <c r="X247" s="375"/>
      <c r="Y247" s="375"/>
      <c r="Z247" s="371"/>
      <c r="AA247" s="371"/>
      <c r="AB247" s="673"/>
      <c r="AC247" s="371"/>
      <c r="AD247" s="372"/>
      <c r="AE247" s="371"/>
      <c r="AF247" s="371"/>
      <c r="AG247" s="270"/>
      <c r="AH247" s="350"/>
      <c r="AI247" s="365"/>
      <c r="AJ247" s="374"/>
      <c r="AK247" s="374"/>
      <c r="AL247" s="374"/>
      <c r="AM247" s="374"/>
    </row>
    <row r="248" spans="1:39" s="291" customFormat="1" x14ac:dyDescent="0.2">
      <c r="A248" s="423">
        <f t="shared" si="72"/>
        <v>243</v>
      </c>
      <c r="B248" s="683" t="s">
        <v>2919</v>
      </c>
      <c r="C248" s="684">
        <v>1051110</v>
      </c>
      <c r="D248" s="686" t="s">
        <v>721</v>
      </c>
      <c r="E248" s="688" t="s">
        <v>2953</v>
      </c>
      <c r="F248" s="546"/>
      <c r="G248" s="689">
        <v>42837</v>
      </c>
      <c r="H248" s="690" t="s">
        <v>912</v>
      </c>
      <c r="I248" s="691" t="s">
        <v>3098</v>
      </c>
      <c r="J248" s="692" t="s">
        <v>724</v>
      </c>
      <c r="K248" s="693" t="s">
        <v>3204</v>
      </c>
      <c r="L248" s="694" t="s">
        <v>3363</v>
      </c>
      <c r="M248" s="695">
        <v>271551.71999999997</v>
      </c>
      <c r="N248" s="695">
        <v>0</v>
      </c>
      <c r="O248" s="696">
        <v>43448.28</v>
      </c>
      <c r="P248" s="697">
        <v>315000</v>
      </c>
      <c r="Q248" s="548"/>
      <c r="R248" s="698">
        <v>228663.8</v>
      </c>
      <c r="S248" s="549">
        <f t="shared" si="71"/>
        <v>86336.200000000012</v>
      </c>
      <c r="T248" s="267" t="s">
        <v>263</v>
      </c>
      <c r="U248" s="369"/>
      <c r="V248" s="370"/>
      <c r="W248" s="375"/>
      <c r="X248" s="375"/>
      <c r="Y248" s="375"/>
      <c r="Z248" s="371"/>
      <c r="AA248" s="371"/>
      <c r="AB248" s="673"/>
      <c r="AC248" s="371"/>
      <c r="AD248" s="372"/>
      <c r="AE248" s="371"/>
      <c r="AF248" s="371"/>
      <c r="AG248" s="270"/>
      <c r="AH248" s="350"/>
      <c r="AI248" s="365"/>
      <c r="AJ248" s="374"/>
      <c r="AK248" s="374"/>
      <c r="AL248" s="374"/>
      <c r="AM248" s="374"/>
    </row>
    <row r="249" spans="1:39" s="348" customFormat="1" x14ac:dyDescent="0.2">
      <c r="A249" s="423">
        <f t="shared" si="72"/>
        <v>244</v>
      </c>
      <c r="B249" s="683" t="s">
        <v>2920</v>
      </c>
      <c r="C249" s="684">
        <v>520512</v>
      </c>
      <c r="D249" s="685" t="s">
        <v>721</v>
      </c>
      <c r="E249" s="688" t="s">
        <v>2953</v>
      </c>
      <c r="F249" s="546"/>
      <c r="G249" s="689">
        <v>42838</v>
      </c>
      <c r="H249" s="690" t="s">
        <v>751</v>
      </c>
      <c r="I249" s="691" t="s">
        <v>3099</v>
      </c>
      <c r="J249" s="692" t="s">
        <v>724</v>
      </c>
      <c r="K249" s="693" t="s">
        <v>3205</v>
      </c>
      <c r="L249" s="694" t="s">
        <v>3364</v>
      </c>
      <c r="M249" s="695">
        <v>169396.55</v>
      </c>
      <c r="N249" s="695">
        <v>0</v>
      </c>
      <c r="O249" s="696">
        <v>27103.45</v>
      </c>
      <c r="P249" s="697">
        <v>196500</v>
      </c>
      <c r="Q249" s="548"/>
      <c r="R249" s="698">
        <v>137931.04</v>
      </c>
      <c r="S249" s="549">
        <f t="shared" si="71"/>
        <v>58568.959999999992</v>
      </c>
      <c r="T249" s="113" t="s">
        <v>263</v>
      </c>
      <c r="U249" s="369"/>
      <c r="V249" s="370"/>
      <c r="W249" s="375"/>
      <c r="X249" s="375"/>
      <c r="Y249" s="375"/>
      <c r="Z249" s="371"/>
      <c r="AA249" s="371"/>
      <c r="AB249" s="673"/>
      <c r="AC249" s="371"/>
      <c r="AD249" s="372"/>
      <c r="AE249" s="371"/>
      <c r="AF249" s="371"/>
      <c r="AG249" s="270"/>
      <c r="AH249" s="350"/>
      <c r="AI249" s="365"/>
      <c r="AJ249" s="374"/>
      <c r="AK249" s="330"/>
      <c r="AL249" s="330"/>
      <c r="AM249" s="330"/>
    </row>
    <row r="250" spans="1:39" s="348" customFormat="1" x14ac:dyDescent="0.2">
      <c r="A250" s="423">
        <f t="shared" si="72"/>
        <v>245</v>
      </c>
      <c r="B250" s="683" t="s">
        <v>2921</v>
      </c>
      <c r="C250" s="684">
        <v>1520603</v>
      </c>
      <c r="D250" s="687" t="s">
        <v>721</v>
      </c>
      <c r="E250" s="688" t="s">
        <v>2953</v>
      </c>
      <c r="F250" s="546"/>
      <c r="G250" s="689">
        <v>42838</v>
      </c>
      <c r="H250" s="690" t="s">
        <v>1211</v>
      </c>
      <c r="I250" s="691" t="s">
        <v>3100</v>
      </c>
      <c r="J250" s="692" t="s">
        <v>724</v>
      </c>
      <c r="K250" s="693" t="s">
        <v>3206</v>
      </c>
      <c r="L250" s="694" t="s">
        <v>3365</v>
      </c>
      <c r="M250" s="695">
        <v>215517.24</v>
      </c>
      <c r="N250" s="695">
        <v>0</v>
      </c>
      <c r="O250" s="696">
        <v>34482.76</v>
      </c>
      <c r="P250" s="697">
        <v>250000</v>
      </c>
      <c r="Q250" s="548"/>
      <c r="R250" s="698">
        <v>190517.24</v>
      </c>
      <c r="S250" s="549">
        <f t="shared" si="71"/>
        <v>59482.760000000009</v>
      </c>
      <c r="T250" s="267" t="s">
        <v>263</v>
      </c>
      <c r="U250" s="369"/>
      <c r="V250" s="370"/>
      <c r="W250" s="375"/>
      <c r="X250" s="375"/>
      <c r="Y250" s="375"/>
      <c r="Z250" s="371"/>
      <c r="AA250" s="371"/>
      <c r="AB250" s="673"/>
      <c r="AC250" s="371"/>
      <c r="AD250" s="372"/>
      <c r="AE250" s="371"/>
      <c r="AF250" s="371"/>
      <c r="AG250" s="270"/>
      <c r="AH250" s="350"/>
      <c r="AI250" s="365"/>
      <c r="AJ250" s="330"/>
      <c r="AK250" s="330"/>
      <c r="AL250" s="330"/>
      <c r="AM250" s="330"/>
    </row>
    <row r="251" spans="1:39" s="291" customFormat="1" x14ac:dyDescent="0.2">
      <c r="A251" s="423">
        <f t="shared" si="72"/>
        <v>246</v>
      </c>
      <c r="B251" s="683" t="s">
        <v>2922</v>
      </c>
      <c r="C251" s="684">
        <v>38803</v>
      </c>
      <c r="D251" s="686" t="s">
        <v>721</v>
      </c>
      <c r="E251" s="688" t="s">
        <v>2953</v>
      </c>
      <c r="F251" s="546"/>
      <c r="G251" s="689">
        <v>42843</v>
      </c>
      <c r="H251" s="690" t="s">
        <v>2218</v>
      </c>
      <c r="I251" s="691" t="s">
        <v>3101</v>
      </c>
      <c r="J251" s="692" t="s">
        <v>724</v>
      </c>
      <c r="K251" s="693" t="s">
        <v>3207</v>
      </c>
      <c r="L251" s="694" t="s">
        <v>3366</v>
      </c>
      <c r="M251" s="695">
        <v>288310.34000000003</v>
      </c>
      <c r="N251" s="695">
        <v>0</v>
      </c>
      <c r="O251" s="696">
        <v>4689.66</v>
      </c>
      <c r="P251" s="697">
        <v>293000</v>
      </c>
      <c r="Q251" s="548"/>
      <c r="R251" s="698">
        <v>259000</v>
      </c>
      <c r="S251" s="549">
        <f t="shared" si="71"/>
        <v>34000</v>
      </c>
      <c r="T251" s="267" t="s">
        <v>263</v>
      </c>
      <c r="U251" s="369"/>
      <c r="V251" s="370"/>
      <c r="W251" s="375"/>
      <c r="X251" s="375"/>
      <c r="Y251" s="375"/>
      <c r="Z251" s="371"/>
      <c r="AA251" s="371"/>
      <c r="AB251" s="673"/>
      <c r="AC251" s="371"/>
      <c r="AD251" s="372"/>
      <c r="AE251" s="371"/>
      <c r="AF251" s="371"/>
      <c r="AG251" s="270"/>
      <c r="AH251" s="350"/>
      <c r="AI251" s="365"/>
      <c r="AJ251" s="374"/>
      <c r="AK251" s="374"/>
      <c r="AL251" s="374"/>
      <c r="AM251" s="374"/>
    </row>
    <row r="252" spans="1:39" s="291" customFormat="1" x14ac:dyDescent="0.2">
      <c r="A252" s="423">
        <f t="shared" si="72"/>
        <v>247</v>
      </c>
      <c r="B252" s="683" t="s">
        <v>2923</v>
      </c>
      <c r="C252" s="684">
        <v>44602</v>
      </c>
      <c r="D252" s="686" t="s">
        <v>721</v>
      </c>
      <c r="E252" s="688" t="s">
        <v>2953</v>
      </c>
      <c r="F252" s="546"/>
      <c r="G252" s="689">
        <v>42843</v>
      </c>
      <c r="H252" s="690" t="s">
        <v>735</v>
      </c>
      <c r="I252" s="691" t="s">
        <v>3102</v>
      </c>
      <c r="J252" s="692" t="s">
        <v>724</v>
      </c>
      <c r="K252" s="693" t="s">
        <v>3208</v>
      </c>
      <c r="L252" s="694" t="s">
        <v>3367</v>
      </c>
      <c r="M252" s="695">
        <v>98275.86</v>
      </c>
      <c r="N252" s="695">
        <v>0</v>
      </c>
      <c r="O252" s="696">
        <v>3724.14</v>
      </c>
      <c r="P252" s="697">
        <v>102000</v>
      </c>
      <c r="Q252" s="548"/>
      <c r="R252" s="698">
        <v>75000</v>
      </c>
      <c r="S252" s="549">
        <f t="shared" si="71"/>
        <v>27000</v>
      </c>
      <c r="T252" s="267" t="s">
        <v>263</v>
      </c>
      <c r="U252" s="369"/>
      <c r="V252" s="370"/>
      <c r="W252" s="375"/>
      <c r="X252" s="375"/>
      <c r="Y252" s="375"/>
      <c r="Z252" s="371"/>
      <c r="AA252" s="371"/>
      <c r="AB252" s="673"/>
      <c r="AC252" s="371"/>
      <c r="AD252" s="372"/>
      <c r="AE252" s="371"/>
      <c r="AF252" s="371"/>
      <c r="AG252" s="270"/>
      <c r="AH252" s="350"/>
      <c r="AI252" s="365"/>
      <c r="AJ252" s="330"/>
      <c r="AK252" s="374"/>
      <c r="AL252" s="374"/>
      <c r="AM252" s="374"/>
    </row>
    <row r="253" spans="1:39" s="291" customFormat="1" x14ac:dyDescent="0.2">
      <c r="A253" s="423">
        <f t="shared" si="72"/>
        <v>248</v>
      </c>
      <c r="B253" s="683" t="s">
        <v>2924</v>
      </c>
      <c r="C253" s="684">
        <v>1520603</v>
      </c>
      <c r="D253" s="686" t="s">
        <v>721</v>
      </c>
      <c r="E253" s="688" t="s">
        <v>2953</v>
      </c>
      <c r="F253" s="546"/>
      <c r="G253" s="689">
        <v>42843</v>
      </c>
      <c r="H253" s="690" t="s">
        <v>1211</v>
      </c>
      <c r="I253" s="691" t="s">
        <v>3100</v>
      </c>
      <c r="J253" s="692" t="s">
        <v>724</v>
      </c>
      <c r="K253" s="693" t="s">
        <v>3206</v>
      </c>
      <c r="L253" s="694" t="s">
        <v>3365</v>
      </c>
      <c r="M253" s="695">
        <v>-215517.24</v>
      </c>
      <c r="N253" s="695">
        <v>0</v>
      </c>
      <c r="O253" s="696">
        <v>-34482.76</v>
      </c>
      <c r="P253" s="697">
        <v>-250000</v>
      </c>
      <c r="Q253" s="548"/>
      <c r="R253" s="698">
        <v>-190517.24</v>
      </c>
      <c r="S253" s="549">
        <f t="shared" si="71"/>
        <v>-59482.760000000009</v>
      </c>
      <c r="T253" s="113" t="s">
        <v>263</v>
      </c>
      <c r="U253" s="369"/>
      <c r="V253" s="370"/>
      <c r="W253" s="375"/>
      <c r="X253" s="375"/>
      <c r="Y253" s="375"/>
      <c r="Z253" s="371"/>
      <c r="AA253" s="371"/>
      <c r="AB253" s="673"/>
      <c r="AC253" s="371"/>
      <c r="AD253" s="372"/>
      <c r="AE253" s="371"/>
      <c r="AF253" s="371"/>
      <c r="AG253" s="270"/>
      <c r="AH253" s="350"/>
      <c r="AI253" s="365"/>
      <c r="AJ253" s="374"/>
      <c r="AK253" s="374"/>
      <c r="AL253" s="374"/>
      <c r="AM253" s="374"/>
    </row>
    <row r="254" spans="1:39" s="348" customFormat="1" x14ac:dyDescent="0.2">
      <c r="A254" s="423">
        <f t="shared" si="72"/>
        <v>249</v>
      </c>
      <c r="B254" s="683" t="s">
        <v>2925</v>
      </c>
      <c r="C254" s="684">
        <v>1520603</v>
      </c>
      <c r="D254" s="685" t="s">
        <v>721</v>
      </c>
      <c r="E254" s="688" t="s">
        <v>2953</v>
      </c>
      <c r="F254" s="546"/>
      <c r="G254" s="689">
        <v>42843</v>
      </c>
      <c r="H254" s="690" t="s">
        <v>1211</v>
      </c>
      <c r="I254" s="691" t="s">
        <v>3100</v>
      </c>
      <c r="J254" s="692" t="s">
        <v>724</v>
      </c>
      <c r="K254" s="693" t="s">
        <v>3206</v>
      </c>
      <c r="L254" s="694" t="s">
        <v>3365</v>
      </c>
      <c r="M254" s="695">
        <v>-215517.24</v>
      </c>
      <c r="N254" s="695">
        <v>0</v>
      </c>
      <c r="O254" s="696">
        <v>-34482.76</v>
      </c>
      <c r="P254" s="697">
        <v>-250000</v>
      </c>
      <c r="Q254" s="548"/>
      <c r="R254" s="698">
        <v>-190517.24</v>
      </c>
      <c r="S254" s="549">
        <f t="shared" si="71"/>
        <v>-59482.760000000009</v>
      </c>
      <c r="T254" s="267" t="s">
        <v>263</v>
      </c>
      <c r="U254" s="369"/>
      <c r="V254" s="370"/>
      <c r="W254" s="375"/>
      <c r="X254" s="375"/>
      <c r="Y254" s="375"/>
      <c r="Z254" s="371"/>
      <c r="AA254" s="371"/>
      <c r="AB254" s="673"/>
      <c r="AC254" s="371"/>
      <c r="AD254" s="372"/>
      <c r="AE254" s="371"/>
      <c r="AF254" s="371"/>
      <c r="AG254" s="270"/>
      <c r="AH254" s="350"/>
      <c r="AI254" s="365"/>
      <c r="AJ254" s="330"/>
      <c r="AK254" s="330"/>
      <c r="AL254" s="330"/>
      <c r="AM254" s="330"/>
    </row>
    <row r="255" spans="1:39" s="291" customFormat="1" x14ac:dyDescent="0.2">
      <c r="A255" s="423">
        <f t="shared" si="72"/>
        <v>250</v>
      </c>
      <c r="B255" s="683" t="s">
        <v>2926</v>
      </c>
      <c r="C255" s="684">
        <v>1520603</v>
      </c>
      <c r="D255" s="686" t="s">
        <v>721</v>
      </c>
      <c r="E255" s="688" t="s">
        <v>2953</v>
      </c>
      <c r="F255" s="546"/>
      <c r="G255" s="689">
        <v>42843</v>
      </c>
      <c r="H255" s="690" t="s">
        <v>1211</v>
      </c>
      <c r="I255" s="691" t="s">
        <v>3100</v>
      </c>
      <c r="J255" s="692" t="s">
        <v>724</v>
      </c>
      <c r="K255" s="693" t="s">
        <v>3206</v>
      </c>
      <c r="L255" s="694" t="s">
        <v>3365</v>
      </c>
      <c r="M255" s="695">
        <v>215517.24</v>
      </c>
      <c r="N255" s="695">
        <v>0</v>
      </c>
      <c r="O255" s="696">
        <v>34482.76</v>
      </c>
      <c r="P255" s="697">
        <v>250000</v>
      </c>
      <c r="Q255" s="548"/>
      <c r="R255" s="698">
        <v>190517.24</v>
      </c>
      <c r="S255" s="549">
        <f t="shared" si="71"/>
        <v>59482.760000000009</v>
      </c>
      <c r="T255" s="113" t="s">
        <v>263</v>
      </c>
      <c r="U255" s="369"/>
      <c r="V255" s="370"/>
      <c r="W255" s="375"/>
      <c r="X255" s="375"/>
      <c r="Y255" s="375"/>
      <c r="Z255" s="371"/>
      <c r="AA255" s="371"/>
      <c r="AB255" s="673"/>
      <c r="AC255" s="371"/>
      <c r="AD255" s="372"/>
      <c r="AE255" s="371"/>
      <c r="AF255" s="371"/>
      <c r="AG255" s="270"/>
      <c r="AH255" s="350"/>
      <c r="AI255" s="365"/>
      <c r="AJ255" s="374"/>
      <c r="AK255" s="374"/>
      <c r="AL255" s="374"/>
      <c r="AM255" s="374"/>
    </row>
    <row r="256" spans="1:39" s="291" customFormat="1" x14ac:dyDescent="0.2">
      <c r="A256" s="423">
        <f t="shared" si="72"/>
        <v>251</v>
      </c>
      <c r="B256" s="683" t="s">
        <v>2927</v>
      </c>
      <c r="C256" s="684">
        <v>1520603</v>
      </c>
      <c r="D256" s="686" t="s">
        <v>721</v>
      </c>
      <c r="E256" s="688" t="s">
        <v>2953</v>
      </c>
      <c r="F256" s="546"/>
      <c r="G256" s="689">
        <v>42843</v>
      </c>
      <c r="H256" s="690" t="s">
        <v>1211</v>
      </c>
      <c r="I256" s="691" t="s">
        <v>3100</v>
      </c>
      <c r="J256" s="692" t="s">
        <v>724</v>
      </c>
      <c r="K256" s="693" t="s">
        <v>3206</v>
      </c>
      <c r="L256" s="694" t="s">
        <v>3365</v>
      </c>
      <c r="M256" s="695">
        <v>215517.24</v>
      </c>
      <c r="N256" s="695">
        <v>0</v>
      </c>
      <c r="O256" s="696">
        <v>34482.76</v>
      </c>
      <c r="P256" s="697">
        <v>250000</v>
      </c>
      <c r="Q256" s="548"/>
      <c r="R256" s="698">
        <v>190517.24</v>
      </c>
      <c r="S256" s="549">
        <f t="shared" si="71"/>
        <v>59482.760000000009</v>
      </c>
      <c r="T256" s="267" t="s">
        <v>263</v>
      </c>
      <c r="U256" s="369"/>
      <c r="V256" s="370"/>
      <c r="W256" s="375"/>
      <c r="X256" s="375"/>
      <c r="Y256" s="375"/>
      <c r="Z256" s="371"/>
      <c r="AA256" s="371"/>
      <c r="AB256" s="673"/>
      <c r="AC256" s="371"/>
      <c r="AD256" s="372"/>
      <c r="AE256" s="371"/>
      <c r="AF256" s="371"/>
      <c r="AG256" s="270"/>
      <c r="AH256" s="350"/>
      <c r="AI256" s="365"/>
      <c r="AJ256" s="374"/>
      <c r="AK256" s="374"/>
      <c r="AL256" s="374"/>
      <c r="AM256" s="374"/>
    </row>
    <row r="257" spans="1:39" s="291" customFormat="1" x14ac:dyDescent="0.2">
      <c r="A257" s="423">
        <f t="shared" si="72"/>
        <v>252</v>
      </c>
      <c r="B257" s="683" t="s">
        <v>2928</v>
      </c>
      <c r="C257" s="684">
        <v>41160</v>
      </c>
      <c r="D257" s="685" t="s">
        <v>721</v>
      </c>
      <c r="E257" s="688" t="s">
        <v>2953</v>
      </c>
      <c r="F257" s="546"/>
      <c r="G257" s="689">
        <v>42845</v>
      </c>
      <c r="H257" s="690" t="s">
        <v>912</v>
      </c>
      <c r="I257" s="691" t="s">
        <v>3103</v>
      </c>
      <c r="J257" s="692" t="s">
        <v>724</v>
      </c>
      <c r="K257" s="693" t="s">
        <v>3209</v>
      </c>
      <c r="L257" s="694" t="s">
        <v>3368</v>
      </c>
      <c r="M257" s="695">
        <v>120689.66</v>
      </c>
      <c r="N257" s="695">
        <v>0</v>
      </c>
      <c r="O257" s="696">
        <v>19310.34</v>
      </c>
      <c r="P257" s="697">
        <v>140000</v>
      </c>
      <c r="Q257" s="548"/>
      <c r="R257" s="698">
        <v>99602.59</v>
      </c>
      <c r="S257" s="549">
        <f t="shared" si="71"/>
        <v>40397.410000000003</v>
      </c>
      <c r="T257" s="113" t="s">
        <v>263</v>
      </c>
      <c r="U257" s="369"/>
      <c r="V257" s="370"/>
      <c r="W257" s="375"/>
      <c r="X257" s="375"/>
      <c r="Y257" s="375"/>
      <c r="Z257" s="371"/>
      <c r="AA257" s="371"/>
      <c r="AB257" s="673"/>
      <c r="AC257" s="371"/>
      <c r="AD257" s="372"/>
      <c r="AE257" s="371"/>
      <c r="AF257" s="371"/>
      <c r="AG257" s="270"/>
      <c r="AH257" s="350"/>
      <c r="AI257" s="365"/>
      <c r="AJ257" s="330"/>
      <c r="AK257" s="374"/>
      <c r="AL257" s="374"/>
      <c r="AM257" s="374"/>
    </row>
    <row r="258" spans="1:39" s="348" customFormat="1" x14ac:dyDescent="0.2">
      <c r="A258" s="423">
        <f t="shared" si="72"/>
        <v>253</v>
      </c>
      <c r="B258" s="683" t="s">
        <v>2929</v>
      </c>
      <c r="C258" s="684">
        <v>43918</v>
      </c>
      <c r="D258" s="686" t="s">
        <v>721</v>
      </c>
      <c r="E258" s="688" t="s">
        <v>2953</v>
      </c>
      <c r="F258" s="546"/>
      <c r="G258" s="689">
        <v>42845</v>
      </c>
      <c r="H258" s="690" t="s">
        <v>2954</v>
      </c>
      <c r="I258" s="691" t="s">
        <v>3104</v>
      </c>
      <c r="J258" s="692" t="s">
        <v>724</v>
      </c>
      <c r="K258" s="693" t="s">
        <v>3210</v>
      </c>
      <c r="L258" s="694" t="s">
        <v>3369</v>
      </c>
      <c r="M258" s="695">
        <v>-125000</v>
      </c>
      <c r="N258" s="695">
        <v>0</v>
      </c>
      <c r="O258" s="696">
        <v>-20000</v>
      </c>
      <c r="P258" s="697">
        <v>-145000</v>
      </c>
      <c r="Q258" s="548"/>
      <c r="R258" s="698">
        <v>-105172.41</v>
      </c>
      <c r="S258" s="549">
        <f t="shared" si="71"/>
        <v>-39827.589999999997</v>
      </c>
      <c r="T258" s="113" t="s">
        <v>263</v>
      </c>
      <c r="U258" s="369"/>
      <c r="V258" s="370"/>
      <c r="W258" s="375"/>
      <c r="X258" s="375"/>
      <c r="Y258" s="375"/>
      <c r="Z258" s="371"/>
      <c r="AA258" s="371"/>
      <c r="AB258" s="673"/>
      <c r="AC258" s="371"/>
      <c r="AD258" s="372"/>
      <c r="AE258" s="371"/>
      <c r="AF258" s="371"/>
      <c r="AG258" s="270"/>
      <c r="AH258" s="350"/>
      <c r="AI258" s="365"/>
      <c r="AJ258" s="374"/>
      <c r="AK258" s="330"/>
      <c r="AL258" s="330"/>
      <c r="AM258" s="330"/>
    </row>
    <row r="259" spans="1:39" s="291" customFormat="1" x14ac:dyDescent="0.2">
      <c r="A259" s="423">
        <f t="shared" si="72"/>
        <v>254</v>
      </c>
      <c r="B259" s="683" t="s">
        <v>2930</v>
      </c>
      <c r="C259" s="684">
        <v>43918</v>
      </c>
      <c r="D259" s="686" t="s">
        <v>721</v>
      </c>
      <c r="E259" s="688" t="s">
        <v>2953</v>
      </c>
      <c r="F259" s="546"/>
      <c r="G259" s="689">
        <v>42845</v>
      </c>
      <c r="H259" s="690" t="s">
        <v>2954</v>
      </c>
      <c r="I259" s="691" t="s">
        <v>3104</v>
      </c>
      <c r="J259" s="692" t="s">
        <v>724</v>
      </c>
      <c r="K259" s="693" t="s">
        <v>3210</v>
      </c>
      <c r="L259" s="694" t="s">
        <v>3369</v>
      </c>
      <c r="M259" s="695">
        <v>125000</v>
      </c>
      <c r="N259" s="695">
        <v>0</v>
      </c>
      <c r="O259" s="696">
        <v>20000</v>
      </c>
      <c r="P259" s="697">
        <v>145000</v>
      </c>
      <c r="Q259" s="548"/>
      <c r="R259" s="698">
        <v>105172.41</v>
      </c>
      <c r="S259" s="549">
        <f t="shared" si="71"/>
        <v>39827.589999999997</v>
      </c>
      <c r="T259" s="267" t="s">
        <v>263</v>
      </c>
      <c r="U259" s="369"/>
      <c r="V259" s="370"/>
      <c r="W259" s="375"/>
      <c r="X259" s="375"/>
      <c r="Y259" s="375"/>
      <c r="Z259" s="371"/>
      <c r="AA259" s="371"/>
      <c r="AB259" s="673"/>
      <c r="AC259" s="371"/>
      <c r="AD259" s="372"/>
      <c r="AE259" s="371"/>
      <c r="AF259" s="371"/>
      <c r="AG259" s="270"/>
      <c r="AH259" s="350"/>
      <c r="AI259" s="365"/>
      <c r="AJ259" s="374"/>
      <c r="AK259" s="374"/>
      <c r="AL259" s="374"/>
      <c r="AM259" s="374"/>
    </row>
    <row r="260" spans="1:39" s="291" customFormat="1" x14ac:dyDescent="0.2">
      <c r="A260" s="423">
        <f t="shared" si="72"/>
        <v>255</v>
      </c>
      <c r="B260" s="683" t="s">
        <v>2931</v>
      </c>
      <c r="C260" s="684">
        <v>43918</v>
      </c>
      <c r="D260" s="686" t="s">
        <v>721</v>
      </c>
      <c r="E260" s="688" t="s">
        <v>2953</v>
      </c>
      <c r="F260" s="546"/>
      <c r="G260" s="689">
        <v>42845</v>
      </c>
      <c r="H260" s="690" t="s">
        <v>2954</v>
      </c>
      <c r="I260" s="691" t="s">
        <v>3104</v>
      </c>
      <c r="J260" s="692" t="s">
        <v>724</v>
      </c>
      <c r="K260" s="693" t="s">
        <v>3210</v>
      </c>
      <c r="L260" s="694" t="s">
        <v>3369</v>
      </c>
      <c r="M260" s="695">
        <v>125000</v>
      </c>
      <c r="N260" s="695">
        <v>0</v>
      </c>
      <c r="O260" s="696">
        <v>20000</v>
      </c>
      <c r="P260" s="697">
        <v>145000</v>
      </c>
      <c r="Q260" s="548"/>
      <c r="R260" s="698">
        <v>105172.41</v>
      </c>
      <c r="S260" s="549">
        <f t="shared" si="71"/>
        <v>39827.589999999997</v>
      </c>
      <c r="T260" s="267" t="s">
        <v>263</v>
      </c>
      <c r="U260" s="369"/>
      <c r="V260" s="370"/>
      <c r="W260" s="375"/>
      <c r="X260" s="375"/>
      <c r="Y260" s="375"/>
      <c r="Z260" s="371"/>
      <c r="AA260" s="371"/>
      <c r="AB260" s="673"/>
      <c r="AC260" s="371"/>
      <c r="AD260" s="372"/>
      <c r="AE260" s="371"/>
      <c r="AF260" s="371"/>
      <c r="AG260" s="270"/>
      <c r="AH260" s="350"/>
      <c r="AI260" s="365"/>
      <c r="AJ260" s="374"/>
      <c r="AK260" s="374"/>
      <c r="AL260" s="374"/>
      <c r="AM260" s="374"/>
    </row>
    <row r="261" spans="1:39" s="291" customFormat="1" x14ac:dyDescent="0.2">
      <c r="A261" s="423">
        <f t="shared" si="72"/>
        <v>256</v>
      </c>
      <c r="B261" s="683" t="s">
        <v>2932</v>
      </c>
      <c r="C261" s="684">
        <v>56514</v>
      </c>
      <c r="D261" s="685" t="s">
        <v>721</v>
      </c>
      <c r="E261" s="688" t="s">
        <v>2953</v>
      </c>
      <c r="F261" s="546"/>
      <c r="G261" s="689">
        <v>42845</v>
      </c>
      <c r="H261" s="690" t="s">
        <v>2954</v>
      </c>
      <c r="I261" s="691" t="s">
        <v>3105</v>
      </c>
      <c r="J261" s="692" t="s">
        <v>724</v>
      </c>
      <c r="K261" s="693" t="s">
        <v>3211</v>
      </c>
      <c r="L261" s="694" t="s">
        <v>3370</v>
      </c>
      <c r="M261" s="695">
        <v>201482.76</v>
      </c>
      <c r="N261" s="695">
        <v>0</v>
      </c>
      <c r="O261" s="696">
        <v>5517.24</v>
      </c>
      <c r="P261" s="697">
        <v>207000</v>
      </c>
      <c r="Q261" s="548"/>
      <c r="R261" s="698">
        <v>167000</v>
      </c>
      <c r="S261" s="549">
        <f t="shared" si="71"/>
        <v>40000</v>
      </c>
      <c r="T261" s="267" t="s">
        <v>263</v>
      </c>
      <c r="U261" s="369"/>
      <c r="V261" s="370"/>
      <c r="W261" s="375"/>
      <c r="X261" s="375"/>
      <c r="Y261" s="375"/>
      <c r="Z261" s="371"/>
      <c r="AA261" s="371"/>
      <c r="AB261" s="673"/>
      <c r="AC261" s="371"/>
      <c r="AD261" s="372"/>
      <c r="AE261" s="371"/>
      <c r="AF261" s="371"/>
      <c r="AG261" s="270"/>
      <c r="AH261" s="350"/>
      <c r="AI261" s="365"/>
      <c r="AJ261" s="374"/>
      <c r="AK261" s="374"/>
      <c r="AL261" s="374"/>
      <c r="AM261" s="374"/>
    </row>
    <row r="262" spans="1:39" s="291" customFormat="1" x14ac:dyDescent="0.2">
      <c r="A262" s="423">
        <f t="shared" si="72"/>
        <v>257</v>
      </c>
      <c r="B262" s="683" t="s">
        <v>2933</v>
      </c>
      <c r="C262" s="684">
        <v>491315</v>
      </c>
      <c r="D262" s="685" t="s">
        <v>721</v>
      </c>
      <c r="E262" s="688" t="s">
        <v>2953</v>
      </c>
      <c r="F262" s="546"/>
      <c r="G262" s="689">
        <v>42847</v>
      </c>
      <c r="H262" s="690" t="s">
        <v>1207</v>
      </c>
      <c r="I262" s="691" t="s">
        <v>3106</v>
      </c>
      <c r="J262" s="692" t="s">
        <v>724</v>
      </c>
      <c r="K262" s="693" t="s">
        <v>3212</v>
      </c>
      <c r="L262" s="694" t="s">
        <v>3371</v>
      </c>
      <c r="M262" s="695">
        <v>187931.03</v>
      </c>
      <c r="N262" s="695">
        <v>0</v>
      </c>
      <c r="O262" s="696">
        <v>30068.97</v>
      </c>
      <c r="P262" s="697">
        <v>218000</v>
      </c>
      <c r="Q262" s="548"/>
      <c r="R262" s="698">
        <v>155172.41</v>
      </c>
      <c r="S262" s="549">
        <f t="shared" ref="S262:S279" si="73">+P262-R262</f>
        <v>62827.59</v>
      </c>
      <c r="T262" s="267" t="s">
        <v>263</v>
      </c>
      <c r="U262" s="369"/>
      <c r="V262" s="370"/>
      <c r="W262" s="375"/>
      <c r="X262" s="375"/>
      <c r="Y262" s="375"/>
      <c r="Z262" s="371"/>
      <c r="AA262" s="371"/>
      <c r="AB262" s="673"/>
      <c r="AC262" s="371"/>
      <c r="AD262" s="372"/>
      <c r="AE262" s="371"/>
      <c r="AF262" s="371"/>
      <c r="AG262" s="270"/>
      <c r="AH262" s="350"/>
      <c r="AI262" s="365"/>
      <c r="AJ262" s="374"/>
      <c r="AK262" s="374"/>
      <c r="AL262" s="374"/>
      <c r="AM262" s="374"/>
    </row>
    <row r="263" spans="1:39" s="291" customFormat="1" x14ac:dyDescent="0.2">
      <c r="A263" s="423">
        <f t="shared" si="72"/>
        <v>258</v>
      </c>
      <c r="B263" s="683" t="s">
        <v>2934</v>
      </c>
      <c r="C263" s="684">
        <v>72402</v>
      </c>
      <c r="D263" s="685" t="s">
        <v>721</v>
      </c>
      <c r="E263" s="688" t="s">
        <v>2953</v>
      </c>
      <c r="F263" s="546"/>
      <c r="G263" s="689">
        <v>42849</v>
      </c>
      <c r="H263" s="690" t="s">
        <v>912</v>
      </c>
      <c r="I263" s="691" t="s">
        <v>2375</v>
      </c>
      <c r="J263" s="692" t="s">
        <v>724</v>
      </c>
      <c r="K263" s="693" t="s">
        <v>3213</v>
      </c>
      <c r="L263" s="694" t="s">
        <v>2673</v>
      </c>
      <c r="M263" s="695">
        <v>150862.07</v>
      </c>
      <c r="N263" s="695">
        <v>0</v>
      </c>
      <c r="O263" s="696">
        <v>24137.93</v>
      </c>
      <c r="P263" s="697">
        <v>175000</v>
      </c>
      <c r="Q263" s="548"/>
      <c r="R263" s="698">
        <v>125150</v>
      </c>
      <c r="S263" s="549">
        <f t="shared" si="73"/>
        <v>49850</v>
      </c>
      <c r="T263" s="267" t="s">
        <v>263</v>
      </c>
      <c r="U263" s="369"/>
      <c r="V263" s="370"/>
      <c r="W263" s="375"/>
      <c r="X263" s="375"/>
      <c r="Y263" s="375"/>
      <c r="Z263" s="371"/>
      <c r="AA263" s="371"/>
      <c r="AB263" s="673"/>
      <c r="AC263" s="371"/>
      <c r="AD263" s="372"/>
      <c r="AE263" s="371"/>
      <c r="AF263" s="371"/>
      <c r="AG263" s="270"/>
      <c r="AH263" s="350"/>
      <c r="AI263" s="365"/>
      <c r="AJ263" s="374"/>
      <c r="AK263" s="374"/>
      <c r="AL263" s="374"/>
      <c r="AM263" s="374"/>
    </row>
    <row r="264" spans="1:39" s="291" customFormat="1" x14ac:dyDescent="0.2">
      <c r="A264" s="423">
        <f t="shared" ref="A264:A279" si="74">+A263+1</f>
        <v>259</v>
      </c>
      <c r="B264" s="683" t="s">
        <v>2935</v>
      </c>
      <c r="C264" s="684">
        <v>39404</v>
      </c>
      <c r="D264" s="685" t="s">
        <v>721</v>
      </c>
      <c r="E264" s="688" t="s">
        <v>2953</v>
      </c>
      <c r="F264" s="546"/>
      <c r="G264" s="689">
        <v>42849</v>
      </c>
      <c r="H264" s="690" t="s">
        <v>1207</v>
      </c>
      <c r="I264" s="691" t="s">
        <v>3107</v>
      </c>
      <c r="J264" s="692" t="s">
        <v>724</v>
      </c>
      <c r="K264" s="693" t="s">
        <v>3214</v>
      </c>
      <c r="L264" s="694" t="s">
        <v>3372</v>
      </c>
      <c r="M264" s="695">
        <v>176275.86</v>
      </c>
      <c r="N264" s="695">
        <v>0</v>
      </c>
      <c r="O264" s="696">
        <v>3724.14</v>
      </c>
      <c r="P264" s="697">
        <v>180000</v>
      </c>
      <c r="Q264" s="548"/>
      <c r="R264" s="698">
        <v>153000</v>
      </c>
      <c r="S264" s="549">
        <f t="shared" si="73"/>
        <v>27000</v>
      </c>
      <c r="T264" s="267" t="s">
        <v>263</v>
      </c>
      <c r="U264" s="369"/>
      <c r="V264" s="370"/>
      <c r="W264" s="375"/>
      <c r="X264" s="375"/>
      <c r="Y264" s="375"/>
      <c r="Z264" s="371"/>
      <c r="AA264" s="371"/>
      <c r="AB264" s="673"/>
      <c r="AC264" s="371"/>
      <c r="AD264" s="372"/>
      <c r="AE264" s="371"/>
      <c r="AF264" s="371"/>
      <c r="AG264" s="270"/>
      <c r="AH264" s="350"/>
      <c r="AI264" s="365"/>
      <c r="AJ264" s="374"/>
      <c r="AK264" s="374"/>
      <c r="AL264" s="374"/>
      <c r="AM264" s="374"/>
    </row>
    <row r="265" spans="1:39" s="291" customFormat="1" x14ac:dyDescent="0.2">
      <c r="A265" s="423">
        <f t="shared" si="74"/>
        <v>260</v>
      </c>
      <c r="B265" s="683" t="s">
        <v>2936</v>
      </c>
      <c r="C265" s="684">
        <v>1520603</v>
      </c>
      <c r="D265" s="685" t="s">
        <v>721</v>
      </c>
      <c r="E265" s="688" t="s">
        <v>2953</v>
      </c>
      <c r="F265" s="546"/>
      <c r="G265" s="689">
        <v>42850</v>
      </c>
      <c r="H265" s="690" t="s">
        <v>735</v>
      </c>
      <c r="I265" s="691" t="s">
        <v>3108</v>
      </c>
      <c r="J265" s="692" t="s">
        <v>724</v>
      </c>
      <c r="K265" s="693" t="s">
        <v>3215</v>
      </c>
      <c r="L265" s="694" t="s">
        <v>3373</v>
      </c>
      <c r="M265" s="695">
        <v>-193965.52</v>
      </c>
      <c r="N265" s="695">
        <v>0</v>
      </c>
      <c r="O265" s="696">
        <v>-31034.48</v>
      </c>
      <c r="P265" s="697">
        <v>-225000</v>
      </c>
      <c r="Q265" s="548"/>
      <c r="R265" s="698">
        <v>-127931.03</v>
      </c>
      <c r="S265" s="549">
        <f t="shared" si="73"/>
        <v>-97068.97</v>
      </c>
      <c r="T265" s="267" t="s">
        <v>263</v>
      </c>
      <c r="U265" s="369"/>
      <c r="V265" s="370"/>
      <c r="W265" s="375"/>
      <c r="X265" s="375"/>
      <c r="Y265" s="375"/>
      <c r="Z265" s="371"/>
      <c r="AA265" s="371"/>
      <c r="AB265" s="673"/>
      <c r="AC265" s="371"/>
      <c r="AD265" s="372"/>
      <c r="AE265" s="371"/>
      <c r="AF265" s="371"/>
      <c r="AG265" s="270"/>
      <c r="AH265" s="350"/>
      <c r="AI265" s="365"/>
      <c r="AJ265" s="374"/>
      <c r="AK265" s="374"/>
      <c r="AL265" s="374"/>
      <c r="AM265" s="374"/>
    </row>
    <row r="266" spans="1:39" s="291" customFormat="1" x14ac:dyDescent="0.2">
      <c r="A266" s="423">
        <f t="shared" si="74"/>
        <v>261</v>
      </c>
      <c r="B266" s="683" t="s">
        <v>2937</v>
      </c>
      <c r="C266" s="684">
        <v>1520603</v>
      </c>
      <c r="D266" s="685" t="s">
        <v>721</v>
      </c>
      <c r="E266" s="688" t="s">
        <v>2953</v>
      </c>
      <c r="F266" s="546"/>
      <c r="G266" s="689">
        <v>42850</v>
      </c>
      <c r="H266" s="690" t="s">
        <v>735</v>
      </c>
      <c r="I266" s="691" t="s">
        <v>3108</v>
      </c>
      <c r="J266" s="692" t="s">
        <v>724</v>
      </c>
      <c r="K266" s="693" t="s">
        <v>3215</v>
      </c>
      <c r="L266" s="694" t="s">
        <v>3373</v>
      </c>
      <c r="M266" s="695">
        <v>193965.52</v>
      </c>
      <c r="N266" s="695">
        <v>0</v>
      </c>
      <c r="O266" s="696">
        <v>31034.48</v>
      </c>
      <c r="P266" s="697">
        <v>225000</v>
      </c>
      <c r="Q266" s="548"/>
      <c r="R266" s="698">
        <v>127931.03</v>
      </c>
      <c r="S266" s="549">
        <f t="shared" si="73"/>
        <v>97068.97</v>
      </c>
      <c r="T266" s="267" t="s">
        <v>263</v>
      </c>
      <c r="U266" s="369"/>
      <c r="V266" s="370"/>
      <c r="W266" s="375"/>
      <c r="X266" s="375"/>
      <c r="Y266" s="375"/>
      <c r="Z266" s="371"/>
      <c r="AA266" s="371"/>
      <c r="AB266" s="673"/>
      <c r="AC266" s="371"/>
      <c r="AD266" s="372"/>
      <c r="AE266" s="371"/>
      <c r="AF266" s="371"/>
      <c r="AG266" s="270"/>
      <c r="AH266" s="350"/>
      <c r="AI266" s="365"/>
      <c r="AJ266" s="374"/>
      <c r="AK266" s="374"/>
      <c r="AL266" s="374"/>
      <c r="AM266" s="374"/>
    </row>
    <row r="267" spans="1:39" s="291" customFormat="1" x14ac:dyDescent="0.2">
      <c r="A267" s="423">
        <f t="shared" si="74"/>
        <v>262</v>
      </c>
      <c r="B267" s="683" t="s">
        <v>2938</v>
      </c>
      <c r="C267" s="684">
        <v>1520603</v>
      </c>
      <c r="D267" s="685" t="s">
        <v>721</v>
      </c>
      <c r="E267" s="688" t="s">
        <v>2953</v>
      </c>
      <c r="F267" s="546"/>
      <c r="G267" s="689">
        <v>42850</v>
      </c>
      <c r="H267" s="690" t="s">
        <v>735</v>
      </c>
      <c r="I267" s="691" t="s">
        <v>3108</v>
      </c>
      <c r="J267" s="692" t="s">
        <v>724</v>
      </c>
      <c r="K267" s="693" t="s">
        <v>3215</v>
      </c>
      <c r="L267" s="694" t="s">
        <v>3373</v>
      </c>
      <c r="M267" s="695">
        <v>193965.52</v>
      </c>
      <c r="N267" s="695">
        <v>0</v>
      </c>
      <c r="O267" s="696">
        <v>31034.48</v>
      </c>
      <c r="P267" s="697">
        <v>225000</v>
      </c>
      <c r="Q267" s="548"/>
      <c r="R267" s="698">
        <v>127931.03</v>
      </c>
      <c r="S267" s="549">
        <f t="shared" si="73"/>
        <v>97068.97</v>
      </c>
      <c r="T267" s="267" t="s">
        <v>263</v>
      </c>
      <c r="U267" s="369"/>
      <c r="V267" s="370"/>
      <c r="W267" s="375"/>
      <c r="X267" s="375"/>
      <c r="Y267" s="375"/>
      <c r="Z267" s="371"/>
      <c r="AA267" s="371"/>
      <c r="AB267" s="673"/>
      <c r="AC267" s="371"/>
      <c r="AD267" s="372"/>
      <c r="AE267" s="371"/>
      <c r="AF267" s="371"/>
      <c r="AG267" s="270"/>
      <c r="AH267" s="350"/>
      <c r="AI267" s="365"/>
      <c r="AJ267" s="374"/>
      <c r="AK267" s="374"/>
      <c r="AL267" s="374"/>
      <c r="AM267" s="374"/>
    </row>
    <row r="268" spans="1:39" s="291" customFormat="1" x14ac:dyDescent="0.2">
      <c r="A268" s="423">
        <f t="shared" si="74"/>
        <v>263</v>
      </c>
      <c r="B268" s="683" t="s">
        <v>2939</v>
      </c>
      <c r="C268" s="684">
        <v>31918</v>
      </c>
      <c r="D268" s="686" t="s">
        <v>721</v>
      </c>
      <c r="E268" s="688" t="s">
        <v>2953</v>
      </c>
      <c r="F268" s="546"/>
      <c r="G268" s="689">
        <v>42850</v>
      </c>
      <c r="H268" s="690" t="s">
        <v>2218</v>
      </c>
      <c r="I268" s="691" t="s">
        <v>3109</v>
      </c>
      <c r="J268" s="692" t="s">
        <v>724</v>
      </c>
      <c r="K268" s="693" t="s">
        <v>3216</v>
      </c>
      <c r="L268" s="694" t="s">
        <v>3374</v>
      </c>
      <c r="M268" s="695">
        <v>252931.03</v>
      </c>
      <c r="N268" s="695">
        <v>0</v>
      </c>
      <c r="O268" s="696">
        <v>2068.9699999999998</v>
      </c>
      <c r="P268" s="697">
        <v>255000</v>
      </c>
      <c r="Q268" s="548"/>
      <c r="R268" s="698">
        <v>240000</v>
      </c>
      <c r="S268" s="549">
        <f t="shared" si="73"/>
        <v>15000</v>
      </c>
      <c r="T268" s="267" t="s">
        <v>263</v>
      </c>
      <c r="U268" s="369"/>
      <c r="V268" s="370"/>
      <c r="W268" s="375"/>
      <c r="X268" s="375"/>
      <c r="Y268" s="375"/>
      <c r="Z268" s="371"/>
      <c r="AA268" s="371"/>
      <c r="AB268" s="673"/>
      <c r="AC268" s="371"/>
      <c r="AD268" s="372"/>
      <c r="AE268" s="371"/>
      <c r="AF268" s="371"/>
      <c r="AG268" s="270"/>
      <c r="AH268" s="350"/>
      <c r="AI268" s="365"/>
      <c r="AJ268" s="374"/>
      <c r="AK268" s="374"/>
      <c r="AL268" s="374"/>
      <c r="AM268" s="374"/>
    </row>
    <row r="269" spans="1:39" s="291" customFormat="1" x14ac:dyDescent="0.2">
      <c r="A269" s="423">
        <f t="shared" si="74"/>
        <v>264</v>
      </c>
      <c r="B269" s="683" t="s">
        <v>2940</v>
      </c>
      <c r="C269" s="684">
        <v>520515</v>
      </c>
      <c r="D269" s="686" t="s">
        <v>721</v>
      </c>
      <c r="E269" s="688" t="s">
        <v>2953</v>
      </c>
      <c r="F269" s="546"/>
      <c r="G269" s="689">
        <v>42851</v>
      </c>
      <c r="H269" s="690" t="s">
        <v>751</v>
      </c>
      <c r="I269" s="691" t="s">
        <v>3110</v>
      </c>
      <c r="J269" s="692" t="s">
        <v>724</v>
      </c>
      <c r="K269" s="693" t="s">
        <v>3217</v>
      </c>
      <c r="L269" s="694" t="s">
        <v>3375</v>
      </c>
      <c r="M269" s="695">
        <v>273620.69</v>
      </c>
      <c r="N269" s="695">
        <v>0</v>
      </c>
      <c r="O269" s="696">
        <v>1379.31</v>
      </c>
      <c r="P269" s="697">
        <v>275000</v>
      </c>
      <c r="Q269" s="548"/>
      <c r="R269" s="698">
        <v>265000</v>
      </c>
      <c r="S269" s="549">
        <f t="shared" si="73"/>
        <v>10000</v>
      </c>
      <c r="T269" s="267" t="s">
        <v>263</v>
      </c>
      <c r="U269" s="369"/>
      <c r="V269" s="370"/>
      <c r="W269" s="375"/>
      <c r="X269" s="375"/>
      <c r="Y269" s="375"/>
      <c r="Z269" s="371"/>
      <c r="AA269" s="371"/>
      <c r="AB269" s="673"/>
      <c r="AC269" s="371"/>
      <c r="AD269" s="372"/>
      <c r="AE269" s="371"/>
      <c r="AF269" s="371"/>
      <c r="AG269" s="270"/>
      <c r="AH269" s="350"/>
      <c r="AI269" s="365"/>
      <c r="AJ269" s="374"/>
      <c r="AK269" s="374"/>
      <c r="AL269" s="374"/>
      <c r="AM269" s="374"/>
    </row>
    <row r="270" spans="1:39" s="291" customFormat="1" x14ac:dyDescent="0.2">
      <c r="A270" s="423">
        <f t="shared" si="74"/>
        <v>265</v>
      </c>
      <c r="B270" s="683" t="s">
        <v>2941</v>
      </c>
      <c r="C270" s="684">
        <v>41160</v>
      </c>
      <c r="D270" s="686" t="s">
        <v>721</v>
      </c>
      <c r="E270" s="688" t="s">
        <v>2953</v>
      </c>
      <c r="F270" s="546"/>
      <c r="G270" s="689">
        <v>42851</v>
      </c>
      <c r="H270" s="690" t="s">
        <v>912</v>
      </c>
      <c r="I270" s="691" t="s">
        <v>3103</v>
      </c>
      <c r="J270" s="692" t="s">
        <v>724</v>
      </c>
      <c r="K270" s="693" t="s">
        <v>3209</v>
      </c>
      <c r="L270" s="694" t="s">
        <v>3368</v>
      </c>
      <c r="M270" s="695">
        <v>-120689.66</v>
      </c>
      <c r="N270" s="695">
        <v>0</v>
      </c>
      <c r="O270" s="696">
        <v>-19310.34</v>
      </c>
      <c r="P270" s="697">
        <v>-140000</v>
      </c>
      <c r="Q270" s="548"/>
      <c r="R270" s="698">
        <v>-99602.59</v>
      </c>
      <c r="S270" s="549">
        <f t="shared" si="73"/>
        <v>-40397.410000000003</v>
      </c>
      <c r="T270" s="267" t="s">
        <v>263</v>
      </c>
      <c r="U270" s="369"/>
      <c r="V270" s="370"/>
      <c r="W270" s="375"/>
      <c r="X270" s="375"/>
      <c r="Y270" s="375"/>
      <c r="Z270" s="371"/>
      <c r="AA270" s="371"/>
      <c r="AB270" s="673"/>
      <c r="AC270" s="371"/>
      <c r="AD270" s="372"/>
      <c r="AE270" s="371"/>
      <c r="AF270" s="371"/>
      <c r="AG270" s="270"/>
      <c r="AH270" s="350"/>
      <c r="AI270" s="365"/>
      <c r="AJ270" s="374"/>
      <c r="AK270" s="374"/>
      <c r="AL270" s="374"/>
      <c r="AM270" s="374"/>
    </row>
    <row r="271" spans="1:39" s="291" customFormat="1" x14ac:dyDescent="0.2">
      <c r="A271" s="423">
        <f t="shared" si="74"/>
        <v>266</v>
      </c>
      <c r="B271" s="683" t="s">
        <v>2942</v>
      </c>
      <c r="C271" s="684">
        <v>41160</v>
      </c>
      <c r="D271" s="685" t="s">
        <v>721</v>
      </c>
      <c r="E271" s="688" t="s">
        <v>2953</v>
      </c>
      <c r="F271" s="546"/>
      <c r="G271" s="689">
        <v>42851</v>
      </c>
      <c r="H271" s="690" t="s">
        <v>912</v>
      </c>
      <c r="I271" s="691" t="s">
        <v>3103</v>
      </c>
      <c r="J271" s="692" t="s">
        <v>724</v>
      </c>
      <c r="K271" s="693" t="s">
        <v>3209</v>
      </c>
      <c r="L271" s="694" t="s">
        <v>3368</v>
      </c>
      <c r="M271" s="695">
        <v>120689.66</v>
      </c>
      <c r="N271" s="695">
        <v>0</v>
      </c>
      <c r="O271" s="696">
        <v>19310.34</v>
      </c>
      <c r="P271" s="697">
        <v>140000</v>
      </c>
      <c r="Q271" s="548"/>
      <c r="R271" s="698">
        <v>99602.59</v>
      </c>
      <c r="S271" s="549">
        <f t="shared" si="73"/>
        <v>40397.410000000003</v>
      </c>
      <c r="T271" s="267" t="s">
        <v>263</v>
      </c>
      <c r="U271" s="369"/>
      <c r="V271" s="370"/>
      <c r="W271" s="375"/>
      <c r="X271" s="375"/>
      <c r="Y271" s="375"/>
      <c r="Z271" s="371"/>
      <c r="AA271" s="371"/>
      <c r="AB271" s="673"/>
      <c r="AC271" s="371"/>
      <c r="AD271" s="372"/>
      <c r="AE271" s="371"/>
      <c r="AF271" s="371"/>
      <c r="AG271" s="270"/>
      <c r="AH271" s="350"/>
      <c r="AI271" s="365"/>
      <c r="AJ271" s="374"/>
      <c r="AK271" s="374"/>
      <c r="AL271" s="374"/>
      <c r="AM271" s="374"/>
    </row>
    <row r="272" spans="1:39" s="291" customFormat="1" x14ac:dyDescent="0.2">
      <c r="A272" s="423">
        <f t="shared" si="74"/>
        <v>267</v>
      </c>
      <c r="B272" s="683" t="s">
        <v>2943</v>
      </c>
      <c r="C272" s="684">
        <v>520515</v>
      </c>
      <c r="D272" s="685" t="s">
        <v>721</v>
      </c>
      <c r="E272" s="688" t="s">
        <v>2953</v>
      </c>
      <c r="F272" s="546"/>
      <c r="G272" s="689">
        <v>42854</v>
      </c>
      <c r="H272" s="690" t="s">
        <v>751</v>
      </c>
      <c r="I272" s="691" t="s">
        <v>3110</v>
      </c>
      <c r="J272" s="692" t="s">
        <v>724</v>
      </c>
      <c r="K272" s="693" t="s">
        <v>3217</v>
      </c>
      <c r="L272" s="694" t="s">
        <v>3375</v>
      </c>
      <c r="M272" s="695">
        <v>-273620.69</v>
      </c>
      <c r="N272" s="695">
        <v>0</v>
      </c>
      <c r="O272" s="696">
        <v>-1379.31</v>
      </c>
      <c r="P272" s="697">
        <v>-275000</v>
      </c>
      <c r="Q272" s="548"/>
      <c r="R272" s="698">
        <v>-265000</v>
      </c>
      <c r="S272" s="549">
        <f t="shared" si="73"/>
        <v>-10000</v>
      </c>
      <c r="T272" s="267" t="s">
        <v>263</v>
      </c>
      <c r="U272" s="369"/>
      <c r="V272" s="370"/>
      <c r="W272" s="375"/>
      <c r="X272" s="375"/>
      <c r="Y272" s="375"/>
      <c r="Z272" s="371"/>
      <c r="AA272" s="371"/>
      <c r="AB272" s="673"/>
      <c r="AC272" s="371"/>
      <c r="AD272" s="372"/>
      <c r="AE272" s="371"/>
      <c r="AF272" s="371"/>
      <c r="AG272" s="270"/>
      <c r="AH272" s="350"/>
      <c r="AI272" s="365"/>
      <c r="AJ272" s="374"/>
      <c r="AK272" s="374"/>
      <c r="AL272" s="374"/>
      <c r="AM272" s="374"/>
    </row>
    <row r="273" spans="1:41" s="291" customFormat="1" x14ac:dyDescent="0.2">
      <c r="A273" s="423">
        <f t="shared" si="74"/>
        <v>268</v>
      </c>
      <c r="B273" s="683" t="s">
        <v>2944</v>
      </c>
      <c r="C273" s="684">
        <v>520515</v>
      </c>
      <c r="D273" s="685" t="s">
        <v>721</v>
      </c>
      <c r="E273" s="688" t="s">
        <v>2953</v>
      </c>
      <c r="F273" s="546"/>
      <c r="G273" s="689">
        <v>42854</v>
      </c>
      <c r="H273" s="690" t="s">
        <v>751</v>
      </c>
      <c r="I273" s="691" t="s">
        <v>3110</v>
      </c>
      <c r="J273" s="692" t="s">
        <v>724</v>
      </c>
      <c r="K273" s="693" t="s">
        <v>3217</v>
      </c>
      <c r="L273" s="694" t="s">
        <v>3375</v>
      </c>
      <c r="M273" s="695">
        <v>273620.69</v>
      </c>
      <c r="N273" s="695">
        <v>0</v>
      </c>
      <c r="O273" s="696">
        <v>1379.31</v>
      </c>
      <c r="P273" s="697">
        <v>275000</v>
      </c>
      <c r="Q273" s="548"/>
      <c r="R273" s="698">
        <v>265000</v>
      </c>
      <c r="S273" s="549">
        <f t="shared" si="73"/>
        <v>10000</v>
      </c>
      <c r="T273" s="267" t="s">
        <v>263</v>
      </c>
      <c r="U273" s="369"/>
      <c r="V273" s="370"/>
      <c r="W273" s="375"/>
      <c r="X273" s="375"/>
      <c r="Y273" s="375"/>
      <c r="Z273" s="371"/>
      <c r="AA273" s="371"/>
      <c r="AB273" s="673"/>
      <c r="AC273" s="371"/>
      <c r="AD273" s="372"/>
      <c r="AE273" s="371"/>
      <c r="AF273" s="371"/>
      <c r="AG273" s="270"/>
      <c r="AH273" s="350"/>
      <c r="AI273" s="365"/>
      <c r="AJ273" s="374"/>
      <c r="AK273" s="374"/>
      <c r="AL273" s="374"/>
      <c r="AM273" s="374"/>
    </row>
    <row r="274" spans="1:41" s="291" customFormat="1" x14ac:dyDescent="0.2">
      <c r="A274" s="423">
        <f t="shared" si="74"/>
        <v>269</v>
      </c>
      <c r="B274" s="683" t="s">
        <v>2945</v>
      </c>
      <c r="C274" s="684">
        <v>521101</v>
      </c>
      <c r="D274" s="685" t="s">
        <v>686</v>
      </c>
      <c r="E274" s="688" t="s">
        <v>689</v>
      </c>
      <c r="F274" s="546"/>
      <c r="G274" s="689">
        <v>42829</v>
      </c>
      <c r="H274" s="690" t="s">
        <v>1211</v>
      </c>
      <c r="I274" s="691" t="s">
        <v>3111</v>
      </c>
      <c r="J274" s="692" t="s">
        <v>724</v>
      </c>
      <c r="K274" s="693" t="s">
        <v>3218</v>
      </c>
      <c r="L274" s="694" t="s">
        <v>3376</v>
      </c>
      <c r="M274" s="695">
        <v>253793.1</v>
      </c>
      <c r="N274" s="695">
        <v>0</v>
      </c>
      <c r="O274" s="696">
        <v>6206.9</v>
      </c>
      <c r="P274" s="697">
        <v>260000</v>
      </c>
      <c r="Q274" s="548"/>
      <c r="R274" s="698">
        <v>215000</v>
      </c>
      <c r="S274" s="549">
        <f t="shared" si="73"/>
        <v>45000</v>
      </c>
      <c r="T274" s="267" t="s">
        <v>263</v>
      </c>
      <c r="U274" s="369"/>
      <c r="V274" s="370"/>
      <c r="W274" s="375"/>
      <c r="X274" s="375"/>
      <c r="Y274" s="375"/>
      <c r="Z274" s="371"/>
      <c r="AA274" s="371"/>
      <c r="AB274" s="673"/>
      <c r="AC274" s="371"/>
      <c r="AD274" s="372"/>
      <c r="AE274" s="371"/>
      <c r="AF274" s="371"/>
      <c r="AG274" s="270"/>
      <c r="AH274" s="350"/>
      <c r="AI274" s="365"/>
      <c r="AJ274" s="374"/>
      <c r="AK274" s="374"/>
      <c r="AL274" s="374"/>
      <c r="AM274" s="374"/>
    </row>
    <row r="275" spans="1:41" s="291" customFormat="1" x14ac:dyDescent="0.2">
      <c r="A275" s="423">
        <f t="shared" si="74"/>
        <v>270</v>
      </c>
      <c r="B275" s="683" t="s">
        <v>2946</v>
      </c>
      <c r="C275" s="684">
        <v>520513</v>
      </c>
      <c r="D275" s="685" t="s">
        <v>686</v>
      </c>
      <c r="E275" s="688" t="s">
        <v>689</v>
      </c>
      <c r="F275" s="546"/>
      <c r="G275" s="689">
        <v>42832</v>
      </c>
      <c r="H275" s="690" t="s">
        <v>1211</v>
      </c>
      <c r="I275" s="691" t="s">
        <v>3112</v>
      </c>
      <c r="J275" s="692" t="s">
        <v>724</v>
      </c>
      <c r="K275" s="693" t="s">
        <v>3206</v>
      </c>
      <c r="L275" s="694" t="s">
        <v>3377</v>
      </c>
      <c r="M275" s="695">
        <v>364655.17</v>
      </c>
      <c r="N275" s="695">
        <v>0</v>
      </c>
      <c r="O275" s="696">
        <v>10344.83</v>
      </c>
      <c r="P275" s="697">
        <v>375000</v>
      </c>
      <c r="Q275" s="548"/>
      <c r="R275" s="698">
        <v>300000</v>
      </c>
      <c r="S275" s="549">
        <f t="shared" si="73"/>
        <v>75000</v>
      </c>
      <c r="T275" s="267" t="s">
        <v>263</v>
      </c>
      <c r="U275" s="369"/>
      <c r="V275" s="370"/>
      <c r="W275" s="375"/>
      <c r="X275" s="375"/>
      <c r="Y275" s="375"/>
      <c r="Z275" s="371"/>
      <c r="AA275" s="371"/>
      <c r="AB275" s="673"/>
      <c r="AC275" s="371"/>
      <c r="AD275" s="372"/>
      <c r="AE275" s="371"/>
      <c r="AF275" s="371"/>
      <c r="AG275" s="270"/>
      <c r="AH275" s="350"/>
      <c r="AI275" s="365"/>
      <c r="AJ275" s="374"/>
      <c r="AK275" s="374"/>
      <c r="AL275" s="374"/>
      <c r="AM275" s="374"/>
    </row>
    <row r="276" spans="1:41" s="291" customFormat="1" x14ac:dyDescent="0.2">
      <c r="A276" s="423">
        <f t="shared" si="74"/>
        <v>271</v>
      </c>
      <c r="B276" s="683" t="s">
        <v>2947</v>
      </c>
      <c r="C276" s="684">
        <v>520214</v>
      </c>
      <c r="D276" s="685" t="s">
        <v>686</v>
      </c>
      <c r="E276" s="688" t="s">
        <v>689</v>
      </c>
      <c r="F276" s="546"/>
      <c r="G276" s="689">
        <v>42836</v>
      </c>
      <c r="H276" s="690" t="s">
        <v>1191</v>
      </c>
      <c r="I276" s="691" t="s">
        <v>3113</v>
      </c>
      <c r="J276" s="692" t="s">
        <v>724</v>
      </c>
      <c r="K276" s="693" t="s">
        <v>3219</v>
      </c>
      <c r="L276" s="694" t="s">
        <v>3378</v>
      </c>
      <c r="M276" s="695">
        <v>218275.86</v>
      </c>
      <c r="N276" s="695">
        <v>0</v>
      </c>
      <c r="O276" s="696">
        <v>3724.14</v>
      </c>
      <c r="P276" s="697">
        <v>222000</v>
      </c>
      <c r="Q276" s="548"/>
      <c r="R276" s="698">
        <v>195000</v>
      </c>
      <c r="S276" s="549">
        <f t="shared" si="73"/>
        <v>27000</v>
      </c>
      <c r="T276" s="267" t="s">
        <v>263</v>
      </c>
      <c r="U276" s="369"/>
      <c r="V276" s="370"/>
      <c r="W276" s="375"/>
      <c r="X276" s="375"/>
      <c r="Y276" s="375"/>
      <c r="Z276" s="371"/>
      <c r="AA276" s="371"/>
      <c r="AB276" s="673"/>
      <c r="AC276" s="371"/>
      <c r="AD276" s="372"/>
      <c r="AE276" s="371"/>
      <c r="AF276" s="371"/>
      <c r="AG276" s="270"/>
      <c r="AH276" s="350"/>
      <c r="AI276" s="365"/>
      <c r="AJ276" s="374"/>
      <c r="AK276" s="374"/>
      <c r="AL276" s="374"/>
      <c r="AM276" s="374"/>
    </row>
    <row r="277" spans="1:41" s="291" customFormat="1" x14ac:dyDescent="0.2">
      <c r="A277" s="423">
        <f t="shared" si="74"/>
        <v>272</v>
      </c>
      <c r="B277" s="683" t="s">
        <v>2948</v>
      </c>
      <c r="C277" s="684">
        <v>520214</v>
      </c>
      <c r="D277" s="685" t="s">
        <v>686</v>
      </c>
      <c r="E277" s="688" t="s">
        <v>689</v>
      </c>
      <c r="F277" s="546"/>
      <c r="G277" s="689">
        <v>42837</v>
      </c>
      <c r="H277" s="690" t="s">
        <v>1191</v>
      </c>
      <c r="I277" s="691" t="s">
        <v>3113</v>
      </c>
      <c r="J277" s="692" t="s">
        <v>724</v>
      </c>
      <c r="K277" s="693" t="s">
        <v>3219</v>
      </c>
      <c r="L277" s="694" t="s">
        <v>3378</v>
      </c>
      <c r="M277" s="695">
        <v>-218275.86</v>
      </c>
      <c r="N277" s="695">
        <v>0</v>
      </c>
      <c r="O277" s="696">
        <v>-3724.14</v>
      </c>
      <c r="P277" s="697">
        <v>-222000</v>
      </c>
      <c r="Q277" s="548"/>
      <c r="R277" s="698">
        <v>-195000</v>
      </c>
      <c r="S277" s="549">
        <f t="shared" si="73"/>
        <v>-27000</v>
      </c>
      <c r="T277" s="267" t="s">
        <v>263</v>
      </c>
      <c r="U277" s="369"/>
      <c r="V277" s="370"/>
      <c r="W277" s="375"/>
      <c r="X277" s="375"/>
      <c r="Y277" s="375"/>
      <c r="Z277" s="371"/>
      <c r="AA277" s="371"/>
      <c r="AB277" s="673"/>
      <c r="AC277" s="371"/>
      <c r="AD277" s="372"/>
      <c r="AE277" s="371"/>
      <c r="AF277" s="371"/>
      <c r="AG277" s="270"/>
      <c r="AH277" s="350"/>
      <c r="AI277" s="365"/>
      <c r="AJ277" s="374"/>
      <c r="AK277" s="374"/>
      <c r="AL277" s="374"/>
      <c r="AM277" s="374"/>
    </row>
    <row r="278" spans="1:41" s="291" customFormat="1" x14ac:dyDescent="0.2">
      <c r="A278" s="423">
        <f t="shared" si="74"/>
        <v>273</v>
      </c>
      <c r="B278" s="683" t="s">
        <v>2949</v>
      </c>
      <c r="C278" s="684">
        <v>520214</v>
      </c>
      <c r="D278" s="685" t="s">
        <v>686</v>
      </c>
      <c r="E278" s="688" t="s">
        <v>689</v>
      </c>
      <c r="F278" s="546"/>
      <c r="G278" s="689">
        <v>42837</v>
      </c>
      <c r="H278" s="690" t="s">
        <v>735</v>
      </c>
      <c r="I278" s="691" t="s">
        <v>3113</v>
      </c>
      <c r="J278" s="692" t="s">
        <v>724</v>
      </c>
      <c r="K278" s="693" t="s">
        <v>3219</v>
      </c>
      <c r="L278" s="694" t="s">
        <v>3378</v>
      </c>
      <c r="M278" s="695">
        <v>218275.86</v>
      </c>
      <c r="N278" s="695">
        <v>0</v>
      </c>
      <c r="O278" s="696">
        <v>3724.14</v>
      </c>
      <c r="P278" s="697">
        <v>222000</v>
      </c>
      <c r="Q278" s="548"/>
      <c r="R278" s="698">
        <v>195000</v>
      </c>
      <c r="S278" s="549">
        <f t="shared" si="73"/>
        <v>27000</v>
      </c>
      <c r="T278" s="267" t="s">
        <v>263</v>
      </c>
      <c r="U278" s="369"/>
      <c r="V278" s="370"/>
      <c r="W278" s="375"/>
      <c r="X278" s="375"/>
      <c r="Y278" s="375"/>
      <c r="Z278" s="371"/>
      <c r="AA278" s="371"/>
      <c r="AB278" s="673"/>
      <c r="AC278" s="371"/>
      <c r="AD278" s="372"/>
      <c r="AE278" s="371"/>
      <c r="AF278" s="371"/>
      <c r="AG278" s="270"/>
      <c r="AH278" s="350"/>
      <c r="AI278" s="365"/>
      <c r="AJ278" s="374"/>
      <c r="AK278" s="374"/>
      <c r="AL278" s="374"/>
      <c r="AM278" s="374"/>
    </row>
    <row r="279" spans="1:41" s="291" customFormat="1" x14ac:dyDescent="0.2">
      <c r="A279" s="423">
        <f t="shared" si="74"/>
        <v>274</v>
      </c>
      <c r="B279" s="683" t="s">
        <v>2950</v>
      </c>
      <c r="C279" s="684">
        <v>1520604</v>
      </c>
      <c r="D279" s="685" t="s">
        <v>686</v>
      </c>
      <c r="E279" s="688" t="s">
        <v>689</v>
      </c>
      <c r="F279" s="546"/>
      <c r="G279" s="689">
        <v>42844</v>
      </c>
      <c r="H279" s="690" t="s">
        <v>2218</v>
      </c>
      <c r="I279" s="691" t="s">
        <v>3114</v>
      </c>
      <c r="J279" s="692" t="s">
        <v>724</v>
      </c>
      <c r="K279" s="693" t="s">
        <v>3220</v>
      </c>
      <c r="L279" s="694" t="s">
        <v>3379</v>
      </c>
      <c r="M279" s="695">
        <v>231896.55</v>
      </c>
      <c r="N279" s="695">
        <v>0</v>
      </c>
      <c r="O279" s="696">
        <v>37103.449999999997</v>
      </c>
      <c r="P279" s="697">
        <v>269000</v>
      </c>
      <c r="Q279" s="548"/>
      <c r="R279" s="698">
        <v>188362.07</v>
      </c>
      <c r="S279" s="549">
        <f t="shared" si="73"/>
        <v>80637.929999999993</v>
      </c>
      <c r="T279" s="267" t="s">
        <v>263</v>
      </c>
      <c r="U279" s="369"/>
      <c r="V279" s="370"/>
      <c r="W279" s="375"/>
      <c r="X279" s="375"/>
      <c r="Y279" s="375"/>
      <c r="Z279" s="371"/>
      <c r="AA279" s="371"/>
      <c r="AB279" s="673"/>
      <c r="AC279" s="371"/>
      <c r="AD279" s="372"/>
      <c r="AE279" s="371"/>
      <c r="AF279" s="371"/>
      <c r="AG279" s="270"/>
      <c r="AH279" s="350"/>
      <c r="AI279" s="365"/>
      <c r="AJ279" s="374"/>
      <c r="AK279" s="374"/>
      <c r="AL279" s="374"/>
      <c r="AM279" s="374"/>
    </row>
    <row r="280" spans="1:41" s="291" customFormat="1" ht="13.5" thickBot="1" x14ac:dyDescent="0.25">
      <c r="A280" s="423"/>
      <c r="B280" s="543"/>
      <c r="C280" s="544"/>
      <c r="D280" s="545"/>
      <c r="E280" s="544"/>
      <c r="F280" s="546"/>
      <c r="G280" s="547"/>
      <c r="H280" s="544"/>
      <c r="I280" s="544"/>
      <c r="J280" s="544"/>
      <c r="K280" s="544"/>
      <c r="L280" s="544"/>
      <c r="M280" s="548"/>
      <c r="N280" s="548"/>
      <c r="O280" s="548"/>
      <c r="P280" s="548"/>
      <c r="Q280" s="548"/>
      <c r="R280" s="548"/>
      <c r="S280" s="549"/>
      <c r="T280" s="267"/>
      <c r="U280" s="369"/>
      <c r="V280" s="370"/>
      <c r="W280" s="375"/>
      <c r="X280" s="375"/>
      <c r="Y280" s="375"/>
      <c r="Z280" s="371"/>
      <c r="AA280" s="371"/>
      <c r="AB280" s="673"/>
      <c r="AC280" s="371"/>
      <c r="AD280" s="372"/>
      <c r="AE280" s="371"/>
      <c r="AF280" s="371"/>
      <c r="AG280" s="270"/>
      <c r="AH280" s="350"/>
      <c r="AI280" s="365"/>
      <c r="AJ280" s="374"/>
      <c r="AK280" s="374"/>
      <c r="AL280" s="374"/>
      <c r="AM280" s="374"/>
    </row>
    <row r="281" spans="1:41" s="291" customFormat="1" ht="13.5" thickBot="1" x14ac:dyDescent="0.25">
      <c r="A281" s="423"/>
      <c r="B281" s="543"/>
      <c r="C281" s="544"/>
      <c r="D281" s="545"/>
      <c r="E281" s="544"/>
      <c r="F281" s="546"/>
      <c r="G281" s="547"/>
      <c r="H281" s="544"/>
      <c r="I281" s="544"/>
      <c r="J281" s="544"/>
      <c r="K281" s="544"/>
      <c r="L281" s="544"/>
      <c r="M281" s="548"/>
      <c r="N281" s="548"/>
      <c r="O281" s="548"/>
      <c r="P281" s="548"/>
      <c r="Q281" s="548"/>
      <c r="R281" s="548"/>
      <c r="S281" s="549"/>
      <c r="T281" s="267"/>
      <c r="V281" s="423"/>
      <c r="W281" s="362"/>
      <c r="X281" s="362"/>
      <c r="Y281" s="619"/>
      <c r="Z281" s="620">
        <f>+SUM(Z6:Z120)</f>
        <v>30881421.039999947</v>
      </c>
      <c r="AA281" s="620">
        <f>+SUM(AA6:AA120)</f>
        <v>30881421.04000001</v>
      </c>
      <c r="AB281" s="643">
        <f>+SUM(AB6:AB120)</f>
        <v>111</v>
      </c>
      <c r="AC281" s="620"/>
      <c r="AD281" s="620"/>
      <c r="AE281" s="620"/>
      <c r="AF281" s="620">
        <f>+SUM(AF6:AF120)</f>
        <v>1131820.6192999994</v>
      </c>
      <c r="AG281" s="620">
        <f>+SUM(AG6:AG120)</f>
        <v>-3440.0192999999422</v>
      </c>
      <c r="AH281" s="270"/>
      <c r="AI281" s="365"/>
      <c r="AJ281" s="374"/>
      <c r="AK281" s="374"/>
      <c r="AL281" s="374"/>
      <c r="AM281" s="374"/>
    </row>
    <row r="282" spans="1:41" s="53" customFormat="1" ht="13.5" thickTop="1" x14ac:dyDescent="0.2">
      <c r="A282" s="48"/>
      <c r="B282" s="550"/>
      <c r="C282" s="551"/>
      <c r="D282" s="551"/>
      <c r="E282" s="552"/>
      <c r="F282" s="553"/>
      <c r="G282" s="554"/>
      <c r="H282" s="552"/>
      <c r="I282" s="552"/>
      <c r="J282" s="552"/>
      <c r="K282" s="552"/>
      <c r="L282" s="552"/>
      <c r="M282" s="555"/>
      <c r="N282" s="555"/>
      <c r="O282" s="555"/>
      <c r="P282" s="555"/>
      <c r="Q282" s="555"/>
      <c r="R282" s="555"/>
      <c r="S282" s="549"/>
      <c r="T282" s="398"/>
      <c r="V282" s="427"/>
      <c r="W282" s="428"/>
      <c r="X282" s="428"/>
      <c r="Y282" s="93"/>
      <c r="Z282" s="260"/>
      <c r="AA282" s="431"/>
      <c r="AB282" s="668"/>
      <c r="AC282" s="431"/>
      <c r="AD282" s="436"/>
      <c r="AE282" s="431"/>
      <c r="AF282" s="431">
        <f>+M453</f>
        <v>0</v>
      </c>
      <c r="AG282" s="440"/>
      <c r="AH282" s="346"/>
      <c r="AI282" s="313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550"/>
      <c r="C283" s="551"/>
      <c r="D283" s="551"/>
      <c r="E283" s="552"/>
      <c r="F283" s="553"/>
      <c r="G283" s="556"/>
      <c r="H283" s="552"/>
      <c r="I283" s="552"/>
      <c r="J283" s="552"/>
      <c r="K283" s="552"/>
      <c r="L283" s="552"/>
      <c r="M283" s="555"/>
      <c r="N283" s="555"/>
      <c r="O283" s="555"/>
      <c r="P283" s="555"/>
      <c r="Q283" s="555"/>
      <c r="R283" s="555"/>
      <c r="S283" s="549"/>
      <c r="T283" s="13"/>
      <c r="V283" s="93"/>
      <c r="W283" s="267"/>
      <c r="X283" s="271"/>
      <c r="Y283" s="469"/>
      <c r="Z283" s="470"/>
      <c r="AA283" s="431"/>
      <c r="AB283" s="668"/>
      <c r="AC283" s="396"/>
      <c r="AD283" s="425"/>
      <c r="AE283" s="395"/>
      <c r="AF283" s="379"/>
      <c r="AG283" s="395"/>
      <c r="AH283" s="270"/>
      <c r="AI283" s="313"/>
      <c r="AJ283" s="21"/>
      <c r="AK283" s="21"/>
      <c r="AL283" s="21"/>
      <c r="AM283" s="21"/>
      <c r="AN283" s="21"/>
      <c r="AO283" s="21"/>
    </row>
    <row r="284" spans="1:41" s="53" customFormat="1" ht="13.5" thickBot="1" x14ac:dyDescent="0.25">
      <c r="A284" s="48"/>
      <c r="B284" s="557"/>
      <c r="C284" s="558"/>
      <c r="D284" s="558"/>
      <c r="E284" s="559"/>
      <c r="F284" s="559"/>
      <c r="G284" s="560"/>
      <c r="H284" s="559"/>
      <c r="I284" s="559"/>
      <c r="J284" s="559"/>
      <c r="K284" s="559"/>
      <c r="L284" s="559"/>
      <c r="M284" s="561"/>
      <c r="N284" s="561"/>
      <c r="O284" s="561"/>
      <c r="P284" s="561"/>
      <c r="Q284" s="561"/>
      <c r="R284" s="561"/>
      <c r="S284" s="562"/>
      <c r="T284" s="13"/>
      <c r="V284" s="298" t="s">
        <v>250</v>
      </c>
      <c r="W284" s="437" t="s">
        <v>2909</v>
      </c>
      <c r="X284" s="382"/>
      <c r="Y284" s="441"/>
      <c r="Z284" s="438"/>
      <c r="AA284" s="439"/>
      <c r="AB284" s="669"/>
      <c r="AC284" s="396"/>
      <c r="AD284" s="425"/>
      <c r="AE284" s="440"/>
      <c r="AF284" s="439"/>
      <c r="AG284" s="396"/>
      <c r="AH284" s="346"/>
      <c r="AI284" s="313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592"/>
      <c r="C285" s="593"/>
      <c r="D285" s="593"/>
      <c r="E285" s="593"/>
      <c r="F285" s="594"/>
      <c r="G285" s="595"/>
      <c r="H285" s="596"/>
      <c r="I285" s="597"/>
      <c r="J285" s="598"/>
      <c r="K285" s="598"/>
      <c r="L285" s="594"/>
      <c r="M285" s="599"/>
      <c r="N285" s="600"/>
      <c r="O285" s="601"/>
      <c r="P285" s="601"/>
      <c r="Q285" s="601"/>
      <c r="R285" s="602"/>
      <c r="S285" s="603"/>
      <c r="T285" s="13"/>
      <c r="V285" s="298" t="s">
        <v>251</v>
      </c>
      <c r="W285" s="437" t="s">
        <v>2745</v>
      </c>
      <c r="X285" s="271"/>
      <c r="Y285" s="441"/>
      <c r="Z285" s="471">
        <f>+AB120+AB99+AB96+AB94+AB87</f>
        <v>42</v>
      </c>
      <c r="AA285" s="472">
        <f>+AA120+AA99+AA96+AA94+AA87</f>
        <v>11404269.150000002</v>
      </c>
      <c r="AB285" s="646"/>
      <c r="AC285" s="474" t="s">
        <v>1269</v>
      </c>
      <c r="AD285" s="436"/>
      <c r="AE285" s="431"/>
      <c r="AF285" s="431"/>
      <c r="AG285" s="440"/>
      <c r="AH285" s="270"/>
      <c r="AI285" s="313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604"/>
      <c r="C286" s="262"/>
      <c r="D286" s="262"/>
      <c r="E286" s="129"/>
      <c r="F286" s="40"/>
      <c r="G286" s="81"/>
      <c r="H286" s="254"/>
      <c r="I286" s="90"/>
      <c r="J286" s="90"/>
      <c r="K286" s="90"/>
      <c r="L286" s="40"/>
      <c r="M286" s="209">
        <f>SUM(M6:M284)</f>
        <v>44335961.389999941</v>
      </c>
      <c r="N286" s="209">
        <f>SUM(N6:N284)</f>
        <v>1128380.5999999994</v>
      </c>
      <c r="O286" s="209">
        <f>SUM(O6:O284)</f>
        <v>6935094.7999999914</v>
      </c>
      <c r="P286" s="209">
        <f>SUM(P6:P284)</f>
        <v>52399436.790000059</v>
      </c>
      <c r="Q286" s="209">
        <f t="shared" ref="Q286" si="75">SUM(Q6:Q284)</f>
        <v>0</v>
      </c>
      <c r="R286" s="209">
        <f>SUM(R6:R284)</f>
        <v>40533120.730000004</v>
      </c>
      <c r="S286" s="605">
        <f>SUM(S6:S284)</f>
        <v>11866316.060000008</v>
      </c>
      <c r="T286" s="13"/>
      <c r="V286" s="93"/>
      <c r="W286" s="267"/>
      <c r="X286" s="271"/>
      <c r="Y286" s="94"/>
      <c r="Z286" s="475">
        <f>+AB78+AB75+AB71+AB67+AB51+AB30+AB28</f>
        <v>38</v>
      </c>
      <c r="AA286" s="472">
        <f>+AA78+AA75+AA71+AA67+AA51+AA30+AA28</f>
        <v>7425172.3500000006</v>
      </c>
      <c r="AB286" s="646"/>
      <c r="AC286" s="474" t="s">
        <v>1270</v>
      </c>
      <c r="AD286" s="425"/>
      <c r="AE286" s="424"/>
      <c r="AF286" s="424"/>
      <c r="AG286" s="346"/>
      <c r="AH286" s="270"/>
      <c r="AI286" s="313"/>
      <c r="AJ286" s="21"/>
      <c r="AK286" s="21"/>
      <c r="AL286" s="21"/>
      <c r="AM286" s="21"/>
      <c r="AN286" s="21"/>
      <c r="AO286" s="21"/>
    </row>
    <row r="287" spans="1:41" s="53" customFormat="1" ht="13.5" thickBot="1" x14ac:dyDescent="0.25">
      <c r="A287" s="48"/>
      <c r="B287" s="606"/>
      <c r="C287" s="607"/>
      <c r="D287" s="607"/>
      <c r="E287" s="607"/>
      <c r="F287" s="608"/>
      <c r="G287" s="609"/>
      <c r="H287" s="610"/>
      <c r="I287" s="611"/>
      <c r="J287" s="612"/>
      <c r="K287" s="612"/>
      <c r="L287" s="608"/>
      <c r="M287" s="613"/>
      <c r="N287" s="614"/>
      <c r="O287" s="615"/>
      <c r="P287" s="615"/>
      <c r="Q287" s="615"/>
      <c r="R287" s="616"/>
      <c r="S287" s="617"/>
      <c r="T287" s="13"/>
      <c r="V287" s="429"/>
      <c r="W287" s="426"/>
      <c r="X287" s="382"/>
      <c r="Y287" s="442"/>
      <c r="Z287" s="476">
        <f>+AB77+AB76+AB41+AB31+AB27+AB24+AB21+AB19+AB15+AB13+AB10+AB12</f>
        <v>26</v>
      </c>
      <c r="AA287" s="472">
        <f>+AA77+AA76+AA41+AA31+AA27+AA24+AA21+AA19+AA15+AA13+AA12+AA10</f>
        <v>10362927.809999999</v>
      </c>
      <c r="AB287" s="646"/>
      <c r="AC287" s="474" t="s">
        <v>1271</v>
      </c>
      <c r="AD287" s="443"/>
      <c r="AE287" s="439"/>
      <c r="AF287" s="439"/>
      <c r="AG287" s="291"/>
      <c r="AH287" s="270"/>
      <c r="AI287" s="313"/>
      <c r="AJ287" s="21"/>
      <c r="AK287" s="21"/>
      <c r="AL287" s="21"/>
      <c r="AM287" s="21"/>
      <c r="AN287" s="21"/>
      <c r="AO287" s="21"/>
    </row>
    <row r="288" spans="1:41" s="53" customFormat="1" ht="13.5" thickBot="1" x14ac:dyDescent="0.25">
      <c r="A288" s="48"/>
      <c r="B288" s="305"/>
      <c r="C288" s="233"/>
      <c r="D288" s="233"/>
      <c r="E288" s="113"/>
      <c r="F288" s="48"/>
      <c r="G288" s="49"/>
      <c r="H288" s="256"/>
      <c r="I288" s="133" t="s">
        <v>37</v>
      </c>
      <c r="J288" s="117"/>
      <c r="K288" s="133" t="s">
        <v>37</v>
      </c>
      <c r="L288" s="8" t="s">
        <v>75</v>
      </c>
      <c r="M288" s="410">
        <v>30881421.039999999</v>
      </c>
      <c r="N288" s="326">
        <f>+N286</f>
        <v>1128380.5999999994</v>
      </c>
      <c r="O288" s="201"/>
      <c r="P288" s="279"/>
      <c r="Q288" s="201"/>
      <c r="R288" s="326">
        <v>27364079.710000001</v>
      </c>
      <c r="S288" s="201">
        <f>SUM(R6:R208)+SUM(Q299:Q300)-R289+Q1</f>
        <v>22904209.039999992</v>
      </c>
      <c r="T288" s="13"/>
      <c r="V288" s="351"/>
      <c r="W288" s="351"/>
      <c r="X288" s="351"/>
      <c r="Y288" s="352"/>
      <c r="Z288" s="477">
        <f>+AB38</f>
        <v>5</v>
      </c>
      <c r="AA288" s="478">
        <f>+AA38</f>
        <v>1689051.7300000002</v>
      </c>
      <c r="AB288" s="646"/>
      <c r="AC288" s="474" t="s">
        <v>1272</v>
      </c>
      <c r="AD288" s="351"/>
      <c r="AE288" s="351"/>
      <c r="AF288" s="351"/>
      <c r="AG288" s="351"/>
      <c r="AH288" s="270"/>
      <c r="AI288" s="313"/>
      <c r="AJ288" s="21"/>
      <c r="AK288" s="21"/>
      <c r="AL288" s="21"/>
      <c r="AM288" s="21"/>
      <c r="AN288" s="21"/>
      <c r="AO288" s="21"/>
    </row>
    <row r="289" spans="1:41" s="53" customFormat="1" ht="13.5" thickTop="1" x14ac:dyDescent="0.2">
      <c r="A289" s="48"/>
      <c r="B289" s="305"/>
      <c r="C289" s="233"/>
      <c r="D289" s="233"/>
      <c r="E289" s="113"/>
      <c r="F289" s="48"/>
      <c r="G289" s="49"/>
      <c r="H289" s="256"/>
      <c r="I289" s="133" t="s">
        <v>404</v>
      </c>
      <c r="J289" s="117"/>
      <c r="K289" s="133" t="s">
        <v>74</v>
      </c>
      <c r="L289" s="8" t="s">
        <v>75</v>
      </c>
      <c r="M289" s="410">
        <v>8972040.3800000008</v>
      </c>
      <c r="N289" s="326"/>
      <c r="O289" s="201"/>
      <c r="P289" s="279"/>
      <c r="Q289" s="201"/>
      <c r="R289" s="326">
        <v>7522946.3200000003</v>
      </c>
      <c r="S289" s="285"/>
      <c r="T289" s="13"/>
      <c r="V289" s="348"/>
      <c r="W289" s="348"/>
      <c r="X289" s="348"/>
      <c r="Y289" s="348"/>
      <c r="Z289" s="479">
        <f>+SUM(Z285:Z288)</f>
        <v>111</v>
      </c>
      <c r="AA289" s="480">
        <f>SUM(AA285:AA288)</f>
        <v>30881421.040000003</v>
      </c>
      <c r="AB289" s="646"/>
      <c r="AC289" s="472"/>
      <c r="AD289" s="348"/>
      <c r="AE289" s="348"/>
      <c r="AF289" s="348"/>
      <c r="AG289" s="348"/>
      <c r="AH289" s="346"/>
      <c r="AI289" s="363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06"/>
      <c r="C290" s="233"/>
      <c r="D290" s="233"/>
      <c r="E290" s="113"/>
      <c r="F290" s="48"/>
      <c r="G290" s="49"/>
      <c r="H290" s="256"/>
      <c r="I290" s="133" t="s">
        <v>74</v>
      </c>
      <c r="J290" s="117"/>
      <c r="K290" s="133" t="s">
        <v>38</v>
      </c>
      <c r="L290" s="8" t="s">
        <v>75</v>
      </c>
      <c r="M290" s="410">
        <v>4482499.97</v>
      </c>
      <c r="N290" s="201"/>
      <c r="O290" s="201"/>
      <c r="P290" s="279"/>
      <c r="Q290" s="332">
        <f>72*360</f>
        <v>25920</v>
      </c>
      <c r="R290" s="326">
        <v>5857317.5899999999</v>
      </c>
      <c r="S290" s="201">
        <f>SUM(R237:R259)</f>
        <v>1570500.01</v>
      </c>
      <c r="T290" s="13"/>
      <c r="U290" s="369"/>
      <c r="V290" s="370"/>
      <c r="W290" s="375"/>
      <c r="X290" s="375"/>
      <c r="Y290" s="375"/>
      <c r="Z290" s="376"/>
      <c r="AA290" s="371"/>
      <c r="AB290" s="673"/>
      <c r="AC290" s="371"/>
      <c r="AD290" s="372"/>
      <c r="AE290" s="371"/>
      <c r="AF290" s="371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06"/>
      <c r="C291" s="233"/>
      <c r="D291" s="233"/>
      <c r="E291" s="113"/>
      <c r="F291" s="48"/>
      <c r="G291" s="49"/>
      <c r="H291" s="256"/>
      <c r="I291" s="133" t="s">
        <v>38</v>
      </c>
      <c r="J291" s="117"/>
      <c r="K291" s="117"/>
      <c r="L291" s="8"/>
      <c r="M291" s="326"/>
      <c r="N291" s="326"/>
      <c r="O291" s="326"/>
      <c r="P291" s="327"/>
      <c r="Q291" s="327"/>
      <c r="R291" s="400">
        <v>8200735.7800000003</v>
      </c>
      <c r="S291" s="401"/>
      <c r="T291" s="380"/>
      <c r="U291" s="369"/>
      <c r="V291" s="370"/>
      <c r="W291" s="375"/>
      <c r="X291" s="375"/>
      <c r="Y291" s="375"/>
      <c r="Z291" s="376"/>
      <c r="AA291" s="371"/>
      <c r="AB291" s="673"/>
      <c r="AC291" s="371"/>
      <c r="AD291" s="372"/>
      <c r="AE291" s="371"/>
      <c r="AF291" s="371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06"/>
      <c r="C292" s="233"/>
      <c r="D292" s="233"/>
      <c r="E292" s="113"/>
      <c r="F292" s="48"/>
      <c r="G292" s="49"/>
      <c r="H292" s="256"/>
      <c r="I292" s="133" t="s">
        <v>405</v>
      </c>
      <c r="J292" s="117"/>
      <c r="K292" s="117"/>
      <c r="L292" s="8"/>
      <c r="M292" s="258">
        <v>0</v>
      </c>
      <c r="N292" s="258"/>
      <c r="O292" s="258"/>
      <c r="P292" s="280"/>
      <c r="Q292" s="280"/>
      <c r="R292" s="400">
        <v>604</v>
      </c>
      <c r="S292" s="401"/>
      <c r="T292" s="13"/>
      <c r="U292" s="320"/>
      <c r="V292" s="354"/>
      <c r="W292" s="355"/>
      <c r="X292" s="355"/>
      <c r="Y292" s="355"/>
      <c r="Z292" s="356"/>
      <c r="AA292" s="328"/>
      <c r="AB292" s="674"/>
      <c r="AC292" s="328"/>
      <c r="AD292" s="333"/>
      <c r="AE292" s="328"/>
      <c r="AF292" s="328"/>
      <c r="AG292" s="346"/>
      <c r="AH292" s="347"/>
      <c r="AI292" s="363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06"/>
      <c r="C293" s="233"/>
      <c r="D293" s="233"/>
      <c r="E293" s="113"/>
      <c r="F293" s="48"/>
      <c r="G293" s="51"/>
      <c r="H293" s="257"/>
      <c r="I293" s="133" t="s">
        <v>39</v>
      </c>
      <c r="J293" s="117"/>
      <c r="K293" s="117"/>
      <c r="L293" s="8"/>
      <c r="M293" s="204">
        <f>SUM(M288:M292)</f>
        <v>44335961.390000001</v>
      </c>
      <c r="N293" s="204">
        <f>SUM(N288:N292)</f>
        <v>1128380.5999999994</v>
      </c>
      <c r="O293" s="204"/>
      <c r="P293" s="204"/>
      <c r="Q293" s="204">
        <f>+Q286-Q288</f>
        <v>0</v>
      </c>
      <c r="R293" s="402">
        <f>+SUM(R288:R292)</f>
        <v>48945683.400000006</v>
      </c>
      <c r="S293" s="285"/>
      <c r="T293" s="13"/>
      <c r="U293" s="369"/>
      <c r="V293" s="370"/>
      <c r="W293" s="375"/>
      <c r="X293" s="375"/>
      <c r="Y293" s="375"/>
      <c r="Z293" s="376"/>
      <c r="AA293" s="371"/>
      <c r="AB293" s="673"/>
      <c r="AC293" s="371"/>
      <c r="AD293" s="372"/>
      <c r="AE293" s="371"/>
      <c r="AF293" s="371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06"/>
      <c r="C294" s="233"/>
      <c r="D294" s="233"/>
      <c r="E294" s="113"/>
      <c r="F294" s="48"/>
      <c r="G294" s="49"/>
      <c r="H294" s="256"/>
      <c r="I294" s="116"/>
      <c r="J294" s="117"/>
      <c r="K294" s="117"/>
      <c r="L294" s="8"/>
      <c r="M294" s="403"/>
      <c r="N294" s="201"/>
      <c r="O294" s="202"/>
      <c r="P294" s="200"/>
      <c r="Q294" s="200"/>
      <c r="R294" s="52"/>
      <c r="S294" s="285"/>
      <c r="T294" s="13"/>
      <c r="U294" s="369"/>
      <c r="V294" s="370"/>
      <c r="W294" s="375"/>
      <c r="X294" s="375"/>
      <c r="Y294" s="375"/>
      <c r="Z294" s="376"/>
      <c r="AA294" s="371"/>
      <c r="AB294" s="673"/>
      <c r="AC294" s="371"/>
      <c r="AD294" s="372"/>
      <c r="AE294" s="371"/>
      <c r="AF294" s="371"/>
      <c r="AG294" s="270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06"/>
      <c r="C295" s="233"/>
      <c r="D295" s="233"/>
      <c r="E295" s="113"/>
      <c r="F295" s="48"/>
      <c r="G295" s="49"/>
      <c r="H295" s="256"/>
      <c r="I295" s="116"/>
      <c r="J295" s="117"/>
      <c r="K295" s="117"/>
      <c r="L295" s="8" t="s">
        <v>40</v>
      </c>
      <c r="M295" s="404">
        <f>+M286-M293</f>
        <v>-5.9604644775390625E-8</v>
      </c>
      <c r="N295" s="404"/>
      <c r="O295" s="202"/>
      <c r="P295" s="200"/>
      <c r="Q295" s="200"/>
      <c r="R295" s="52"/>
      <c r="S295" s="285"/>
      <c r="T295" s="13"/>
      <c r="U295" s="369"/>
      <c r="V295" s="370"/>
      <c r="W295" s="375"/>
      <c r="X295" s="375"/>
      <c r="Y295" s="375"/>
      <c r="Z295" s="376"/>
      <c r="AA295" s="371"/>
      <c r="AB295" s="673"/>
      <c r="AC295" s="371"/>
      <c r="AD295" s="372"/>
      <c r="AE295" s="371"/>
      <c r="AF295" s="371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69"/>
      <c r="C296" s="375"/>
      <c r="D296" s="374"/>
      <c r="E296" s="374"/>
      <c r="F296" s="374"/>
      <c r="G296" s="414"/>
      <c r="H296" s="415"/>
      <c r="I296" s="374"/>
      <c r="J296" s="374"/>
      <c r="K296" s="374"/>
      <c r="L296" s="374"/>
      <c r="M296" s="396"/>
      <c r="N296" s="396"/>
      <c r="O296" s="396"/>
      <c r="P296" s="396"/>
      <c r="Q296" s="401"/>
      <c r="R296" s="405"/>
      <c r="S296" s="406"/>
      <c r="T296" s="13"/>
      <c r="U296" s="369"/>
      <c r="V296" s="370"/>
      <c r="W296" s="375"/>
      <c r="X296" s="375"/>
      <c r="Y296" s="375"/>
      <c r="Z296" s="376"/>
      <c r="AA296" s="371"/>
      <c r="AB296" s="673"/>
      <c r="AC296" s="371"/>
      <c r="AD296" s="372"/>
      <c r="AE296" s="371"/>
      <c r="AF296" s="371"/>
      <c r="AG296" s="270"/>
      <c r="AH296" s="272"/>
      <c r="AI296" s="313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69"/>
      <c r="C297" s="375"/>
      <c r="D297" s="374"/>
      <c r="E297" s="374"/>
      <c r="F297" s="374"/>
      <c r="G297" s="414"/>
      <c r="H297" s="318"/>
      <c r="I297" s="374"/>
      <c r="J297" s="374"/>
      <c r="K297" s="374"/>
      <c r="L297" s="374"/>
      <c r="M297" s="396"/>
      <c r="N297" s="396"/>
      <c r="O297" s="396"/>
      <c r="P297" s="396"/>
      <c r="Q297" s="97"/>
      <c r="R297" s="407"/>
      <c r="S297" s="94"/>
      <c r="T297" s="13"/>
      <c r="U297" s="320"/>
      <c r="V297" s="354"/>
      <c r="W297" s="355"/>
      <c r="X297" s="355"/>
      <c r="Y297" s="355"/>
      <c r="Z297" s="356"/>
      <c r="AA297" s="328"/>
      <c r="AB297" s="674"/>
      <c r="AC297" s="328"/>
      <c r="AD297" s="333"/>
      <c r="AE297" s="328"/>
      <c r="AF297" s="328"/>
      <c r="AG297" s="346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x14ac:dyDescent="0.2">
      <c r="A298" s="48"/>
      <c r="B298" s="369"/>
      <c r="C298" s="375"/>
      <c r="D298" s="374"/>
      <c r="E298" s="374"/>
      <c r="F298" s="374"/>
      <c r="G298" s="414"/>
      <c r="H298" s="318"/>
      <c r="I298" s="374"/>
      <c r="J298" s="374"/>
      <c r="K298" s="374"/>
      <c r="L298" s="297"/>
      <c r="M298" s="396"/>
      <c r="N298" s="396"/>
      <c r="O298" s="396"/>
      <c r="P298" s="396"/>
      <c r="Q298" s="21"/>
      <c r="R298" s="408"/>
      <c r="S298" s="94"/>
      <c r="T298" s="13"/>
      <c r="U298" s="320"/>
      <c r="V298" s="354"/>
      <c r="W298" s="355"/>
      <c r="X298" s="355"/>
      <c r="Y298" s="355"/>
      <c r="Z298" s="356"/>
      <c r="AA298" s="328"/>
      <c r="AB298" s="674"/>
      <c r="AC298" s="328"/>
      <c r="AD298" s="333"/>
      <c r="AE298" s="328"/>
      <c r="AF298" s="328"/>
      <c r="AG298" s="346"/>
      <c r="AH298" s="347"/>
      <c r="AI298" s="363"/>
      <c r="AJ298" s="21"/>
      <c r="AK298" s="21"/>
      <c r="AL298" s="21"/>
      <c r="AM298" s="21"/>
      <c r="AN298" s="21"/>
      <c r="AO298" s="21"/>
    </row>
    <row r="299" spans="1:41" s="53" customFormat="1" x14ac:dyDescent="0.2">
      <c r="A299" s="48"/>
      <c r="B299" s="369"/>
      <c r="C299" s="375"/>
      <c r="D299" s="374"/>
      <c r="E299" s="374"/>
      <c r="F299" s="374"/>
      <c r="G299" s="414"/>
      <c r="H299" s="415"/>
      <c r="I299" s="291"/>
      <c r="J299" s="291"/>
      <c r="K299" s="374"/>
      <c r="L299" s="416"/>
      <c r="M299" s="403"/>
      <c r="N299" s="396"/>
      <c r="O299" s="396"/>
      <c r="P299" s="409"/>
      <c r="Q299" s="50"/>
      <c r="R299" s="407"/>
      <c r="S299" s="97"/>
      <c r="T299" s="13"/>
      <c r="U299" s="369"/>
      <c r="V299" s="370"/>
      <c r="W299" s="375"/>
      <c r="X299" s="375"/>
      <c r="Y299" s="375"/>
      <c r="Z299" s="376"/>
      <c r="AA299" s="371"/>
      <c r="AB299" s="673"/>
      <c r="AC299" s="371"/>
      <c r="AD299" s="372"/>
      <c r="AE299" s="371"/>
      <c r="AF299" s="371"/>
      <c r="AG299" s="270"/>
      <c r="AH299" s="347"/>
      <c r="AI299" s="363"/>
      <c r="AJ299" s="21"/>
      <c r="AK299" s="21"/>
      <c r="AL299" s="21"/>
      <c r="AM299" s="21"/>
      <c r="AN299" s="21"/>
      <c r="AO299" s="21"/>
    </row>
    <row r="300" spans="1:41" s="53" customFormat="1" x14ac:dyDescent="0.2">
      <c r="A300" s="48"/>
      <c r="B300" s="369"/>
      <c r="C300" s="375"/>
      <c r="D300" s="374"/>
      <c r="E300" s="374"/>
      <c r="F300" s="374"/>
      <c r="G300" s="414"/>
      <c r="H300" s="415"/>
      <c r="I300" s="291"/>
      <c r="J300" s="291"/>
      <c r="K300" s="374"/>
      <c r="L300" s="377"/>
      <c r="M300" s="416"/>
      <c r="N300" s="270"/>
      <c r="O300" s="270"/>
      <c r="P300" s="296"/>
      <c r="Q300" s="78"/>
      <c r="S300" s="319"/>
      <c r="T300" s="13"/>
      <c r="U300" s="369"/>
      <c r="V300" s="370"/>
      <c r="W300" s="375"/>
      <c r="X300" s="375"/>
      <c r="Y300" s="375"/>
      <c r="Z300" s="376"/>
      <c r="AA300" s="371"/>
      <c r="AB300" s="673"/>
      <c r="AC300" s="371"/>
      <c r="AD300" s="372"/>
      <c r="AE300" s="371"/>
      <c r="AF300" s="371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9"/>
      <c r="C301" s="375"/>
      <c r="D301" s="374"/>
      <c r="E301" s="374"/>
      <c r="F301" s="374"/>
      <c r="G301" s="414"/>
      <c r="H301" s="415"/>
      <c r="I301" s="291"/>
      <c r="J301" s="291"/>
      <c r="K301" s="374"/>
      <c r="L301" s="291"/>
      <c r="M301" s="291"/>
      <c r="N301" s="270"/>
      <c r="O301" s="270"/>
      <c r="P301" s="387"/>
      <c r="Q301" s="417"/>
      <c r="T301" s="13"/>
      <c r="U301" s="369"/>
      <c r="V301" s="370"/>
      <c r="W301" s="375"/>
      <c r="X301" s="375"/>
      <c r="Y301" s="375"/>
      <c r="Z301" s="376"/>
      <c r="AA301" s="371"/>
      <c r="AB301" s="673"/>
      <c r="AC301" s="371"/>
      <c r="AD301" s="372"/>
      <c r="AE301" s="371"/>
      <c r="AF301" s="371"/>
      <c r="AG301" s="270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9"/>
      <c r="C302" s="375"/>
      <c r="D302" s="374"/>
      <c r="E302" s="374"/>
      <c r="F302" s="374"/>
      <c r="G302" s="414"/>
      <c r="H302" s="415"/>
      <c r="I302" s="291"/>
      <c r="J302" s="291"/>
      <c r="L302" s="374"/>
      <c r="M302" s="296"/>
      <c r="N302" s="316"/>
      <c r="O302" s="367"/>
      <c r="P302" s="387"/>
      <c r="Q302" s="417"/>
      <c r="T302" s="13"/>
      <c r="U302" s="369"/>
      <c r="V302" s="370"/>
      <c r="W302" s="375"/>
      <c r="X302" s="375"/>
      <c r="Y302" s="375"/>
      <c r="Z302" s="376"/>
      <c r="AA302" s="371"/>
      <c r="AB302" s="673"/>
      <c r="AC302" s="371"/>
      <c r="AD302" s="372"/>
      <c r="AE302" s="371"/>
      <c r="AF302" s="371"/>
      <c r="AG302" s="270"/>
      <c r="AH302" s="347"/>
      <c r="AI302" s="36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9"/>
      <c r="C303" s="375"/>
      <c r="D303" s="374"/>
      <c r="E303" s="374"/>
      <c r="F303" s="374"/>
      <c r="G303" s="414"/>
      <c r="H303" s="415"/>
      <c r="I303" s="291"/>
      <c r="J303" s="291"/>
      <c r="L303" s="384"/>
      <c r="M303" s="296"/>
      <c r="N303" s="316"/>
      <c r="O303" s="270"/>
      <c r="P303" s="387"/>
      <c r="Q303" s="417"/>
      <c r="T303" s="13"/>
      <c r="U303" s="369"/>
      <c r="V303" s="370"/>
      <c r="W303" s="375"/>
      <c r="X303" s="375"/>
      <c r="Y303" s="375"/>
      <c r="Z303" s="376"/>
      <c r="AA303" s="371"/>
      <c r="AB303" s="673"/>
      <c r="AC303" s="371"/>
      <c r="AD303" s="372"/>
      <c r="AE303" s="371"/>
      <c r="AF303" s="371"/>
      <c r="AG303" s="270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69"/>
      <c r="C304" s="375"/>
      <c r="D304" s="374"/>
      <c r="E304" s="374"/>
      <c r="F304" s="374"/>
      <c r="G304" s="414"/>
      <c r="H304" s="415"/>
      <c r="I304" s="291"/>
      <c r="J304" s="291"/>
      <c r="L304" s="374"/>
      <c r="M304" s="296"/>
      <c r="N304" s="316"/>
      <c r="O304" s="270"/>
      <c r="P304" s="387"/>
      <c r="Q304" s="417"/>
      <c r="T304" s="13"/>
      <c r="U304" s="369"/>
      <c r="V304" s="370"/>
      <c r="W304" s="375"/>
      <c r="X304" s="375"/>
      <c r="Y304" s="375"/>
      <c r="Z304" s="376"/>
      <c r="AA304" s="371"/>
      <c r="AB304" s="673"/>
      <c r="AC304" s="371"/>
      <c r="AD304" s="372"/>
      <c r="AE304" s="371"/>
      <c r="AF304" s="371"/>
      <c r="AG304" s="270"/>
      <c r="AH304" s="347"/>
      <c r="AI304" s="36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69"/>
      <c r="C305" s="375"/>
      <c r="D305" s="374"/>
      <c r="E305" s="374"/>
      <c r="F305" s="374"/>
      <c r="G305" s="414"/>
      <c r="H305" s="415"/>
      <c r="I305" s="291"/>
      <c r="J305" s="291"/>
      <c r="L305" s="374"/>
      <c r="M305" s="296"/>
      <c r="N305" s="316"/>
      <c r="O305" s="270"/>
      <c r="P305" s="387"/>
      <c r="Q305" s="417"/>
      <c r="T305" s="13"/>
      <c r="U305" s="369"/>
      <c r="V305" s="370"/>
      <c r="W305" s="375"/>
      <c r="X305" s="375"/>
      <c r="Y305" s="375"/>
      <c r="Z305" s="376"/>
      <c r="AA305" s="371"/>
      <c r="AB305" s="673"/>
      <c r="AC305" s="371"/>
      <c r="AD305" s="372"/>
      <c r="AE305" s="371"/>
      <c r="AF305" s="371"/>
      <c r="AG305" s="270"/>
      <c r="AH305" s="347"/>
      <c r="AI305" s="36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69"/>
      <c r="C306" s="375"/>
      <c r="D306" s="374"/>
      <c r="E306" s="374"/>
      <c r="F306" s="374"/>
      <c r="G306" s="414"/>
      <c r="H306" s="415"/>
      <c r="I306" s="78"/>
      <c r="J306" s="291"/>
      <c r="L306" s="374"/>
      <c r="M306" s="296"/>
      <c r="N306" s="316"/>
      <c r="O306" s="270"/>
      <c r="P306" s="418"/>
      <c r="Q306" s="417"/>
      <c r="T306" s="13"/>
      <c r="U306" s="366"/>
      <c r="V306" s="354"/>
      <c r="W306" s="355"/>
      <c r="X306" s="355"/>
      <c r="Y306" s="355"/>
      <c r="Z306" s="356"/>
      <c r="AA306" s="328"/>
      <c r="AB306" s="674"/>
      <c r="AC306" s="328"/>
      <c r="AD306" s="333"/>
      <c r="AE306" s="328"/>
      <c r="AF306" s="328"/>
      <c r="AG306" s="346"/>
      <c r="AH306" s="347"/>
      <c r="AI306" s="36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69"/>
      <c r="C307" s="375"/>
      <c r="D307" s="374"/>
      <c r="E307" s="374"/>
      <c r="F307" s="374"/>
      <c r="G307" s="414"/>
      <c r="H307" s="415"/>
      <c r="I307" s="78"/>
      <c r="J307" s="291"/>
      <c r="L307" s="374"/>
      <c r="M307" s="296"/>
      <c r="N307" s="316"/>
      <c r="O307" s="270"/>
      <c r="P307" s="387"/>
      <c r="Q307" s="417"/>
      <c r="T307" s="13"/>
      <c r="U307" s="320"/>
      <c r="V307" s="354"/>
      <c r="W307" s="355"/>
      <c r="X307" s="355"/>
      <c r="Y307" s="355"/>
      <c r="Z307" s="356"/>
      <c r="AA307" s="328"/>
      <c r="AB307" s="674"/>
      <c r="AC307" s="328"/>
      <c r="AD307" s="333"/>
      <c r="AE307" s="328"/>
      <c r="AF307" s="328"/>
      <c r="AG307" s="346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69"/>
      <c r="C308" s="375"/>
      <c r="D308" s="374"/>
      <c r="E308" s="374"/>
      <c r="F308" s="374"/>
      <c r="G308" s="414"/>
      <c r="H308" s="415"/>
      <c r="I308" s="78"/>
      <c r="J308" s="291"/>
      <c r="L308" s="374"/>
      <c r="M308" s="296"/>
      <c r="N308" s="316"/>
      <c r="O308" s="270"/>
      <c r="P308" s="387"/>
      <c r="Q308" s="417"/>
      <c r="T308" s="13"/>
      <c r="U308" s="320"/>
      <c r="V308" s="354"/>
      <c r="W308" s="355"/>
      <c r="X308" s="355"/>
      <c r="Y308" s="355"/>
      <c r="Z308" s="356"/>
      <c r="AA308" s="328"/>
      <c r="AB308" s="674"/>
      <c r="AC308" s="328"/>
      <c r="AD308" s="333"/>
      <c r="AE308" s="328"/>
      <c r="AF308" s="328"/>
      <c r="AG308" s="346"/>
      <c r="AH308" s="347"/>
      <c r="AI308" s="36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69"/>
      <c r="C309" s="375"/>
      <c r="D309" s="374"/>
      <c r="E309" s="374"/>
      <c r="F309" s="374"/>
      <c r="G309" s="414"/>
      <c r="H309" s="415"/>
      <c r="I309" s="78"/>
      <c r="J309" s="291"/>
      <c r="L309" s="374"/>
      <c r="M309" s="296"/>
      <c r="N309" s="316"/>
      <c r="O309" s="377"/>
      <c r="P309" s="388"/>
      <c r="Q309" s="417"/>
      <c r="T309" s="13"/>
      <c r="U309" s="366"/>
      <c r="V309" s="354"/>
      <c r="W309" s="359"/>
      <c r="X309" s="355"/>
      <c r="Y309" s="355"/>
      <c r="Z309" s="356"/>
      <c r="AA309" s="328"/>
      <c r="AB309" s="674"/>
      <c r="AC309" s="328"/>
      <c r="AD309" s="333"/>
      <c r="AE309" s="328"/>
      <c r="AF309" s="328"/>
      <c r="AG309" s="346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7"/>
      <c r="C310" s="375"/>
      <c r="D310" s="266"/>
      <c r="E310" s="267"/>
      <c r="F310" s="93"/>
      <c r="G310" s="268"/>
      <c r="H310" s="269"/>
      <c r="I310" s="78"/>
      <c r="J310" s="271"/>
      <c r="L310" s="382"/>
      <c r="M310" s="296"/>
      <c r="N310" s="316"/>
      <c r="O310" s="419"/>
      <c r="P310" s="387"/>
      <c r="Q310" s="417"/>
      <c r="T310" s="13"/>
      <c r="U310" s="366"/>
      <c r="V310" s="354"/>
      <c r="W310" s="355"/>
      <c r="X310" s="355"/>
      <c r="Y310" s="355"/>
      <c r="Z310" s="356"/>
      <c r="AA310" s="328"/>
      <c r="AB310" s="674"/>
      <c r="AC310" s="328"/>
      <c r="AD310" s="333"/>
      <c r="AE310" s="328"/>
      <c r="AF310" s="328"/>
      <c r="AG310" s="346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7"/>
      <c r="C311" s="375"/>
      <c r="D311" s="266"/>
      <c r="E311" s="267"/>
      <c r="F311" s="93"/>
      <c r="G311" s="268"/>
      <c r="H311" s="269"/>
      <c r="I311" s="78"/>
      <c r="J311" s="271"/>
      <c r="L311" s="271"/>
      <c r="M311" s="296"/>
      <c r="N311" s="316"/>
      <c r="O311" s="419"/>
      <c r="P311" s="387"/>
      <c r="Q311" s="417"/>
      <c r="T311" s="13"/>
      <c r="U311" s="320"/>
      <c r="V311" s="354"/>
      <c r="W311" s="355"/>
      <c r="X311" s="355"/>
      <c r="Y311" s="355"/>
      <c r="Z311" s="356"/>
      <c r="AA311" s="328"/>
      <c r="AB311" s="674"/>
      <c r="AC311" s="328"/>
      <c r="AD311" s="333"/>
      <c r="AE311" s="328"/>
      <c r="AF311" s="328"/>
      <c r="AG311" s="346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7"/>
      <c r="C312" s="375"/>
      <c r="D312" s="266"/>
      <c r="E312" s="267"/>
      <c r="F312" s="93"/>
      <c r="G312" s="268"/>
      <c r="H312" s="269"/>
      <c r="I312" s="78"/>
      <c r="J312" s="271"/>
      <c r="L312" s="271"/>
      <c r="M312" s="296"/>
      <c r="N312" s="316"/>
      <c r="O312" s="419"/>
      <c r="P312" s="387"/>
      <c r="Q312" s="417"/>
      <c r="T312" s="13"/>
      <c r="U312" s="357"/>
      <c r="V312" s="354"/>
      <c r="W312" s="355"/>
      <c r="X312" s="330"/>
      <c r="Y312" s="354"/>
      <c r="Z312" s="356"/>
      <c r="AA312" s="328"/>
      <c r="AB312" s="674"/>
      <c r="AC312" s="346"/>
      <c r="AD312" s="333"/>
      <c r="AE312" s="346"/>
      <c r="AF312" s="346"/>
      <c r="AG312" s="346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7"/>
      <c r="C313" s="375"/>
      <c r="D313" s="266"/>
      <c r="E313" s="267"/>
      <c r="F313" s="93"/>
      <c r="G313" s="268"/>
      <c r="H313" s="269"/>
      <c r="I313" s="78"/>
      <c r="J313" s="271"/>
      <c r="L313" s="382"/>
      <c r="M313" s="296"/>
      <c r="N313" s="316"/>
      <c r="O313" s="377"/>
      <c r="P313" s="387"/>
      <c r="Q313" s="417"/>
      <c r="T313" s="13"/>
      <c r="U313" s="370"/>
      <c r="V313" s="370"/>
      <c r="W313" s="375"/>
      <c r="X313" s="374"/>
      <c r="Y313" s="370"/>
      <c r="Z313" s="376"/>
      <c r="AA313" s="371"/>
      <c r="AB313" s="673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69"/>
      <c r="C314" s="375"/>
      <c r="D314" s="374"/>
      <c r="E314" s="374"/>
      <c r="F314" s="374"/>
      <c r="G314" s="414"/>
      <c r="H314" s="415"/>
      <c r="I314" s="78"/>
      <c r="J314" s="291"/>
      <c r="L314" s="271"/>
      <c r="M314" s="296"/>
      <c r="N314" s="316"/>
      <c r="O314" s="377"/>
      <c r="P314" s="388"/>
      <c r="Q314" s="417"/>
      <c r="T314" s="13"/>
      <c r="U314" s="370"/>
      <c r="V314" s="370"/>
      <c r="W314" s="375"/>
      <c r="X314" s="374"/>
      <c r="Y314" s="370"/>
      <c r="Z314" s="376"/>
      <c r="AA314" s="371"/>
      <c r="AB314" s="673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6"/>
      <c r="O315" s="377"/>
      <c r="P315" s="388"/>
      <c r="Q315" s="417"/>
      <c r="T315" s="13"/>
      <c r="U315" s="370"/>
      <c r="V315" s="370"/>
      <c r="W315" s="375"/>
      <c r="X315" s="374"/>
      <c r="Y315" s="370"/>
      <c r="Z315" s="376"/>
      <c r="AA315" s="371"/>
      <c r="AB315" s="673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6"/>
      <c r="O316" s="377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673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117"/>
      <c r="M317" s="296"/>
      <c r="N317" s="316"/>
      <c r="O317" s="377"/>
      <c r="P317" s="387"/>
      <c r="Q317" s="417"/>
      <c r="T317" s="13"/>
      <c r="U317" s="370"/>
      <c r="V317" s="370"/>
      <c r="W317" s="375"/>
      <c r="X317" s="374"/>
      <c r="Y317" s="370"/>
      <c r="Z317" s="376"/>
      <c r="AA317" s="371"/>
      <c r="AB317" s="673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6"/>
      <c r="O318" s="377"/>
      <c r="P318" s="388"/>
      <c r="Q318" s="417"/>
      <c r="T318" s="13"/>
      <c r="U318" s="370"/>
      <c r="V318" s="370"/>
      <c r="W318" s="375"/>
      <c r="X318" s="374"/>
      <c r="Y318" s="370"/>
      <c r="Z318" s="376"/>
      <c r="AA318" s="371"/>
      <c r="AB318" s="673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94"/>
      <c r="M319" s="296"/>
      <c r="N319" s="316"/>
      <c r="O319" s="296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673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L320" s="94"/>
      <c r="M320" s="296"/>
      <c r="N320" s="316"/>
      <c r="O320" s="296"/>
      <c r="P320" s="388"/>
      <c r="Q320" s="417"/>
      <c r="T320" s="13"/>
      <c r="U320" s="370"/>
      <c r="V320" s="370"/>
      <c r="W320" s="375"/>
      <c r="X320" s="374"/>
      <c r="Y320" s="370"/>
      <c r="Z320" s="376"/>
      <c r="AA320" s="371"/>
      <c r="AB320" s="673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L321" s="94"/>
      <c r="M321" s="296"/>
      <c r="N321" s="316"/>
      <c r="O321" s="377"/>
      <c r="P321" s="387"/>
      <c r="Q321" s="417"/>
      <c r="T321" s="13"/>
      <c r="U321" s="370"/>
      <c r="V321" s="370"/>
      <c r="W321" s="375"/>
      <c r="X321" s="374"/>
      <c r="Y321" s="370"/>
      <c r="Z321" s="376"/>
      <c r="AA321" s="371"/>
      <c r="AB321" s="673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L322" s="385"/>
      <c r="M322" s="296"/>
      <c r="N322" s="316"/>
      <c r="O322" s="377"/>
      <c r="P322" s="387"/>
      <c r="Q322" s="417"/>
      <c r="T322" s="13"/>
      <c r="U322" s="370"/>
      <c r="V322" s="370"/>
      <c r="W322" s="375"/>
      <c r="X322" s="374"/>
      <c r="Y322" s="370"/>
      <c r="Z322" s="376"/>
      <c r="AA322" s="371"/>
      <c r="AB322" s="673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L323" s="94"/>
      <c r="M323" s="296"/>
      <c r="N323" s="316"/>
      <c r="O323" s="377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673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L324" s="94"/>
      <c r="M324" s="296"/>
      <c r="N324" s="316"/>
      <c r="O324" s="377"/>
      <c r="P324" s="387"/>
      <c r="Q324" s="417"/>
      <c r="T324" s="13"/>
      <c r="U324" s="370"/>
      <c r="V324" s="370"/>
      <c r="W324" s="375"/>
      <c r="X324" s="374"/>
      <c r="Y324" s="370"/>
      <c r="Z324" s="376"/>
      <c r="AA324" s="371"/>
      <c r="AB324" s="673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L325" s="94"/>
      <c r="M325" s="296"/>
      <c r="N325" s="316"/>
      <c r="O325" s="377"/>
      <c r="P325" s="387"/>
      <c r="Q325" s="417"/>
      <c r="T325" s="13"/>
      <c r="U325" s="370"/>
      <c r="V325" s="370"/>
      <c r="W325" s="375"/>
      <c r="X325" s="374"/>
      <c r="Y325" s="370"/>
      <c r="Z325" s="376"/>
      <c r="AA325" s="371"/>
      <c r="AB325" s="673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O326" s="296"/>
      <c r="P326" s="387"/>
      <c r="Q326" s="417"/>
      <c r="T326" s="13"/>
      <c r="U326" s="370"/>
      <c r="V326" s="370"/>
      <c r="W326" s="375"/>
      <c r="X326" s="374"/>
      <c r="Y326" s="370"/>
      <c r="Z326" s="376"/>
      <c r="AA326" s="371"/>
      <c r="AB326" s="673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O327" s="296"/>
      <c r="P327" s="387"/>
      <c r="Q327" s="417"/>
      <c r="T327" s="13"/>
      <c r="U327" s="370"/>
      <c r="V327" s="370"/>
      <c r="W327" s="375"/>
      <c r="X327" s="374"/>
      <c r="Y327" s="370"/>
      <c r="Z327" s="376"/>
      <c r="AA327" s="371"/>
      <c r="AB327" s="673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O328" s="296"/>
      <c r="P328" s="387"/>
      <c r="Q328" s="417"/>
      <c r="T328" s="13"/>
      <c r="U328" s="370"/>
      <c r="V328" s="370"/>
      <c r="W328" s="375"/>
      <c r="X328" s="374"/>
      <c r="Y328" s="370"/>
      <c r="Z328" s="376"/>
      <c r="AA328" s="371"/>
      <c r="AB328" s="673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7"/>
      <c r="Q329" s="417"/>
      <c r="T329" s="13"/>
      <c r="U329" s="370"/>
      <c r="V329" s="370"/>
      <c r="W329" s="375"/>
      <c r="X329" s="374"/>
      <c r="Y329" s="370"/>
      <c r="Z329" s="376"/>
      <c r="AA329" s="371"/>
      <c r="AB329" s="673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362"/>
      <c r="P330" s="387"/>
      <c r="Q330" s="417"/>
      <c r="T330" s="13"/>
      <c r="U330" s="370"/>
      <c r="V330" s="370"/>
      <c r="W330" s="375"/>
      <c r="X330" s="374"/>
      <c r="Y330" s="370"/>
      <c r="Z330" s="376"/>
      <c r="AA330" s="371"/>
      <c r="AB330" s="673"/>
      <c r="AC330" s="270"/>
      <c r="AD330" s="372"/>
      <c r="AE330" s="270"/>
      <c r="AF330" s="270"/>
      <c r="AG330" s="270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7"/>
      <c r="Q331" s="417"/>
      <c r="T331" s="13"/>
      <c r="U331" s="370"/>
      <c r="V331" s="370"/>
      <c r="W331" s="375"/>
      <c r="X331" s="374"/>
      <c r="Y331" s="370"/>
      <c r="Z331" s="376"/>
      <c r="AA331" s="371"/>
      <c r="AB331" s="673"/>
      <c r="AC331" s="270"/>
      <c r="AD331" s="372"/>
      <c r="AE331" s="270"/>
      <c r="AF331" s="270"/>
      <c r="AG331" s="270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7"/>
      <c r="Q332" s="417"/>
      <c r="T332" s="13"/>
      <c r="U332" s="370"/>
      <c r="V332" s="370"/>
      <c r="W332" s="375"/>
      <c r="X332" s="374"/>
      <c r="Y332" s="370"/>
      <c r="Z332" s="376"/>
      <c r="AA332" s="371"/>
      <c r="AB332" s="673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7"/>
      <c r="Q333" s="417"/>
      <c r="T333" s="13"/>
      <c r="U333" s="370"/>
      <c r="V333" s="370"/>
      <c r="W333" s="375"/>
      <c r="X333" s="374"/>
      <c r="Y333" s="370"/>
      <c r="Z333" s="376"/>
      <c r="AA333" s="371"/>
      <c r="AB333" s="673"/>
      <c r="AC333" s="270"/>
      <c r="AD333" s="372"/>
      <c r="AE333" s="270"/>
      <c r="AF333" s="270"/>
      <c r="AG333" s="270"/>
      <c r="AH333" s="272"/>
      <c r="AI333" s="313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8"/>
      <c r="Q334" s="417"/>
      <c r="T334" s="13"/>
      <c r="U334" s="370"/>
      <c r="V334" s="370"/>
      <c r="W334" s="375"/>
      <c r="X334" s="374"/>
      <c r="Y334" s="370"/>
      <c r="Z334" s="376"/>
      <c r="AA334" s="371"/>
      <c r="AB334" s="673"/>
      <c r="AC334" s="270"/>
      <c r="AD334" s="372"/>
      <c r="AE334" s="270"/>
      <c r="AF334" s="270"/>
      <c r="AG334" s="270"/>
      <c r="AH334" s="272"/>
      <c r="AI334" s="313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6"/>
      <c r="Q335" s="420"/>
      <c r="T335" s="13"/>
      <c r="U335" s="370"/>
      <c r="V335" s="370"/>
      <c r="W335" s="375"/>
      <c r="X335" s="374"/>
      <c r="Y335" s="370"/>
      <c r="Z335" s="376"/>
      <c r="AA335" s="371"/>
      <c r="AB335" s="673"/>
      <c r="AC335" s="270"/>
      <c r="AD335" s="372"/>
      <c r="AE335" s="270"/>
      <c r="AF335" s="270"/>
      <c r="AG335" s="270"/>
      <c r="AH335" s="272"/>
      <c r="AI335" s="313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7"/>
      <c r="Q336" s="417"/>
      <c r="T336" s="13"/>
      <c r="U336" s="370"/>
      <c r="V336" s="370"/>
      <c r="W336" s="375"/>
      <c r="X336" s="374"/>
      <c r="Y336" s="370"/>
      <c r="Z336" s="376"/>
      <c r="AA336" s="371"/>
      <c r="AB336" s="673"/>
      <c r="AC336" s="270"/>
      <c r="AD336" s="372"/>
      <c r="AE336" s="270"/>
      <c r="AF336" s="270"/>
      <c r="AG336" s="270"/>
      <c r="AH336" s="272"/>
      <c r="AI336" s="313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7"/>
      <c r="Q337" s="417"/>
      <c r="T337" s="13"/>
      <c r="U337" s="370"/>
      <c r="V337" s="370"/>
      <c r="W337" s="375"/>
      <c r="X337" s="374"/>
      <c r="Y337" s="370"/>
      <c r="Z337" s="376"/>
      <c r="AA337" s="371"/>
      <c r="AB337" s="673"/>
      <c r="AC337" s="270"/>
      <c r="AD337" s="372"/>
      <c r="AE337" s="270"/>
      <c r="AF337" s="270"/>
      <c r="AG337" s="270"/>
      <c r="AH337" s="272"/>
      <c r="AI337" s="313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7"/>
      <c r="Q338" s="417"/>
      <c r="T338" s="13"/>
      <c r="U338" s="370"/>
      <c r="V338" s="370"/>
      <c r="W338" s="375"/>
      <c r="X338" s="374"/>
      <c r="Y338" s="370"/>
      <c r="Z338" s="376"/>
      <c r="AA338" s="371"/>
      <c r="AB338" s="673"/>
      <c r="AC338" s="270"/>
      <c r="AD338" s="372"/>
      <c r="AE338" s="270"/>
      <c r="AF338" s="270"/>
      <c r="AG338" s="270"/>
      <c r="AH338" s="272"/>
      <c r="AI338" s="313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7"/>
      <c r="Q339" s="417"/>
      <c r="T339" s="13"/>
      <c r="U339" s="370"/>
      <c r="V339" s="370"/>
      <c r="W339" s="375"/>
      <c r="X339" s="374"/>
      <c r="Y339" s="370"/>
      <c r="Z339" s="376"/>
      <c r="AA339" s="371"/>
      <c r="AB339" s="673"/>
      <c r="AC339" s="270"/>
      <c r="AD339" s="372"/>
      <c r="AE339" s="270"/>
      <c r="AF339" s="270"/>
      <c r="AG339" s="270"/>
      <c r="AH339" s="272"/>
      <c r="AI339" s="313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7"/>
      <c r="Q340" s="417"/>
      <c r="T340" s="13"/>
      <c r="U340" s="370"/>
      <c r="V340" s="370"/>
      <c r="W340" s="375"/>
      <c r="X340" s="374"/>
      <c r="Y340" s="370"/>
      <c r="Z340" s="376"/>
      <c r="AA340" s="371"/>
      <c r="AB340" s="673"/>
      <c r="AC340" s="270"/>
      <c r="AD340" s="372"/>
      <c r="AE340" s="270"/>
      <c r="AF340" s="270"/>
      <c r="AG340" s="270"/>
      <c r="AH340" s="272"/>
      <c r="AI340" s="313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296"/>
      <c r="P341" s="388"/>
      <c r="Q341" s="417"/>
      <c r="T341" s="13"/>
      <c r="U341" s="370"/>
      <c r="V341" s="370"/>
      <c r="W341" s="375"/>
      <c r="X341" s="374"/>
      <c r="Y341" s="370"/>
      <c r="Z341" s="376"/>
      <c r="AA341" s="371"/>
      <c r="AB341" s="673"/>
      <c r="AC341" s="270"/>
      <c r="AD341" s="372"/>
      <c r="AE341" s="270"/>
      <c r="AF341" s="270"/>
      <c r="AG341" s="270"/>
      <c r="AH341" s="272"/>
      <c r="AI341" s="313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296"/>
      <c r="P342" s="387"/>
      <c r="Q342" s="417"/>
      <c r="T342" s="13"/>
      <c r="U342" s="370"/>
      <c r="V342" s="370"/>
      <c r="W342" s="375"/>
      <c r="X342" s="374"/>
      <c r="Y342" s="370"/>
      <c r="Z342" s="376"/>
      <c r="AA342" s="371"/>
      <c r="AB342" s="673"/>
      <c r="AC342" s="270"/>
      <c r="AD342" s="372"/>
      <c r="AE342" s="270"/>
      <c r="AF342" s="270"/>
      <c r="AG342" s="270"/>
      <c r="AH342" s="272"/>
      <c r="AI342" s="313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296"/>
      <c r="P343" s="387"/>
      <c r="Q343" s="417"/>
      <c r="T343" s="13"/>
      <c r="U343" s="370"/>
      <c r="V343" s="370"/>
      <c r="W343" s="375"/>
      <c r="X343" s="374"/>
      <c r="Y343" s="370"/>
      <c r="Z343" s="376"/>
      <c r="AA343" s="371"/>
      <c r="AB343" s="673"/>
      <c r="AC343" s="270"/>
      <c r="AD343" s="372"/>
      <c r="AE343" s="270"/>
      <c r="AF343" s="270"/>
      <c r="AG343" s="270"/>
      <c r="AH343" s="272"/>
      <c r="AI343" s="313"/>
      <c r="AJ343" s="21"/>
      <c r="AK343" s="21"/>
      <c r="AL343" s="21"/>
      <c r="AM343" s="21"/>
      <c r="AN343" s="21"/>
      <c r="AO343" s="21"/>
    </row>
    <row r="344" spans="1:41" s="53" customFormat="1" ht="14.25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296"/>
      <c r="P344" s="387"/>
      <c r="Q344" s="417"/>
      <c r="T344" s="13"/>
      <c r="U344" s="370"/>
      <c r="V344" s="370"/>
      <c r="W344" s="375"/>
      <c r="X344" s="374"/>
      <c r="Y344" s="370"/>
      <c r="Z344" s="376"/>
      <c r="AA344" s="371"/>
      <c r="AB344" s="673"/>
      <c r="AC344" s="270"/>
      <c r="AD344" s="372"/>
      <c r="AE344" s="270"/>
      <c r="AF344" s="270"/>
      <c r="AG344" s="270"/>
      <c r="AH344" s="272"/>
      <c r="AI344" s="313"/>
      <c r="AJ344" s="21"/>
      <c r="AK344" s="21"/>
      <c r="AL344" s="21"/>
      <c r="AM344" s="21"/>
      <c r="AN344" s="21"/>
      <c r="AO344" s="21"/>
    </row>
    <row r="345" spans="1:41" s="53" customFormat="1" ht="14.25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296"/>
      <c r="P345" s="387"/>
      <c r="Q345" s="417"/>
      <c r="T345" s="13"/>
      <c r="U345" s="370"/>
      <c r="V345" s="370"/>
      <c r="W345" s="375"/>
      <c r="X345" s="374"/>
      <c r="Y345" s="370"/>
      <c r="Z345" s="376"/>
      <c r="AA345" s="371"/>
      <c r="AB345" s="673"/>
      <c r="AC345" s="270"/>
      <c r="AD345" s="372"/>
      <c r="AE345" s="270"/>
      <c r="AF345" s="270"/>
      <c r="AG345" s="270"/>
      <c r="AH345" s="272"/>
      <c r="AI345" s="313"/>
      <c r="AJ345" s="21"/>
      <c r="AK345" s="21"/>
      <c r="AL345" s="21"/>
      <c r="AM345" s="21"/>
      <c r="AN345" s="21"/>
      <c r="AO345" s="21"/>
    </row>
    <row r="346" spans="1:41" s="53" customFormat="1" ht="14.25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387"/>
      <c r="Q346" s="417"/>
      <c r="T346" s="13"/>
      <c r="U346" s="370"/>
      <c r="V346" s="370"/>
      <c r="W346" s="375"/>
      <c r="X346" s="374"/>
      <c r="Y346" s="370"/>
      <c r="Z346" s="376"/>
      <c r="AA346" s="371"/>
      <c r="AB346" s="673"/>
      <c r="AC346" s="270"/>
      <c r="AD346" s="372"/>
      <c r="AE346" s="270"/>
      <c r="AF346" s="270"/>
      <c r="AG346" s="270"/>
      <c r="AH346" s="272"/>
      <c r="AI346" s="313"/>
      <c r="AJ346" s="21"/>
      <c r="AK346" s="21"/>
      <c r="AL346" s="21"/>
      <c r="AM346" s="21"/>
      <c r="AN346" s="21"/>
      <c r="AO346" s="21"/>
    </row>
    <row r="347" spans="1:41" s="53" customFormat="1" ht="14.25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387"/>
      <c r="Q347" s="417"/>
      <c r="T347" s="13"/>
      <c r="U347" s="370"/>
      <c r="V347" s="370"/>
      <c r="W347" s="375"/>
      <c r="X347" s="374"/>
      <c r="Y347" s="370"/>
      <c r="Z347" s="376"/>
      <c r="AA347" s="371"/>
      <c r="AB347" s="673"/>
      <c r="AC347" s="270"/>
      <c r="AD347" s="372"/>
      <c r="AE347" s="270"/>
      <c r="AF347" s="270"/>
      <c r="AG347" s="270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ht="14.25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388"/>
      <c r="Q348" s="417"/>
      <c r="T348" s="13"/>
      <c r="U348" s="370"/>
      <c r="V348" s="370"/>
      <c r="W348" s="375"/>
      <c r="X348" s="374"/>
      <c r="Y348" s="370"/>
      <c r="Z348" s="376"/>
      <c r="AA348" s="371"/>
      <c r="AB348" s="673"/>
      <c r="AC348" s="270"/>
      <c r="AD348" s="372"/>
      <c r="AE348" s="270"/>
      <c r="AF348" s="270"/>
      <c r="AG348" s="270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316"/>
      <c r="R349" s="362"/>
      <c r="S349" s="291"/>
      <c r="T349" s="13"/>
      <c r="U349" s="370"/>
      <c r="V349" s="370"/>
      <c r="W349" s="375"/>
      <c r="X349" s="374"/>
      <c r="Y349" s="370"/>
      <c r="Z349" s="376"/>
      <c r="AA349" s="371"/>
      <c r="AB349" s="673"/>
      <c r="AC349" s="270"/>
      <c r="AD349" s="372"/>
      <c r="AE349" s="270"/>
      <c r="AF349" s="270"/>
      <c r="AG349" s="270"/>
      <c r="AH349" s="272"/>
      <c r="AI349" s="313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21"/>
      <c r="R350" s="362"/>
      <c r="S350" s="291"/>
      <c r="T350" s="13"/>
      <c r="U350" s="370"/>
      <c r="V350" s="370"/>
      <c r="W350" s="375"/>
      <c r="X350" s="374"/>
      <c r="Y350" s="370"/>
      <c r="Z350" s="376"/>
      <c r="AA350" s="371"/>
      <c r="AB350" s="673"/>
      <c r="AC350" s="270"/>
      <c r="AD350" s="372"/>
      <c r="AE350" s="270"/>
      <c r="AF350" s="270"/>
      <c r="AG350" s="270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21"/>
      <c r="R351" s="362"/>
      <c r="S351" s="291"/>
      <c r="T351" s="13"/>
      <c r="U351" s="370"/>
      <c r="V351" s="370"/>
      <c r="W351" s="375"/>
      <c r="X351" s="374"/>
      <c r="Y351" s="370"/>
      <c r="Z351" s="376"/>
      <c r="AA351" s="371"/>
      <c r="AB351" s="673"/>
      <c r="AC351" s="270"/>
      <c r="AD351" s="372"/>
      <c r="AE351" s="270"/>
      <c r="AF351" s="270"/>
      <c r="AG351" s="270"/>
      <c r="AH351" s="272"/>
      <c r="AI351" s="313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21"/>
      <c r="R352" s="362"/>
      <c r="S352" s="291"/>
      <c r="T352" s="13"/>
      <c r="U352" s="370"/>
      <c r="V352" s="370"/>
      <c r="W352" s="375"/>
      <c r="X352" s="374"/>
      <c r="Y352" s="370"/>
      <c r="Z352" s="376"/>
      <c r="AA352" s="371"/>
      <c r="AB352" s="673"/>
      <c r="AC352" s="270"/>
      <c r="AD352" s="372"/>
      <c r="AE352" s="270"/>
      <c r="AF352" s="270"/>
      <c r="AG352" s="270"/>
      <c r="AH352" s="272"/>
      <c r="AI352" s="313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21"/>
      <c r="R353" s="383"/>
      <c r="S353" s="21"/>
      <c r="T353" s="13"/>
      <c r="U353" s="370"/>
      <c r="V353" s="370"/>
      <c r="W353" s="375"/>
      <c r="X353" s="374"/>
      <c r="Y353" s="370"/>
      <c r="Z353" s="376"/>
      <c r="AA353" s="371"/>
      <c r="AB353" s="673"/>
      <c r="AC353" s="270"/>
      <c r="AD353" s="372"/>
      <c r="AE353" s="270"/>
      <c r="AF353" s="270"/>
      <c r="AG353" s="270"/>
      <c r="AH353" s="272"/>
      <c r="AI353" s="313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21"/>
      <c r="R354" s="383"/>
      <c r="S354" s="21"/>
      <c r="T354" s="13"/>
      <c r="U354" s="354"/>
      <c r="V354" s="354"/>
      <c r="W354" s="355"/>
      <c r="X354" s="330"/>
      <c r="Y354" s="354"/>
      <c r="Z354" s="356"/>
      <c r="AA354" s="328"/>
      <c r="AB354" s="674"/>
      <c r="AC354" s="346"/>
      <c r="AD354" s="333"/>
      <c r="AE354" s="346"/>
      <c r="AF354" s="346"/>
      <c r="AG354" s="346"/>
      <c r="AH354" s="272"/>
      <c r="AI354" s="313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O355" s="97"/>
      <c r="P355" s="296"/>
      <c r="Q355" s="421"/>
      <c r="R355" s="383"/>
      <c r="S355" s="21"/>
      <c r="T355" s="13"/>
      <c r="U355" s="354"/>
      <c r="V355" s="354"/>
      <c r="W355" s="355"/>
      <c r="X355" s="330"/>
      <c r="Y355" s="354"/>
      <c r="Z355" s="356"/>
      <c r="AA355" s="328"/>
      <c r="AB355" s="674"/>
      <c r="AC355" s="346"/>
      <c r="AD355" s="333"/>
      <c r="AE355" s="346"/>
      <c r="AF355" s="346"/>
      <c r="AG355" s="346"/>
      <c r="AH355" s="272"/>
      <c r="AI355" s="313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O356" s="97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673"/>
      <c r="AC356" s="270"/>
      <c r="AD356" s="372"/>
      <c r="AE356" s="270"/>
      <c r="AF356" s="270"/>
      <c r="AG356" s="270"/>
      <c r="AH356" s="272"/>
      <c r="AI356" s="313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673"/>
      <c r="AC357" s="270"/>
      <c r="AD357" s="372"/>
      <c r="AE357" s="270"/>
      <c r="AF357" s="270"/>
      <c r="AG357" s="270"/>
      <c r="AH357" s="272"/>
      <c r="AI357" s="389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673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673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673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O361" s="97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673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673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673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673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673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21"/>
      <c r="R366" s="383"/>
      <c r="S366" s="1"/>
      <c r="T366" s="13"/>
      <c r="U366" s="381"/>
      <c r="V366" s="381"/>
      <c r="W366" s="375"/>
      <c r="X366" s="374"/>
      <c r="Y366" s="370"/>
      <c r="Z366" s="376"/>
      <c r="AA366" s="371"/>
      <c r="AB366" s="673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673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673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673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673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673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21"/>
      <c r="R372" s="383"/>
      <c r="S372" s="21"/>
      <c r="T372" s="13"/>
      <c r="U372" s="381"/>
      <c r="V372" s="381"/>
      <c r="W372" s="375"/>
      <c r="X372" s="374"/>
      <c r="Y372" s="370"/>
      <c r="Z372" s="376"/>
      <c r="AA372" s="371"/>
      <c r="AB372" s="673"/>
      <c r="AC372" s="270"/>
      <c r="AD372" s="372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21"/>
      <c r="R373" s="383"/>
      <c r="S373" s="21"/>
      <c r="T373" s="13"/>
      <c r="U373" s="381"/>
      <c r="V373" s="381"/>
      <c r="W373" s="375"/>
      <c r="X373" s="374"/>
      <c r="Y373" s="370"/>
      <c r="Z373" s="376"/>
      <c r="AA373" s="371"/>
      <c r="AB373" s="673"/>
      <c r="AC373" s="270"/>
      <c r="AD373" s="372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21"/>
      <c r="R374" s="383"/>
      <c r="S374" s="21"/>
      <c r="T374" s="13"/>
      <c r="U374" s="381"/>
      <c r="V374" s="381"/>
      <c r="W374" s="375"/>
      <c r="X374" s="374"/>
      <c r="Y374" s="370"/>
      <c r="Z374" s="376"/>
      <c r="AA374" s="371"/>
      <c r="AB374" s="673"/>
      <c r="AC374" s="270"/>
      <c r="AD374" s="372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21"/>
      <c r="R375" s="383"/>
      <c r="S375" s="21"/>
      <c r="T375" s="13"/>
      <c r="U375" s="381"/>
      <c r="V375" s="381"/>
      <c r="W375" s="375"/>
      <c r="X375" s="374"/>
      <c r="Y375" s="370"/>
      <c r="Z375" s="376"/>
      <c r="AA375" s="371"/>
      <c r="AB375" s="673"/>
      <c r="AC375" s="270"/>
      <c r="AD375" s="372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21"/>
      <c r="R376" s="383"/>
      <c r="S376" s="21"/>
      <c r="T376" s="13"/>
      <c r="U376" s="381"/>
      <c r="V376" s="381"/>
      <c r="W376" s="375"/>
      <c r="X376" s="374"/>
      <c r="Y376" s="370"/>
      <c r="Z376" s="376"/>
      <c r="AA376" s="371"/>
      <c r="AB376" s="673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97"/>
      <c r="P377" s="296"/>
      <c r="Q377" s="421"/>
      <c r="R377" s="383"/>
      <c r="S377" s="21"/>
      <c r="T377" s="13"/>
      <c r="U377" s="381"/>
      <c r="V377" s="381"/>
      <c r="W377" s="375"/>
      <c r="X377" s="374"/>
      <c r="Y377" s="370"/>
      <c r="Z377" s="376"/>
      <c r="AA377" s="371"/>
      <c r="AB377" s="673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97"/>
      <c r="P378" s="296"/>
      <c r="Q378" s="421"/>
      <c r="R378" s="383"/>
      <c r="S378" s="21"/>
      <c r="T378" s="13"/>
      <c r="U378" s="381"/>
      <c r="V378" s="381"/>
      <c r="W378" s="375"/>
      <c r="X378" s="374"/>
      <c r="Y378" s="370"/>
      <c r="Z378" s="376"/>
      <c r="AA378" s="371"/>
      <c r="AB378" s="673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97"/>
      <c r="P379" s="296"/>
      <c r="Q379" s="421"/>
      <c r="R379" s="383"/>
      <c r="S379" s="21"/>
      <c r="T379" s="13"/>
      <c r="U379" s="381"/>
      <c r="V379" s="381"/>
      <c r="W379" s="375"/>
      <c r="X379" s="374"/>
      <c r="Y379" s="370"/>
      <c r="Z379" s="376"/>
      <c r="AA379" s="371"/>
      <c r="AB379" s="673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97"/>
      <c r="P380" s="296"/>
      <c r="Q380" s="421"/>
      <c r="R380" s="383"/>
      <c r="S380" s="21"/>
      <c r="T380" s="13"/>
      <c r="U380" s="381"/>
      <c r="V380" s="381"/>
      <c r="W380" s="375"/>
      <c r="X380" s="374"/>
      <c r="Y380" s="370"/>
      <c r="Z380" s="376"/>
      <c r="AA380" s="371"/>
      <c r="AB380" s="673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97"/>
      <c r="P381" s="296"/>
      <c r="Q381" s="421"/>
      <c r="R381" s="383"/>
      <c r="S381" s="21"/>
      <c r="T381" s="13"/>
      <c r="U381" s="381"/>
      <c r="V381" s="381"/>
      <c r="W381" s="375"/>
      <c r="X381" s="374"/>
      <c r="Y381" s="370"/>
      <c r="Z381" s="376"/>
      <c r="AA381" s="371"/>
      <c r="AB381" s="673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81"/>
      <c r="W382" s="375"/>
      <c r="X382" s="374"/>
      <c r="Y382" s="370"/>
      <c r="Z382" s="376"/>
      <c r="AA382" s="371"/>
      <c r="AB382" s="673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81"/>
      <c r="W383" s="375"/>
      <c r="X383" s="374"/>
      <c r="Y383" s="370"/>
      <c r="Z383" s="376"/>
      <c r="AA383" s="371"/>
      <c r="AB383" s="673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81"/>
      <c r="W384" s="375"/>
      <c r="X384" s="374"/>
      <c r="Y384" s="370"/>
      <c r="Z384" s="376"/>
      <c r="AA384" s="371"/>
      <c r="AB384" s="673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81"/>
      <c r="W385" s="375"/>
      <c r="X385" s="374"/>
      <c r="Y385" s="370"/>
      <c r="Z385" s="376"/>
      <c r="AA385" s="371"/>
      <c r="AB385" s="673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81"/>
      <c r="W386" s="375"/>
      <c r="X386" s="374"/>
      <c r="Y386" s="370"/>
      <c r="Z386" s="376"/>
      <c r="AA386" s="371"/>
      <c r="AB386" s="673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81"/>
      <c r="W387" s="375"/>
      <c r="X387" s="374"/>
      <c r="Y387" s="370"/>
      <c r="Z387" s="376"/>
      <c r="AA387" s="371"/>
      <c r="AB387" s="673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81"/>
      <c r="W388" s="375"/>
      <c r="X388" s="374"/>
      <c r="Y388" s="370"/>
      <c r="Z388" s="376"/>
      <c r="AA388" s="371"/>
      <c r="AB388" s="673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81"/>
      <c r="W389" s="375"/>
      <c r="X389" s="374"/>
      <c r="Y389" s="370"/>
      <c r="Z389" s="376"/>
      <c r="AA389" s="371"/>
      <c r="AB389" s="673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81"/>
      <c r="W390" s="375"/>
      <c r="X390" s="374"/>
      <c r="Y390" s="370"/>
      <c r="Z390" s="376"/>
      <c r="AA390" s="371"/>
      <c r="AB390" s="673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81"/>
      <c r="W391" s="375"/>
      <c r="X391" s="374"/>
      <c r="Y391" s="370"/>
      <c r="Z391" s="376"/>
      <c r="AA391" s="371"/>
      <c r="AB391" s="673"/>
      <c r="AC391" s="270"/>
      <c r="AD391" s="372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81"/>
      <c r="W392" s="375"/>
      <c r="X392" s="374"/>
      <c r="Y392" s="370"/>
      <c r="Z392" s="376"/>
      <c r="AA392" s="371"/>
      <c r="AB392" s="673"/>
      <c r="AC392" s="270"/>
      <c r="AD392" s="372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4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21"/>
      <c r="R393" s="383"/>
      <c r="S393" s="21"/>
      <c r="T393" s="13"/>
      <c r="U393" s="381"/>
      <c r="V393" s="381"/>
      <c r="W393" s="375"/>
      <c r="X393" s="374"/>
      <c r="Y393" s="370"/>
      <c r="Z393" s="376"/>
      <c r="AA393" s="371"/>
      <c r="AB393" s="673"/>
      <c r="AC393" s="270"/>
      <c r="AD393" s="372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4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21"/>
      <c r="R394" s="383"/>
      <c r="S394" s="21"/>
      <c r="T394" s="13"/>
      <c r="U394" s="381"/>
      <c r="V394" s="381"/>
      <c r="W394" s="375"/>
      <c r="X394" s="374"/>
      <c r="Y394" s="370"/>
      <c r="Z394" s="376"/>
      <c r="AA394" s="371"/>
      <c r="AB394" s="673"/>
      <c r="AC394" s="270"/>
      <c r="AD394" s="372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4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21"/>
      <c r="R395" s="383"/>
      <c r="S395" s="21"/>
      <c r="T395" s="13"/>
      <c r="U395" s="381"/>
      <c r="V395" s="381"/>
      <c r="W395" s="375"/>
      <c r="X395" s="374"/>
      <c r="Y395" s="370"/>
      <c r="Z395" s="376"/>
      <c r="AA395" s="371"/>
      <c r="AB395" s="673"/>
      <c r="AC395" s="270"/>
      <c r="AD395" s="372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4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21"/>
      <c r="R396" s="383"/>
      <c r="S396" s="21"/>
      <c r="T396" s="13"/>
      <c r="U396" s="381"/>
      <c r="V396" s="321"/>
      <c r="W396" s="322"/>
      <c r="X396" s="322"/>
      <c r="Y396" s="322"/>
      <c r="Z396" s="323"/>
      <c r="AA396" s="371"/>
      <c r="AB396" s="673"/>
      <c r="AC396" s="371"/>
      <c r="AD396" s="372"/>
      <c r="AE396" s="371"/>
      <c r="AF396" s="371"/>
      <c r="AG396" s="270"/>
      <c r="AH396" s="272"/>
      <c r="AI396" s="1"/>
      <c r="AJ396" s="21"/>
      <c r="AK396" s="21"/>
      <c r="AL396" s="21"/>
      <c r="AM396" s="21"/>
      <c r="AN396" s="21"/>
      <c r="AO396" s="21"/>
    </row>
    <row r="397" spans="1:44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421"/>
      <c r="R397" s="383"/>
      <c r="S397" s="21"/>
      <c r="T397" s="13"/>
      <c r="U397" s="381"/>
      <c r="V397" s="321"/>
      <c r="W397" s="322"/>
      <c r="X397" s="322"/>
      <c r="Y397" s="322"/>
      <c r="Z397" s="323"/>
      <c r="AA397" s="371"/>
      <c r="AB397" s="673"/>
      <c r="AC397" s="371"/>
      <c r="AD397" s="372"/>
      <c r="AE397" s="371"/>
      <c r="AF397" s="371"/>
      <c r="AG397" s="270"/>
      <c r="AH397" s="272"/>
      <c r="AI397" s="1"/>
      <c r="AJ397" s="21"/>
      <c r="AK397" s="21"/>
      <c r="AL397" s="21"/>
      <c r="AM397" s="21"/>
      <c r="AN397" s="21"/>
      <c r="AO397" s="21"/>
      <c r="AQ397" s="21"/>
      <c r="AR397" s="21"/>
    </row>
    <row r="398" spans="1:44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421"/>
      <c r="R398" s="383"/>
      <c r="S398" s="21"/>
      <c r="T398" s="13"/>
      <c r="U398" s="381"/>
      <c r="V398" s="321"/>
      <c r="W398" s="322"/>
      <c r="X398" s="322"/>
      <c r="Y398" s="322"/>
      <c r="Z398" s="323"/>
      <c r="AA398" s="371"/>
      <c r="AB398" s="673"/>
      <c r="AC398" s="371"/>
      <c r="AD398" s="372"/>
      <c r="AE398" s="371"/>
      <c r="AF398" s="371"/>
      <c r="AG398" s="270"/>
      <c r="AH398" s="272"/>
      <c r="AI398" s="1"/>
      <c r="AJ398" s="21"/>
      <c r="AK398" s="21"/>
      <c r="AL398" s="21"/>
      <c r="AM398" s="21"/>
      <c r="AN398" s="21"/>
      <c r="AO398" s="21"/>
      <c r="AQ398" s="21"/>
      <c r="AR398" s="21"/>
    </row>
    <row r="399" spans="1:44" x14ac:dyDescent="0.2">
      <c r="A399" s="48"/>
      <c r="B399" s="306"/>
      <c r="C399" s="233"/>
      <c r="D399" s="233"/>
      <c r="P399" s="296"/>
      <c r="Q399" s="421"/>
      <c r="R399" s="383"/>
      <c r="U399" s="381"/>
      <c r="V399" s="321"/>
      <c r="W399" s="322"/>
      <c r="X399" s="322"/>
      <c r="Y399" s="322"/>
      <c r="Z399" s="323"/>
      <c r="AA399" s="371"/>
      <c r="AB399" s="673"/>
      <c r="AC399" s="371"/>
      <c r="AD399" s="372"/>
      <c r="AE399" s="371"/>
      <c r="AF399" s="371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21"/>
      <c r="R400" s="383"/>
      <c r="U400" s="381"/>
      <c r="V400" s="321"/>
      <c r="W400" s="322"/>
      <c r="X400" s="322"/>
      <c r="Y400" s="322"/>
      <c r="Z400" s="323"/>
      <c r="AA400" s="371"/>
      <c r="AB400" s="673"/>
      <c r="AC400" s="371"/>
      <c r="AD400" s="372"/>
      <c r="AE400" s="371"/>
      <c r="AF400" s="371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21"/>
      <c r="R401" s="383"/>
      <c r="U401" s="381"/>
      <c r="V401" s="370"/>
      <c r="W401" s="375"/>
      <c r="X401" s="375"/>
      <c r="Y401" s="375"/>
      <c r="Z401" s="376"/>
      <c r="AA401" s="371"/>
      <c r="AB401" s="673"/>
      <c r="AC401" s="371"/>
      <c r="AD401" s="372"/>
      <c r="AE401" s="371"/>
      <c r="AF401" s="371"/>
      <c r="AG401" s="270"/>
      <c r="AH401" s="272"/>
      <c r="AP401" s="53"/>
    </row>
    <row r="402" spans="1:44" x14ac:dyDescent="0.2">
      <c r="A402" s="48"/>
      <c r="B402" s="306"/>
      <c r="C402" s="233"/>
      <c r="D402" s="233"/>
      <c r="P402" s="296"/>
      <c r="Q402" s="421"/>
      <c r="R402" s="383"/>
      <c r="U402" s="381"/>
      <c r="V402" s="370"/>
      <c r="W402" s="375"/>
      <c r="X402" s="374"/>
      <c r="Y402" s="370"/>
      <c r="Z402" s="376"/>
      <c r="AA402" s="371"/>
      <c r="AB402" s="673"/>
      <c r="AC402" s="270"/>
      <c r="AD402" s="372"/>
      <c r="AE402" s="270"/>
      <c r="AF402" s="270"/>
      <c r="AG402" s="270"/>
      <c r="AH402" s="272"/>
      <c r="AP402" s="53"/>
    </row>
    <row r="403" spans="1:44" x14ac:dyDescent="0.2">
      <c r="A403" s="48"/>
      <c r="B403" s="306"/>
      <c r="C403" s="233"/>
      <c r="D403" s="233"/>
      <c r="P403" s="296"/>
      <c r="Q403" s="421"/>
      <c r="R403" s="383"/>
      <c r="U403" s="381"/>
      <c r="V403" s="370"/>
      <c r="W403" s="375"/>
      <c r="X403" s="374"/>
      <c r="Y403" s="370"/>
      <c r="Z403" s="376"/>
      <c r="AA403" s="371"/>
      <c r="AB403" s="673"/>
      <c r="AC403" s="270"/>
      <c r="AD403" s="372"/>
      <c r="AE403" s="270"/>
      <c r="AF403" s="270"/>
      <c r="AG403" s="270"/>
      <c r="AH403" s="272"/>
      <c r="AP403" s="53"/>
    </row>
    <row r="404" spans="1:44" x14ac:dyDescent="0.2">
      <c r="A404" s="48"/>
      <c r="B404" s="306"/>
      <c r="C404" s="233"/>
      <c r="D404" s="233"/>
      <c r="P404" s="296"/>
      <c r="Q404" s="421"/>
      <c r="R404" s="383"/>
      <c r="U404" s="381"/>
      <c r="V404" s="370"/>
      <c r="W404" s="375"/>
      <c r="X404" s="374"/>
      <c r="Y404" s="370"/>
      <c r="Z404" s="376"/>
      <c r="AA404" s="371"/>
      <c r="AB404" s="673"/>
      <c r="AC404" s="270"/>
      <c r="AD404" s="372"/>
      <c r="AE404" s="270"/>
      <c r="AF404" s="270"/>
      <c r="AG404" s="270"/>
      <c r="AH404" s="272"/>
      <c r="AP404" s="53"/>
    </row>
    <row r="405" spans="1:44" x14ac:dyDescent="0.2">
      <c r="A405" s="48"/>
      <c r="B405" s="306"/>
      <c r="C405" s="233"/>
      <c r="D405" s="233"/>
      <c r="P405" s="296"/>
      <c r="Q405" s="421"/>
      <c r="R405" s="383"/>
      <c r="U405" s="381"/>
      <c r="V405" s="370"/>
      <c r="W405" s="375"/>
      <c r="X405" s="374"/>
      <c r="Y405" s="370"/>
      <c r="Z405" s="376"/>
      <c r="AA405" s="371"/>
      <c r="AB405" s="673"/>
      <c r="AC405" s="270"/>
      <c r="AD405" s="372"/>
      <c r="AE405" s="270"/>
      <c r="AF405" s="270"/>
      <c r="AG405" s="270"/>
      <c r="AH405" s="272"/>
      <c r="AP405" s="53"/>
    </row>
    <row r="406" spans="1:44" x14ac:dyDescent="0.2">
      <c r="A406" s="48"/>
      <c r="B406" s="306"/>
      <c r="C406" s="233"/>
      <c r="D406" s="233"/>
      <c r="P406" s="296"/>
      <c r="Q406" s="421"/>
      <c r="R406" s="383"/>
      <c r="U406" s="381"/>
      <c r="V406" s="370"/>
      <c r="W406" s="375"/>
      <c r="X406" s="374"/>
      <c r="Y406" s="370"/>
      <c r="Z406" s="376"/>
      <c r="AA406" s="371"/>
      <c r="AB406" s="673"/>
      <c r="AC406" s="270"/>
      <c r="AD406" s="372"/>
      <c r="AE406" s="270"/>
      <c r="AF406" s="270"/>
      <c r="AG406" s="270"/>
      <c r="AH406" s="272"/>
      <c r="AP406" s="53"/>
    </row>
    <row r="407" spans="1:44" x14ac:dyDescent="0.2">
      <c r="A407" s="48"/>
      <c r="B407" s="306"/>
      <c r="C407" s="233"/>
      <c r="D407" s="233"/>
      <c r="P407" s="296"/>
      <c r="Q407" s="421"/>
      <c r="R407" s="383"/>
      <c r="U407" s="381"/>
      <c r="V407" s="370"/>
      <c r="W407" s="375"/>
      <c r="X407" s="374"/>
      <c r="Y407" s="370"/>
      <c r="Z407" s="376"/>
      <c r="AA407" s="371"/>
      <c r="AB407" s="673"/>
      <c r="AC407" s="270"/>
      <c r="AD407" s="372"/>
      <c r="AE407" s="270"/>
      <c r="AF407" s="270"/>
      <c r="AG407" s="270"/>
      <c r="AH407" s="272"/>
      <c r="AP407" s="53"/>
      <c r="AQ407" s="53"/>
      <c r="AR407" s="53"/>
    </row>
    <row r="408" spans="1:44" x14ac:dyDescent="0.2">
      <c r="A408" s="48"/>
      <c r="B408" s="306"/>
      <c r="C408" s="233"/>
      <c r="D408" s="233"/>
      <c r="P408" s="296"/>
      <c r="Q408" s="421"/>
      <c r="R408" s="383"/>
      <c r="U408" s="381"/>
      <c r="V408" s="370"/>
      <c r="W408" s="375"/>
      <c r="X408" s="374"/>
      <c r="Y408" s="370"/>
      <c r="Z408" s="376"/>
      <c r="AA408" s="371"/>
      <c r="AB408" s="673"/>
      <c r="AC408" s="270"/>
      <c r="AD408" s="372"/>
      <c r="AE408" s="270"/>
      <c r="AF408" s="270"/>
      <c r="AG408" s="270"/>
      <c r="AH408" s="272"/>
      <c r="AP408" s="53"/>
      <c r="AQ408" s="53"/>
      <c r="AR408" s="53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21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673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21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673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21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673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21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673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21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673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21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673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21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673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21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673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21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673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21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673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21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673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421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673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421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673"/>
      <c r="AC421" s="270"/>
      <c r="AD421" s="372"/>
      <c r="AE421" s="270"/>
      <c r="AF421" s="270"/>
      <c r="AG421" s="270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421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673"/>
      <c r="AC422" s="270"/>
      <c r="AD422" s="372"/>
      <c r="AE422" s="270"/>
      <c r="AF422" s="270"/>
      <c r="AG422" s="270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421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673"/>
      <c r="AC423" s="270"/>
      <c r="AD423" s="372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296"/>
      <c r="Q424" s="421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673"/>
      <c r="AC424" s="270"/>
      <c r="AD424" s="372"/>
      <c r="AE424" s="270"/>
      <c r="AF424" s="270"/>
      <c r="AG424" s="270"/>
      <c r="AH424" s="315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296"/>
      <c r="Q425" s="316"/>
      <c r="R425" s="383"/>
      <c r="S425" s="21"/>
      <c r="T425" s="13"/>
      <c r="U425" s="381"/>
      <c r="V425" s="370"/>
      <c r="W425" s="375"/>
      <c r="X425" s="374"/>
      <c r="Y425" s="370"/>
      <c r="Z425" s="376"/>
      <c r="AA425" s="371"/>
      <c r="AB425" s="673"/>
      <c r="AC425" s="270"/>
      <c r="AD425" s="372"/>
      <c r="AE425" s="270"/>
      <c r="AF425" s="270"/>
      <c r="AG425" s="270"/>
      <c r="AH425" s="315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296"/>
      <c r="Q426" s="316"/>
      <c r="R426" s="383"/>
      <c r="S426" s="21"/>
      <c r="T426" s="13"/>
      <c r="U426" s="381"/>
      <c r="V426" s="370"/>
      <c r="W426" s="375"/>
      <c r="X426" s="374"/>
      <c r="Y426" s="370"/>
      <c r="Z426" s="376"/>
      <c r="AA426" s="371"/>
      <c r="AB426" s="673"/>
      <c r="AC426" s="270"/>
      <c r="AD426" s="372"/>
      <c r="AE426" s="270"/>
      <c r="AF426" s="270"/>
      <c r="AG426" s="270"/>
      <c r="AH426" s="315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296"/>
      <c r="Q427" s="316"/>
      <c r="R427" s="383"/>
      <c r="S427" s="21"/>
      <c r="T427" s="13"/>
      <c r="U427" s="381"/>
      <c r="V427" s="370"/>
      <c r="W427" s="375"/>
      <c r="X427" s="374"/>
      <c r="Y427" s="370"/>
      <c r="Z427" s="376"/>
      <c r="AA427" s="371"/>
      <c r="AB427" s="673"/>
      <c r="AC427" s="270"/>
      <c r="AD427" s="372"/>
      <c r="AE427" s="270"/>
      <c r="AF427" s="270"/>
      <c r="AG427" s="270"/>
      <c r="AH427" s="315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296"/>
      <c r="Q428" s="316"/>
      <c r="R428" s="383"/>
      <c r="S428" s="21"/>
      <c r="T428" s="13"/>
      <c r="U428" s="381"/>
      <c r="V428" s="370"/>
      <c r="W428" s="375"/>
      <c r="X428" s="374"/>
      <c r="Y428" s="370"/>
      <c r="Z428" s="376"/>
      <c r="AA428" s="371"/>
      <c r="AB428" s="673"/>
      <c r="AC428" s="270"/>
      <c r="AD428" s="372"/>
      <c r="AE428" s="270"/>
      <c r="AF428" s="270"/>
      <c r="AG428" s="270"/>
      <c r="AH428" s="315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6"/>
      <c r="R429" s="383"/>
      <c r="S429" s="21"/>
      <c r="T429" s="13"/>
      <c r="U429" s="381"/>
      <c r="V429" s="370"/>
      <c r="W429" s="375"/>
      <c r="X429" s="374"/>
      <c r="Y429" s="370"/>
      <c r="Z429" s="376"/>
      <c r="AA429" s="371"/>
      <c r="AB429" s="673"/>
      <c r="AC429" s="270"/>
      <c r="AD429" s="372"/>
      <c r="AE429" s="270"/>
      <c r="AF429" s="270"/>
      <c r="AG429" s="270"/>
      <c r="AH429" s="315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6"/>
      <c r="R430" s="383"/>
      <c r="S430" s="21"/>
      <c r="T430" s="13"/>
      <c r="U430" s="381"/>
      <c r="V430" s="370"/>
      <c r="W430" s="375"/>
      <c r="X430" s="374"/>
      <c r="Y430" s="370"/>
      <c r="Z430" s="376"/>
      <c r="AA430" s="371"/>
      <c r="AB430" s="673"/>
      <c r="AC430" s="270"/>
      <c r="AD430" s="372"/>
      <c r="AE430" s="270"/>
      <c r="AF430" s="270"/>
      <c r="AG430" s="270"/>
      <c r="AH430" s="315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6"/>
      <c r="R431" s="383"/>
      <c r="S431" s="21"/>
      <c r="T431" s="13"/>
      <c r="U431" s="381"/>
      <c r="V431" s="370"/>
      <c r="W431" s="375"/>
      <c r="X431" s="374"/>
      <c r="Y431" s="370"/>
      <c r="Z431" s="376"/>
      <c r="AA431" s="371"/>
      <c r="AB431" s="673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6"/>
      <c r="R432" s="383"/>
      <c r="S432" s="21"/>
      <c r="T432" s="13"/>
      <c r="U432" s="381"/>
      <c r="V432" s="370"/>
      <c r="W432" s="375"/>
      <c r="X432" s="374"/>
      <c r="Y432" s="370"/>
      <c r="Z432" s="376"/>
      <c r="AA432" s="371"/>
      <c r="AB432" s="673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6"/>
      <c r="R433" s="383"/>
      <c r="S433" s="21"/>
      <c r="T433" s="13"/>
      <c r="U433" s="381"/>
      <c r="V433" s="370"/>
      <c r="W433" s="375"/>
      <c r="X433" s="374"/>
      <c r="Y433" s="370"/>
      <c r="Z433" s="376"/>
      <c r="AA433" s="371"/>
      <c r="AB433" s="673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6"/>
      <c r="R434" s="383"/>
      <c r="S434" s="21"/>
      <c r="T434" s="13"/>
      <c r="U434" s="381"/>
      <c r="V434" s="370"/>
      <c r="W434" s="375"/>
      <c r="X434" s="374"/>
      <c r="Y434" s="370"/>
      <c r="Z434" s="376"/>
      <c r="AA434" s="371"/>
      <c r="AB434" s="673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6"/>
      <c r="R435" s="383"/>
      <c r="S435" s="21"/>
      <c r="T435" s="13"/>
      <c r="U435" s="381"/>
      <c r="V435" s="370"/>
      <c r="W435" s="375"/>
      <c r="X435" s="374"/>
      <c r="Y435" s="370"/>
      <c r="Z435" s="376"/>
      <c r="AA435" s="371"/>
      <c r="AB435" s="673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6"/>
      <c r="R436" s="383"/>
      <c r="S436" s="21"/>
      <c r="T436" s="13"/>
      <c r="U436" s="381"/>
      <c r="V436" s="370"/>
      <c r="W436" s="375"/>
      <c r="X436" s="374"/>
      <c r="Y436" s="370"/>
      <c r="Z436" s="376"/>
      <c r="AA436" s="371"/>
      <c r="AB436" s="673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6"/>
      <c r="R437" s="383"/>
      <c r="S437" s="21"/>
      <c r="T437" s="13"/>
      <c r="U437" s="381"/>
      <c r="V437" s="370"/>
      <c r="W437" s="375"/>
      <c r="X437" s="374"/>
      <c r="Y437" s="370"/>
      <c r="Z437" s="376"/>
      <c r="AA437" s="371"/>
      <c r="AB437" s="673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6"/>
      <c r="R438" s="383"/>
      <c r="S438" s="21"/>
      <c r="T438" s="13"/>
      <c r="U438" s="381"/>
      <c r="V438" s="370"/>
      <c r="W438" s="375"/>
      <c r="X438" s="374"/>
      <c r="Y438" s="370"/>
      <c r="Z438" s="376"/>
      <c r="AA438" s="371"/>
      <c r="AB438" s="673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6"/>
      <c r="R439" s="383"/>
      <c r="S439" s="21"/>
      <c r="T439" s="13"/>
      <c r="U439" s="381"/>
      <c r="V439" s="370"/>
      <c r="W439" s="375"/>
      <c r="X439" s="374"/>
      <c r="Y439" s="370"/>
      <c r="Z439" s="376"/>
      <c r="AA439" s="371"/>
      <c r="AB439" s="673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6"/>
      <c r="R440" s="383"/>
      <c r="S440" s="21"/>
      <c r="T440" s="13"/>
      <c r="U440" s="381"/>
      <c r="V440" s="370"/>
      <c r="W440" s="375"/>
      <c r="X440" s="374"/>
      <c r="Y440" s="370"/>
      <c r="Z440" s="376"/>
      <c r="AA440" s="371"/>
      <c r="AB440" s="673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6"/>
      <c r="R441" s="383"/>
      <c r="S441" s="21"/>
      <c r="T441" s="13"/>
      <c r="U441" s="381"/>
      <c r="V441" s="370"/>
      <c r="W441" s="375"/>
      <c r="X441" s="374"/>
      <c r="Y441" s="370"/>
      <c r="Z441" s="376"/>
      <c r="AA441" s="371"/>
      <c r="AB441" s="673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6"/>
      <c r="R442" s="383"/>
      <c r="S442" s="21"/>
      <c r="T442" s="13"/>
      <c r="U442" s="381"/>
      <c r="V442" s="370"/>
      <c r="W442" s="375"/>
      <c r="X442" s="374"/>
      <c r="Y442" s="370"/>
      <c r="Z442" s="376"/>
      <c r="AA442" s="371"/>
      <c r="AB442" s="673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6"/>
      <c r="R443" s="383"/>
      <c r="S443" s="21"/>
      <c r="T443" s="13"/>
      <c r="U443" s="381"/>
      <c r="V443" s="370"/>
      <c r="W443" s="375"/>
      <c r="X443" s="374"/>
      <c r="Y443" s="370"/>
      <c r="Z443" s="376"/>
      <c r="AA443" s="371"/>
      <c r="AB443" s="673"/>
      <c r="AC443" s="270"/>
      <c r="AD443" s="372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6"/>
      <c r="R444" s="383"/>
      <c r="S444" s="21"/>
      <c r="T444" s="13"/>
      <c r="U444" s="381"/>
      <c r="V444" s="370"/>
      <c r="W444" s="375"/>
      <c r="X444" s="374"/>
      <c r="Y444" s="370"/>
      <c r="Z444" s="376"/>
      <c r="AA444" s="371"/>
      <c r="AB444" s="673"/>
      <c r="AC444" s="270"/>
      <c r="AD444" s="372"/>
      <c r="AE444" s="270"/>
      <c r="AF444" s="270"/>
      <c r="AG444" s="270"/>
      <c r="AH444" s="272"/>
      <c r="AI444" s="1"/>
      <c r="AJ444" s="21"/>
      <c r="AK444" s="21"/>
      <c r="AL444" s="21"/>
      <c r="AM444" s="21"/>
      <c r="AN444" s="21"/>
      <c r="AO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6"/>
      <c r="R445" s="383"/>
      <c r="S445" s="21"/>
      <c r="T445" s="13"/>
      <c r="U445" s="381"/>
      <c r="V445" s="370"/>
      <c r="W445" s="375"/>
      <c r="X445" s="374"/>
      <c r="Y445" s="370"/>
      <c r="Z445" s="376"/>
      <c r="AA445" s="371"/>
      <c r="AB445" s="673"/>
      <c r="AC445" s="270"/>
      <c r="AD445" s="372"/>
      <c r="AE445" s="270"/>
      <c r="AF445" s="270"/>
      <c r="AG445" s="270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6"/>
      <c r="R446" s="383"/>
      <c r="S446" s="21"/>
      <c r="T446" s="13"/>
      <c r="U446" s="381"/>
      <c r="V446" s="370"/>
      <c r="W446" s="375"/>
      <c r="X446" s="374"/>
      <c r="Y446" s="370"/>
      <c r="Z446" s="376"/>
      <c r="AA446" s="371"/>
      <c r="AB446" s="673"/>
      <c r="AC446" s="270"/>
      <c r="AD446" s="372"/>
      <c r="AE446" s="270"/>
      <c r="AF446" s="270"/>
      <c r="AG446" s="270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6"/>
      <c r="R447" s="383"/>
      <c r="S447" s="21"/>
      <c r="T447" s="13"/>
      <c r="U447" s="381"/>
      <c r="V447" s="370"/>
      <c r="W447" s="375"/>
      <c r="X447" s="374"/>
      <c r="Y447" s="370"/>
      <c r="Z447" s="376"/>
      <c r="AA447" s="371"/>
      <c r="AB447" s="673"/>
      <c r="AC447" s="270"/>
      <c r="AD447" s="372"/>
      <c r="AE447" s="270"/>
      <c r="AF447" s="270"/>
      <c r="AG447" s="270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6"/>
      <c r="R448" s="383"/>
      <c r="S448" s="21"/>
      <c r="T448" s="13"/>
      <c r="U448" s="381"/>
      <c r="V448" s="370"/>
      <c r="W448" s="375"/>
      <c r="X448" s="374"/>
      <c r="Y448" s="370"/>
      <c r="Z448" s="376"/>
      <c r="AA448" s="371"/>
      <c r="AB448" s="673"/>
      <c r="AC448" s="270"/>
      <c r="AD448" s="372"/>
      <c r="AE448" s="270"/>
      <c r="AF448" s="270"/>
      <c r="AG448" s="270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6"/>
      <c r="R449" s="383"/>
      <c r="S449" s="21"/>
      <c r="T449" s="13"/>
      <c r="U449" s="381"/>
      <c r="V449" s="375"/>
      <c r="W449" s="374"/>
      <c r="X449" s="370"/>
      <c r="Y449" s="376"/>
      <c r="Z449" s="371"/>
      <c r="AA449" s="371"/>
      <c r="AB449" s="675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  <c r="AP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16"/>
      <c r="R450" s="383"/>
      <c r="S450" s="21"/>
      <c r="T450" s="13"/>
      <c r="U450" s="381"/>
      <c r="V450" s="375"/>
      <c r="W450" s="374"/>
      <c r="X450" s="370"/>
      <c r="Y450" s="376"/>
      <c r="Z450" s="371"/>
      <c r="AA450" s="371"/>
      <c r="AB450" s="675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  <c r="AP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Q451" s="316"/>
      <c r="R451" s="383"/>
      <c r="S451" s="21"/>
      <c r="T451" s="13"/>
      <c r="U451" s="381"/>
      <c r="V451" s="375"/>
      <c r="W451" s="374"/>
      <c r="X451" s="370"/>
      <c r="Y451" s="376"/>
      <c r="Z451" s="371"/>
      <c r="AA451" s="371"/>
      <c r="AB451" s="675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  <c r="AP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Q452" s="316"/>
      <c r="R452" s="383"/>
      <c r="S452" s="21"/>
      <c r="T452" s="13"/>
      <c r="U452" s="381"/>
      <c r="V452" s="375"/>
      <c r="W452" s="374"/>
      <c r="X452" s="370"/>
      <c r="Y452" s="376"/>
      <c r="Z452" s="371"/>
      <c r="AA452" s="371"/>
      <c r="AB452" s="675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  <c r="AP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Q453" s="316"/>
      <c r="R453" s="383"/>
      <c r="S453" s="21"/>
      <c r="T453" s="13"/>
      <c r="U453" s="381"/>
      <c r="V453" s="375"/>
      <c r="W453" s="374"/>
      <c r="X453" s="370"/>
      <c r="Y453" s="376"/>
      <c r="Z453" s="371"/>
      <c r="AA453" s="371"/>
      <c r="AB453" s="675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  <c r="AP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Q454" s="316"/>
      <c r="R454" s="383"/>
      <c r="S454" s="21"/>
      <c r="T454" s="13"/>
      <c r="U454" s="381"/>
      <c r="V454" s="375"/>
      <c r="W454" s="374"/>
      <c r="X454" s="370"/>
      <c r="Y454" s="376"/>
      <c r="Z454" s="371"/>
      <c r="AA454" s="371"/>
      <c r="AB454" s="675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  <c r="AP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Q455" s="362"/>
      <c r="R455" s="383"/>
      <c r="S455" s="21"/>
      <c r="T455" s="13"/>
      <c r="U455" s="381"/>
      <c r="V455" s="375"/>
      <c r="W455" s="374"/>
      <c r="X455" s="370"/>
      <c r="Y455" s="376"/>
      <c r="Z455" s="371"/>
      <c r="AA455" s="371"/>
      <c r="AB455" s="675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1"/>
      <c r="V456" s="375"/>
      <c r="W456" s="374"/>
      <c r="X456" s="370"/>
      <c r="Y456" s="376"/>
      <c r="Z456" s="371"/>
      <c r="AA456" s="371"/>
      <c r="AB456" s="675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R457" s="285"/>
      <c r="S457" s="21"/>
      <c r="T457" s="13"/>
      <c r="U457" s="381"/>
      <c r="V457" s="375"/>
      <c r="W457" s="374"/>
      <c r="X457" s="370"/>
      <c r="Y457" s="376"/>
      <c r="Z457" s="371"/>
      <c r="AA457" s="371"/>
      <c r="AB457" s="675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97"/>
      <c r="R458" s="285"/>
      <c r="S458" s="21"/>
      <c r="T458" s="13"/>
      <c r="U458" s="381"/>
      <c r="V458" s="375"/>
      <c r="W458" s="374"/>
      <c r="X458" s="370"/>
      <c r="Y458" s="376"/>
      <c r="Z458" s="371"/>
      <c r="AA458" s="371"/>
      <c r="AB458" s="675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97"/>
      <c r="R459" s="285"/>
      <c r="S459" s="21"/>
      <c r="T459" s="13"/>
      <c r="U459" s="381"/>
      <c r="V459" s="375"/>
      <c r="W459" s="374"/>
      <c r="X459" s="370"/>
      <c r="Y459" s="376"/>
      <c r="Z459" s="371"/>
      <c r="AA459" s="371"/>
      <c r="AB459" s="675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97"/>
      <c r="R460" s="285"/>
      <c r="S460" s="21"/>
      <c r="T460" s="13"/>
      <c r="U460" s="381"/>
      <c r="V460" s="375"/>
      <c r="W460" s="374"/>
      <c r="X460" s="370"/>
      <c r="Y460" s="376"/>
      <c r="Z460" s="371"/>
      <c r="AA460" s="371"/>
      <c r="AB460" s="675"/>
      <c r="AC460" s="372"/>
      <c r="AD460" s="270"/>
      <c r="AE460" s="270"/>
      <c r="AF460" s="270"/>
      <c r="AG460" s="376"/>
      <c r="AH460" s="272"/>
      <c r="AI460" s="1"/>
      <c r="AJ460" s="21"/>
      <c r="AK460" s="21"/>
      <c r="AL460" s="21"/>
      <c r="AM460" s="21"/>
      <c r="AN460" s="21"/>
      <c r="AO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97"/>
      <c r="R461" s="285"/>
      <c r="S461" s="21"/>
      <c r="T461" s="13"/>
      <c r="U461" s="381"/>
      <c r="V461" s="375"/>
      <c r="W461" s="374"/>
      <c r="X461" s="370"/>
      <c r="Y461" s="376"/>
      <c r="Z461" s="371"/>
      <c r="AA461" s="371"/>
      <c r="AB461" s="675"/>
      <c r="AC461" s="372"/>
      <c r="AD461" s="270"/>
      <c r="AE461" s="270"/>
      <c r="AF461" s="270"/>
      <c r="AG461" s="376"/>
      <c r="AH461" s="272"/>
      <c r="AI461" s="1"/>
      <c r="AJ461" s="21"/>
      <c r="AK461" s="21"/>
      <c r="AL461" s="21"/>
      <c r="AM461" s="21"/>
      <c r="AN461" s="21"/>
      <c r="AO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97"/>
      <c r="R462" s="285"/>
      <c r="S462" s="21"/>
      <c r="T462" s="13"/>
      <c r="U462" s="381"/>
      <c r="V462" s="375"/>
      <c r="W462" s="374"/>
      <c r="X462" s="370"/>
      <c r="Y462" s="376"/>
      <c r="Z462" s="371"/>
      <c r="AA462" s="371"/>
      <c r="AB462" s="675"/>
      <c r="AC462" s="372"/>
      <c r="AD462" s="270"/>
      <c r="AE462" s="270"/>
      <c r="AF462" s="270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381"/>
      <c r="V463" s="375"/>
      <c r="W463" s="374"/>
      <c r="X463" s="370"/>
      <c r="Y463" s="376"/>
      <c r="Z463" s="371"/>
      <c r="AA463" s="371"/>
      <c r="AB463" s="675"/>
      <c r="AC463" s="372"/>
      <c r="AD463" s="270"/>
      <c r="AE463" s="270"/>
      <c r="AF463" s="270"/>
      <c r="AG463" s="376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381"/>
      <c r="V464" s="375"/>
      <c r="W464" s="374"/>
      <c r="X464" s="370"/>
      <c r="Y464" s="376"/>
      <c r="Z464" s="371"/>
      <c r="AA464" s="371"/>
      <c r="AB464" s="675"/>
      <c r="AC464" s="372"/>
      <c r="AD464" s="270"/>
      <c r="AE464" s="270"/>
      <c r="AF464" s="270"/>
      <c r="AG464" s="376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381"/>
      <c r="V465" s="375"/>
      <c r="W465" s="374"/>
      <c r="X465" s="370"/>
      <c r="Y465" s="376"/>
      <c r="Z465" s="371"/>
      <c r="AA465" s="371"/>
      <c r="AB465" s="675"/>
      <c r="AC465" s="372"/>
      <c r="AD465" s="270"/>
      <c r="AE465" s="270"/>
      <c r="AF465" s="270"/>
      <c r="AG465" s="376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381"/>
      <c r="V466" s="375"/>
      <c r="W466" s="374"/>
      <c r="X466" s="370"/>
      <c r="Y466" s="376"/>
      <c r="Z466" s="371"/>
      <c r="AA466" s="371"/>
      <c r="AB466" s="675"/>
      <c r="AC466" s="372"/>
      <c r="AD466" s="270"/>
      <c r="AE466" s="270"/>
      <c r="AF466" s="270"/>
      <c r="AG466" s="376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381"/>
      <c r="V467" s="375"/>
      <c r="W467" s="374"/>
      <c r="X467" s="370"/>
      <c r="Y467" s="376"/>
      <c r="Z467" s="371"/>
      <c r="AA467" s="371"/>
      <c r="AB467" s="675"/>
      <c r="AC467" s="372"/>
      <c r="AD467" s="270"/>
      <c r="AE467" s="270"/>
      <c r="AF467" s="270"/>
      <c r="AG467" s="376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370"/>
      <c r="V468" s="375"/>
      <c r="W468" s="374"/>
      <c r="X468" s="370"/>
      <c r="Y468" s="376"/>
      <c r="Z468" s="371"/>
      <c r="AA468" s="371"/>
      <c r="AB468" s="675"/>
      <c r="AC468" s="372"/>
      <c r="AD468" s="270"/>
      <c r="AE468" s="270"/>
      <c r="AF468" s="270"/>
      <c r="AG468" s="376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370"/>
      <c r="V469" s="375"/>
      <c r="W469" s="374"/>
      <c r="X469" s="370"/>
      <c r="Y469" s="376"/>
      <c r="Z469" s="371"/>
      <c r="AA469" s="371"/>
      <c r="AB469" s="675"/>
      <c r="AC469" s="372"/>
      <c r="AD469" s="270"/>
      <c r="AE469" s="270"/>
      <c r="AF469" s="270"/>
      <c r="AG469" s="376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370"/>
      <c r="V470" s="375"/>
      <c r="W470" s="374"/>
      <c r="X470" s="370"/>
      <c r="Y470" s="376"/>
      <c r="Z470" s="371"/>
      <c r="AA470" s="371"/>
      <c r="AB470" s="675"/>
      <c r="AC470" s="372"/>
      <c r="AD470" s="270"/>
      <c r="AE470" s="270"/>
      <c r="AF470" s="270"/>
      <c r="AG470" s="376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370"/>
      <c r="V471" s="375"/>
      <c r="W471" s="374"/>
      <c r="X471" s="370"/>
      <c r="Y471" s="376"/>
      <c r="Z471" s="371"/>
      <c r="AA471" s="371"/>
      <c r="AB471" s="675"/>
      <c r="AC471" s="372"/>
      <c r="AD471" s="270"/>
      <c r="AE471" s="270"/>
      <c r="AF471" s="270"/>
      <c r="AG471" s="376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370"/>
      <c r="V472" s="375"/>
      <c r="W472" s="374"/>
      <c r="X472" s="370"/>
      <c r="Y472" s="376"/>
      <c r="Z472" s="371"/>
      <c r="AA472" s="371"/>
      <c r="AB472" s="675"/>
      <c r="AC472" s="372"/>
      <c r="AD472" s="270"/>
      <c r="AE472" s="270"/>
      <c r="AF472" s="270"/>
      <c r="AG472" s="376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370"/>
      <c r="V473" s="375"/>
      <c r="W473" s="374"/>
      <c r="X473" s="370"/>
      <c r="Y473" s="376"/>
      <c r="Z473" s="371"/>
      <c r="AA473" s="371"/>
      <c r="AB473" s="675"/>
      <c r="AC473" s="372"/>
      <c r="AD473" s="270"/>
      <c r="AE473" s="270"/>
      <c r="AF473" s="270"/>
      <c r="AG473" s="376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422"/>
      <c r="V474" s="375"/>
      <c r="W474" s="374"/>
      <c r="X474" s="370"/>
      <c r="Y474" s="376"/>
      <c r="Z474" s="371"/>
      <c r="AA474" s="371"/>
      <c r="AB474" s="675"/>
      <c r="AC474" s="372"/>
      <c r="AD474" s="270"/>
      <c r="AE474" s="270"/>
      <c r="AF474" s="270"/>
      <c r="AG474" s="376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422"/>
      <c r="V475" s="375"/>
      <c r="W475" s="374"/>
      <c r="X475" s="370"/>
      <c r="Y475" s="376"/>
      <c r="Z475" s="371"/>
      <c r="AA475" s="371"/>
      <c r="AB475" s="675"/>
      <c r="AC475" s="372"/>
      <c r="AD475" s="270"/>
      <c r="AE475" s="270"/>
      <c r="AF475" s="270"/>
      <c r="AG475" s="376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422"/>
      <c r="V476" s="375"/>
      <c r="W476" s="374"/>
      <c r="X476" s="370"/>
      <c r="Y476" s="376"/>
      <c r="Z476" s="371"/>
      <c r="AA476" s="371"/>
      <c r="AB476" s="675"/>
      <c r="AC476" s="372"/>
      <c r="AD476" s="270"/>
      <c r="AE476" s="270"/>
      <c r="AF476" s="270"/>
      <c r="AG476" s="376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422"/>
      <c r="V477" s="375"/>
      <c r="W477" s="374"/>
      <c r="X477" s="370"/>
      <c r="Y477" s="376"/>
      <c r="Z477" s="371"/>
      <c r="AA477" s="371"/>
      <c r="AB477" s="675"/>
      <c r="AC477" s="372"/>
      <c r="AD477" s="270"/>
      <c r="AE477" s="270"/>
      <c r="AF477" s="270"/>
      <c r="AG477" s="376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422"/>
      <c r="V478" s="375"/>
      <c r="W478" s="374"/>
      <c r="X478" s="370"/>
      <c r="Y478" s="376"/>
      <c r="Z478" s="371"/>
      <c r="AA478" s="371"/>
      <c r="AB478" s="675"/>
      <c r="AC478" s="372"/>
      <c r="AD478" s="270"/>
      <c r="AE478" s="270"/>
      <c r="AF478" s="270"/>
      <c r="AG478" s="376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422"/>
      <c r="V479" s="375"/>
      <c r="W479" s="374"/>
      <c r="X479" s="370"/>
      <c r="Y479" s="376"/>
      <c r="Z479" s="371"/>
      <c r="AA479" s="371"/>
      <c r="AB479" s="675"/>
      <c r="AC479" s="372"/>
      <c r="AD479" s="270"/>
      <c r="AE479" s="270"/>
      <c r="AF479" s="270"/>
      <c r="AG479" s="376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422"/>
      <c r="V480" s="375"/>
      <c r="W480" s="374"/>
      <c r="X480" s="370"/>
      <c r="Y480" s="376"/>
      <c r="Z480" s="371"/>
      <c r="AA480" s="371"/>
      <c r="AB480" s="675"/>
      <c r="AC480" s="372"/>
      <c r="AD480" s="270"/>
      <c r="AE480" s="270"/>
      <c r="AF480" s="270"/>
      <c r="AG480" s="376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422"/>
      <c r="V481" s="375"/>
      <c r="W481" s="374"/>
      <c r="X481" s="370"/>
      <c r="Y481" s="376"/>
      <c r="Z481" s="371"/>
      <c r="AA481" s="371"/>
      <c r="AB481" s="675"/>
      <c r="AC481" s="372"/>
      <c r="AD481" s="270"/>
      <c r="AE481" s="270"/>
      <c r="AF481" s="270"/>
      <c r="AG481" s="376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422"/>
      <c r="V482" s="375"/>
      <c r="W482" s="374"/>
      <c r="X482" s="370"/>
      <c r="Y482" s="376"/>
      <c r="Z482" s="371"/>
      <c r="AA482" s="371"/>
      <c r="AB482" s="675"/>
      <c r="AC482" s="372"/>
      <c r="AD482" s="270"/>
      <c r="AE482" s="270"/>
      <c r="AF482" s="270"/>
      <c r="AG482" s="376"/>
      <c r="AH482" s="272"/>
      <c r="AI482" s="1"/>
      <c r="AJ482" s="21"/>
      <c r="AK482" s="21"/>
      <c r="AL482" s="21"/>
      <c r="AM482" s="21"/>
      <c r="AN482" s="21"/>
      <c r="AO482" s="21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422"/>
      <c r="V483" s="375"/>
      <c r="W483" s="374"/>
      <c r="X483" s="370"/>
      <c r="Y483" s="376"/>
      <c r="Z483" s="371"/>
      <c r="AA483" s="371"/>
      <c r="AB483" s="675"/>
      <c r="AC483" s="372"/>
      <c r="AD483" s="270"/>
      <c r="AE483" s="270"/>
      <c r="AF483" s="270"/>
      <c r="AG483" s="376"/>
      <c r="AH483" s="272"/>
      <c r="AI483" s="1"/>
      <c r="AJ483" s="21"/>
      <c r="AK483" s="21"/>
      <c r="AL483" s="21"/>
      <c r="AM483" s="21"/>
      <c r="AN483" s="21"/>
      <c r="AO483" s="21"/>
    </row>
    <row r="484" spans="1:44" s="53" customFormat="1" x14ac:dyDescent="0.2">
      <c r="A484" s="48"/>
      <c r="B484" s="306"/>
      <c r="C484" s="233"/>
      <c r="D484" s="233"/>
      <c r="F484" s="13"/>
      <c r="G484" s="1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76"/>
      <c r="AC484" s="64"/>
      <c r="AD484" s="50"/>
      <c r="AE484" s="50"/>
      <c r="AF484" s="19"/>
      <c r="AG484" s="376"/>
      <c r="AH484" s="272"/>
      <c r="AI484" s="1"/>
      <c r="AJ484" s="21"/>
      <c r="AK484" s="21"/>
      <c r="AL484" s="21"/>
      <c r="AM484" s="21"/>
      <c r="AN484" s="21"/>
      <c r="AO484" s="21"/>
    </row>
    <row r="485" spans="1:44" s="53" customFormat="1" x14ac:dyDescent="0.2">
      <c r="A485" s="48"/>
      <c r="B485" s="306"/>
      <c r="C485" s="233"/>
      <c r="D485" s="233"/>
      <c r="F485" s="13"/>
      <c r="G485" s="1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76"/>
      <c r="AC485" s="64"/>
      <c r="AD485" s="50"/>
      <c r="AE485" s="50"/>
      <c r="AF485" s="19"/>
      <c r="AG485" s="376"/>
      <c r="AH485" s="272"/>
      <c r="AI485" s="1"/>
      <c r="AJ485" s="21"/>
      <c r="AK485" s="21"/>
      <c r="AL485" s="21"/>
      <c r="AM485" s="21"/>
      <c r="AN485" s="21"/>
      <c r="AO485" s="21"/>
    </row>
    <row r="486" spans="1:44" s="53" customFormat="1" x14ac:dyDescent="0.2">
      <c r="A486" s="48"/>
      <c r="B486" s="306"/>
      <c r="C486" s="233"/>
      <c r="D486" s="233"/>
      <c r="F486" s="13"/>
      <c r="G486" s="1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76"/>
      <c r="AC486" s="64"/>
      <c r="AD486" s="50"/>
      <c r="AE486" s="50"/>
      <c r="AF486" s="19"/>
      <c r="AG486" s="376"/>
      <c r="AH486" s="272"/>
      <c r="AI486" s="1"/>
      <c r="AJ486" s="21"/>
      <c r="AK486" s="21"/>
      <c r="AL486" s="21"/>
      <c r="AM486" s="21"/>
      <c r="AN486" s="21"/>
      <c r="AO486" s="21"/>
    </row>
    <row r="487" spans="1:44" s="53" customFormat="1" x14ac:dyDescent="0.2">
      <c r="A487" s="48"/>
      <c r="B487" s="306"/>
      <c r="C487" s="233"/>
      <c r="D487" s="233"/>
      <c r="F487" s="13"/>
      <c r="G487" s="1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76"/>
      <c r="AC487" s="64"/>
      <c r="AD487" s="50"/>
      <c r="AE487" s="50"/>
      <c r="AF487" s="19"/>
      <c r="AG487" s="376"/>
      <c r="AH487" s="272"/>
      <c r="AI487" s="1"/>
      <c r="AJ487" s="21"/>
      <c r="AK487" s="21"/>
      <c r="AL487" s="21"/>
      <c r="AM487" s="21"/>
      <c r="AN487" s="21"/>
      <c r="AO487" s="21"/>
      <c r="AQ487" s="308"/>
      <c r="AR487" s="308"/>
    </row>
    <row r="488" spans="1:44" s="53" customFormat="1" x14ac:dyDescent="0.2">
      <c r="A488" s="48"/>
      <c r="B488" s="306"/>
      <c r="C488" s="233"/>
      <c r="D488" s="233"/>
      <c r="F488" s="13"/>
      <c r="G488" s="1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76"/>
      <c r="AC488" s="64"/>
      <c r="AD488" s="50"/>
      <c r="AE488" s="50"/>
      <c r="AF488" s="19"/>
      <c r="AG488" s="376"/>
      <c r="AH488" s="272"/>
      <c r="AI488" s="1"/>
      <c r="AJ488" s="21"/>
      <c r="AK488" s="21"/>
      <c r="AL488" s="21"/>
      <c r="AM488" s="21"/>
      <c r="AN488" s="21"/>
      <c r="AO488" s="21"/>
      <c r="AQ488" s="308"/>
      <c r="AR488" s="308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76"/>
      <c r="AC489" s="64"/>
      <c r="AD489" s="50"/>
      <c r="AE489" s="50"/>
      <c r="AF489" s="19"/>
      <c r="AG489" s="376"/>
      <c r="AH489" s="272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76"/>
      <c r="AC490" s="64"/>
      <c r="AD490" s="50"/>
      <c r="AE490" s="50"/>
      <c r="AF490" s="19"/>
      <c r="AG490" s="376"/>
      <c r="AH490" s="272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76"/>
      <c r="AC491" s="64"/>
      <c r="AD491" s="50"/>
      <c r="AE491" s="50"/>
      <c r="AF491" s="19"/>
      <c r="AG491" s="120"/>
      <c r="AH491" s="272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76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76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76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76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76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76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76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76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76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76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76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76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76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76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76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76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76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76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76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76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76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76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76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76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76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76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76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76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76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76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76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76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76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76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76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76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76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76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76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  <c r="AP530" s="53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76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  <c r="AP531" s="53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76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  <c r="AP532" s="53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76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  <c r="AP533" s="53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76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  <c r="AP534" s="53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76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76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76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76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76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76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76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76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76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76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76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76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76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76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76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76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76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76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76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76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76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76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76"/>
      <c r="AC557" s="64"/>
      <c r="AD557" s="50"/>
      <c r="AE557" s="50"/>
      <c r="AF557" s="19"/>
      <c r="AG557" s="123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76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76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76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76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76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76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76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76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76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76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76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76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76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76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76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76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76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76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76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76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76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76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76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76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76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76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76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76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76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76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76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76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76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76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76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76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76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76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76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76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76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76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76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76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76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76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76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76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76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76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76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76"/>
      <c r="AC609" s="64"/>
      <c r="AD609" s="50"/>
      <c r="AE609" s="50"/>
      <c r="AF609" s="19"/>
      <c r="AG609" s="120"/>
      <c r="AH609" s="123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76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76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76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76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76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76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76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76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76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76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76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76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76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76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76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76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76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76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B628" s="306"/>
      <c r="C628" s="233"/>
      <c r="D628" s="23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76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B629" s="306"/>
      <c r="C629" s="233"/>
      <c r="D629" s="23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76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B630" s="306"/>
      <c r="C630" s="233"/>
      <c r="D630" s="23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76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B631" s="306"/>
      <c r="C631" s="233"/>
      <c r="D631" s="23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76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B632" s="306"/>
      <c r="C632" s="233"/>
      <c r="D632" s="23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76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76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76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76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76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76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76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76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76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76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76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76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76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76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76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76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76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76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76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76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76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76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76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76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76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76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76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76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76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76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76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76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76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76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76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76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76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76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76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76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76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76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76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  <c r="AQ674" s="21"/>
      <c r="AR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76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  <c r="AQ675" s="21"/>
      <c r="AR675" s="21"/>
    </row>
    <row r="676" spans="1:44" x14ac:dyDescent="0.2">
      <c r="A676" s="48"/>
      <c r="AP676" s="308"/>
    </row>
    <row r="677" spans="1:44" x14ac:dyDescent="0.2">
      <c r="A677" s="48"/>
      <c r="AP677" s="308"/>
    </row>
    <row r="678" spans="1:44" x14ac:dyDescent="0.2">
      <c r="A678" s="48"/>
      <c r="AP678" s="308"/>
    </row>
    <row r="679" spans="1:44" x14ac:dyDescent="0.2">
      <c r="A679" s="48"/>
      <c r="AP679" s="308"/>
    </row>
    <row r="680" spans="1:44" x14ac:dyDescent="0.2">
      <c r="A680" s="48"/>
      <c r="AP680" s="308"/>
    </row>
    <row r="681" spans="1:44" x14ac:dyDescent="0.2">
      <c r="A681" s="48"/>
      <c r="AP681" s="308"/>
    </row>
    <row r="682" spans="1:44" x14ac:dyDescent="0.2">
      <c r="A682" s="48"/>
      <c r="AP682" s="308"/>
      <c r="AQ682" s="308"/>
      <c r="AR682" s="308"/>
    </row>
    <row r="683" spans="1:44" x14ac:dyDescent="0.2">
      <c r="A683" s="48"/>
      <c r="AP683" s="308"/>
      <c r="AQ683" s="308"/>
      <c r="AR683" s="308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76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76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76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76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76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1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76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1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76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1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76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1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76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1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76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1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76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1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76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1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76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1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76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1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76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1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76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1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76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1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76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1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76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1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76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1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76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6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76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</row>
    <row r="706" spans="1:44" s="308" customFormat="1" x14ac:dyDescent="0.2">
      <c r="A706" s="48"/>
      <c r="C706" s="263"/>
      <c r="D706" s="263"/>
      <c r="E706" s="53"/>
      <c r="F706" s="13"/>
      <c r="G706" s="13"/>
      <c r="H706" s="53"/>
      <c r="I706" s="298"/>
      <c r="J706" s="21"/>
      <c r="K706" s="21"/>
      <c r="L706" s="13"/>
      <c r="M706" s="50"/>
      <c r="N706" s="97"/>
      <c r="O706" s="50"/>
      <c r="P706" s="50"/>
      <c r="Q706" s="316"/>
      <c r="R706" s="285"/>
      <c r="S706" s="21"/>
      <c r="T706" s="13"/>
      <c r="U706" s="13"/>
      <c r="V706" s="21"/>
      <c r="W706" s="21"/>
      <c r="X706" s="21"/>
      <c r="Y706" s="260"/>
      <c r="Z706" s="177"/>
      <c r="AA706" s="177"/>
      <c r="AB706" s="676"/>
      <c r="AC706" s="64"/>
      <c r="AD706" s="50"/>
      <c r="AE706" s="50"/>
      <c r="AF706" s="19"/>
      <c r="AG706" s="120"/>
      <c r="AH706" s="119"/>
      <c r="AI706" s="1"/>
      <c r="AJ706" s="21"/>
      <c r="AK706" s="21"/>
      <c r="AL706" s="21"/>
      <c r="AM706" s="21"/>
      <c r="AN706" s="21"/>
      <c r="AO706" s="21"/>
    </row>
    <row r="707" spans="1:44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6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76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</row>
    <row r="708" spans="1:44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6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76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</row>
    <row r="709" spans="1:44" s="308" customFormat="1" x14ac:dyDescent="0.2">
      <c r="A709" s="48"/>
      <c r="C709" s="263"/>
      <c r="D709" s="263"/>
      <c r="E709" s="53"/>
      <c r="F709" s="13"/>
      <c r="G709" s="13"/>
      <c r="H709" s="53"/>
      <c r="I709" s="298"/>
      <c r="J709" s="21"/>
      <c r="K709" s="21"/>
      <c r="L709" s="13"/>
      <c r="M709" s="50"/>
      <c r="N709" s="97"/>
      <c r="O709" s="50"/>
      <c r="P709" s="50"/>
      <c r="Q709" s="316"/>
      <c r="R709" s="285"/>
      <c r="S709" s="21"/>
      <c r="T709" s="13"/>
      <c r="U709" s="13"/>
      <c r="V709" s="21"/>
      <c r="W709" s="21"/>
      <c r="X709" s="21"/>
      <c r="Y709" s="260"/>
      <c r="Z709" s="177"/>
      <c r="AA709" s="177"/>
      <c r="AB709" s="676"/>
      <c r="AC709" s="64"/>
      <c r="AD709" s="50"/>
      <c r="AE709" s="50"/>
      <c r="AF709" s="19"/>
      <c r="AG709" s="120"/>
      <c r="AH709" s="119"/>
      <c r="AI709" s="1"/>
      <c r="AJ709" s="21"/>
      <c r="AK709" s="21"/>
      <c r="AL709" s="21"/>
      <c r="AM709" s="21"/>
      <c r="AN709" s="21"/>
      <c r="AO709" s="21"/>
      <c r="AQ709" s="21"/>
      <c r="AR709" s="21"/>
    </row>
    <row r="710" spans="1:44" s="308" customFormat="1" x14ac:dyDescent="0.2">
      <c r="A710" s="48"/>
      <c r="C710" s="263"/>
      <c r="D710" s="263"/>
      <c r="E710" s="53"/>
      <c r="F710" s="13"/>
      <c r="G710" s="13"/>
      <c r="H710" s="53"/>
      <c r="I710" s="298"/>
      <c r="J710" s="21"/>
      <c r="K710" s="21"/>
      <c r="L710" s="13"/>
      <c r="M710" s="50"/>
      <c r="N710" s="97"/>
      <c r="O710" s="50"/>
      <c r="P710" s="50"/>
      <c r="Q710" s="316"/>
      <c r="R710" s="285"/>
      <c r="S710" s="21"/>
      <c r="T710" s="13"/>
      <c r="U710" s="13"/>
      <c r="V710" s="21"/>
      <c r="W710" s="21"/>
      <c r="X710" s="21"/>
      <c r="Y710" s="260"/>
      <c r="Z710" s="177"/>
      <c r="AA710" s="177"/>
      <c r="AB710" s="676"/>
      <c r="AC710" s="64"/>
      <c r="AD710" s="50"/>
      <c r="AE710" s="50"/>
      <c r="AF710" s="19"/>
      <c r="AG710" s="120"/>
      <c r="AH710" s="119"/>
      <c r="AI710" s="1"/>
      <c r="AJ710" s="21"/>
      <c r="AK710" s="21"/>
      <c r="AL710" s="21"/>
      <c r="AM710" s="21"/>
      <c r="AN710" s="21"/>
      <c r="AO710" s="21"/>
      <c r="AQ710" s="21"/>
      <c r="AR710" s="21"/>
    </row>
    <row r="711" spans="1:44" x14ac:dyDescent="0.2">
      <c r="A711" s="48"/>
      <c r="AP711" s="308"/>
    </row>
    <row r="712" spans="1:44" x14ac:dyDescent="0.2">
      <c r="A712" s="48"/>
      <c r="AP712" s="308"/>
    </row>
    <row r="713" spans="1:44" x14ac:dyDescent="0.2">
      <c r="A713" s="48"/>
      <c r="AP713" s="308"/>
    </row>
    <row r="714" spans="1:44" x14ac:dyDescent="0.2">
      <c r="A714" s="48"/>
      <c r="AP714" s="308"/>
    </row>
    <row r="715" spans="1:44" x14ac:dyDescent="0.2">
      <c r="A715" s="48"/>
      <c r="AP715" s="308"/>
    </row>
    <row r="716" spans="1:44" x14ac:dyDescent="0.2">
      <c r="A716" s="48"/>
      <c r="AP716" s="308"/>
    </row>
    <row r="717" spans="1:44" x14ac:dyDescent="0.2">
      <c r="A717" s="48"/>
      <c r="AP717" s="308"/>
    </row>
    <row r="718" spans="1:44" x14ac:dyDescent="0.2">
      <c r="A718" s="48"/>
      <c r="AP718" s="308"/>
    </row>
    <row r="719" spans="1:44" x14ac:dyDescent="0.2">
      <c r="A719" s="48"/>
      <c r="AP719" s="308"/>
    </row>
    <row r="720" spans="1:44" x14ac:dyDescent="0.2">
      <c r="A720" s="48"/>
      <c r="AP720" s="308"/>
    </row>
    <row r="721" spans="1:42" x14ac:dyDescent="0.2">
      <c r="A721" s="48"/>
      <c r="AP721" s="30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</row>
    <row r="725" spans="1:42" x14ac:dyDescent="0.2">
      <c r="A725" s="48"/>
    </row>
    <row r="726" spans="1:42" x14ac:dyDescent="0.2">
      <c r="A726" s="48"/>
    </row>
    <row r="727" spans="1:42" x14ac:dyDescent="0.2">
      <c r="A727" s="48"/>
    </row>
    <row r="728" spans="1:42" x14ac:dyDescent="0.2">
      <c r="A728" s="48"/>
    </row>
    <row r="729" spans="1:42" x14ac:dyDescent="0.2">
      <c r="A729" s="4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  <c r="AP752" s="308"/>
    </row>
    <row r="753" spans="1:45" x14ac:dyDescent="0.2">
      <c r="A753" s="48"/>
      <c r="AP753" s="308"/>
    </row>
    <row r="754" spans="1:45" x14ac:dyDescent="0.2">
      <c r="A754" s="48"/>
      <c r="AP754" s="308"/>
    </row>
    <row r="755" spans="1:45" x14ac:dyDescent="0.2">
      <c r="A755" s="48"/>
      <c r="AP755" s="308"/>
    </row>
    <row r="756" spans="1:45" x14ac:dyDescent="0.2">
      <c r="A756" s="48"/>
      <c r="AP756" s="308"/>
    </row>
    <row r="757" spans="1:45" x14ac:dyDescent="0.2">
      <c r="A757" s="48"/>
    </row>
    <row r="758" spans="1:45" x14ac:dyDescent="0.2">
      <c r="A758" s="48"/>
    </row>
    <row r="759" spans="1:45" x14ac:dyDescent="0.2">
      <c r="A759" s="48"/>
    </row>
    <row r="760" spans="1:45" s="308" customFormat="1" x14ac:dyDescent="0.2">
      <c r="A760" s="48"/>
      <c r="C760" s="263"/>
      <c r="D760" s="263"/>
      <c r="E760" s="53"/>
      <c r="F760" s="13"/>
      <c r="G760" s="13"/>
      <c r="H760" s="53"/>
      <c r="I760" s="298"/>
      <c r="J760" s="21"/>
      <c r="K760" s="21"/>
      <c r="L760" s="13"/>
      <c r="M760" s="50"/>
      <c r="N760" s="97"/>
      <c r="O760" s="50"/>
      <c r="P760" s="50"/>
      <c r="Q760" s="316"/>
      <c r="R760" s="285"/>
      <c r="S760" s="21"/>
      <c r="T760" s="13"/>
      <c r="U760" s="13"/>
      <c r="V760" s="21"/>
      <c r="W760" s="21"/>
      <c r="X760" s="21"/>
      <c r="Y760" s="260"/>
      <c r="Z760" s="177"/>
      <c r="AA760" s="177"/>
      <c r="AB760" s="676"/>
      <c r="AC760" s="64"/>
      <c r="AD760" s="50"/>
      <c r="AE760" s="50"/>
      <c r="AF760" s="19"/>
      <c r="AG760" s="120"/>
      <c r="AH760" s="119"/>
      <c r="AI760" s="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1:45" s="308" customFormat="1" x14ac:dyDescent="0.2">
      <c r="A761" s="48"/>
      <c r="C761" s="263"/>
      <c r="D761" s="263"/>
      <c r="E761" s="53"/>
      <c r="F761" s="13"/>
      <c r="G761" s="13"/>
      <c r="H761" s="53"/>
      <c r="I761" s="298"/>
      <c r="J761" s="21"/>
      <c r="K761" s="21"/>
      <c r="L761" s="13"/>
      <c r="M761" s="50"/>
      <c r="N761" s="97"/>
      <c r="O761" s="50"/>
      <c r="P761" s="50"/>
      <c r="Q761" s="316"/>
      <c r="R761" s="285"/>
      <c r="S761" s="21"/>
      <c r="T761" s="13"/>
      <c r="U761" s="13"/>
      <c r="V761" s="21"/>
      <c r="W761" s="21"/>
      <c r="X761" s="21"/>
      <c r="Y761" s="260"/>
      <c r="Z761" s="177"/>
      <c r="AA761" s="177"/>
      <c r="AB761" s="676"/>
      <c r="AC761" s="64"/>
      <c r="AD761" s="50"/>
      <c r="AE761" s="50"/>
      <c r="AF761" s="19"/>
      <c r="AG761" s="120"/>
      <c r="AH761" s="119"/>
      <c r="AI761" s="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</sheetData>
  <autoFilter ref="A5:AJ279">
    <filterColumn colId="3" showButton="0"/>
  </autoFilter>
  <sortState ref="B6:T120">
    <sortCondition ref="C6:C120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  <ignoredErrors>
    <ignoredError sqref="S288:S290 S29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756"/>
  <sheetViews>
    <sheetView topLeftCell="S58" workbookViewId="0">
      <selection activeCell="AC66" sqref="AC66:AF66"/>
    </sheetView>
  </sheetViews>
  <sheetFormatPr baseColWidth="10" defaultRowHeight="12.75" outlineLevelCol="1" x14ac:dyDescent="0.2"/>
  <cols>
    <col min="1" max="1" width="7.140625" style="13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22.140625" style="53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4.42578125" style="676" bestFit="1" customWidth="1"/>
    <col min="29" max="29" width="11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3421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4101</v>
      </c>
      <c r="V4" s="67"/>
      <c r="W4" s="67"/>
      <c r="Y4" s="21"/>
      <c r="Z4" s="260"/>
      <c r="AB4" s="63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682" t="s">
        <v>3485</v>
      </c>
      <c r="C6" s="655">
        <v>520111</v>
      </c>
      <c r="D6" s="658">
        <v>2592</v>
      </c>
      <c r="E6" s="655" t="s">
        <v>684</v>
      </c>
      <c r="F6" s="539">
        <v>2017</v>
      </c>
      <c r="G6" s="659">
        <v>42864</v>
      </c>
      <c r="H6" s="655" t="s">
        <v>2215</v>
      </c>
      <c r="I6" s="655" t="s">
        <v>3743</v>
      </c>
      <c r="J6" s="655" t="s">
        <v>724</v>
      </c>
      <c r="K6" s="655" t="s">
        <v>3877</v>
      </c>
      <c r="L6" s="655" t="s">
        <v>4002</v>
      </c>
      <c r="M6" s="660">
        <v>299393.88</v>
      </c>
      <c r="N6" s="660">
        <v>7761.29</v>
      </c>
      <c r="O6" s="660">
        <v>49144.83</v>
      </c>
      <c r="P6" s="660">
        <v>356300</v>
      </c>
      <c r="Q6" s="541"/>
      <c r="R6" s="660">
        <v>272071.59000000003</v>
      </c>
      <c r="S6" s="542">
        <f t="shared" ref="S6:S69" si="0">+P6-R6</f>
        <v>84228.409999999974</v>
      </c>
      <c r="T6" s="267" t="s">
        <v>1932</v>
      </c>
      <c r="U6" s="621" t="str">
        <f>+B6</f>
        <v>AA11051</v>
      </c>
      <c r="V6" s="622" t="str">
        <f>+I6</f>
        <v>1253-TCN17</v>
      </c>
      <c r="W6" s="621">
        <f>+C6</f>
        <v>520111</v>
      </c>
      <c r="X6" s="621" t="str">
        <f>+E6</f>
        <v>CAMRY LE SEDAN 2.5</v>
      </c>
      <c r="Y6" s="622">
        <f>+F6</f>
        <v>2017</v>
      </c>
      <c r="Z6" s="623">
        <f>+M6</f>
        <v>299393.88</v>
      </c>
      <c r="AA6" s="624">
        <f>+Z6</f>
        <v>299393.88</v>
      </c>
      <c r="AB6" s="663">
        <v>1</v>
      </c>
      <c r="AC6" s="624">
        <f t="shared" ref="AC6:AC41" si="1">VLOOKUP(Z6,TARIFA,1)</f>
        <v>295708.34000000003</v>
      </c>
      <c r="AD6" s="625">
        <f t="shared" ref="AD6:AD41" si="2">VLOOKUP(Z6,TARIFA,4)</f>
        <v>0.1</v>
      </c>
      <c r="AE6" s="624">
        <f t="shared" ref="AE6:AE41" si="3">VLOOKUP(Z6,TARIFA,3)</f>
        <v>7392.74</v>
      </c>
      <c r="AF6" s="624">
        <f t="shared" ref="AF6:AF22" si="4">IF(Z6&lt;281240.78,(((Z6-AC6)*AD6+AE6)/2),(Z6-AC6)*AD6+AE6)</f>
        <v>7761.2939999999981</v>
      </c>
      <c r="AG6" s="632">
        <f>+N6-AF6</f>
        <v>-3.9999999980864231E-3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683" t="s">
        <v>3487</v>
      </c>
      <c r="C7" s="655">
        <v>520112</v>
      </c>
      <c r="D7" s="658">
        <v>2594</v>
      </c>
      <c r="E7" s="655" t="s">
        <v>720</v>
      </c>
      <c r="F7" s="546">
        <v>2017</v>
      </c>
      <c r="G7" s="659">
        <v>42870</v>
      </c>
      <c r="H7" s="655" t="s">
        <v>747</v>
      </c>
      <c r="I7" s="655" t="s">
        <v>1166</v>
      </c>
      <c r="J7" s="655" t="s">
        <v>724</v>
      </c>
      <c r="K7" s="655" t="s">
        <v>3879</v>
      </c>
      <c r="L7" s="655" t="s">
        <v>1167</v>
      </c>
      <c r="M7" s="660">
        <v>350851.74</v>
      </c>
      <c r="N7" s="660">
        <v>13199.98</v>
      </c>
      <c r="O7" s="660">
        <v>58248.28</v>
      </c>
      <c r="P7" s="660">
        <v>422300</v>
      </c>
      <c r="Q7" s="548"/>
      <c r="R7" s="660">
        <v>315664.12</v>
      </c>
      <c r="S7" s="549">
        <f t="shared" si="0"/>
        <v>106635.88</v>
      </c>
      <c r="T7" s="267" t="s">
        <v>1932</v>
      </c>
      <c r="U7" s="626" t="str">
        <f t="shared" ref="U7:U70" si="5">+B7</f>
        <v>AA11078</v>
      </c>
      <c r="V7" s="627" t="str">
        <f t="shared" ref="V7:V70" si="6">+I7</f>
        <v>0685-TCN17</v>
      </c>
      <c r="W7" s="626">
        <f t="shared" ref="W7:W70" si="7">+C7</f>
        <v>520112</v>
      </c>
      <c r="X7" s="626" t="str">
        <f t="shared" ref="X7:Y70" si="8">+E7</f>
        <v>CAMRY XLE</v>
      </c>
      <c r="Y7" s="627">
        <f t="shared" si="8"/>
        <v>2017</v>
      </c>
      <c r="Z7" s="628">
        <f t="shared" ref="Z7:Z70" si="9">+M7</f>
        <v>350851.74</v>
      </c>
      <c r="AA7" s="629"/>
      <c r="AB7" s="664"/>
      <c r="AC7" s="629">
        <v>0</v>
      </c>
      <c r="AD7" s="630">
        <v>0</v>
      </c>
      <c r="AE7" s="629">
        <v>0</v>
      </c>
      <c r="AF7" s="629">
        <f>+N7</f>
        <v>13199.98</v>
      </c>
      <c r="AG7" s="555">
        <f t="shared" ref="AG7:AG70" si="10">+N7-AF7</f>
        <v>0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683" t="s">
        <v>3486</v>
      </c>
      <c r="C8" s="655">
        <v>520112</v>
      </c>
      <c r="D8" s="658">
        <v>2593</v>
      </c>
      <c r="E8" s="655" t="s">
        <v>685</v>
      </c>
      <c r="F8" s="546">
        <v>2017</v>
      </c>
      <c r="G8" s="659">
        <v>42858</v>
      </c>
      <c r="H8" s="655" t="s">
        <v>817</v>
      </c>
      <c r="I8" s="655" t="s">
        <v>3744</v>
      </c>
      <c r="J8" s="655" t="s">
        <v>724</v>
      </c>
      <c r="K8" s="655" t="s">
        <v>3878</v>
      </c>
      <c r="L8" s="655" t="s">
        <v>4003</v>
      </c>
      <c r="M8" s="660">
        <v>314205.78999999998</v>
      </c>
      <c r="N8" s="660">
        <v>9242.49</v>
      </c>
      <c r="O8" s="660">
        <v>51751.72</v>
      </c>
      <c r="P8" s="660">
        <v>375200</v>
      </c>
      <c r="Q8" s="548"/>
      <c r="R8" s="660">
        <v>278009.5</v>
      </c>
      <c r="S8" s="549">
        <f t="shared" si="0"/>
        <v>97190.5</v>
      </c>
      <c r="T8" s="267" t="s">
        <v>1932</v>
      </c>
      <c r="U8" s="626" t="str">
        <f t="shared" si="5"/>
        <v>AA11016</v>
      </c>
      <c r="V8" s="627" t="str">
        <f t="shared" si="6"/>
        <v>0588-TCN17</v>
      </c>
      <c r="W8" s="626">
        <f t="shared" si="7"/>
        <v>520112</v>
      </c>
      <c r="X8" s="626" t="str">
        <f t="shared" si="8"/>
        <v>CAMRY XLE 4 -DOOR</v>
      </c>
      <c r="Y8" s="627">
        <f t="shared" si="8"/>
        <v>2017</v>
      </c>
      <c r="Z8" s="628">
        <f t="shared" si="9"/>
        <v>314205.78999999998</v>
      </c>
      <c r="AA8" s="629">
        <f>+Z8+Z7</f>
        <v>665057.53</v>
      </c>
      <c r="AB8" s="664">
        <v>2</v>
      </c>
      <c r="AC8" s="629">
        <f t="shared" si="1"/>
        <v>295708.34000000003</v>
      </c>
      <c r="AD8" s="630">
        <f t="shared" si="2"/>
        <v>0.1</v>
      </c>
      <c r="AE8" s="629">
        <f t="shared" si="3"/>
        <v>7392.74</v>
      </c>
      <c r="AF8" s="629">
        <f t="shared" si="4"/>
        <v>9242.4849999999951</v>
      </c>
      <c r="AG8" s="555">
        <f t="shared" si="10"/>
        <v>5.0000000046566129E-3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683" t="s">
        <v>3433</v>
      </c>
      <c r="C9" s="655">
        <v>520220</v>
      </c>
      <c r="D9" s="658">
        <v>1794</v>
      </c>
      <c r="E9" s="655" t="s">
        <v>687</v>
      </c>
      <c r="F9" s="546">
        <v>2017</v>
      </c>
      <c r="G9" s="659">
        <v>42870</v>
      </c>
      <c r="H9" s="655" t="s">
        <v>2220</v>
      </c>
      <c r="I9" s="655" t="s">
        <v>3705</v>
      </c>
      <c r="J9" s="655" t="s">
        <v>724</v>
      </c>
      <c r="K9" s="655" t="s">
        <v>3849</v>
      </c>
      <c r="L9" s="655" t="s">
        <v>3964</v>
      </c>
      <c r="M9" s="660">
        <v>272992.27</v>
      </c>
      <c r="N9" s="660">
        <v>3128.42</v>
      </c>
      <c r="O9" s="660">
        <v>44179.31</v>
      </c>
      <c r="P9" s="660">
        <v>320300</v>
      </c>
      <c r="Q9" s="548"/>
      <c r="R9" s="660">
        <v>230831.22</v>
      </c>
      <c r="S9" s="549">
        <f t="shared" si="0"/>
        <v>89468.78</v>
      </c>
      <c r="T9" s="267" t="s">
        <v>1932</v>
      </c>
      <c r="U9" s="626" t="str">
        <f t="shared" si="5"/>
        <v>AA11080</v>
      </c>
      <c r="V9" s="627" t="str">
        <f t="shared" si="6"/>
        <v>1134-TCN17</v>
      </c>
      <c r="W9" s="626">
        <f t="shared" si="7"/>
        <v>520220</v>
      </c>
      <c r="X9" s="626" t="str">
        <f t="shared" si="8"/>
        <v>COROLLA LE AT</v>
      </c>
      <c r="Y9" s="627">
        <f t="shared" si="8"/>
        <v>2017</v>
      </c>
      <c r="Z9" s="628">
        <f t="shared" si="9"/>
        <v>272992.27</v>
      </c>
      <c r="AA9" s="629">
        <f>+Z9</f>
        <v>272992.27</v>
      </c>
      <c r="AB9" s="664">
        <v>1</v>
      </c>
      <c r="AC9" s="629">
        <f t="shared" si="1"/>
        <v>246423.66</v>
      </c>
      <c r="AD9" s="630">
        <f t="shared" si="2"/>
        <v>0.05</v>
      </c>
      <c r="AE9" s="629">
        <f t="shared" si="3"/>
        <v>4928.3900000000003</v>
      </c>
      <c r="AF9" s="629">
        <f t="shared" si="4"/>
        <v>3128.4102500000008</v>
      </c>
      <c r="AG9" s="555">
        <f t="shared" si="10"/>
        <v>9.7499999992578523E-3</v>
      </c>
      <c r="AH9" s="361"/>
      <c r="AI9" s="313"/>
    </row>
    <row r="10" spans="1:45" s="291" customFormat="1" x14ac:dyDescent="0.2">
      <c r="A10" s="423">
        <f t="shared" si="11"/>
        <v>5</v>
      </c>
      <c r="B10" s="683" t="s">
        <v>3437</v>
      </c>
      <c r="C10" s="655">
        <v>520222</v>
      </c>
      <c r="D10" s="658">
        <v>1797</v>
      </c>
      <c r="E10" s="655" t="s">
        <v>688</v>
      </c>
      <c r="F10" s="546">
        <v>2017</v>
      </c>
      <c r="G10" s="659">
        <v>42857</v>
      </c>
      <c r="H10" s="655" t="s">
        <v>778</v>
      </c>
      <c r="I10" s="655" t="s">
        <v>3707</v>
      </c>
      <c r="J10" s="655" t="s">
        <v>724</v>
      </c>
      <c r="K10" s="655" t="s">
        <v>3851</v>
      </c>
      <c r="L10" s="655" t="s">
        <v>3966</v>
      </c>
      <c r="M10" s="660">
        <v>231905.09</v>
      </c>
      <c r="N10" s="660">
        <v>2319.0500000000002</v>
      </c>
      <c r="O10" s="660">
        <v>37475.86</v>
      </c>
      <c r="P10" s="660">
        <v>271700</v>
      </c>
      <c r="Q10" s="548"/>
      <c r="R10" s="660">
        <v>204309.3</v>
      </c>
      <c r="S10" s="549">
        <f t="shared" si="0"/>
        <v>67390.700000000012</v>
      </c>
      <c r="T10" s="267" t="s">
        <v>1932</v>
      </c>
      <c r="U10" s="626" t="str">
        <f t="shared" si="5"/>
        <v>AA11010</v>
      </c>
      <c r="V10" s="627" t="str">
        <f t="shared" si="6"/>
        <v>1231-TCN17</v>
      </c>
      <c r="W10" s="626">
        <f t="shared" si="7"/>
        <v>520222</v>
      </c>
      <c r="X10" s="626" t="str">
        <f t="shared" si="8"/>
        <v>COROLLA BASE MANUAL</v>
      </c>
      <c r="Y10" s="627">
        <f t="shared" si="8"/>
        <v>2017</v>
      </c>
      <c r="Z10" s="628">
        <f t="shared" si="9"/>
        <v>231905.09</v>
      </c>
      <c r="AA10" s="629">
        <f>+Z10</f>
        <v>231905.09</v>
      </c>
      <c r="AB10" s="664">
        <v>1</v>
      </c>
      <c r="AC10" s="629">
        <f t="shared" si="1"/>
        <v>0.01</v>
      </c>
      <c r="AD10" s="630">
        <f t="shared" si="2"/>
        <v>0.02</v>
      </c>
      <c r="AE10" s="629">
        <f t="shared" si="3"/>
        <v>0</v>
      </c>
      <c r="AF10" s="629">
        <f t="shared" si="4"/>
        <v>2319.0508</v>
      </c>
      <c r="AG10" s="555">
        <f t="shared" si="10"/>
        <v>-7.9999999979918357E-4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683" t="s">
        <v>3436</v>
      </c>
      <c r="C11" s="655">
        <v>520223</v>
      </c>
      <c r="D11" s="658">
        <v>1796</v>
      </c>
      <c r="E11" s="655" t="s">
        <v>689</v>
      </c>
      <c r="F11" s="546">
        <v>2017</v>
      </c>
      <c r="G11" s="659">
        <v>42879</v>
      </c>
      <c r="H11" s="655" t="s">
        <v>819</v>
      </c>
      <c r="I11" s="655" t="s">
        <v>3706</v>
      </c>
      <c r="J11" s="655" t="s">
        <v>724</v>
      </c>
      <c r="K11" s="655" t="s">
        <v>3850</v>
      </c>
      <c r="L11" s="655" t="s">
        <v>3965</v>
      </c>
      <c r="M11" s="660">
        <v>250536.43</v>
      </c>
      <c r="N11" s="660">
        <v>2567.02</v>
      </c>
      <c r="O11" s="660">
        <v>40496.550000000003</v>
      </c>
      <c r="P11" s="660">
        <v>293600</v>
      </c>
      <c r="Q11" s="548"/>
      <c r="R11" s="660">
        <v>211571.1</v>
      </c>
      <c r="S11" s="549">
        <f t="shared" si="0"/>
        <v>82028.899999999994</v>
      </c>
      <c r="T11" s="267" t="s">
        <v>1932</v>
      </c>
      <c r="U11" s="626" t="str">
        <f t="shared" si="5"/>
        <v>AA11138</v>
      </c>
      <c r="V11" s="627" t="str">
        <f t="shared" si="6"/>
        <v>1083-TCN17</v>
      </c>
      <c r="W11" s="626">
        <f t="shared" si="7"/>
        <v>520223</v>
      </c>
      <c r="X11" s="626" t="str">
        <f t="shared" si="8"/>
        <v>COROLLA BASE AT</v>
      </c>
      <c r="Y11" s="627">
        <f t="shared" si="8"/>
        <v>2017</v>
      </c>
      <c r="Z11" s="628">
        <f t="shared" si="9"/>
        <v>250536.43</v>
      </c>
      <c r="AA11" s="629">
        <f>+Z11</f>
        <v>250536.43</v>
      </c>
      <c r="AB11" s="664">
        <v>1</v>
      </c>
      <c r="AC11" s="555">
        <f t="shared" si="1"/>
        <v>246423.66</v>
      </c>
      <c r="AD11" s="630">
        <f t="shared" si="2"/>
        <v>0.05</v>
      </c>
      <c r="AE11" s="629">
        <f t="shared" si="3"/>
        <v>4928.3900000000003</v>
      </c>
      <c r="AF11" s="629">
        <f t="shared" si="4"/>
        <v>2567.0142499999997</v>
      </c>
      <c r="AG11" s="555">
        <f t="shared" si="10"/>
        <v>5.7500000002619345E-3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683" t="s">
        <v>3429</v>
      </c>
      <c r="C12" s="655">
        <v>520225</v>
      </c>
      <c r="D12" s="658">
        <v>1782</v>
      </c>
      <c r="E12" s="655" t="s">
        <v>691</v>
      </c>
      <c r="F12" s="546">
        <v>2017</v>
      </c>
      <c r="G12" s="659">
        <v>42857</v>
      </c>
      <c r="H12" s="655" t="s">
        <v>810</v>
      </c>
      <c r="I12" s="655" t="s">
        <v>3701</v>
      </c>
      <c r="J12" s="655" t="s">
        <v>724</v>
      </c>
      <c r="K12" s="655" t="s">
        <v>3847</v>
      </c>
      <c r="L12" s="655" t="s">
        <v>3960</v>
      </c>
      <c r="M12" s="660">
        <v>272992.27</v>
      </c>
      <c r="N12" s="660">
        <v>3128.42</v>
      </c>
      <c r="O12" s="660">
        <v>44179.31</v>
      </c>
      <c r="P12" s="660">
        <v>320300</v>
      </c>
      <c r="Q12" s="548"/>
      <c r="R12" s="660">
        <v>253151.03</v>
      </c>
      <c r="S12" s="549">
        <f t="shared" si="0"/>
        <v>67148.97</v>
      </c>
      <c r="T12" s="267" t="s">
        <v>1932</v>
      </c>
      <c r="U12" s="626" t="str">
        <f t="shared" si="5"/>
        <v>AA11006</v>
      </c>
      <c r="V12" s="627" t="str">
        <f t="shared" si="6"/>
        <v>1222-TCN17</v>
      </c>
      <c r="W12" s="626">
        <f t="shared" si="7"/>
        <v>520225</v>
      </c>
      <c r="X12" s="626" t="str">
        <f t="shared" si="8"/>
        <v>COROLLA SE CVT</v>
      </c>
      <c r="Y12" s="627">
        <f t="shared" si="8"/>
        <v>2017</v>
      </c>
      <c r="Z12" s="628">
        <f t="shared" si="9"/>
        <v>272992.27</v>
      </c>
      <c r="AA12" s="629">
        <f>+Z12</f>
        <v>272992.27</v>
      </c>
      <c r="AB12" s="664">
        <v>1</v>
      </c>
      <c r="AC12" s="555">
        <f t="shared" si="1"/>
        <v>246423.66</v>
      </c>
      <c r="AD12" s="630">
        <f t="shared" si="2"/>
        <v>0.05</v>
      </c>
      <c r="AE12" s="629">
        <f t="shared" si="3"/>
        <v>4928.3900000000003</v>
      </c>
      <c r="AF12" s="629">
        <f t="shared" si="4"/>
        <v>3128.4102500000008</v>
      </c>
      <c r="AG12" s="555">
        <f t="shared" si="10"/>
        <v>9.7499999992578523E-3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683" t="s">
        <v>3431</v>
      </c>
      <c r="C13" s="655">
        <v>520226</v>
      </c>
      <c r="D13" s="658">
        <v>1783</v>
      </c>
      <c r="E13" s="655" t="s">
        <v>692</v>
      </c>
      <c r="F13" s="546">
        <v>2017</v>
      </c>
      <c r="G13" s="659">
        <v>42859</v>
      </c>
      <c r="H13" s="655" t="s">
        <v>778</v>
      </c>
      <c r="I13" s="655" t="s">
        <v>3703</v>
      </c>
      <c r="J13" s="655" t="s">
        <v>724</v>
      </c>
      <c r="K13" s="655" t="s">
        <v>3848</v>
      </c>
      <c r="L13" s="655" t="s">
        <v>3962</v>
      </c>
      <c r="M13" s="660">
        <v>313030.24</v>
      </c>
      <c r="N13" s="660">
        <v>9124.93</v>
      </c>
      <c r="O13" s="660">
        <v>51544.83</v>
      </c>
      <c r="P13" s="660">
        <v>373700</v>
      </c>
      <c r="Q13" s="548"/>
      <c r="R13" s="660">
        <v>264720.34000000003</v>
      </c>
      <c r="S13" s="549">
        <f t="shared" si="0"/>
        <v>108979.65999999997</v>
      </c>
      <c r="T13" s="267" t="s">
        <v>1932</v>
      </c>
      <c r="U13" s="626" t="str">
        <f t="shared" si="5"/>
        <v>AA11025</v>
      </c>
      <c r="V13" s="627" t="str">
        <f t="shared" si="6"/>
        <v>1234-TCN17</v>
      </c>
      <c r="W13" s="626">
        <f t="shared" si="7"/>
        <v>520226</v>
      </c>
      <c r="X13" s="626" t="str">
        <f t="shared" si="8"/>
        <v>COROLLA SE  PLUS  AT</v>
      </c>
      <c r="Y13" s="627">
        <f t="shared" si="8"/>
        <v>2017</v>
      </c>
      <c r="Z13" s="628">
        <f t="shared" si="9"/>
        <v>313030.24</v>
      </c>
      <c r="AA13" s="629">
        <f>+Z13</f>
        <v>313030.24</v>
      </c>
      <c r="AB13" s="664">
        <v>1</v>
      </c>
      <c r="AC13" s="629">
        <f t="shared" si="1"/>
        <v>295708.34000000003</v>
      </c>
      <c r="AD13" s="630">
        <f t="shared" si="2"/>
        <v>0.1</v>
      </c>
      <c r="AE13" s="629">
        <f t="shared" si="3"/>
        <v>7392.74</v>
      </c>
      <c r="AF13" s="629">
        <f t="shared" si="4"/>
        <v>9124.9299999999967</v>
      </c>
      <c r="AG13" s="555">
        <f t="shared" si="10"/>
        <v>0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683" t="s">
        <v>3530</v>
      </c>
      <c r="C14" s="655">
        <v>520514</v>
      </c>
      <c r="D14" s="658">
        <v>5398</v>
      </c>
      <c r="E14" s="655" t="s">
        <v>117</v>
      </c>
      <c r="F14" s="546">
        <v>2017</v>
      </c>
      <c r="G14" s="659">
        <v>42859</v>
      </c>
      <c r="H14" s="655" t="s">
        <v>2215</v>
      </c>
      <c r="I14" s="655" t="s">
        <v>3034</v>
      </c>
      <c r="J14" s="655" t="s">
        <v>724</v>
      </c>
      <c r="K14" s="655" t="s">
        <v>3167</v>
      </c>
      <c r="L14" s="655" t="s">
        <v>3300</v>
      </c>
      <c r="M14" s="660">
        <v>-515345.49</v>
      </c>
      <c r="N14" s="660">
        <v>-39309.68</v>
      </c>
      <c r="O14" s="660">
        <v>-88744.83</v>
      </c>
      <c r="P14" s="660">
        <v>-643400</v>
      </c>
      <c r="Q14" s="548"/>
      <c r="R14" s="660">
        <v>-456016.94</v>
      </c>
      <c r="S14" s="549">
        <f t="shared" si="0"/>
        <v>-187383.06</v>
      </c>
      <c r="T14" s="113" t="s">
        <v>1266</v>
      </c>
      <c r="U14" s="626" t="str">
        <f t="shared" si="5"/>
        <v>ZA04056</v>
      </c>
      <c r="V14" s="627" t="str">
        <f t="shared" si="6"/>
        <v>1147-TCN17</v>
      </c>
      <c r="W14" s="626">
        <f t="shared" si="7"/>
        <v>520514</v>
      </c>
      <c r="X14" s="626" t="str">
        <f t="shared" si="8"/>
        <v>SIENNA XLE PIEL</v>
      </c>
      <c r="Y14" s="627">
        <f t="shared" si="8"/>
        <v>2017</v>
      </c>
      <c r="Z14" s="628">
        <f t="shared" si="9"/>
        <v>-515345.49</v>
      </c>
      <c r="AA14" s="629"/>
      <c r="AB14" s="664"/>
      <c r="AC14" s="629"/>
      <c r="AD14" s="630"/>
      <c r="AE14" s="629"/>
      <c r="AF14" s="629">
        <f>+N14</f>
        <v>-39309.68</v>
      </c>
      <c r="AG14" s="555">
        <f t="shared" si="10"/>
        <v>0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683" t="s">
        <v>3540</v>
      </c>
      <c r="C15" s="655">
        <v>520514</v>
      </c>
      <c r="D15" s="658">
        <v>5398</v>
      </c>
      <c r="E15" s="655" t="s">
        <v>117</v>
      </c>
      <c r="F15" s="546">
        <v>2017</v>
      </c>
      <c r="G15" s="659">
        <v>42884</v>
      </c>
      <c r="H15" s="655" t="s">
        <v>2215</v>
      </c>
      <c r="I15" s="655" t="s">
        <v>3770</v>
      </c>
      <c r="J15" s="655" t="s">
        <v>724</v>
      </c>
      <c r="K15" s="655" t="s">
        <v>3893</v>
      </c>
      <c r="L15" s="655" t="s">
        <v>4029</v>
      </c>
      <c r="M15" s="660">
        <v>508787.88</v>
      </c>
      <c r="N15" s="660">
        <v>38194.879999999997</v>
      </c>
      <c r="O15" s="660">
        <v>87517.24</v>
      </c>
      <c r="P15" s="660">
        <v>634500</v>
      </c>
      <c r="Q15" s="548"/>
      <c r="R15" s="660">
        <v>456016.94</v>
      </c>
      <c r="S15" s="549">
        <f t="shared" si="0"/>
        <v>178483.06</v>
      </c>
      <c r="T15" s="113" t="s">
        <v>1932</v>
      </c>
      <c r="U15" s="626" t="str">
        <f t="shared" si="5"/>
        <v>AA11163</v>
      </c>
      <c r="V15" s="627" t="str">
        <f t="shared" si="6"/>
        <v>1181-TCN17</v>
      </c>
      <c r="W15" s="626">
        <f t="shared" si="7"/>
        <v>520514</v>
      </c>
      <c r="X15" s="626" t="str">
        <f t="shared" si="8"/>
        <v>SIENNA XLE PIEL</v>
      </c>
      <c r="Y15" s="627">
        <f t="shared" si="8"/>
        <v>2017</v>
      </c>
      <c r="Z15" s="628">
        <f t="shared" si="9"/>
        <v>508787.88</v>
      </c>
      <c r="AA15" s="629"/>
      <c r="AB15" s="664"/>
      <c r="AC15" s="629">
        <f t="shared" si="1"/>
        <v>443562.4</v>
      </c>
      <c r="AD15" s="630">
        <f t="shared" si="2"/>
        <v>0.17</v>
      </c>
      <c r="AE15" s="629">
        <f t="shared" si="3"/>
        <v>27106.55</v>
      </c>
      <c r="AF15" s="629">
        <f t="shared" si="4"/>
        <v>38194.881599999993</v>
      </c>
      <c r="AG15" s="555">
        <f t="shared" si="10"/>
        <v>-1.5999999959603883E-3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683" t="s">
        <v>3534</v>
      </c>
      <c r="C16" s="655">
        <v>520514</v>
      </c>
      <c r="D16" s="658">
        <v>5398</v>
      </c>
      <c r="E16" s="655" t="s">
        <v>117</v>
      </c>
      <c r="F16" s="546">
        <v>2017</v>
      </c>
      <c r="G16" s="659">
        <v>42877</v>
      </c>
      <c r="H16" s="655" t="s">
        <v>810</v>
      </c>
      <c r="I16" s="655" t="s">
        <v>3769</v>
      </c>
      <c r="J16" s="655" t="s">
        <v>724</v>
      </c>
      <c r="K16" s="655" t="s">
        <v>3892</v>
      </c>
      <c r="L16" s="655" t="s">
        <v>4028</v>
      </c>
      <c r="M16" s="660">
        <v>508787.88</v>
      </c>
      <c r="N16" s="660">
        <v>38194.879999999997</v>
      </c>
      <c r="O16" s="660">
        <v>87517.24</v>
      </c>
      <c r="P16" s="660">
        <v>634500</v>
      </c>
      <c r="Q16" s="548"/>
      <c r="R16" s="660">
        <v>456016.94</v>
      </c>
      <c r="S16" s="549">
        <f t="shared" si="0"/>
        <v>178483.06</v>
      </c>
      <c r="T16" s="113" t="s">
        <v>1932</v>
      </c>
      <c r="U16" s="626" t="str">
        <f t="shared" si="5"/>
        <v>AA11116</v>
      </c>
      <c r="V16" s="627" t="str">
        <f t="shared" si="6"/>
        <v>1164-TCN17</v>
      </c>
      <c r="W16" s="626">
        <f t="shared" si="7"/>
        <v>520514</v>
      </c>
      <c r="X16" s="626" t="str">
        <f t="shared" si="8"/>
        <v>SIENNA XLE PIEL</v>
      </c>
      <c r="Y16" s="627">
        <f t="shared" si="8"/>
        <v>2017</v>
      </c>
      <c r="Z16" s="628">
        <f t="shared" si="9"/>
        <v>508787.88</v>
      </c>
      <c r="AA16" s="629"/>
      <c r="AB16" s="664"/>
      <c r="AC16" s="629">
        <f t="shared" si="1"/>
        <v>443562.4</v>
      </c>
      <c r="AD16" s="630">
        <f t="shared" si="2"/>
        <v>0.17</v>
      </c>
      <c r="AE16" s="629">
        <f t="shared" si="3"/>
        <v>27106.55</v>
      </c>
      <c r="AF16" s="629">
        <f t="shared" si="4"/>
        <v>38194.881599999993</v>
      </c>
      <c r="AG16" s="555">
        <f t="shared" si="10"/>
        <v>-1.5999999959603883E-3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683" t="s">
        <v>3533</v>
      </c>
      <c r="C17" s="655">
        <v>520514</v>
      </c>
      <c r="D17" s="658">
        <v>5398</v>
      </c>
      <c r="E17" s="655" t="s">
        <v>117</v>
      </c>
      <c r="F17" s="546">
        <v>2017</v>
      </c>
      <c r="G17" s="659">
        <v>42872</v>
      </c>
      <c r="H17" s="655" t="s">
        <v>2220</v>
      </c>
      <c r="I17" s="655" t="s">
        <v>3768</v>
      </c>
      <c r="J17" s="655" t="s">
        <v>724</v>
      </c>
      <c r="K17" s="655" t="s">
        <v>3891</v>
      </c>
      <c r="L17" s="655" t="s">
        <v>4027</v>
      </c>
      <c r="M17" s="660">
        <v>527208.15</v>
      </c>
      <c r="N17" s="660">
        <v>41326.33</v>
      </c>
      <c r="O17" s="660">
        <v>90965.52</v>
      </c>
      <c r="P17" s="660">
        <v>659500</v>
      </c>
      <c r="Q17" s="548"/>
      <c r="R17" s="660">
        <v>456016.94</v>
      </c>
      <c r="S17" s="549">
        <f t="shared" si="0"/>
        <v>203483.06</v>
      </c>
      <c r="T17" s="267" t="s">
        <v>1932</v>
      </c>
      <c r="U17" s="626" t="str">
        <f t="shared" si="5"/>
        <v>AA11094</v>
      </c>
      <c r="V17" s="627" t="str">
        <f t="shared" si="6"/>
        <v>1165-TCN17</v>
      </c>
      <c r="W17" s="626">
        <f t="shared" si="7"/>
        <v>520514</v>
      </c>
      <c r="X17" s="626" t="str">
        <f t="shared" si="8"/>
        <v>SIENNA XLE PIEL</v>
      </c>
      <c r="Y17" s="627">
        <f t="shared" si="8"/>
        <v>2017</v>
      </c>
      <c r="Z17" s="628">
        <f t="shared" si="9"/>
        <v>527208.15</v>
      </c>
      <c r="AA17" s="629">
        <f>+Z17+Z16+Z15+Z14</f>
        <v>1029438.4200000002</v>
      </c>
      <c r="AB17" s="664">
        <v>3</v>
      </c>
      <c r="AC17" s="629">
        <f t="shared" si="1"/>
        <v>443562.4</v>
      </c>
      <c r="AD17" s="630">
        <f t="shared" si="2"/>
        <v>0.17</v>
      </c>
      <c r="AE17" s="629">
        <f t="shared" si="3"/>
        <v>27106.55</v>
      </c>
      <c r="AF17" s="629">
        <f t="shared" si="4"/>
        <v>41326.327499999999</v>
      </c>
      <c r="AG17" s="555">
        <f t="shared" si="10"/>
        <v>2.5000000023283064E-3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683" t="s">
        <v>3541</v>
      </c>
      <c r="C18" s="655">
        <v>520515</v>
      </c>
      <c r="D18" s="658">
        <v>5399</v>
      </c>
      <c r="E18" s="655" t="s">
        <v>267</v>
      </c>
      <c r="F18" s="546">
        <v>2017</v>
      </c>
      <c r="G18" s="659">
        <v>42861</v>
      </c>
      <c r="H18" s="655" t="s">
        <v>743</v>
      </c>
      <c r="I18" s="655" t="s">
        <v>3771</v>
      </c>
      <c r="J18" s="655" t="s">
        <v>724</v>
      </c>
      <c r="K18" s="655" t="s">
        <v>970</v>
      </c>
      <c r="L18" s="655" t="s">
        <v>4030</v>
      </c>
      <c r="M18" s="660">
        <v>630140.66</v>
      </c>
      <c r="N18" s="660">
        <v>58824.86</v>
      </c>
      <c r="O18" s="660">
        <v>110234.48</v>
      </c>
      <c r="P18" s="660">
        <v>799200</v>
      </c>
      <c r="Q18" s="548"/>
      <c r="R18" s="660">
        <v>557391.16</v>
      </c>
      <c r="S18" s="549">
        <f t="shared" si="0"/>
        <v>241808.83999999997</v>
      </c>
      <c r="T18" s="267" t="s">
        <v>1932</v>
      </c>
      <c r="U18" s="626" t="str">
        <f t="shared" si="5"/>
        <v>AA11037</v>
      </c>
      <c r="V18" s="627" t="str">
        <f t="shared" si="6"/>
        <v>1247-TCN17</v>
      </c>
      <c r="W18" s="626">
        <f t="shared" si="7"/>
        <v>520515</v>
      </c>
      <c r="X18" s="626" t="str">
        <f t="shared" si="8"/>
        <v>SIENNA LIMITED</v>
      </c>
      <c r="Y18" s="627">
        <f t="shared" si="8"/>
        <v>2017</v>
      </c>
      <c r="Z18" s="628">
        <f t="shared" si="9"/>
        <v>630140.66</v>
      </c>
      <c r="AA18" s="629"/>
      <c r="AB18" s="664"/>
      <c r="AC18" s="629">
        <f t="shared" si="1"/>
        <v>443562.4</v>
      </c>
      <c r="AD18" s="630">
        <f t="shared" si="2"/>
        <v>0.17</v>
      </c>
      <c r="AE18" s="629">
        <f t="shared" si="3"/>
        <v>27106.55</v>
      </c>
      <c r="AF18" s="629">
        <f t="shared" si="4"/>
        <v>58824.854200000002</v>
      </c>
      <c r="AG18" s="555">
        <f t="shared" si="10"/>
        <v>5.7999999989988282E-3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683" t="s">
        <v>3542</v>
      </c>
      <c r="C19" s="655">
        <v>520515</v>
      </c>
      <c r="D19" s="658">
        <v>5399</v>
      </c>
      <c r="E19" s="655" t="s">
        <v>267</v>
      </c>
      <c r="F19" s="546">
        <v>2017</v>
      </c>
      <c r="G19" s="659">
        <v>42865</v>
      </c>
      <c r="H19" s="655" t="s">
        <v>792</v>
      </c>
      <c r="I19" s="655" t="s">
        <v>3772</v>
      </c>
      <c r="J19" s="655" t="s">
        <v>724</v>
      </c>
      <c r="K19" s="655" t="s">
        <v>3894</v>
      </c>
      <c r="L19" s="655" t="s">
        <v>4031</v>
      </c>
      <c r="M19" s="660">
        <v>611720.38</v>
      </c>
      <c r="N19" s="660">
        <v>55693.41</v>
      </c>
      <c r="O19" s="660">
        <v>106786.21</v>
      </c>
      <c r="P19" s="660">
        <v>774200</v>
      </c>
      <c r="Q19" s="548"/>
      <c r="R19" s="660">
        <v>557036.68999999994</v>
      </c>
      <c r="S19" s="549">
        <f t="shared" si="0"/>
        <v>217163.31000000006</v>
      </c>
      <c r="T19" s="444" t="s">
        <v>1932</v>
      </c>
      <c r="U19" s="626" t="str">
        <f t="shared" si="5"/>
        <v>AA11054</v>
      </c>
      <c r="V19" s="627" t="str">
        <f t="shared" si="6"/>
        <v>1251-TCN17</v>
      </c>
      <c r="W19" s="626">
        <f t="shared" si="7"/>
        <v>520515</v>
      </c>
      <c r="X19" s="626" t="str">
        <f t="shared" si="8"/>
        <v>SIENNA LIMITED</v>
      </c>
      <c r="Y19" s="627">
        <f t="shared" si="8"/>
        <v>2017</v>
      </c>
      <c r="Z19" s="628">
        <f t="shared" si="9"/>
        <v>611720.38</v>
      </c>
      <c r="AA19" s="629">
        <f>+Z19+Z18</f>
        <v>1241861.04</v>
      </c>
      <c r="AB19" s="664">
        <v>2</v>
      </c>
      <c r="AC19" s="629">
        <f t="shared" si="1"/>
        <v>443562.4</v>
      </c>
      <c r="AD19" s="630">
        <f t="shared" si="2"/>
        <v>0.17</v>
      </c>
      <c r="AE19" s="629">
        <f t="shared" si="3"/>
        <v>27106.55</v>
      </c>
      <c r="AF19" s="629">
        <f t="shared" si="4"/>
        <v>55693.406600000002</v>
      </c>
      <c r="AG19" s="555">
        <f t="shared" si="10"/>
        <v>3.4000000014202669E-3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683" t="s">
        <v>3511</v>
      </c>
      <c r="C20" s="655">
        <v>520814</v>
      </c>
      <c r="D20" s="658">
        <v>4493</v>
      </c>
      <c r="E20" s="655" t="s">
        <v>693</v>
      </c>
      <c r="F20" s="546">
        <v>2017</v>
      </c>
      <c r="G20" s="659">
        <v>42881</v>
      </c>
      <c r="H20" s="655" t="s">
        <v>739</v>
      </c>
      <c r="I20" s="655" t="s">
        <v>3754</v>
      </c>
      <c r="J20" s="655" t="s">
        <v>724</v>
      </c>
      <c r="K20" s="655" t="s">
        <v>3884</v>
      </c>
      <c r="L20" s="655" t="s">
        <v>4013</v>
      </c>
      <c r="M20" s="660">
        <v>315616.45</v>
      </c>
      <c r="N20" s="660">
        <v>9383.5499999999993</v>
      </c>
      <c r="O20" s="660">
        <v>52000</v>
      </c>
      <c r="P20" s="660">
        <v>377000</v>
      </c>
      <c r="Q20" s="548"/>
      <c r="R20" s="660">
        <v>269146.12</v>
      </c>
      <c r="S20" s="549">
        <f t="shared" si="0"/>
        <v>107853.88</v>
      </c>
      <c r="T20" s="267" t="s">
        <v>1932</v>
      </c>
      <c r="U20" s="626" t="str">
        <f t="shared" si="5"/>
        <v>AA11145</v>
      </c>
      <c r="V20" s="627" t="str">
        <f t="shared" si="6"/>
        <v>1185-TCN17</v>
      </c>
      <c r="W20" s="626">
        <f t="shared" si="7"/>
        <v>520814</v>
      </c>
      <c r="X20" s="626" t="str">
        <f t="shared" si="8"/>
        <v>RAV4 4X2  SUV  LE</v>
      </c>
      <c r="Y20" s="627">
        <f t="shared" si="8"/>
        <v>2017</v>
      </c>
      <c r="Z20" s="628">
        <f t="shared" si="9"/>
        <v>315616.45</v>
      </c>
      <c r="AA20" s="629"/>
      <c r="AB20" s="664"/>
      <c r="AC20" s="629">
        <f t="shared" si="1"/>
        <v>295708.34000000003</v>
      </c>
      <c r="AD20" s="630">
        <f t="shared" si="2"/>
        <v>0.1</v>
      </c>
      <c r="AE20" s="629">
        <f t="shared" si="3"/>
        <v>7392.74</v>
      </c>
      <c r="AF20" s="629">
        <f t="shared" si="4"/>
        <v>9383.5509999999995</v>
      </c>
      <c r="AG20" s="555">
        <f t="shared" si="10"/>
        <v>-1.0000000002037268E-3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683" t="s">
        <v>3512</v>
      </c>
      <c r="C21" s="655">
        <v>520814</v>
      </c>
      <c r="D21" s="658">
        <v>4493</v>
      </c>
      <c r="E21" s="655" t="s">
        <v>693</v>
      </c>
      <c r="F21" s="546">
        <v>2017</v>
      </c>
      <c r="G21" s="659">
        <v>42884</v>
      </c>
      <c r="H21" s="655" t="s">
        <v>2215</v>
      </c>
      <c r="I21" s="655" t="s">
        <v>3755</v>
      </c>
      <c r="J21" s="655" t="s">
        <v>724</v>
      </c>
      <c r="K21" s="655" t="s">
        <v>3885</v>
      </c>
      <c r="L21" s="655" t="s">
        <v>4014</v>
      </c>
      <c r="M21" s="660">
        <v>315616.45</v>
      </c>
      <c r="N21" s="660">
        <v>9383.5499999999993</v>
      </c>
      <c r="O21" s="660">
        <v>52000</v>
      </c>
      <c r="P21" s="660">
        <v>377000</v>
      </c>
      <c r="Q21" s="548"/>
      <c r="R21" s="660">
        <v>277000.59999999998</v>
      </c>
      <c r="S21" s="549">
        <f t="shared" si="0"/>
        <v>99999.400000000023</v>
      </c>
      <c r="T21" s="267" t="s">
        <v>1932</v>
      </c>
      <c r="U21" s="626" t="str">
        <f t="shared" si="5"/>
        <v>AA11161</v>
      </c>
      <c r="V21" s="627" t="str">
        <f t="shared" si="6"/>
        <v>1283-TCN17</v>
      </c>
      <c r="W21" s="626">
        <f t="shared" si="7"/>
        <v>520814</v>
      </c>
      <c r="X21" s="626" t="str">
        <f t="shared" si="8"/>
        <v>RAV4 4X2  SUV  LE</v>
      </c>
      <c r="Y21" s="627">
        <f t="shared" si="8"/>
        <v>2017</v>
      </c>
      <c r="Z21" s="628">
        <f t="shared" si="9"/>
        <v>315616.45</v>
      </c>
      <c r="AA21" s="629"/>
      <c r="AB21" s="664"/>
      <c r="AC21" s="629">
        <f t="shared" si="1"/>
        <v>295708.34000000003</v>
      </c>
      <c r="AD21" s="630">
        <f t="shared" si="2"/>
        <v>0.1</v>
      </c>
      <c r="AE21" s="629">
        <f t="shared" si="3"/>
        <v>7392.74</v>
      </c>
      <c r="AF21" s="629">
        <f t="shared" si="4"/>
        <v>9383.5509999999995</v>
      </c>
      <c r="AG21" s="555">
        <f t="shared" si="10"/>
        <v>-1.0000000002037268E-3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683" t="s">
        <v>3513</v>
      </c>
      <c r="C22" s="655">
        <v>520814</v>
      </c>
      <c r="D22" s="658">
        <v>4493</v>
      </c>
      <c r="E22" s="655" t="s">
        <v>693</v>
      </c>
      <c r="F22" s="546">
        <v>2017</v>
      </c>
      <c r="G22" s="659">
        <v>42886</v>
      </c>
      <c r="H22" s="655" t="s">
        <v>788</v>
      </c>
      <c r="I22" s="655" t="s">
        <v>3756</v>
      </c>
      <c r="J22" s="655" t="s">
        <v>724</v>
      </c>
      <c r="K22" s="655" t="s">
        <v>3886</v>
      </c>
      <c r="L22" s="655" t="s">
        <v>4015</v>
      </c>
      <c r="M22" s="660">
        <v>315616.45</v>
      </c>
      <c r="N22" s="660">
        <v>9383.5499999999993</v>
      </c>
      <c r="O22" s="660">
        <v>52000</v>
      </c>
      <c r="P22" s="660">
        <v>377000</v>
      </c>
      <c r="Q22" s="548"/>
      <c r="R22" s="660">
        <v>276646.12</v>
      </c>
      <c r="S22" s="549">
        <f t="shared" si="0"/>
        <v>100353.88</v>
      </c>
      <c r="T22" s="113" t="s">
        <v>1932</v>
      </c>
      <c r="U22" s="626" t="str">
        <f t="shared" si="5"/>
        <v>AA11205</v>
      </c>
      <c r="V22" s="627" t="str">
        <f t="shared" si="6"/>
        <v>1293-TCN17</v>
      </c>
      <c r="W22" s="626">
        <f t="shared" si="7"/>
        <v>520814</v>
      </c>
      <c r="X22" s="626" t="str">
        <f t="shared" si="8"/>
        <v>RAV4 4X2  SUV  LE</v>
      </c>
      <c r="Y22" s="627">
        <f t="shared" si="8"/>
        <v>2017</v>
      </c>
      <c r="Z22" s="628">
        <f t="shared" si="9"/>
        <v>315616.45</v>
      </c>
      <c r="AA22" s="629">
        <f>+Z22+Z21+Z20</f>
        <v>946849.35000000009</v>
      </c>
      <c r="AB22" s="664">
        <v>3</v>
      </c>
      <c r="AC22" s="629">
        <f t="shared" si="1"/>
        <v>295708.34000000003</v>
      </c>
      <c r="AD22" s="630">
        <f t="shared" si="2"/>
        <v>0.1</v>
      </c>
      <c r="AE22" s="629">
        <f t="shared" si="3"/>
        <v>7392.74</v>
      </c>
      <c r="AF22" s="629">
        <f t="shared" si="4"/>
        <v>9383.5509999999995</v>
      </c>
      <c r="AG22" s="555">
        <f t="shared" si="10"/>
        <v>-1.0000000002037268E-3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683" t="s">
        <v>3489</v>
      </c>
      <c r="C23" s="655">
        <v>520815</v>
      </c>
      <c r="D23" s="658">
        <v>4492</v>
      </c>
      <c r="E23" s="655" t="s">
        <v>694</v>
      </c>
      <c r="F23" s="546">
        <v>2017</v>
      </c>
      <c r="G23" s="659">
        <v>42863</v>
      </c>
      <c r="H23" s="655" t="s">
        <v>817</v>
      </c>
      <c r="I23" s="655" t="s">
        <v>3025</v>
      </c>
      <c r="J23" s="655" t="s">
        <v>724</v>
      </c>
      <c r="K23" s="655" t="s">
        <v>3159</v>
      </c>
      <c r="L23" s="655" t="s">
        <v>3291</v>
      </c>
      <c r="M23" s="660">
        <v>-346428.96</v>
      </c>
      <c r="N23" s="660">
        <v>-12536.56</v>
      </c>
      <c r="O23" s="660">
        <v>-57434.48</v>
      </c>
      <c r="P23" s="660">
        <v>-416400</v>
      </c>
      <c r="Q23" s="548"/>
      <c r="R23" s="660">
        <v>-296567.37</v>
      </c>
      <c r="S23" s="549">
        <f t="shared" si="0"/>
        <v>-119832.63</v>
      </c>
      <c r="T23" s="113" t="s">
        <v>1266</v>
      </c>
      <c r="U23" s="626" t="str">
        <f t="shared" si="5"/>
        <v>ZA04064</v>
      </c>
      <c r="V23" s="627" t="str">
        <f t="shared" si="6"/>
        <v>0283-TCN17</v>
      </c>
      <c r="W23" s="626">
        <f t="shared" si="7"/>
        <v>520815</v>
      </c>
      <c r="X23" s="626" t="str">
        <f t="shared" si="8"/>
        <v>RAV4 L4 AWD XLE</v>
      </c>
      <c r="Y23" s="627">
        <f t="shared" si="8"/>
        <v>2017</v>
      </c>
      <c r="Z23" s="628">
        <f t="shared" si="9"/>
        <v>-346428.96</v>
      </c>
      <c r="AA23" s="629"/>
      <c r="AB23" s="664"/>
      <c r="AC23" s="629"/>
      <c r="AD23" s="630"/>
      <c r="AE23" s="629"/>
      <c r="AF23" s="629">
        <f>+N23</f>
        <v>-12536.56</v>
      </c>
      <c r="AG23" s="555">
        <f t="shared" si="10"/>
        <v>0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683" t="s">
        <v>3504</v>
      </c>
      <c r="C24" s="655">
        <v>520815</v>
      </c>
      <c r="D24" s="658">
        <v>4492</v>
      </c>
      <c r="E24" s="655" t="s">
        <v>694</v>
      </c>
      <c r="F24" s="546">
        <v>2017</v>
      </c>
      <c r="G24" s="659">
        <v>42886</v>
      </c>
      <c r="H24" s="655" t="s">
        <v>1038</v>
      </c>
      <c r="I24" s="655" t="s">
        <v>3749</v>
      </c>
      <c r="J24" s="655" t="s">
        <v>724</v>
      </c>
      <c r="K24" s="655" t="s">
        <v>830</v>
      </c>
      <c r="L24" s="655" t="s">
        <v>4008</v>
      </c>
      <c r="M24" s="660">
        <v>355799.27</v>
      </c>
      <c r="N24" s="660">
        <v>13942.11</v>
      </c>
      <c r="O24" s="660">
        <v>59158.62</v>
      </c>
      <c r="P24" s="660">
        <v>428900</v>
      </c>
      <c r="Q24" s="548"/>
      <c r="R24" s="660">
        <v>303453</v>
      </c>
      <c r="S24" s="549">
        <f t="shared" si="0"/>
        <v>125447</v>
      </c>
      <c r="T24" s="267" t="s">
        <v>1932</v>
      </c>
      <c r="U24" s="626" t="str">
        <f t="shared" si="5"/>
        <v>AA11206</v>
      </c>
      <c r="V24" s="627" t="str">
        <f t="shared" si="6"/>
        <v>1184-TCN17</v>
      </c>
      <c r="W24" s="626">
        <f t="shared" si="7"/>
        <v>520815</v>
      </c>
      <c r="X24" s="626" t="str">
        <f t="shared" si="8"/>
        <v>RAV4 L4 AWD XLE</v>
      </c>
      <c r="Y24" s="627">
        <f t="shared" si="8"/>
        <v>2017</v>
      </c>
      <c r="Z24" s="628">
        <f t="shared" si="9"/>
        <v>355799.27</v>
      </c>
      <c r="AA24" s="629"/>
      <c r="AB24" s="664"/>
      <c r="AC24" s="629">
        <f t="shared" ref="AC24:AC30" si="12">VLOOKUP(Z24,TARIFA,1)</f>
        <v>344993.21</v>
      </c>
      <c r="AD24" s="630">
        <f t="shared" ref="AD24:AD30" si="13">VLOOKUP(Z24,TARIFA,4)</f>
        <v>0.15</v>
      </c>
      <c r="AE24" s="629">
        <f t="shared" ref="AE24:AE30" si="14">VLOOKUP(Z24,TARIFA,3)</f>
        <v>12321.2</v>
      </c>
      <c r="AF24" s="629">
        <f t="shared" ref="AF24:AF30" si="15">IF(Z24&lt;281240.78,(((Z24-AC24)*AD24+AE24)/2),(Z24-AC24)*AD24+AE24)</f>
        <v>13942.109</v>
      </c>
      <c r="AG24" s="555">
        <f t="shared" si="10"/>
        <v>1.0000000002037268E-3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683" t="s">
        <v>3497</v>
      </c>
      <c r="C25" s="655">
        <v>520815</v>
      </c>
      <c r="D25" s="658">
        <v>4492</v>
      </c>
      <c r="E25" s="655" t="s">
        <v>694</v>
      </c>
      <c r="F25" s="546">
        <v>2017</v>
      </c>
      <c r="G25" s="659">
        <v>42881</v>
      </c>
      <c r="H25" s="655" t="s">
        <v>2213</v>
      </c>
      <c r="I25" s="655" t="s">
        <v>3746</v>
      </c>
      <c r="J25" s="655" t="s">
        <v>724</v>
      </c>
      <c r="K25" s="655" t="s">
        <v>3883</v>
      </c>
      <c r="L25" s="655" t="s">
        <v>4005</v>
      </c>
      <c r="M25" s="660">
        <v>355799.27</v>
      </c>
      <c r="N25" s="660">
        <v>13942.11</v>
      </c>
      <c r="O25" s="660">
        <v>59158.62</v>
      </c>
      <c r="P25" s="660">
        <v>428900</v>
      </c>
      <c r="Q25" s="548"/>
      <c r="R25" s="660">
        <v>303453</v>
      </c>
      <c r="S25" s="549">
        <f t="shared" si="0"/>
        <v>125447</v>
      </c>
      <c r="T25" s="113" t="s">
        <v>1932</v>
      </c>
      <c r="U25" s="626" t="str">
        <f t="shared" si="5"/>
        <v>AA11148</v>
      </c>
      <c r="V25" s="627" t="str">
        <f t="shared" si="6"/>
        <v>1242-TCN17</v>
      </c>
      <c r="W25" s="626">
        <f t="shared" si="7"/>
        <v>520815</v>
      </c>
      <c r="X25" s="626" t="str">
        <f t="shared" si="8"/>
        <v>RAV4 L4 AWD XLE</v>
      </c>
      <c r="Y25" s="627">
        <f t="shared" si="8"/>
        <v>2017</v>
      </c>
      <c r="Z25" s="628">
        <f t="shared" si="9"/>
        <v>355799.27</v>
      </c>
      <c r="AA25" s="629"/>
      <c r="AB25" s="664"/>
      <c r="AC25" s="629">
        <f t="shared" si="12"/>
        <v>344993.21</v>
      </c>
      <c r="AD25" s="630">
        <f t="shared" si="13"/>
        <v>0.15</v>
      </c>
      <c r="AE25" s="629">
        <f t="shared" si="14"/>
        <v>12321.2</v>
      </c>
      <c r="AF25" s="629">
        <f t="shared" si="15"/>
        <v>13942.109</v>
      </c>
      <c r="AG25" s="555">
        <f t="shared" si="10"/>
        <v>1.0000000002037268E-3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683" t="s">
        <v>3501</v>
      </c>
      <c r="C26" s="655">
        <v>520815</v>
      </c>
      <c r="D26" s="658">
        <v>4492</v>
      </c>
      <c r="E26" s="655" t="s">
        <v>694</v>
      </c>
      <c r="F26" s="546">
        <v>2017</v>
      </c>
      <c r="G26" s="659">
        <v>42885</v>
      </c>
      <c r="H26" s="655" t="s">
        <v>819</v>
      </c>
      <c r="I26" s="655" t="s">
        <v>3747</v>
      </c>
      <c r="J26" s="655" t="s">
        <v>724</v>
      </c>
      <c r="K26" s="655" t="s">
        <v>3882</v>
      </c>
      <c r="L26" s="655" t="s">
        <v>4006</v>
      </c>
      <c r="M26" s="660">
        <v>333641.53000000003</v>
      </c>
      <c r="N26" s="660">
        <v>11186.06</v>
      </c>
      <c r="O26" s="660">
        <v>55172.41</v>
      </c>
      <c r="P26" s="660">
        <v>400000</v>
      </c>
      <c r="Q26" s="548"/>
      <c r="R26" s="660">
        <v>296567.37</v>
      </c>
      <c r="S26" s="549">
        <f t="shared" si="0"/>
        <v>103432.63</v>
      </c>
      <c r="T26" s="113" t="s">
        <v>1932</v>
      </c>
      <c r="U26" s="626" t="str">
        <f t="shared" si="5"/>
        <v>AA11178</v>
      </c>
      <c r="V26" s="627" t="str">
        <f t="shared" si="6"/>
        <v>0282-TCN17</v>
      </c>
      <c r="W26" s="626">
        <f t="shared" si="7"/>
        <v>520815</v>
      </c>
      <c r="X26" s="626" t="str">
        <f t="shared" si="8"/>
        <v>RAV4 L4 AWD XLE</v>
      </c>
      <c r="Y26" s="627">
        <f t="shared" si="8"/>
        <v>2017</v>
      </c>
      <c r="Z26" s="628">
        <f t="shared" si="9"/>
        <v>333641.53000000003</v>
      </c>
      <c r="AA26" s="629"/>
      <c r="AB26" s="664"/>
      <c r="AC26" s="629">
        <f t="shared" si="12"/>
        <v>295708.34000000003</v>
      </c>
      <c r="AD26" s="630">
        <f t="shared" si="13"/>
        <v>0.1</v>
      </c>
      <c r="AE26" s="629">
        <f t="shared" si="14"/>
        <v>7392.74</v>
      </c>
      <c r="AF26" s="629">
        <f t="shared" si="15"/>
        <v>11186.059000000001</v>
      </c>
      <c r="AG26" s="555">
        <f t="shared" si="10"/>
        <v>9.9999999838473741E-4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683" t="s">
        <v>3493</v>
      </c>
      <c r="C27" s="655">
        <v>520815</v>
      </c>
      <c r="D27" s="658">
        <v>4492</v>
      </c>
      <c r="E27" s="655" t="s">
        <v>694</v>
      </c>
      <c r="F27" s="546">
        <v>2017</v>
      </c>
      <c r="G27" s="659">
        <v>42871</v>
      </c>
      <c r="H27" s="655" t="s">
        <v>3693</v>
      </c>
      <c r="I27" s="655" t="s">
        <v>3745</v>
      </c>
      <c r="J27" s="655" t="s">
        <v>724</v>
      </c>
      <c r="K27" s="655" t="s">
        <v>3880</v>
      </c>
      <c r="L27" s="655" t="s">
        <v>4004</v>
      </c>
      <c r="M27" s="660">
        <v>355799.27</v>
      </c>
      <c r="N27" s="660">
        <v>13942.11</v>
      </c>
      <c r="O27" s="660">
        <v>59158.62</v>
      </c>
      <c r="P27" s="660">
        <v>428900</v>
      </c>
      <c r="Q27" s="548"/>
      <c r="R27" s="660">
        <v>303720.68</v>
      </c>
      <c r="S27" s="549">
        <f t="shared" si="0"/>
        <v>125179.32</v>
      </c>
      <c r="T27" s="267" t="s">
        <v>1932</v>
      </c>
      <c r="U27" s="626" t="str">
        <f t="shared" si="5"/>
        <v>AA11092</v>
      </c>
      <c r="V27" s="627" t="str">
        <f t="shared" si="6"/>
        <v>0955-TCN17</v>
      </c>
      <c r="W27" s="626">
        <f t="shared" si="7"/>
        <v>520815</v>
      </c>
      <c r="X27" s="626" t="str">
        <f t="shared" si="8"/>
        <v>RAV4 L4 AWD XLE</v>
      </c>
      <c r="Y27" s="627">
        <f t="shared" si="8"/>
        <v>2017</v>
      </c>
      <c r="Z27" s="628">
        <f t="shared" si="9"/>
        <v>355799.27</v>
      </c>
      <c r="AA27" s="629">
        <f>+Z27+Z26+Z25+Z24+Z23</f>
        <v>1054610.3800000001</v>
      </c>
      <c r="AB27" s="664">
        <v>3</v>
      </c>
      <c r="AC27" s="629">
        <f t="shared" si="12"/>
        <v>344993.21</v>
      </c>
      <c r="AD27" s="630">
        <f t="shared" si="13"/>
        <v>0.15</v>
      </c>
      <c r="AE27" s="629">
        <f t="shared" si="14"/>
        <v>12321.2</v>
      </c>
      <c r="AF27" s="629">
        <f t="shared" si="15"/>
        <v>13942.109</v>
      </c>
      <c r="AG27" s="555">
        <f t="shared" si="10"/>
        <v>1.0000000002037268E-3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683" t="s">
        <v>3517</v>
      </c>
      <c r="C28" s="655">
        <v>520816</v>
      </c>
      <c r="D28" s="658">
        <v>4497</v>
      </c>
      <c r="E28" s="655" t="s">
        <v>695</v>
      </c>
      <c r="F28" s="546">
        <v>2017</v>
      </c>
      <c r="G28" s="659">
        <v>42878</v>
      </c>
      <c r="H28" s="655" t="s">
        <v>747</v>
      </c>
      <c r="I28" s="655" t="s">
        <v>3759</v>
      </c>
      <c r="J28" s="655" t="s">
        <v>724</v>
      </c>
      <c r="K28" s="655" t="s">
        <v>3887</v>
      </c>
      <c r="L28" s="655" t="s">
        <v>4018</v>
      </c>
      <c r="M28" s="660">
        <v>413820.26</v>
      </c>
      <c r="N28" s="660">
        <v>22645.26</v>
      </c>
      <c r="O28" s="660">
        <v>69834.48</v>
      </c>
      <c r="P28" s="660">
        <v>506300</v>
      </c>
      <c r="Q28" s="548"/>
      <c r="R28" s="660">
        <v>376785.74</v>
      </c>
      <c r="S28" s="549">
        <f t="shared" si="0"/>
        <v>129514.26000000001</v>
      </c>
      <c r="T28" s="267" t="s">
        <v>1932</v>
      </c>
      <c r="U28" s="626" t="str">
        <f t="shared" si="5"/>
        <v>AA11127</v>
      </c>
      <c r="V28" s="627" t="str">
        <f t="shared" si="6"/>
        <v>1307-TCN17</v>
      </c>
      <c r="W28" s="626">
        <f t="shared" si="7"/>
        <v>520816</v>
      </c>
      <c r="X28" s="626" t="str">
        <f t="shared" si="8"/>
        <v>RAV4 L4 AWD LIMITED</v>
      </c>
      <c r="Y28" s="627">
        <f t="shared" si="8"/>
        <v>2017</v>
      </c>
      <c r="Z28" s="628">
        <f t="shared" si="9"/>
        <v>413820.26</v>
      </c>
      <c r="AA28" s="629">
        <f>+Z28</f>
        <v>413820.26</v>
      </c>
      <c r="AB28" s="664">
        <v>1</v>
      </c>
      <c r="AC28" s="629">
        <f t="shared" si="12"/>
        <v>344993.21</v>
      </c>
      <c r="AD28" s="630">
        <f t="shared" si="13"/>
        <v>0.15</v>
      </c>
      <c r="AE28" s="629">
        <f t="shared" si="14"/>
        <v>12321.2</v>
      </c>
      <c r="AF28" s="629">
        <f t="shared" si="15"/>
        <v>22645.2575</v>
      </c>
      <c r="AG28" s="555">
        <f t="shared" si="10"/>
        <v>2.4999999986903276E-3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683" t="s">
        <v>3514</v>
      </c>
      <c r="C29" s="655">
        <v>520818</v>
      </c>
      <c r="D29" s="658">
        <v>4495</v>
      </c>
      <c r="E29" s="655" t="s">
        <v>1519</v>
      </c>
      <c r="F29" s="546">
        <v>2017</v>
      </c>
      <c r="G29" s="659">
        <v>42884</v>
      </c>
      <c r="H29" s="655" t="s">
        <v>727</v>
      </c>
      <c r="I29" s="655" t="s">
        <v>3757</v>
      </c>
      <c r="J29" s="655" t="s">
        <v>724</v>
      </c>
      <c r="K29" s="655" t="s">
        <v>3873</v>
      </c>
      <c r="L29" s="655" t="s">
        <v>4016</v>
      </c>
      <c r="M29" s="660">
        <v>418767.78</v>
      </c>
      <c r="N29" s="660">
        <v>23387.39</v>
      </c>
      <c r="O29" s="660">
        <v>70744.83</v>
      </c>
      <c r="P29" s="660">
        <v>512900</v>
      </c>
      <c r="Q29" s="548"/>
      <c r="R29" s="660">
        <v>366387.79</v>
      </c>
      <c r="S29" s="549">
        <f t="shared" si="0"/>
        <v>146512.21000000002</v>
      </c>
      <c r="T29" s="113" t="s">
        <v>1932</v>
      </c>
      <c r="U29" s="626" t="str">
        <f t="shared" si="5"/>
        <v>AA11165</v>
      </c>
      <c r="V29" s="627" t="str">
        <f t="shared" si="6"/>
        <v>1294-TCN17</v>
      </c>
      <c r="W29" s="626">
        <f t="shared" si="7"/>
        <v>520818</v>
      </c>
      <c r="X29" s="626" t="str">
        <f t="shared" si="8"/>
        <v>RAV4 SE 4WD 2.5L</v>
      </c>
      <c r="Y29" s="627">
        <f t="shared" si="8"/>
        <v>2017</v>
      </c>
      <c r="Z29" s="628">
        <f t="shared" si="9"/>
        <v>418767.78</v>
      </c>
      <c r="AA29" s="629">
        <f>+Z29</f>
        <v>418767.78</v>
      </c>
      <c r="AB29" s="664">
        <v>1</v>
      </c>
      <c r="AC29" s="629">
        <f t="shared" si="12"/>
        <v>344993.21</v>
      </c>
      <c r="AD29" s="630">
        <f t="shared" si="13"/>
        <v>0.15</v>
      </c>
      <c r="AE29" s="629">
        <f t="shared" si="14"/>
        <v>12321.2</v>
      </c>
      <c r="AF29" s="629">
        <f t="shared" si="15"/>
        <v>23387.385500000004</v>
      </c>
      <c r="AG29" s="555">
        <f t="shared" si="10"/>
        <v>4.4999999954598024E-3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683" t="s">
        <v>3519</v>
      </c>
      <c r="C30" s="655">
        <v>520819</v>
      </c>
      <c r="D30" s="658">
        <v>4498</v>
      </c>
      <c r="E30" s="655" t="s">
        <v>696</v>
      </c>
      <c r="F30" s="546">
        <v>2017</v>
      </c>
      <c r="G30" s="659">
        <v>42872</v>
      </c>
      <c r="H30" s="655" t="s">
        <v>2213</v>
      </c>
      <c r="I30" s="655" t="s">
        <v>3761</v>
      </c>
      <c r="J30" s="655" t="s">
        <v>724</v>
      </c>
      <c r="K30" s="655" t="s">
        <v>3889</v>
      </c>
      <c r="L30" s="655" t="s">
        <v>4020</v>
      </c>
      <c r="M30" s="660">
        <v>383985.18</v>
      </c>
      <c r="N30" s="660">
        <v>18169.990000000002</v>
      </c>
      <c r="O30" s="660">
        <v>64344.83</v>
      </c>
      <c r="P30" s="660">
        <v>466500</v>
      </c>
      <c r="Q30" s="548"/>
      <c r="R30" s="660">
        <v>336481.4</v>
      </c>
      <c r="S30" s="549">
        <f t="shared" si="0"/>
        <v>130018.59999999998</v>
      </c>
      <c r="T30" s="267" t="s">
        <v>1932</v>
      </c>
      <c r="U30" s="626" t="str">
        <f t="shared" si="5"/>
        <v>AA11099</v>
      </c>
      <c r="V30" s="627" t="str">
        <f t="shared" si="6"/>
        <v>1285-TCN17</v>
      </c>
      <c r="W30" s="626">
        <f t="shared" si="7"/>
        <v>520819</v>
      </c>
      <c r="X30" s="626" t="str">
        <f t="shared" si="8"/>
        <v>RAV4 XLE PLUS</v>
      </c>
      <c r="Y30" s="627">
        <f t="shared" si="8"/>
        <v>2017</v>
      </c>
      <c r="Z30" s="628">
        <f t="shared" si="9"/>
        <v>383985.18</v>
      </c>
      <c r="AA30" s="629"/>
      <c r="AB30" s="665"/>
      <c r="AC30" s="629">
        <f t="shared" si="12"/>
        <v>344993.21</v>
      </c>
      <c r="AD30" s="630">
        <f t="shared" si="13"/>
        <v>0.15</v>
      </c>
      <c r="AE30" s="629">
        <f t="shared" si="14"/>
        <v>12321.2</v>
      </c>
      <c r="AF30" s="629">
        <f t="shared" si="15"/>
        <v>18169.995499999997</v>
      </c>
      <c r="AG30" s="555">
        <f t="shared" si="10"/>
        <v>-5.4999999956635293E-3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683" t="s">
        <v>3518</v>
      </c>
      <c r="C31" s="655">
        <v>520819</v>
      </c>
      <c r="D31" s="658">
        <v>4498</v>
      </c>
      <c r="E31" s="655" t="s">
        <v>696</v>
      </c>
      <c r="F31" s="546">
        <v>2017</v>
      </c>
      <c r="G31" s="659">
        <v>42859</v>
      </c>
      <c r="H31" s="655" t="s">
        <v>727</v>
      </c>
      <c r="I31" s="655" t="s">
        <v>3760</v>
      </c>
      <c r="J31" s="655" t="s">
        <v>724</v>
      </c>
      <c r="K31" s="655" t="s">
        <v>3888</v>
      </c>
      <c r="L31" s="655" t="s">
        <v>4019</v>
      </c>
      <c r="M31" s="660">
        <v>370491.92</v>
      </c>
      <c r="N31" s="660">
        <v>16146.01</v>
      </c>
      <c r="O31" s="660">
        <v>61862.07</v>
      </c>
      <c r="P31" s="660">
        <v>448500</v>
      </c>
      <c r="Q31" s="548"/>
      <c r="R31" s="660">
        <v>327257.34999999998</v>
      </c>
      <c r="S31" s="549">
        <f t="shared" si="0"/>
        <v>121242.65000000002</v>
      </c>
      <c r="T31" s="113" t="s">
        <v>1932</v>
      </c>
      <c r="U31" s="626" t="str">
        <f t="shared" si="5"/>
        <v>AA11024</v>
      </c>
      <c r="V31" s="627" t="str">
        <f t="shared" si="6"/>
        <v>1187-TCN17</v>
      </c>
      <c r="W31" s="626">
        <f t="shared" si="7"/>
        <v>520819</v>
      </c>
      <c r="X31" s="626" t="str">
        <f t="shared" si="8"/>
        <v>RAV4 XLE PLUS</v>
      </c>
      <c r="Y31" s="627">
        <f t="shared" si="8"/>
        <v>2017</v>
      </c>
      <c r="Z31" s="628">
        <f t="shared" si="9"/>
        <v>370491.92</v>
      </c>
      <c r="AA31" s="629">
        <f>+Z31+Z30</f>
        <v>754477.1</v>
      </c>
      <c r="AB31" s="664">
        <v>2</v>
      </c>
      <c r="AC31" s="629">
        <f t="shared" si="1"/>
        <v>344993.21</v>
      </c>
      <c r="AD31" s="630">
        <f t="shared" si="2"/>
        <v>0.15</v>
      </c>
      <c r="AE31" s="629">
        <f t="shared" si="3"/>
        <v>12321.2</v>
      </c>
      <c r="AF31" s="629">
        <f t="shared" ref="AF31" si="16">IF(Z31&lt;281240.78,(((Z31-AC31)*AD31+AE31)/2),(Z31-AC31)*AD31+AE31)</f>
        <v>16146.006499999996</v>
      </c>
      <c r="AG31" s="555">
        <f t="shared" si="10"/>
        <v>3.5000000043510227E-3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683" t="s">
        <v>3464</v>
      </c>
      <c r="C32" s="655">
        <v>520908</v>
      </c>
      <c r="D32" s="658">
        <v>2008</v>
      </c>
      <c r="E32" s="655" t="s">
        <v>697</v>
      </c>
      <c r="F32" s="546">
        <v>2017</v>
      </c>
      <c r="G32" s="659">
        <v>42860</v>
      </c>
      <c r="H32" s="655" t="s">
        <v>2213</v>
      </c>
      <c r="I32" s="655" t="s">
        <v>3726</v>
      </c>
      <c r="J32" s="655" t="s">
        <v>724</v>
      </c>
      <c r="K32" s="655" t="s">
        <v>3866</v>
      </c>
      <c r="L32" s="655" t="s">
        <v>3985</v>
      </c>
      <c r="M32" s="660">
        <v>208534.48</v>
      </c>
      <c r="N32" s="660">
        <v>0</v>
      </c>
      <c r="O32" s="660">
        <v>33365.519999999997</v>
      </c>
      <c r="P32" s="660">
        <v>241900</v>
      </c>
      <c r="Q32" s="548"/>
      <c r="R32" s="660">
        <v>181537.53</v>
      </c>
      <c r="S32" s="549">
        <f t="shared" si="0"/>
        <v>60362.47</v>
      </c>
      <c r="T32" s="267" t="s">
        <v>1932</v>
      </c>
      <c r="U32" s="626" t="str">
        <f t="shared" si="5"/>
        <v>AA11032</v>
      </c>
      <c r="V32" s="627" t="str">
        <f t="shared" si="6"/>
        <v>1166-TCN17</v>
      </c>
      <c r="W32" s="626">
        <f t="shared" si="7"/>
        <v>520908</v>
      </c>
      <c r="X32" s="626" t="str">
        <f t="shared" si="8"/>
        <v>YARIS HB S MT</v>
      </c>
      <c r="Y32" s="627">
        <f t="shared" si="8"/>
        <v>2017</v>
      </c>
      <c r="Z32" s="628">
        <f t="shared" si="9"/>
        <v>208534.48</v>
      </c>
      <c r="AA32" s="631"/>
      <c r="AB32" s="664"/>
      <c r="AC32" s="629">
        <f t="shared" si="1"/>
        <v>0.01</v>
      </c>
      <c r="AD32" s="630">
        <f t="shared" si="2"/>
        <v>0.02</v>
      </c>
      <c r="AE32" s="629">
        <f t="shared" si="3"/>
        <v>0</v>
      </c>
      <c r="AF32" s="629"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ht="12.75" customHeight="1" x14ac:dyDescent="0.2">
      <c r="A33" s="423">
        <f t="shared" si="11"/>
        <v>28</v>
      </c>
      <c r="B33" s="683" t="s">
        <v>3465</v>
      </c>
      <c r="C33" s="655">
        <v>520908</v>
      </c>
      <c r="D33" s="658">
        <v>2008</v>
      </c>
      <c r="E33" s="655" t="s">
        <v>697</v>
      </c>
      <c r="F33" s="546">
        <v>2017</v>
      </c>
      <c r="G33" s="659">
        <v>42866</v>
      </c>
      <c r="H33" s="655" t="s">
        <v>739</v>
      </c>
      <c r="I33" s="655" t="s">
        <v>3727</v>
      </c>
      <c r="J33" s="655" t="s">
        <v>724</v>
      </c>
      <c r="K33" s="655" t="s">
        <v>3867</v>
      </c>
      <c r="L33" s="655" t="s">
        <v>3986</v>
      </c>
      <c r="M33" s="660">
        <v>200517.24</v>
      </c>
      <c r="N33" s="660">
        <v>0</v>
      </c>
      <c r="O33" s="660">
        <v>32082.76</v>
      </c>
      <c r="P33" s="660">
        <v>232600</v>
      </c>
      <c r="Q33" s="548"/>
      <c r="R33" s="660">
        <v>188753.04</v>
      </c>
      <c r="S33" s="549">
        <f t="shared" si="0"/>
        <v>43846.959999999992</v>
      </c>
      <c r="T33" s="267" t="s">
        <v>1932</v>
      </c>
      <c r="U33" s="626" t="str">
        <f t="shared" si="5"/>
        <v>AA11059</v>
      </c>
      <c r="V33" s="627" t="str">
        <f t="shared" si="6"/>
        <v>1257-TCN17</v>
      </c>
      <c r="W33" s="626">
        <f t="shared" si="7"/>
        <v>520908</v>
      </c>
      <c r="X33" s="626" t="str">
        <f t="shared" si="8"/>
        <v>YARIS HB S MT</v>
      </c>
      <c r="Y33" s="627">
        <f t="shared" si="8"/>
        <v>2017</v>
      </c>
      <c r="Z33" s="628">
        <f t="shared" si="9"/>
        <v>200517.24</v>
      </c>
      <c r="AA33" s="629">
        <f>+Z33+Z32</f>
        <v>409051.72</v>
      </c>
      <c r="AB33" s="665">
        <v>2</v>
      </c>
      <c r="AC33" s="629">
        <f t="shared" si="1"/>
        <v>0.01</v>
      </c>
      <c r="AD33" s="630">
        <f t="shared" si="2"/>
        <v>0.02</v>
      </c>
      <c r="AE33" s="629">
        <f t="shared" si="3"/>
        <v>0</v>
      </c>
      <c r="AF33" s="629"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ht="12.75" customHeight="1" x14ac:dyDescent="0.2">
      <c r="A34" s="423">
        <f t="shared" si="11"/>
        <v>29</v>
      </c>
      <c r="B34" s="683" t="s">
        <v>3428</v>
      </c>
      <c r="C34" s="655">
        <v>521101</v>
      </c>
      <c r="D34" s="658">
        <v>1253</v>
      </c>
      <c r="E34" s="655" t="s">
        <v>30</v>
      </c>
      <c r="F34" s="546">
        <v>2017</v>
      </c>
      <c r="G34" s="659">
        <v>42858</v>
      </c>
      <c r="H34" s="655" t="s">
        <v>727</v>
      </c>
      <c r="I34" s="655" t="s">
        <v>3700</v>
      </c>
      <c r="J34" s="655" t="s">
        <v>724</v>
      </c>
      <c r="K34" s="655" t="s">
        <v>3846</v>
      </c>
      <c r="L34" s="655" t="s">
        <v>3959</v>
      </c>
      <c r="M34" s="660">
        <v>350172.41</v>
      </c>
      <c r="N34" s="660">
        <v>0</v>
      </c>
      <c r="O34" s="660">
        <v>56027.59</v>
      </c>
      <c r="P34" s="660">
        <v>406200</v>
      </c>
      <c r="Q34" s="548"/>
      <c r="R34" s="660">
        <v>326020.56</v>
      </c>
      <c r="S34" s="549">
        <f t="shared" si="0"/>
        <v>80179.44</v>
      </c>
      <c r="T34" s="267" t="s">
        <v>1932</v>
      </c>
      <c r="U34" s="626" t="str">
        <f t="shared" si="5"/>
        <v>AA11015</v>
      </c>
      <c r="V34" s="627" t="str">
        <f t="shared" si="6"/>
        <v>1171-TCN17</v>
      </c>
      <c r="W34" s="626">
        <f t="shared" si="7"/>
        <v>521101</v>
      </c>
      <c r="X34" s="626" t="str">
        <f t="shared" si="8"/>
        <v>PRIUS</v>
      </c>
      <c r="Y34" s="627">
        <f t="shared" si="8"/>
        <v>2017</v>
      </c>
      <c r="Z34" s="628">
        <f t="shared" si="9"/>
        <v>350172.41</v>
      </c>
      <c r="AA34" s="629"/>
      <c r="AB34" s="664"/>
      <c r="AC34" s="629">
        <f t="shared" si="1"/>
        <v>344993.21</v>
      </c>
      <c r="AD34" s="630">
        <f t="shared" si="2"/>
        <v>0.15</v>
      </c>
      <c r="AE34" s="629">
        <f t="shared" si="3"/>
        <v>12321.2</v>
      </c>
      <c r="AF34" s="629"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ht="12.75" customHeight="1" x14ac:dyDescent="0.2">
      <c r="A35" s="423">
        <f t="shared" si="11"/>
        <v>30</v>
      </c>
      <c r="B35" s="683" t="s">
        <v>3427</v>
      </c>
      <c r="C35" s="655">
        <v>521101</v>
      </c>
      <c r="D35" s="658">
        <v>1251</v>
      </c>
      <c r="E35" s="655" t="s">
        <v>700</v>
      </c>
      <c r="F35" s="546">
        <v>2017</v>
      </c>
      <c r="G35" s="659">
        <v>42879</v>
      </c>
      <c r="H35" s="655" t="s">
        <v>788</v>
      </c>
      <c r="I35" s="655" t="s">
        <v>3699</v>
      </c>
      <c r="J35" s="655" t="s">
        <v>724</v>
      </c>
      <c r="K35" s="655" t="s">
        <v>3845</v>
      </c>
      <c r="L35" s="655" t="s">
        <v>3958</v>
      </c>
      <c r="M35" s="660">
        <v>330517.24</v>
      </c>
      <c r="N35" s="660">
        <v>0</v>
      </c>
      <c r="O35" s="660">
        <v>52882.76</v>
      </c>
      <c r="P35" s="660">
        <v>383400</v>
      </c>
      <c r="Q35" s="548"/>
      <c r="R35" s="660">
        <v>283666.84000000003</v>
      </c>
      <c r="S35" s="549">
        <f t="shared" si="0"/>
        <v>99733.159999999974</v>
      </c>
      <c r="T35" s="267" t="s">
        <v>1932</v>
      </c>
      <c r="U35" s="626" t="str">
        <f t="shared" si="5"/>
        <v>AA11136</v>
      </c>
      <c r="V35" s="627" t="str">
        <f t="shared" si="6"/>
        <v>1219-TCN17</v>
      </c>
      <c r="W35" s="626">
        <f t="shared" si="7"/>
        <v>521101</v>
      </c>
      <c r="X35" s="626" t="str">
        <f t="shared" si="8"/>
        <v>PRIUS HYBRID BASE</v>
      </c>
      <c r="Y35" s="627">
        <f t="shared" si="8"/>
        <v>2017</v>
      </c>
      <c r="Z35" s="628">
        <f t="shared" si="9"/>
        <v>330517.24</v>
      </c>
      <c r="AA35" s="629">
        <f>+Z35+Z34</f>
        <v>680689.64999999991</v>
      </c>
      <c r="AB35" s="679">
        <v>2</v>
      </c>
      <c r="AC35" s="629">
        <f t="shared" si="1"/>
        <v>295708.34000000003</v>
      </c>
      <c r="AD35" s="630">
        <f t="shared" si="2"/>
        <v>0.1</v>
      </c>
      <c r="AE35" s="629">
        <f t="shared" si="3"/>
        <v>7392.74</v>
      </c>
      <c r="AF35" s="629"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ht="12.75" customHeight="1" x14ac:dyDescent="0.2">
      <c r="A36" s="423">
        <f t="shared" si="11"/>
        <v>31</v>
      </c>
      <c r="B36" s="683" t="s">
        <v>3567</v>
      </c>
      <c r="C36" s="655">
        <v>521502</v>
      </c>
      <c r="D36" s="658">
        <v>5611</v>
      </c>
      <c r="E36" s="655" t="s">
        <v>225</v>
      </c>
      <c r="F36" s="546">
        <v>2018</v>
      </c>
      <c r="G36" s="659">
        <v>42879</v>
      </c>
      <c r="H36" s="655" t="s">
        <v>817</v>
      </c>
      <c r="I36" s="655" t="s">
        <v>3784</v>
      </c>
      <c r="J36" s="655" t="s">
        <v>724</v>
      </c>
      <c r="K36" s="655" t="s">
        <v>3903</v>
      </c>
      <c r="L36" s="655" t="s">
        <v>4043</v>
      </c>
      <c r="M36" s="660">
        <v>390506.91</v>
      </c>
      <c r="N36" s="660">
        <v>19148.259999999998</v>
      </c>
      <c r="O36" s="660">
        <v>65544.83</v>
      </c>
      <c r="P36" s="660">
        <v>475200</v>
      </c>
      <c r="Q36" s="548"/>
      <c r="R36" s="660">
        <v>345842.5</v>
      </c>
      <c r="S36" s="549">
        <f t="shared" si="0"/>
        <v>129357.5</v>
      </c>
      <c r="T36" s="113" t="s">
        <v>1932</v>
      </c>
      <c r="U36" s="626" t="str">
        <f t="shared" si="5"/>
        <v>AA11133</v>
      </c>
      <c r="V36" s="627" t="str">
        <f t="shared" si="6"/>
        <v>0008-TCN18</v>
      </c>
      <c r="W36" s="626">
        <f t="shared" si="7"/>
        <v>521502</v>
      </c>
      <c r="X36" s="626" t="str">
        <f t="shared" si="8"/>
        <v>HIACE PANEL 15 PASAJ AC</v>
      </c>
      <c r="Y36" s="627">
        <f t="shared" si="8"/>
        <v>2018</v>
      </c>
      <c r="Z36" s="628">
        <f t="shared" si="9"/>
        <v>390506.91</v>
      </c>
      <c r="AA36" s="629"/>
      <c r="AB36" s="664"/>
      <c r="AC36" s="629">
        <f t="shared" si="1"/>
        <v>344993.21</v>
      </c>
      <c r="AD36" s="630">
        <f t="shared" si="2"/>
        <v>0.15</v>
      </c>
      <c r="AE36" s="629">
        <f t="shared" si="3"/>
        <v>12321.2</v>
      </c>
      <c r="AF36" s="629">
        <f t="shared" ref="AF36:AF40" si="17">IF(Z36&lt;281240.78,(((Z36-AC36)*AD36+AE36)/2),(Z36-AC36)*AD36+AE36)</f>
        <v>19148.254999999994</v>
      </c>
      <c r="AG36" s="555">
        <f t="shared" si="10"/>
        <v>5.0000000046566129E-3</v>
      </c>
      <c r="AH36" s="361"/>
      <c r="AI36" s="313"/>
      <c r="AK36" s="296"/>
      <c r="AL36" s="374"/>
      <c r="AM36" s="374"/>
    </row>
    <row r="37" spans="1:47" s="348" customFormat="1" ht="12.75" customHeight="1" x14ac:dyDescent="0.2">
      <c r="A37" s="423">
        <f t="shared" si="11"/>
        <v>32</v>
      </c>
      <c r="B37" s="683" t="s">
        <v>3562</v>
      </c>
      <c r="C37" s="655">
        <v>521502</v>
      </c>
      <c r="D37" s="658">
        <v>5611</v>
      </c>
      <c r="E37" s="655" t="s">
        <v>225</v>
      </c>
      <c r="F37" s="546">
        <v>2018</v>
      </c>
      <c r="G37" s="659">
        <v>42865</v>
      </c>
      <c r="H37" s="655" t="s">
        <v>743</v>
      </c>
      <c r="I37" s="655" t="s">
        <v>3782</v>
      </c>
      <c r="J37" s="655" t="s">
        <v>724</v>
      </c>
      <c r="K37" s="655" t="s">
        <v>3900</v>
      </c>
      <c r="L37" s="655" t="s">
        <v>4041</v>
      </c>
      <c r="M37" s="660">
        <v>390506.91</v>
      </c>
      <c r="N37" s="660">
        <v>19148.259999999998</v>
      </c>
      <c r="O37" s="660">
        <v>65544.83</v>
      </c>
      <c r="P37" s="660">
        <v>475200</v>
      </c>
      <c r="Q37" s="548"/>
      <c r="R37" s="660">
        <v>345842.5</v>
      </c>
      <c r="S37" s="549">
        <f t="shared" si="0"/>
        <v>129357.5</v>
      </c>
      <c r="T37" s="267" t="s">
        <v>1932</v>
      </c>
      <c r="U37" s="626" t="str">
        <f t="shared" si="5"/>
        <v>AA11057</v>
      </c>
      <c r="V37" s="627" t="str">
        <f t="shared" si="6"/>
        <v>0004-TCN18</v>
      </c>
      <c r="W37" s="626">
        <f t="shared" si="7"/>
        <v>521502</v>
      </c>
      <c r="X37" s="626" t="str">
        <f t="shared" si="8"/>
        <v>HIACE PANEL 15 PASAJ AC</v>
      </c>
      <c r="Y37" s="627">
        <f t="shared" si="8"/>
        <v>2018</v>
      </c>
      <c r="Z37" s="628">
        <f t="shared" si="9"/>
        <v>390506.91</v>
      </c>
      <c r="AA37" s="629"/>
      <c r="AB37" s="664"/>
      <c r="AC37" s="629">
        <f t="shared" si="1"/>
        <v>344993.21</v>
      </c>
      <c r="AD37" s="630">
        <f t="shared" si="2"/>
        <v>0.15</v>
      </c>
      <c r="AE37" s="629">
        <f t="shared" si="3"/>
        <v>12321.2</v>
      </c>
      <c r="AF37" s="629">
        <f t="shared" si="17"/>
        <v>19148.254999999994</v>
      </c>
      <c r="AG37" s="555">
        <f t="shared" si="10"/>
        <v>5.0000000046566129E-3</v>
      </c>
      <c r="AH37" s="361"/>
      <c r="AI37" s="347"/>
      <c r="AK37" s="353"/>
      <c r="AL37" s="330"/>
      <c r="AM37" s="330"/>
    </row>
    <row r="38" spans="1:47" s="291" customFormat="1" ht="12.75" customHeight="1" x14ac:dyDescent="0.2">
      <c r="A38" s="423">
        <f t="shared" si="11"/>
        <v>33</v>
      </c>
      <c r="B38" s="683" t="s">
        <v>3572</v>
      </c>
      <c r="C38" s="655">
        <v>521502</v>
      </c>
      <c r="D38" s="658">
        <v>5611</v>
      </c>
      <c r="E38" s="655" t="s">
        <v>225</v>
      </c>
      <c r="F38" s="546">
        <v>2018</v>
      </c>
      <c r="G38" s="659">
        <v>42882</v>
      </c>
      <c r="H38" s="655" t="s">
        <v>747</v>
      </c>
      <c r="I38" s="655" t="s">
        <v>3783</v>
      </c>
      <c r="J38" s="655" t="s">
        <v>724</v>
      </c>
      <c r="K38" s="655" t="s">
        <v>2453</v>
      </c>
      <c r="L38" s="655" t="s">
        <v>4042</v>
      </c>
      <c r="M38" s="660">
        <v>390506.91</v>
      </c>
      <c r="N38" s="660">
        <v>19148.259999999998</v>
      </c>
      <c r="O38" s="660">
        <v>65544.83</v>
      </c>
      <c r="P38" s="660">
        <v>475200</v>
      </c>
      <c r="Q38" s="548"/>
      <c r="R38" s="660">
        <v>345842.5</v>
      </c>
      <c r="S38" s="549">
        <f t="shared" si="0"/>
        <v>129357.5</v>
      </c>
      <c r="T38" s="267" t="s">
        <v>1932</v>
      </c>
      <c r="U38" s="626" t="str">
        <f t="shared" si="5"/>
        <v>AA11157</v>
      </c>
      <c r="V38" s="627" t="str">
        <f t="shared" si="6"/>
        <v>0005-TCN18</v>
      </c>
      <c r="W38" s="626">
        <f t="shared" si="7"/>
        <v>521502</v>
      </c>
      <c r="X38" s="626" t="str">
        <f t="shared" si="8"/>
        <v>HIACE PANEL 15 PASAJ AC</v>
      </c>
      <c r="Y38" s="627">
        <f t="shared" si="8"/>
        <v>2018</v>
      </c>
      <c r="Z38" s="628">
        <f t="shared" si="9"/>
        <v>390506.91</v>
      </c>
      <c r="AA38" s="629"/>
      <c r="AB38" s="679"/>
      <c r="AC38" s="629">
        <f t="shared" si="1"/>
        <v>344993.21</v>
      </c>
      <c r="AD38" s="630">
        <f t="shared" si="2"/>
        <v>0.15</v>
      </c>
      <c r="AE38" s="629">
        <f t="shared" si="3"/>
        <v>12321.2</v>
      </c>
      <c r="AF38" s="629">
        <f t="shared" si="17"/>
        <v>19148.254999999994</v>
      </c>
      <c r="AG38" s="555">
        <f t="shared" si="10"/>
        <v>5.0000000046566129E-3</v>
      </c>
      <c r="AH38" s="361"/>
      <c r="AI38" s="313"/>
      <c r="AK38" s="296"/>
      <c r="AL38" s="313"/>
      <c r="AM38" s="374"/>
    </row>
    <row r="39" spans="1:47" s="348" customFormat="1" ht="12.75" customHeight="1" x14ac:dyDescent="0.2">
      <c r="A39" s="423">
        <f t="shared" si="11"/>
        <v>34</v>
      </c>
      <c r="B39" s="683" t="s">
        <v>3559</v>
      </c>
      <c r="C39" s="655">
        <v>521502</v>
      </c>
      <c r="D39" s="658">
        <v>5611</v>
      </c>
      <c r="E39" s="655" t="s">
        <v>225</v>
      </c>
      <c r="F39" s="546">
        <v>2018</v>
      </c>
      <c r="G39" s="659">
        <v>42860</v>
      </c>
      <c r="H39" s="655" t="s">
        <v>778</v>
      </c>
      <c r="I39" s="655" t="s">
        <v>3781</v>
      </c>
      <c r="J39" s="655" t="s">
        <v>724</v>
      </c>
      <c r="K39" s="655" t="s">
        <v>3901</v>
      </c>
      <c r="L39" s="655" t="s">
        <v>4040</v>
      </c>
      <c r="M39" s="660">
        <v>390506.91</v>
      </c>
      <c r="N39" s="660">
        <v>19148.259999999998</v>
      </c>
      <c r="O39" s="660">
        <v>65544.83</v>
      </c>
      <c r="P39" s="660">
        <v>475200</v>
      </c>
      <c r="Q39" s="548"/>
      <c r="R39" s="660">
        <v>345842.5</v>
      </c>
      <c r="S39" s="549">
        <f t="shared" si="0"/>
        <v>129357.5</v>
      </c>
      <c r="T39" s="267" t="s">
        <v>1932</v>
      </c>
      <c r="U39" s="626" t="str">
        <f t="shared" si="5"/>
        <v>AA11031</v>
      </c>
      <c r="V39" s="627" t="str">
        <f t="shared" si="6"/>
        <v>0003-TCN18</v>
      </c>
      <c r="W39" s="626">
        <f t="shared" si="7"/>
        <v>521502</v>
      </c>
      <c r="X39" s="626" t="str">
        <f t="shared" si="8"/>
        <v>HIACE PANEL 15 PASAJ AC</v>
      </c>
      <c r="Y39" s="627">
        <f t="shared" si="8"/>
        <v>2018</v>
      </c>
      <c r="Z39" s="628">
        <f t="shared" si="9"/>
        <v>390506.91</v>
      </c>
      <c r="AA39" s="629"/>
      <c r="AB39" s="664"/>
      <c r="AC39" s="629">
        <f t="shared" si="1"/>
        <v>344993.21</v>
      </c>
      <c r="AD39" s="630">
        <f t="shared" si="2"/>
        <v>0.15</v>
      </c>
      <c r="AE39" s="629">
        <f t="shared" si="3"/>
        <v>12321.2</v>
      </c>
      <c r="AF39" s="629">
        <f t="shared" si="17"/>
        <v>19148.254999999994</v>
      </c>
      <c r="AG39" s="555">
        <f t="shared" si="10"/>
        <v>5.0000000046566129E-3</v>
      </c>
      <c r="AH39" s="361"/>
      <c r="AI39" s="363"/>
      <c r="AK39" s="353"/>
      <c r="AL39" s="330"/>
      <c r="AM39" s="330"/>
    </row>
    <row r="40" spans="1:47" s="291" customFormat="1" ht="12.75" customHeight="1" x14ac:dyDescent="0.2">
      <c r="A40" s="423">
        <f t="shared" si="11"/>
        <v>35</v>
      </c>
      <c r="B40" s="683" t="s">
        <v>3573</v>
      </c>
      <c r="C40" s="655">
        <v>521502</v>
      </c>
      <c r="D40" s="658">
        <v>5611</v>
      </c>
      <c r="E40" s="655" t="s">
        <v>225</v>
      </c>
      <c r="F40" s="546">
        <v>2018</v>
      </c>
      <c r="G40" s="659">
        <v>42885</v>
      </c>
      <c r="H40" s="655" t="s">
        <v>722</v>
      </c>
      <c r="I40" s="655" t="s">
        <v>3785</v>
      </c>
      <c r="J40" s="655" t="s">
        <v>724</v>
      </c>
      <c r="K40" s="655" t="s">
        <v>830</v>
      </c>
      <c r="L40" s="655" t="s">
        <v>4044</v>
      </c>
      <c r="M40" s="660">
        <v>390506.91</v>
      </c>
      <c r="N40" s="660">
        <v>19148.259999999998</v>
      </c>
      <c r="O40" s="660">
        <v>65544.83</v>
      </c>
      <c r="P40" s="660">
        <v>475200</v>
      </c>
      <c r="Q40" s="548"/>
      <c r="R40" s="660">
        <v>345842.5</v>
      </c>
      <c r="S40" s="549">
        <f t="shared" si="0"/>
        <v>129357.5</v>
      </c>
      <c r="T40" s="113" t="s">
        <v>1932</v>
      </c>
      <c r="U40" s="626" t="str">
        <f t="shared" si="5"/>
        <v>AA11187</v>
      </c>
      <c r="V40" s="627" t="str">
        <f t="shared" si="6"/>
        <v>0007-TCN18</v>
      </c>
      <c r="W40" s="626">
        <f t="shared" si="7"/>
        <v>521502</v>
      </c>
      <c r="X40" s="626" t="str">
        <f t="shared" si="8"/>
        <v>HIACE PANEL 15 PASAJ AC</v>
      </c>
      <c r="Y40" s="627">
        <f t="shared" si="8"/>
        <v>2018</v>
      </c>
      <c r="Z40" s="628">
        <f t="shared" si="9"/>
        <v>390506.91</v>
      </c>
      <c r="AA40" s="629">
        <f>+Z40+Z39+Z38+Z37+Z36</f>
        <v>1952534.5499999998</v>
      </c>
      <c r="AB40" s="664">
        <v>5</v>
      </c>
      <c r="AC40" s="629">
        <f t="shared" si="1"/>
        <v>344993.21</v>
      </c>
      <c r="AD40" s="630">
        <f t="shared" si="2"/>
        <v>0.15</v>
      </c>
      <c r="AE40" s="629">
        <f t="shared" si="3"/>
        <v>12321.2</v>
      </c>
      <c r="AF40" s="629">
        <f t="shared" si="17"/>
        <v>19148.254999999994</v>
      </c>
      <c r="AG40" s="555">
        <f t="shared" si="10"/>
        <v>5.0000000046566129E-3</v>
      </c>
      <c r="AH40" s="361"/>
      <c r="AI40" s="313"/>
      <c r="AK40" s="296"/>
      <c r="AL40" s="374"/>
      <c r="AM40" s="374"/>
    </row>
    <row r="41" spans="1:47" s="291" customFormat="1" ht="12.75" customHeight="1" x14ac:dyDescent="0.2">
      <c r="A41" s="423">
        <f t="shared" si="11"/>
        <v>36</v>
      </c>
      <c r="B41" s="683" t="s">
        <v>3443</v>
      </c>
      <c r="C41" s="655">
        <v>521702</v>
      </c>
      <c r="D41" s="658">
        <v>2005</v>
      </c>
      <c r="E41" s="655" t="s">
        <v>701</v>
      </c>
      <c r="F41" s="546">
        <v>2017</v>
      </c>
      <c r="G41" s="659">
        <v>42866</v>
      </c>
      <c r="H41" s="655" t="s">
        <v>2212</v>
      </c>
      <c r="I41" s="655" t="s">
        <v>3709</v>
      </c>
      <c r="J41" s="655" t="s">
        <v>724</v>
      </c>
      <c r="K41" s="655" t="s">
        <v>3853</v>
      </c>
      <c r="L41" s="655" t="s">
        <v>3968</v>
      </c>
      <c r="M41" s="660">
        <v>177413.79</v>
      </c>
      <c r="N41" s="660">
        <v>0</v>
      </c>
      <c r="O41" s="660">
        <v>28386.21</v>
      </c>
      <c r="P41" s="660">
        <v>205800</v>
      </c>
      <c r="Q41" s="548"/>
      <c r="R41" s="660">
        <v>166508.03</v>
      </c>
      <c r="S41" s="549">
        <f t="shared" si="0"/>
        <v>39291.97</v>
      </c>
      <c r="T41" s="113" t="s">
        <v>1932</v>
      </c>
      <c r="U41" s="626" t="str">
        <f t="shared" si="5"/>
        <v>AA11058</v>
      </c>
      <c r="V41" s="627" t="str">
        <f t="shared" si="6"/>
        <v>1256-TCN17</v>
      </c>
      <c r="W41" s="626">
        <f t="shared" si="7"/>
        <v>521702</v>
      </c>
      <c r="X41" s="626" t="str">
        <f t="shared" si="8"/>
        <v>YARIS CORE MT, SEDAN</v>
      </c>
      <c r="Y41" s="627">
        <f t="shared" si="8"/>
        <v>2017</v>
      </c>
      <c r="Z41" s="628">
        <f t="shared" si="9"/>
        <v>177413.79</v>
      </c>
      <c r="AA41" s="629"/>
      <c r="AB41" s="664"/>
      <c r="AC41" s="629">
        <f t="shared" si="1"/>
        <v>0.01</v>
      </c>
      <c r="AD41" s="630">
        <f t="shared" si="2"/>
        <v>0.02</v>
      </c>
      <c r="AE41" s="629">
        <f t="shared" si="3"/>
        <v>0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ht="12.75" customHeight="1" x14ac:dyDescent="0.2">
      <c r="A42" s="423">
        <f t="shared" si="11"/>
        <v>37</v>
      </c>
      <c r="B42" s="683" t="s">
        <v>3448</v>
      </c>
      <c r="C42" s="655">
        <v>521702</v>
      </c>
      <c r="D42" s="658">
        <v>2005</v>
      </c>
      <c r="E42" s="655" t="s">
        <v>701</v>
      </c>
      <c r="F42" s="546">
        <v>2017</v>
      </c>
      <c r="G42" s="659">
        <v>42882</v>
      </c>
      <c r="H42" s="655" t="s">
        <v>788</v>
      </c>
      <c r="I42" s="655" t="s">
        <v>3712</v>
      </c>
      <c r="J42" s="655" t="s">
        <v>724</v>
      </c>
      <c r="K42" s="655" t="s">
        <v>3856</v>
      </c>
      <c r="L42" s="655" t="s">
        <v>3971</v>
      </c>
      <c r="M42" s="660">
        <v>183620.69</v>
      </c>
      <c r="N42" s="660">
        <v>0</v>
      </c>
      <c r="O42" s="660">
        <v>29379.31</v>
      </c>
      <c r="P42" s="660">
        <v>213000</v>
      </c>
      <c r="Q42" s="548"/>
      <c r="R42" s="660">
        <v>166863.69</v>
      </c>
      <c r="S42" s="549">
        <f t="shared" si="0"/>
        <v>46136.31</v>
      </c>
      <c r="T42" s="113" t="s">
        <v>1932</v>
      </c>
      <c r="U42" s="626" t="str">
        <f t="shared" si="5"/>
        <v>AA11154</v>
      </c>
      <c r="V42" s="627" t="str">
        <f t="shared" si="6"/>
        <v>1382-TCN17</v>
      </c>
      <c r="W42" s="626">
        <f t="shared" si="7"/>
        <v>521702</v>
      </c>
      <c r="X42" s="626" t="str">
        <f t="shared" si="8"/>
        <v>YARIS CORE MT, SEDAN</v>
      </c>
      <c r="Y42" s="627">
        <f t="shared" si="8"/>
        <v>2017</v>
      </c>
      <c r="Z42" s="628">
        <f t="shared" si="9"/>
        <v>183620.69</v>
      </c>
      <c r="AA42" s="629"/>
      <c r="AB42" s="664"/>
      <c r="AC42" s="629">
        <f t="shared" ref="AC42:AC89" si="18">VLOOKUP(Z42,TARIFA,1)</f>
        <v>0.01</v>
      </c>
      <c r="AD42" s="630">
        <f t="shared" ref="AD42:AD89" si="19">VLOOKUP(Z42,TARIFA,4)</f>
        <v>0.02</v>
      </c>
      <c r="AE42" s="629">
        <f t="shared" ref="AE42:AE89" si="20">VLOOKUP(Z42,TARIFA,3)</f>
        <v>0</v>
      </c>
      <c r="AF42" s="629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ht="12.75" customHeight="1" x14ac:dyDescent="0.2">
      <c r="A43" s="423">
        <f t="shared" si="11"/>
        <v>38</v>
      </c>
      <c r="B43" s="683" t="s">
        <v>3449</v>
      </c>
      <c r="C43" s="655">
        <v>521702</v>
      </c>
      <c r="D43" s="658">
        <v>2005</v>
      </c>
      <c r="E43" s="655" t="s">
        <v>701</v>
      </c>
      <c r="F43" s="546">
        <v>2017</v>
      </c>
      <c r="G43" s="659">
        <v>42885</v>
      </c>
      <c r="H43" s="655" t="s">
        <v>774</v>
      </c>
      <c r="I43" s="655" t="s">
        <v>3713</v>
      </c>
      <c r="J43" s="655" t="s">
        <v>724</v>
      </c>
      <c r="K43" s="655" t="s">
        <v>3857</v>
      </c>
      <c r="L43" s="655" t="s">
        <v>3972</v>
      </c>
      <c r="M43" s="660">
        <v>183620.69</v>
      </c>
      <c r="N43" s="660">
        <v>0</v>
      </c>
      <c r="O43" s="660">
        <v>29379.31</v>
      </c>
      <c r="P43" s="660">
        <v>213000</v>
      </c>
      <c r="Q43" s="548"/>
      <c r="R43" s="660">
        <v>166508.04</v>
      </c>
      <c r="S43" s="549">
        <f t="shared" si="0"/>
        <v>46491.959999999992</v>
      </c>
      <c r="T43" s="113" t="s">
        <v>1932</v>
      </c>
      <c r="U43" s="626" t="str">
        <f t="shared" si="5"/>
        <v>AA11176</v>
      </c>
      <c r="V43" s="627" t="str">
        <f t="shared" si="6"/>
        <v>1333-TCN17</v>
      </c>
      <c r="W43" s="626">
        <f t="shared" si="7"/>
        <v>521702</v>
      </c>
      <c r="X43" s="626" t="str">
        <f t="shared" si="8"/>
        <v>YARIS CORE MT, SEDAN</v>
      </c>
      <c r="Y43" s="627">
        <f t="shared" si="8"/>
        <v>2017</v>
      </c>
      <c r="Z43" s="628">
        <f t="shared" si="9"/>
        <v>183620.69</v>
      </c>
      <c r="AA43" s="629"/>
      <c r="AB43" s="664"/>
      <c r="AC43" s="629">
        <f t="shared" si="18"/>
        <v>0.01</v>
      </c>
      <c r="AD43" s="630">
        <f t="shared" si="19"/>
        <v>0.02</v>
      </c>
      <c r="AE43" s="629">
        <f t="shared" si="20"/>
        <v>0</v>
      </c>
      <c r="AF43" s="629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ht="12.75" customHeight="1" x14ac:dyDescent="0.2">
      <c r="A44" s="423">
        <f t="shared" si="11"/>
        <v>39</v>
      </c>
      <c r="B44" s="683" t="s">
        <v>3447</v>
      </c>
      <c r="C44" s="655">
        <v>521702</v>
      </c>
      <c r="D44" s="658">
        <v>2005</v>
      </c>
      <c r="E44" s="655" t="s">
        <v>701</v>
      </c>
      <c r="F44" s="546">
        <v>2017</v>
      </c>
      <c r="G44" s="659">
        <v>42881</v>
      </c>
      <c r="H44" s="655" t="s">
        <v>1038</v>
      </c>
      <c r="I44" s="655" t="s">
        <v>3711</v>
      </c>
      <c r="J44" s="655" t="s">
        <v>724</v>
      </c>
      <c r="K44" s="655" t="s">
        <v>3855</v>
      </c>
      <c r="L44" s="655" t="s">
        <v>3970</v>
      </c>
      <c r="M44" s="660">
        <v>183620.69</v>
      </c>
      <c r="N44" s="660">
        <v>0</v>
      </c>
      <c r="O44" s="660">
        <v>29379.31</v>
      </c>
      <c r="P44" s="660">
        <v>213000</v>
      </c>
      <c r="Q44" s="548"/>
      <c r="R44" s="660">
        <v>166508.04</v>
      </c>
      <c r="S44" s="549">
        <f t="shared" si="0"/>
        <v>46491.959999999992</v>
      </c>
      <c r="T44" s="445" t="s">
        <v>1932</v>
      </c>
      <c r="U44" s="626" t="str">
        <f t="shared" si="5"/>
        <v>AA11144</v>
      </c>
      <c r="V44" s="627" t="str">
        <f t="shared" si="6"/>
        <v>1313-TCN17</v>
      </c>
      <c r="W44" s="626">
        <f t="shared" si="7"/>
        <v>521702</v>
      </c>
      <c r="X44" s="626" t="str">
        <f t="shared" si="8"/>
        <v>YARIS CORE MT, SEDAN</v>
      </c>
      <c r="Y44" s="627">
        <f t="shared" si="8"/>
        <v>2017</v>
      </c>
      <c r="Z44" s="628">
        <f t="shared" si="9"/>
        <v>183620.69</v>
      </c>
      <c r="AA44" s="629"/>
      <c r="AB44" s="664"/>
      <c r="AC44" s="629">
        <f t="shared" si="18"/>
        <v>0.01</v>
      </c>
      <c r="AD44" s="630">
        <f t="shared" si="19"/>
        <v>0.02</v>
      </c>
      <c r="AE44" s="629">
        <f t="shared" si="20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ht="12.75" customHeight="1" x14ac:dyDescent="0.2">
      <c r="A45" s="423">
        <f t="shared" si="11"/>
        <v>40</v>
      </c>
      <c r="B45" s="683" t="s">
        <v>3444</v>
      </c>
      <c r="C45" s="655">
        <v>521702</v>
      </c>
      <c r="D45" s="658">
        <v>2005</v>
      </c>
      <c r="E45" s="655" t="s">
        <v>701</v>
      </c>
      <c r="F45" s="546">
        <v>2017</v>
      </c>
      <c r="G45" s="659">
        <v>42871</v>
      </c>
      <c r="H45" s="655" t="s">
        <v>727</v>
      </c>
      <c r="I45" s="655" t="s">
        <v>3710</v>
      </c>
      <c r="J45" s="655" t="s">
        <v>724</v>
      </c>
      <c r="K45" s="655" t="s">
        <v>3854</v>
      </c>
      <c r="L45" s="655" t="s">
        <v>3969</v>
      </c>
      <c r="M45" s="660">
        <v>183620.69</v>
      </c>
      <c r="N45" s="660">
        <v>0</v>
      </c>
      <c r="O45" s="660">
        <v>29379.31</v>
      </c>
      <c r="P45" s="660">
        <v>213000</v>
      </c>
      <c r="Q45" s="548"/>
      <c r="R45" s="660">
        <v>161270.1</v>
      </c>
      <c r="S45" s="549">
        <f t="shared" si="0"/>
        <v>51729.899999999994</v>
      </c>
      <c r="T45" s="267" t="s">
        <v>1932</v>
      </c>
      <c r="U45" s="626" t="str">
        <f t="shared" si="5"/>
        <v>AA11084</v>
      </c>
      <c r="V45" s="627" t="str">
        <f t="shared" si="6"/>
        <v>1126-TCN17</v>
      </c>
      <c r="W45" s="626">
        <f t="shared" si="7"/>
        <v>521702</v>
      </c>
      <c r="X45" s="626" t="str">
        <f t="shared" si="8"/>
        <v>YARIS CORE MT, SEDAN</v>
      </c>
      <c r="Y45" s="627">
        <f t="shared" si="8"/>
        <v>2017</v>
      </c>
      <c r="Z45" s="628">
        <f t="shared" si="9"/>
        <v>183620.69</v>
      </c>
      <c r="AA45" s="629"/>
      <c r="AB45" s="664"/>
      <c r="AC45" s="629">
        <f t="shared" si="18"/>
        <v>0.01</v>
      </c>
      <c r="AD45" s="630">
        <f t="shared" si="19"/>
        <v>0.02</v>
      </c>
      <c r="AE45" s="629">
        <f t="shared" si="20"/>
        <v>0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ht="12.75" customHeight="1" x14ac:dyDescent="0.2">
      <c r="A46" s="423">
        <f t="shared" si="11"/>
        <v>41</v>
      </c>
      <c r="B46" s="683" t="s">
        <v>3442</v>
      </c>
      <c r="C46" s="655">
        <v>521702</v>
      </c>
      <c r="D46" s="658">
        <v>2005</v>
      </c>
      <c r="E46" s="655" t="s">
        <v>701</v>
      </c>
      <c r="F46" s="546">
        <v>2017</v>
      </c>
      <c r="G46" s="659">
        <v>42863</v>
      </c>
      <c r="H46" s="655" t="s">
        <v>819</v>
      </c>
      <c r="I46" s="655" t="s">
        <v>3708</v>
      </c>
      <c r="J46" s="655" t="s">
        <v>724</v>
      </c>
      <c r="K46" s="655" t="s">
        <v>3852</v>
      </c>
      <c r="L46" s="655" t="s">
        <v>3967</v>
      </c>
      <c r="M46" s="660">
        <v>177413.79</v>
      </c>
      <c r="N46" s="660">
        <v>0</v>
      </c>
      <c r="O46" s="660">
        <v>28386.21</v>
      </c>
      <c r="P46" s="660">
        <v>205800</v>
      </c>
      <c r="Q46" s="548"/>
      <c r="R46" s="660">
        <v>160915.62</v>
      </c>
      <c r="S46" s="549">
        <f t="shared" si="0"/>
        <v>44884.380000000005</v>
      </c>
      <c r="T46" s="267" t="s">
        <v>1932</v>
      </c>
      <c r="U46" s="626" t="str">
        <f t="shared" si="5"/>
        <v>AA11044</v>
      </c>
      <c r="V46" s="627" t="str">
        <f t="shared" si="6"/>
        <v>1230-TCN17</v>
      </c>
      <c r="W46" s="626">
        <f t="shared" si="7"/>
        <v>521702</v>
      </c>
      <c r="X46" s="626" t="str">
        <f t="shared" si="8"/>
        <v>YARIS CORE MT, SEDAN</v>
      </c>
      <c r="Y46" s="627">
        <f t="shared" si="8"/>
        <v>2017</v>
      </c>
      <c r="Z46" s="628">
        <f t="shared" si="9"/>
        <v>177413.79</v>
      </c>
      <c r="AA46" s="629"/>
      <c r="AB46" s="664"/>
      <c r="AC46" s="629">
        <f t="shared" si="18"/>
        <v>0.01</v>
      </c>
      <c r="AD46" s="630">
        <f t="shared" si="19"/>
        <v>0.02</v>
      </c>
      <c r="AE46" s="629">
        <f t="shared" si="20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ht="12.75" customHeight="1" x14ac:dyDescent="0.2">
      <c r="A47" s="423">
        <f t="shared" si="11"/>
        <v>42</v>
      </c>
      <c r="B47" s="683" t="s">
        <v>3452</v>
      </c>
      <c r="C47" s="655">
        <v>521702</v>
      </c>
      <c r="D47" s="658">
        <v>2005</v>
      </c>
      <c r="E47" s="655" t="s">
        <v>701</v>
      </c>
      <c r="F47" s="546">
        <v>2017</v>
      </c>
      <c r="G47" s="659">
        <v>42885</v>
      </c>
      <c r="H47" s="655" t="s">
        <v>2215</v>
      </c>
      <c r="I47" s="655" t="s">
        <v>3716</v>
      </c>
      <c r="J47" s="655" t="s">
        <v>724</v>
      </c>
      <c r="K47" s="655" t="s">
        <v>3859</v>
      </c>
      <c r="L47" s="655" t="s">
        <v>3975</v>
      </c>
      <c r="M47" s="660">
        <v>183620.69</v>
      </c>
      <c r="N47" s="660">
        <v>0</v>
      </c>
      <c r="O47" s="660">
        <v>29379.31</v>
      </c>
      <c r="P47" s="660">
        <v>213000</v>
      </c>
      <c r="Q47" s="548"/>
      <c r="R47" s="660">
        <v>166912.45000000001</v>
      </c>
      <c r="S47" s="549">
        <f t="shared" si="0"/>
        <v>46087.549999999988</v>
      </c>
      <c r="T47" s="267" t="s">
        <v>1932</v>
      </c>
      <c r="U47" s="626" t="str">
        <f t="shared" si="5"/>
        <v>AA11183</v>
      </c>
      <c r="V47" s="627" t="str">
        <f t="shared" si="6"/>
        <v>1400-TCN17</v>
      </c>
      <c r="W47" s="626">
        <f t="shared" si="7"/>
        <v>521702</v>
      </c>
      <c r="X47" s="626" t="str">
        <f t="shared" si="8"/>
        <v>YARIS CORE MT, SEDAN</v>
      </c>
      <c r="Y47" s="627">
        <f t="shared" si="8"/>
        <v>2017</v>
      </c>
      <c r="Z47" s="628">
        <f t="shared" si="9"/>
        <v>183620.69</v>
      </c>
      <c r="AA47" s="629">
        <f>+SUM(Z41:Z47)</f>
        <v>1272931.0299999998</v>
      </c>
      <c r="AB47" s="665">
        <v>7</v>
      </c>
      <c r="AC47" s="629">
        <f t="shared" si="18"/>
        <v>0.01</v>
      </c>
      <c r="AD47" s="630">
        <f t="shared" si="19"/>
        <v>0.02</v>
      </c>
      <c r="AE47" s="629">
        <f t="shared" si="20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ht="12.75" customHeight="1" x14ac:dyDescent="0.2">
      <c r="A48" s="423">
        <f t="shared" si="11"/>
        <v>43</v>
      </c>
      <c r="B48" s="683" t="s">
        <v>3456</v>
      </c>
      <c r="C48" s="655">
        <v>521707</v>
      </c>
      <c r="D48" s="658">
        <v>2006</v>
      </c>
      <c r="E48" s="655" t="s">
        <v>702</v>
      </c>
      <c r="F48" s="546">
        <v>2017</v>
      </c>
      <c r="G48" s="659">
        <v>42871</v>
      </c>
      <c r="H48" s="655" t="s">
        <v>774</v>
      </c>
      <c r="I48" s="655" t="s">
        <v>3720</v>
      </c>
      <c r="J48" s="655" t="s">
        <v>724</v>
      </c>
      <c r="K48" s="655" t="s">
        <v>3863</v>
      </c>
      <c r="L48" s="655" t="s">
        <v>3979</v>
      </c>
      <c r="M48" s="660">
        <v>201982.76</v>
      </c>
      <c r="N48" s="660">
        <v>0</v>
      </c>
      <c r="O48" s="660">
        <v>32317.24</v>
      </c>
      <c r="P48" s="660">
        <v>234300</v>
      </c>
      <c r="Q48" s="548"/>
      <c r="R48" s="660">
        <v>177270.62</v>
      </c>
      <c r="S48" s="549">
        <f t="shared" si="0"/>
        <v>57029.380000000005</v>
      </c>
      <c r="T48" s="113" t="s">
        <v>1932</v>
      </c>
      <c r="U48" s="626" t="str">
        <f t="shared" si="5"/>
        <v>AA11086</v>
      </c>
      <c r="V48" s="627" t="str">
        <f t="shared" si="6"/>
        <v>1157-TCN17</v>
      </c>
      <c r="W48" s="626">
        <f t="shared" si="7"/>
        <v>521707</v>
      </c>
      <c r="X48" s="626" t="str">
        <f t="shared" si="8"/>
        <v>YARIS CORE,SEDAN CVT.</v>
      </c>
      <c r="Y48" s="627">
        <f t="shared" si="8"/>
        <v>2017</v>
      </c>
      <c r="Z48" s="628">
        <f t="shared" si="9"/>
        <v>201982.76</v>
      </c>
      <c r="AA48" s="629"/>
      <c r="AB48" s="664"/>
      <c r="AC48" s="629">
        <f t="shared" si="18"/>
        <v>0.01</v>
      </c>
      <c r="AD48" s="630">
        <f t="shared" si="19"/>
        <v>0.02</v>
      </c>
      <c r="AE48" s="629">
        <f t="shared" si="20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ht="12.75" customHeight="1" x14ac:dyDescent="0.2">
      <c r="A49" s="423">
        <f t="shared" si="11"/>
        <v>44</v>
      </c>
      <c r="B49" s="683" t="s">
        <v>3458</v>
      </c>
      <c r="C49" s="655">
        <v>521707</v>
      </c>
      <c r="D49" s="658">
        <v>2006</v>
      </c>
      <c r="E49" s="655" t="s">
        <v>702</v>
      </c>
      <c r="F49" s="546">
        <v>2017</v>
      </c>
      <c r="G49" s="659">
        <v>42877</v>
      </c>
      <c r="H49" s="655" t="s">
        <v>2213</v>
      </c>
      <c r="I49" s="655" t="s">
        <v>3722</v>
      </c>
      <c r="J49" s="655" t="s">
        <v>724</v>
      </c>
      <c r="K49" s="655" t="s">
        <v>3865</v>
      </c>
      <c r="L49" s="655" t="s">
        <v>3981</v>
      </c>
      <c r="M49" s="660">
        <v>201982.76</v>
      </c>
      <c r="N49" s="660">
        <v>0</v>
      </c>
      <c r="O49" s="660">
        <v>32317.24</v>
      </c>
      <c r="P49" s="660">
        <v>234300</v>
      </c>
      <c r="Q49" s="548"/>
      <c r="R49" s="660">
        <v>177270.62</v>
      </c>
      <c r="S49" s="549">
        <f t="shared" si="0"/>
        <v>57029.380000000005</v>
      </c>
      <c r="T49" s="113" t="s">
        <v>1932</v>
      </c>
      <c r="U49" s="626" t="str">
        <f t="shared" si="5"/>
        <v>AA11117</v>
      </c>
      <c r="V49" s="627" t="str">
        <f t="shared" si="6"/>
        <v>1152-TCN17</v>
      </c>
      <c r="W49" s="626">
        <f t="shared" si="7"/>
        <v>521707</v>
      </c>
      <c r="X49" s="626" t="str">
        <f t="shared" si="8"/>
        <v>YARIS CORE,SEDAN CVT.</v>
      </c>
      <c r="Y49" s="627">
        <f t="shared" si="8"/>
        <v>2017</v>
      </c>
      <c r="Z49" s="628">
        <f t="shared" si="9"/>
        <v>201982.76</v>
      </c>
      <c r="AA49" s="629"/>
      <c r="AB49" s="664"/>
      <c r="AC49" s="629">
        <f t="shared" si="18"/>
        <v>0.01</v>
      </c>
      <c r="AD49" s="630">
        <f t="shared" si="19"/>
        <v>0.02</v>
      </c>
      <c r="AE49" s="629">
        <f t="shared" si="20"/>
        <v>0</v>
      </c>
      <c r="AF49" s="629">
        <v>0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ht="12.75" customHeight="1" x14ac:dyDescent="0.2">
      <c r="A50" s="423">
        <f t="shared" si="11"/>
        <v>45</v>
      </c>
      <c r="B50" s="683" t="s">
        <v>3459</v>
      </c>
      <c r="C50" s="655">
        <v>521707</v>
      </c>
      <c r="D50" s="658">
        <v>2006</v>
      </c>
      <c r="E50" s="655" t="s">
        <v>702</v>
      </c>
      <c r="F50" s="546">
        <v>2017</v>
      </c>
      <c r="G50" s="659">
        <v>42885</v>
      </c>
      <c r="H50" s="655" t="s">
        <v>2214</v>
      </c>
      <c r="I50" s="655" t="s">
        <v>3723</v>
      </c>
      <c r="J50" s="655" t="s">
        <v>724</v>
      </c>
      <c r="K50" s="655" t="s">
        <v>2512</v>
      </c>
      <c r="L50" s="655" t="s">
        <v>3982</v>
      </c>
      <c r="M50" s="660">
        <v>201982.76</v>
      </c>
      <c r="N50" s="660">
        <v>0</v>
      </c>
      <c r="O50" s="660">
        <v>32317.24</v>
      </c>
      <c r="P50" s="660">
        <v>234300</v>
      </c>
      <c r="Q50" s="548"/>
      <c r="R50" s="660">
        <v>183052.26</v>
      </c>
      <c r="S50" s="549">
        <f t="shared" si="0"/>
        <v>51247.739999999991</v>
      </c>
      <c r="T50" s="444" t="s">
        <v>1932</v>
      </c>
      <c r="U50" s="626" t="str">
        <f t="shared" si="5"/>
        <v>AA11181</v>
      </c>
      <c r="V50" s="627" t="str">
        <f t="shared" si="6"/>
        <v>1282-TCN17</v>
      </c>
      <c r="W50" s="626">
        <f t="shared" si="7"/>
        <v>521707</v>
      </c>
      <c r="X50" s="626" t="str">
        <f t="shared" si="8"/>
        <v>YARIS CORE,SEDAN CVT.</v>
      </c>
      <c r="Y50" s="627">
        <f t="shared" si="8"/>
        <v>2017</v>
      </c>
      <c r="Z50" s="628">
        <f t="shared" si="9"/>
        <v>201982.76</v>
      </c>
      <c r="AA50" s="629"/>
      <c r="AB50" s="664"/>
      <c r="AC50" s="629">
        <f t="shared" si="18"/>
        <v>0.01</v>
      </c>
      <c r="AD50" s="630">
        <f t="shared" si="19"/>
        <v>0.02</v>
      </c>
      <c r="AE50" s="629">
        <f t="shared" si="20"/>
        <v>0</v>
      </c>
      <c r="AF50" s="629"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ht="12.75" customHeight="1" x14ac:dyDescent="0.2">
      <c r="A51" s="423">
        <f t="shared" si="11"/>
        <v>46</v>
      </c>
      <c r="B51" s="683" t="s">
        <v>3454</v>
      </c>
      <c r="C51" s="655">
        <v>521707</v>
      </c>
      <c r="D51" s="658">
        <v>2006</v>
      </c>
      <c r="E51" s="655" t="s">
        <v>702</v>
      </c>
      <c r="F51" s="546">
        <v>2017</v>
      </c>
      <c r="G51" s="659">
        <v>42857</v>
      </c>
      <c r="H51" s="655" t="s">
        <v>788</v>
      </c>
      <c r="I51" s="655" t="s">
        <v>3718</v>
      </c>
      <c r="J51" s="655" t="s">
        <v>724</v>
      </c>
      <c r="K51" s="655" t="s">
        <v>3861</v>
      </c>
      <c r="L51" s="655" t="s">
        <v>3977</v>
      </c>
      <c r="M51" s="660">
        <v>195172.41</v>
      </c>
      <c r="N51" s="660">
        <v>0</v>
      </c>
      <c r="O51" s="660">
        <v>31227.59</v>
      </c>
      <c r="P51" s="660">
        <v>226400</v>
      </c>
      <c r="Q51" s="548"/>
      <c r="R51" s="660">
        <v>183211.84</v>
      </c>
      <c r="S51" s="549">
        <f t="shared" si="0"/>
        <v>43188.160000000003</v>
      </c>
      <c r="T51" s="267" t="s">
        <v>1932</v>
      </c>
      <c r="U51" s="626" t="str">
        <f t="shared" si="5"/>
        <v>AA11002</v>
      </c>
      <c r="V51" s="627" t="str">
        <f t="shared" si="6"/>
        <v>1227-TCN17</v>
      </c>
      <c r="W51" s="626">
        <f t="shared" si="7"/>
        <v>521707</v>
      </c>
      <c r="X51" s="626" t="str">
        <f t="shared" si="8"/>
        <v>YARIS CORE,SEDAN CVT.</v>
      </c>
      <c r="Y51" s="627">
        <f t="shared" si="8"/>
        <v>2017</v>
      </c>
      <c r="Z51" s="628">
        <f t="shared" si="9"/>
        <v>195172.41</v>
      </c>
      <c r="AA51" s="629"/>
      <c r="AB51" s="665"/>
      <c r="AC51" s="629">
        <f t="shared" si="18"/>
        <v>0.01</v>
      </c>
      <c r="AD51" s="630">
        <f t="shared" si="19"/>
        <v>0.02</v>
      </c>
      <c r="AE51" s="629">
        <f t="shared" si="20"/>
        <v>0</v>
      </c>
      <c r="AF51" s="629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ht="12.75" customHeight="1" x14ac:dyDescent="0.2">
      <c r="A52" s="423">
        <f t="shared" si="11"/>
        <v>47</v>
      </c>
      <c r="B52" s="683" t="s">
        <v>3453</v>
      </c>
      <c r="C52" s="655">
        <v>521707</v>
      </c>
      <c r="D52" s="658">
        <v>2006</v>
      </c>
      <c r="E52" s="655" t="s">
        <v>702</v>
      </c>
      <c r="F52" s="546">
        <v>2017</v>
      </c>
      <c r="G52" s="659">
        <v>42857</v>
      </c>
      <c r="H52" s="655" t="s">
        <v>819</v>
      </c>
      <c r="I52" s="655" t="s">
        <v>3717</v>
      </c>
      <c r="J52" s="655" t="s">
        <v>724</v>
      </c>
      <c r="K52" s="655" t="s">
        <v>3860</v>
      </c>
      <c r="L52" s="655" t="s">
        <v>3976</v>
      </c>
      <c r="M52" s="660">
        <v>195172.41</v>
      </c>
      <c r="N52" s="660">
        <v>0</v>
      </c>
      <c r="O52" s="660">
        <v>31227.59</v>
      </c>
      <c r="P52" s="660">
        <v>226400</v>
      </c>
      <c r="Q52" s="548"/>
      <c r="R52" s="660">
        <v>176916.14</v>
      </c>
      <c r="S52" s="549">
        <f t="shared" si="0"/>
        <v>49483.859999999986</v>
      </c>
      <c r="T52" s="267" t="s">
        <v>1932</v>
      </c>
      <c r="U52" s="626" t="str">
        <f t="shared" si="5"/>
        <v>AA11003</v>
      </c>
      <c r="V52" s="627" t="str">
        <f t="shared" si="6"/>
        <v>1175-TCN17</v>
      </c>
      <c r="W52" s="626">
        <f t="shared" si="7"/>
        <v>521707</v>
      </c>
      <c r="X52" s="626" t="str">
        <f t="shared" si="8"/>
        <v>YARIS CORE,SEDAN CVT.</v>
      </c>
      <c r="Y52" s="627">
        <f t="shared" si="8"/>
        <v>2017</v>
      </c>
      <c r="Z52" s="628">
        <f t="shared" si="9"/>
        <v>195172.41</v>
      </c>
      <c r="AA52" s="629"/>
      <c r="AB52" s="664"/>
      <c r="AC52" s="629">
        <f t="shared" si="18"/>
        <v>0.01</v>
      </c>
      <c r="AD52" s="630">
        <f t="shared" si="19"/>
        <v>0.02</v>
      </c>
      <c r="AE52" s="629">
        <f t="shared" si="20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ht="12.75" customHeight="1" x14ac:dyDescent="0.2">
      <c r="A53" s="423">
        <f t="shared" si="11"/>
        <v>48</v>
      </c>
      <c r="B53" s="683" t="s">
        <v>3457</v>
      </c>
      <c r="C53" s="655">
        <v>521707</v>
      </c>
      <c r="D53" s="658">
        <v>2006</v>
      </c>
      <c r="E53" s="655" t="s">
        <v>702</v>
      </c>
      <c r="F53" s="546">
        <v>2017</v>
      </c>
      <c r="G53" s="659">
        <v>42874</v>
      </c>
      <c r="H53" s="655" t="s">
        <v>739</v>
      </c>
      <c r="I53" s="655" t="s">
        <v>3721</v>
      </c>
      <c r="J53" s="655" t="s">
        <v>724</v>
      </c>
      <c r="K53" s="655" t="s">
        <v>3864</v>
      </c>
      <c r="L53" s="655" t="s">
        <v>3980</v>
      </c>
      <c r="M53" s="660">
        <v>201982.76</v>
      </c>
      <c r="N53" s="660">
        <v>0</v>
      </c>
      <c r="O53" s="660">
        <v>32317.24</v>
      </c>
      <c r="P53" s="660">
        <v>234300</v>
      </c>
      <c r="Q53" s="548"/>
      <c r="R53" s="660">
        <v>176916.14</v>
      </c>
      <c r="S53" s="549">
        <f t="shared" si="0"/>
        <v>57383.859999999986</v>
      </c>
      <c r="T53" s="267" t="s">
        <v>1932</v>
      </c>
      <c r="U53" s="626" t="str">
        <f t="shared" si="5"/>
        <v>AA11109</v>
      </c>
      <c r="V53" s="627" t="str">
        <f t="shared" si="6"/>
        <v>1145-TCN17</v>
      </c>
      <c r="W53" s="626">
        <f t="shared" si="7"/>
        <v>521707</v>
      </c>
      <c r="X53" s="626" t="str">
        <f t="shared" si="8"/>
        <v>YARIS CORE,SEDAN CVT.</v>
      </c>
      <c r="Y53" s="627">
        <f t="shared" si="8"/>
        <v>2017</v>
      </c>
      <c r="Z53" s="628">
        <f t="shared" si="9"/>
        <v>201982.76</v>
      </c>
      <c r="AA53" s="629"/>
      <c r="AB53" s="664"/>
      <c r="AC53" s="629">
        <f t="shared" si="18"/>
        <v>0.01</v>
      </c>
      <c r="AD53" s="630">
        <f t="shared" si="19"/>
        <v>0.02</v>
      </c>
      <c r="AE53" s="629">
        <f t="shared" si="20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ht="12.75" customHeight="1" x14ac:dyDescent="0.2">
      <c r="A54" s="423">
        <f t="shared" si="11"/>
        <v>49</v>
      </c>
      <c r="B54" s="683" t="s">
        <v>3455</v>
      </c>
      <c r="C54" s="655">
        <v>521707</v>
      </c>
      <c r="D54" s="658">
        <v>2006</v>
      </c>
      <c r="E54" s="655" t="s">
        <v>702</v>
      </c>
      <c r="F54" s="546">
        <v>2017</v>
      </c>
      <c r="G54" s="659">
        <v>42870</v>
      </c>
      <c r="H54" s="655" t="s">
        <v>908</v>
      </c>
      <c r="I54" s="655" t="s">
        <v>3719</v>
      </c>
      <c r="J54" s="655" t="s">
        <v>724</v>
      </c>
      <c r="K54" s="655" t="s">
        <v>3862</v>
      </c>
      <c r="L54" s="655" t="s">
        <v>3978</v>
      </c>
      <c r="M54" s="660">
        <v>201982.76</v>
      </c>
      <c r="N54" s="660">
        <v>0</v>
      </c>
      <c r="O54" s="660">
        <v>32317.24</v>
      </c>
      <c r="P54" s="660">
        <v>234300</v>
      </c>
      <c r="Q54" s="548"/>
      <c r="R54" s="660">
        <v>176916.14</v>
      </c>
      <c r="S54" s="549">
        <f t="shared" si="0"/>
        <v>57383.859999999986</v>
      </c>
      <c r="T54" s="267" t="s">
        <v>1932</v>
      </c>
      <c r="U54" s="626" t="str">
        <f t="shared" si="5"/>
        <v>AA11081</v>
      </c>
      <c r="V54" s="627" t="str">
        <f t="shared" si="6"/>
        <v>1240-TCN17</v>
      </c>
      <c r="W54" s="626">
        <f t="shared" si="7"/>
        <v>521707</v>
      </c>
      <c r="X54" s="626" t="str">
        <f t="shared" si="8"/>
        <v>YARIS CORE,SEDAN CVT.</v>
      </c>
      <c r="Y54" s="627">
        <f t="shared" si="8"/>
        <v>2017</v>
      </c>
      <c r="Z54" s="628">
        <f t="shared" si="9"/>
        <v>201982.76</v>
      </c>
      <c r="AA54" s="629">
        <f>+SUM(Z48:Z54)</f>
        <v>1400258.62</v>
      </c>
      <c r="AB54" s="665">
        <v>7</v>
      </c>
      <c r="AC54" s="629">
        <f t="shared" si="18"/>
        <v>0.01</v>
      </c>
      <c r="AD54" s="630">
        <f t="shared" si="19"/>
        <v>0.02</v>
      </c>
      <c r="AE54" s="629">
        <f t="shared" si="20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ht="12.75" customHeight="1" x14ac:dyDescent="0.2">
      <c r="A55" s="423">
        <f t="shared" si="11"/>
        <v>50</v>
      </c>
      <c r="B55" s="683" t="s">
        <v>3466</v>
      </c>
      <c r="C55" s="655">
        <v>521801</v>
      </c>
      <c r="D55" s="658">
        <v>2201</v>
      </c>
      <c r="E55" s="655" t="s">
        <v>704</v>
      </c>
      <c r="F55" s="546">
        <v>2017</v>
      </c>
      <c r="G55" s="659">
        <v>42867</v>
      </c>
      <c r="H55" s="655" t="s">
        <v>788</v>
      </c>
      <c r="I55" s="655" t="s">
        <v>3728</v>
      </c>
      <c r="J55" s="655" t="s">
        <v>724</v>
      </c>
      <c r="K55" s="655" t="s">
        <v>3868</v>
      </c>
      <c r="L55" s="655" t="s">
        <v>3987</v>
      </c>
      <c r="M55" s="660">
        <v>202844.83</v>
      </c>
      <c r="N55" s="660">
        <v>0</v>
      </c>
      <c r="O55" s="660">
        <v>32455.17</v>
      </c>
      <c r="P55" s="660">
        <v>235300</v>
      </c>
      <c r="Q55" s="548"/>
      <c r="R55" s="660">
        <v>183632.35</v>
      </c>
      <c r="S55" s="549">
        <f t="shared" si="0"/>
        <v>51667.649999999994</v>
      </c>
      <c r="T55" s="113" t="s">
        <v>1932</v>
      </c>
      <c r="U55" s="626" t="str">
        <f t="shared" si="5"/>
        <v>AA11063</v>
      </c>
      <c r="V55" s="627" t="str">
        <f t="shared" si="6"/>
        <v>1259-TCN17</v>
      </c>
      <c r="W55" s="626">
        <f t="shared" si="7"/>
        <v>521801</v>
      </c>
      <c r="X55" s="626" t="str">
        <f t="shared" si="8"/>
        <v>AVANZA HI 5MT</v>
      </c>
      <c r="Y55" s="627">
        <f t="shared" si="8"/>
        <v>2017</v>
      </c>
      <c r="Z55" s="628">
        <f t="shared" si="9"/>
        <v>202844.83</v>
      </c>
      <c r="AA55" s="629"/>
      <c r="AB55" s="664"/>
      <c r="AC55" s="629">
        <f t="shared" si="18"/>
        <v>0.01</v>
      </c>
      <c r="AD55" s="630">
        <f t="shared" si="19"/>
        <v>0.02</v>
      </c>
      <c r="AE55" s="629">
        <f t="shared" si="20"/>
        <v>0</v>
      </c>
      <c r="AF55" s="629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ht="12.75" customHeight="1" x14ac:dyDescent="0.2">
      <c r="A56" s="423">
        <f t="shared" si="11"/>
        <v>51</v>
      </c>
      <c r="B56" s="683" t="s">
        <v>3470</v>
      </c>
      <c r="C56" s="655">
        <v>521801</v>
      </c>
      <c r="D56" s="658">
        <v>2201</v>
      </c>
      <c r="E56" s="655" t="s">
        <v>704</v>
      </c>
      <c r="F56" s="546">
        <v>2017</v>
      </c>
      <c r="G56" s="659">
        <v>42875</v>
      </c>
      <c r="H56" s="655" t="s">
        <v>2220</v>
      </c>
      <c r="I56" s="655" t="s">
        <v>3730</v>
      </c>
      <c r="J56" s="655" t="s">
        <v>724</v>
      </c>
      <c r="K56" s="655" t="s">
        <v>3869</v>
      </c>
      <c r="L56" s="655" t="s">
        <v>3989</v>
      </c>
      <c r="M56" s="660">
        <v>202844.83</v>
      </c>
      <c r="N56" s="660">
        <v>0</v>
      </c>
      <c r="O56" s="660">
        <v>32455.17</v>
      </c>
      <c r="P56" s="660">
        <v>235300</v>
      </c>
      <c r="Q56" s="548"/>
      <c r="R56" s="660">
        <v>183986.84</v>
      </c>
      <c r="S56" s="549">
        <f t="shared" si="0"/>
        <v>51313.16</v>
      </c>
      <c r="T56" s="445" t="s">
        <v>1932</v>
      </c>
      <c r="U56" s="626" t="str">
        <f t="shared" si="5"/>
        <v>AA11113</v>
      </c>
      <c r="V56" s="627" t="str">
        <f t="shared" si="6"/>
        <v>1290-TCN17</v>
      </c>
      <c r="W56" s="626">
        <f t="shared" si="7"/>
        <v>521801</v>
      </c>
      <c r="X56" s="626" t="str">
        <f t="shared" si="8"/>
        <v>AVANZA HI 5MT</v>
      </c>
      <c r="Y56" s="627">
        <f t="shared" si="8"/>
        <v>2017</v>
      </c>
      <c r="Z56" s="628">
        <f t="shared" si="9"/>
        <v>202844.83</v>
      </c>
      <c r="AA56" s="629"/>
      <c r="AB56" s="664"/>
      <c r="AC56" s="629">
        <f t="shared" si="18"/>
        <v>0.01</v>
      </c>
      <c r="AD56" s="630">
        <f t="shared" si="19"/>
        <v>0.02</v>
      </c>
      <c r="AE56" s="629">
        <f t="shared" si="20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ht="12.75" customHeight="1" x14ac:dyDescent="0.2">
      <c r="A57" s="423">
        <f t="shared" si="11"/>
        <v>52</v>
      </c>
      <c r="B57" s="683" t="s">
        <v>3472</v>
      </c>
      <c r="C57" s="655">
        <v>521801</v>
      </c>
      <c r="D57" s="658">
        <v>2201</v>
      </c>
      <c r="E57" s="655" t="s">
        <v>704</v>
      </c>
      <c r="F57" s="546">
        <v>2017</v>
      </c>
      <c r="G57" s="659">
        <v>42886</v>
      </c>
      <c r="H57" s="655" t="s">
        <v>727</v>
      </c>
      <c r="I57" s="655" t="s">
        <v>3732</v>
      </c>
      <c r="J57" s="655" t="s">
        <v>724</v>
      </c>
      <c r="K57" s="655" t="s">
        <v>3870</v>
      </c>
      <c r="L57" s="655" t="s">
        <v>3991</v>
      </c>
      <c r="M57" s="660">
        <v>202844.83</v>
      </c>
      <c r="N57" s="660">
        <v>0</v>
      </c>
      <c r="O57" s="660">
        <v>32455.17</v>
      </c>
      <c r="P57" s="660">
        <v>235300</v>
      </c>
      <c r="Q57" s="548"/>
      <c r="R57" s="660">
        <v>183987.84</v>
      </c>
      <c r="S57" s="549">
        <f t="shared" si="0"/>
        <v>51312.160000000003</v>
      </c>
      <c r="T57" s="113" t="s">
        <v>1932</v>
      </c>
      <c r="U57" s="626" t="str">
        <f t="shared" si="5"/>
        <v>AA11204</v>
      </c>
      <c r="V57" s="627" t="str">
        <f t="shared" si="6"/>
        <v>1387-TCN17</v>
      </c>
      <c r="W57" s="626">
        <f t="shared" si="7"/>
        <v>521801</v>
      </c>
      <c r="X57" s="626" t="str">
        <f t="shared" si="8"/>
        <v>AVANZA HI 5MT</v>
      </c>
      <c r="Y57" s="627">
        <f t="shared" si="8"/>
        <v>2017</v>
      </c>
      <c r="Z57" s="628">
        <f t="shared" si="9"/>
        <v>202844.83</v>
      </c>
      <c r="AA57" s="629">
        <f>+Z57+Z56+Z55</f>
        <v>608534.49</v>
      </c>
      <c r="AB57" s="665">
        <v>3</v>
      </c>
      <c r="AC57" s="629">
        <f t="shared" si="18"/>
        <v>0.01</v>
      </c>
      <c r="AD57" s="630">
        <f t="shared" si="19"/>
        <v>0.02</v>
      </c>
      <c r="AE57" s="629">
        <f t="shared" si="20"/>
        <v>0</v>
      </c>
      <c r="AF57" s="629"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ht="12.75" customHeight="1" x14ac:dyDescent="0.2">
      <c r="A58" s="423">
        <f t="shared" si="11"/>
        <v>53</v>
      </c>
      <c r="B58" s="683" t="s">
        <v>3480</v>
      </c>
      <c r="C58" s="655">
        <v>521802</v>
      </c>
      <c r="D58" s="658">
        <v>2202</v>
      </c>
      <c r="E58" s="655" t="s">
        <v>703</v>
      </c>
      <c r="F58" s="546">
        <v>2017</v>
      </c>
      <c r="G58" s="659">
        <v>42882</v>
      </c>
      <c r="H58" s="655" t="s">
        <v>722</v>
      </c>
      <c r="I58" s="655" t="s">
        <v>3738</v>
      </c>
      <c r="J58" s="655" t="s">
        <v>724</v>
      </c>
      <c r="K58" s="655" t="s">
        <v>3874</v>
      </c>
      <c r="L58" s="655" t="s">
        <v>3997</v>
      </c>
      <c r="M58" s="660">
        <v>207327.59</v>
      </c>
      <c r="N58" s="660">
        <v>0</v>
      </c>
      <c r="O58" s="660">
        <v>33172.410000000003</v>
      </c>
      <c r="P58" s="660">
        <v>240500</v>
      </c>
      <c r="Q58" s="548"/>
      <c r="R58" s="660">
        <v>187666.84</v>
      </c>
      <c r="S58" s="549">
        <f t="shared" si="0"/>
        <v>52833.16</v>
      </c>
      <c r="T58" s="267" t="s">
        <v>1932</v>
      </c>
      <c r="U58" s="626" t="str">
        <f t="shared" si="5"/>
        <v>AA11158</v>
      </c>
      <c r="V58" s="627" t="str">
        <f t="shared" si="6"/>
        <v>1346-TCN17</v>
      </c>
      <c r="W58" s="626">
        <f t="shared" si="7"/>
        <v>521802</v>
      </c>
      <c r="X58" s="626" t="str">
        <f t="shared" si="8"/>
        <v>AVANZA HI 4AT</v>
      </c>
      <c r="Y58" s="627">
        <f t="shared" si="8"/>
        <v>2017</v>
      </c>
      <c r="Z58" s="628">
        <f t="shared" si="9"/>
        <v>207327.59</v>
      </c>
      <c r="AA58" s="629"/>
      <c r="AB58" s="664"/>
      <c r="AC58" s="629">
        <f t="shared" si="18"/>
        <v>0.01</v>
      </c>
      <c r="AD58" s="630">
        <f t="shared" si="19"/>
        <v>0.02</v>
      </c>
      <c r="AE58" s="629">
        <f t="shared" si="20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ht="12.75" customHeight="1" x14ac:dyDescent="0.2">
      <c r="A59" s="423">
        <f t="shared" si="11"/>
        <v>54</v>
      </c>
      <c r="B59" s="683" t="s">
        <v>3474</v>
      </c>
      <c r="C59" s="655">
        <v>521802</v>
      </c>
      <c r="D59" s="658">
        <v>2202</v>
      </c>
      <c r="E59" s="655" t="s">
        <v>703</v>
      </c>
      <c r="F59" s="546">
        <v>2017</v>
      </c>
      <c r="G59" s="659">
        <v>42865</v>
      </c>
      <c r="H59" s="655" t="s">
        <v>778</v>
      </c>
      <c r="I59" s="655" t="s">
        <v>3734</v>
      </c>
      <c r="J59" s="655" t="s">
        <v>724</v>
      </c>
      <c r="K59" s="655" t="s">
        <v>3872</v>
      </c>
      <c r="L59" s="655" t="s">
        <v>3993</v>
      </c>
      <c r="M59" s="660">
        <v>207327.59</v>
      </c>
      <c r="N59" s="660">
        <v>0</v>
      </c>
      <c r="O59" s="660">
        <v>33172.410000000003</v>
      </c>
      <c r="P59" s="660">
        <v>240500</v>
      </c>
      <c r="Q59" s="548"/>
      <c r="R59" s="660">
        <v>187666.84</v>
      </c>
      <c r="S59" s="549">
        <f t="shared" si="0"/>
        <v>52833.16</v>
      </c>
      <c r="T59" s="113" t="s">
        <v>1932</v>
      </c>
      <c r="U59" s="626" t="str">
        <f t="shared" si="5"/>
        <v>AA11055</v>
      </c>
      <c r="V59" s="627" t="str">
        <f t="shared" si="6"/>
        <v>1255-TCN17</v>
      </c>
      <c r="W59" s="626">
        <f t="shared" si="7"/>
        <v>521802</v>
      </c>
      <c r="X59" s="626" t="str">
        <f t="shared" si="8"/>
        <v>AVANZA HI 4AT</v>
      </c>
      <c r="Y59" s="627">
        <f t="shared" si="8"/>
        <v>2017</v>
      </c>
      <c r="Z59" s="628">
        <f t="shared" si="9"/>
        <v>207327.59</v>
      </c>
      <c r="AA59" s="629"/>
      <c r="AB59" s="664"/>
      <c r="AC59" s="629">
        <f t="shared" si="18"/>
        <v>0.01</v>
      </c>
      <c r="AD59" s="630">
        <f t="shared" si="19"/>
        <v>0.02</v>
      </c>
      <c r="AE59" s="629">
        <f t="shared" si="20"/>
        <v>0</v>
      </c>
      <c r="AF59" s="629"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ht="12.75" customHeight="1" x14ac:dyDescent="0.2">
      <c r="A60" s="423">
        <f t="shared" si="11"/>
        <v>55</v>
      </c>
      <c r="B60" s="683" t="s">
        <v>3481</v>
      </c>
      <c r="C60" s="655">
        <v>521802</v>
      </c>
      <c r="D60" s="658">
        <v>2202</v>
      </c>
      <c r="E60" s="655" t="s">
        <v>703</v>
      </c>
      <c r="F60" s="546">
        <v>2017</v>
      </c>
      <c r="G60" s="659">
        <v>42884</v>
      </c>
      <c r="H60" s="655" t="s">
        <v>722</v>
      </c>
      <c r="I60" s="655" t="s">
        <v>3739</v>
      </c>
      <c r="J60" s="655" t="s">
        <v>724</v>
      </c>
      <c r="K60" s="655" t="s">
        <v>3875</v>
      </c>
      <c r="L60" s="655" t="s">
        <v>3998</v>
      </c>
      <c r="M60" s="660">
        <v>207327.59</v>
      </c>
      <c r="N60" s="660">
        <v>0</v>
      </c>
      <c r="O60" s="660">
        <v>33172.410000000003</v>
      </c>
      <c r="P60" s="660">
        <v>240500</v>
      </c>
      <c r="Q60" s="548"/>
      <c r="R60" s="660">
        <v>182856.5</v>
      </c>
      <c r="S60" s="549">
        <f t="shared" si="0"/>
        <v>57643.5</v>
      </c>
      <c r="T60" s="113" t="s">
        <v>1932</v>
      </c>
      <c r="U60" s="626" t="str">
        <f t="shared" si="5"/>
        <v>AA11164</v>
      </c>
      <c r="V60" s="627" t="str">
        <f t="shared" si="6"/>
        <v>1049-TCN17</v>
      </c>
      <c r="W60" s="626">
        <f t="shared" si="7"/>
        <v>521802</v>
      </c>
      <c r="X60" s="626" t="str">
        <f t="shared" si="8"/>
        <v>AVANZA HI 4AT</v>
      </c>
      <c r="Y60" s="627">
        <f t="shared" si="8"/>
        <v>2017</v>
      </c>
      <c r="Z60" s="628">
        <f t="shared" si="9"/>
        <v>207327.59</v>
      </c>
      <c r="AA60" s="629"/>
      <c r="AB60" s="664"/>
      <c r="AC60" s="629">
        <f t="shared" si="18"/>
        <v>0.01</v>
      </c>
      <c r="AD60" s="630">
        <f t="shared" si="19"/>
        <v>0.02</v>
      </c>
      <c r="AE60" s="629">
        <f t="shared" si="20"/>
        <v>0</v>
      </c>
      <c r="AF60" s="629">
        <v>0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ht="12.75" customHeight="1" x14ac:dyDescent="0.2">
      <c r="A61" s="423">
        <f t="shared" si="11"/>
        <v>56</v>
      </c>
      <c r="B61" s="683" t="s">
        <v>3475</v>
      </c>
      <c r="C61" s="655">
        <v>521802</v>
      </c>
      <c r="D61" s="658">
        <v>2202</v>
      </c>
      <c r="E61" s="655" t="s">
        <v>703</v>
      </c>
      <c r="F61" s="546">
        <v>2017</v>
      </c>
      <c r="G61" s="659">
        <v>42868</v>
      </c>
      <c r="H61" s="655" t="s">
        <v>727</v>
      </c>
      <c r="I61" s="655" t="s">
        <v>3735</v>
      </c>
      <c r="J61" s="655" t="s">
        <v>724</v>
      </c>
      <c r="K61" s="655" t="s">
        <v>3873</v>
      </c>
      <c r="L61" s="655" t="s">
        <v>3994</v>
      </c>
      <c r="M61" s="660">
        <v>207327.59</v>
      </c>
      <c r="N61" s="660">
        <v>0</v>
      </c>
      <c r="O61" s="660">
        <v>33172.410000000003</v>
      </c>
      <c r="P61" s="660">
        <v>240500</v>
      </c>
      <c r="Q61" s="548"/>
      <c r="R61" s="660">
        <v>182856.5</v>
      </c>
      <c r="S61" s="549">
        <f t="shared" si="0"/>
        <v>57643.5</v>
      </c>
      <c r="T61" s="113" t="s">
        <v>1932</v>
      </c>
      <c r="U61" s="626" t="str">
        <f t="shared" si="5"/>
        <v>AA11073</v>
      </c>
      <c r="V61" s="627" t="str">
        <f t="shared" si="6"/>
        <v>1063-TCN17</v>
      </c>
      <c r="W61" s="626">
        <f t="shared" si="7"/>
        <v>521802</v>
      </c>
      <c r="X61" s="626" t="str">
        <f t="shared" si="8"/>
        <v>AVANZA HI 4AT</v>
      </c>
      <c r="Y61" s="627">
        <f t="shared" si="8"/>
        <v>2017</v>
      </c>
      <c r="Z61" s="628">
        <f t="shared" si="9"/>
        <v>207327.59</v>
      </c>
      <c r="AA61" s="629"/>
      <c r="AB61" s="664"/>
      <c r="AC61" s="629">
        <f t="shared" ref="AC61" si="21">VLOOKUP(Z61,TARIFA,1)</f>
        <v>0.01</v>
      </c>
      <c r="AD61" s="630">
        <f t="shared" ref="AD61" si="22">VLOOKUP(Z61,TARIFA,4)</f>
        <v>0.02</v>
      </c>
      <c r="AE61" s="629">
        <f t="shared" ref="AE61" si="23">VLOOKUP(Z61,TARIFA,3)</f>
        <v>0</v>
      </c>
      <c r="AF61" s="629"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ht="12.75" customHeight="1" x14ac:dyDescent="0.2">
      <c r="A62" s="423">
        <f t="shared" si="11"/>
        <v>57</v>
      </c>
      <c r="B62" s="683" t="s">
        <v>3484</v>
      </c>
      <c r="C62" s="655">
        <v>521802</v>
      </c>
      <c r="D62" s="658">
        <v>2204</v>
      </c>
      <c r="E62" s="655" t="s">
        <v>705</v>
      </c>
      <c r="F62" s="546">
        <v>2017</v>
      </c>
      <c r="G62" s="659">
        <v>42886</v>
      </c>
      <c r="H62" s="655" t="s">
        <v>817</v>
      </c>
      <c r="I62" s="655" t="s">
        <v>3742</v>
      </c>
      <c r="J62" s="655" t="s">
        <v>724</v>
      </c>
      <c r="K62" s="655" t="s">
        <v>3876</v>
      </c>
      <c r="L62" s="655" t="s">
        <v>4001</v>
      </c>
      <c r="M62" s="660">
        <v>229941.96</v>
      </c>
      <c r="N62" s="660">
        <v>2299.42</v>
      </c>
      <c r="O62" s="660">
        <v>37158.620000000003</v>
      </c>
      <c r="P62" s="660">
        <v>269400</v>
      </c>
      <c r="Q62" s="548"/>
      <c r="R62" s="660">
        <v>208374.26</v>
      </c>
      <c r="S62" s="549">
        <f t="shared" si="0"/>
        <v>61025.739999999991</v>
      </c>
      <c r="T62" s="113" t="s">
        <v>1932</v>
      </c>
      <c r="U62" s="626" t="str">
        <f t="shared" si="5"/>
        <v>AA11190</v>
      </c>
      <c r="V62" s="627" t="str">
        <f t="shared" si="6"/>
        <v>1398-TCN17</v>
      </c>
      <c r="W62" s="626">
        <f t="shared" si="7"/>
        <v>521802</v>
      </c>
      <c r="X62" s="626" t="str">
        <f t="shared" si="8"/>
        <v>AVANZA LIMITED</v>
      </c>
      <c r="Y62" s="627">
        <f t="shared" si="8"/>
        <v>2017</v>
      </c>
      <c r="Z62" s="628">
        <f t="shared" si="9"/>
        <v>229941.96</v>
      </c>
      <c r="AA62" s="629">
        <f>+SUM(Z58:Z62)</f>
        <v>1059252.32</v>
      </c>
      <c r="AB62" s="665">
        <v>5</v>
      </c>
      <c r="AC62" s="629">
        <f t="shared" ref="AC62:AC63" si="24">VLOOKUP(Z62,TARIFA,1)</f>
        <v>0.01</v>
      </c>
      <c r="AD62" s="630">
        <f t="shared" ref="AD62:AD63" si="25">VLOOKUP(Z62,TARIFA,4)</f>
        <v>0.02</v>
      </c>
      <c r="AE62" s="629">
        <f t="shared" ref="AE62:AE63" si="26">VLOOKUP(Z62,TARIFA,3)</f>
        <v>0</v>
      </c>
      <c r="AF62" s="629">
        <f>+N62</f>
        <v>2299.42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ht="12.75" customHeight="1" x14ac:dyDescent="0.2">
      <c r="A63" s="423">
        <f t="shared" si="11"/>
        <v>58</v>
      </c>
      <c r="B63" s="683" t="s">
        <v>3574</v>
      </c>
      <c r="C63" s="655">
        <v>521908</v>
      </c>
      <c r="D63" s="658">
        <v>6980</v>
      </c>
      <c r="E63" s="655" t="s">
        <v>706</v>
      </c>
      <c r="F63" s="546">
        <v>2017</v>
      </c>
      <c r="G63" s="659">
        <v>42865</v>
      </c>
      <c r="H63" s="655" t="s">
        <v>1038</v>
      </c>
      <c r="I63" s="655" t="s">
        <v>3786</v>
      </c>
      <c r="J63" s="655" t="s">
        <v>724</v>
      </c>
      <c r="K63" s="655" t="s">
        <v>3904</v>
      </c>
      <c r="L63" s="655" t="s">
        <v>4045</v>
      </c>
      <c r="M63" s="660">
        <v>520282.13</v>
      </c>
      <c r="N63" s="660">
        <v>40148.9</v>
      </c>
      <c r="O63" s="660">
        <v>89668.97</v>
      </c>
      <c r="P63" s="660">
        <v>650100</v>
      </c>
      <c r="Q63" s="548"/>
      <c r="R63" s="660">
        <v>460361.17</v>
      </c>
      <c r="S63" s="549">
        <f t="shared" si="0"/>
        <v>189738.83000000002</v>
      </c>
      <c r="T63" s="267" t="s">
        <v>1932</v>
      </c>
      <c r="U63" s="626" t="str">
        <f t="shared" si="5"/>
        <v>AA11056</v>
      </c>
      <c r="V63" s="627" t="str">
        <f t="shared" si="6"/>
        <v>1254-TCN17</v>
      </c>
      <c r="W63" s="626">
        <f t="shared" si="7"/>
        <v>521908</v>
      </c>
      <c r="X63" s="626" t="str">
        <f t="shared" si="8"/>
        <v>HIGHLANDER  XLE</v>
      </c>
      <c r="Y63" s="627">
        <f t="shared" si="8"/>
        <v>2017</v>
      </c>
      <c r="Z63" s="628">
        <f t="shared" si="9"/>
        <v>520282.13</v>
      </c>
      <c r="AA63" s="629">
        <f>+Z63</f>
        <v>520282.13</v>
      </c>
      <c r="AB63" s="664">
        <v>1</v>
      </c>
      <c r="AC63" s="629">
        <f t="shared" si="24"/>
        <v>443562.4</v>
      </c>
      <c r="AD63" s="630">
        <f t="shared" si="25"/>
        <v>0.17</v>
      </c>
      <c r="AE63" s="629">
        <f t="shared" si="26"/>
        <v>27106.55</v>
      </c>
      <c r="AF63" s="629">
        <f t="shared" ref="AF63" si="27">IF(Z63&lt;281240.78,(((Z63-AC63)*AD63+AE63)/2),(Z63-AC63)*AD63+AE63)</f>
        <v>40148.9041</v>
      </c>
      <c r="AG63" s="555">
        <f t="shared" si="10"/>
        <v>-4.0999999982886948E-3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ht="12.75" customHeight="1" x14ac:dyDescent="0.2">
      <c r="A64" s="423">
        <f t="shared" si="11"/>
        <v>59</v>
      </c>
      <c r="B64" s="683" t="s">
        <v>3424</v>
      </c>
      <c r="C64" s="655">
        <v>522401</v>
      </c>
      <c r="D64" s="658">
        <v>1062</v>
      </c>
      <c r="E64" s="655" t="s">
        <v>709</v>
      </c>
      <c r="F64" s="546">
        <v>2017</v>
      </c>
      <c r="G64" s="659">
        <v>42857</v>
      </c>
      <c r="H64" s="655" t="s">
        <v>2213</v>
      </c>
      <c r="I64" s="655" t="s">
        <v>3698</v>
      </c>
      <c r="J64" s="655" t="s">
        <v>729</v>
      </c>
      <c r="K64" s="655" t="s">
        <v>3843</v>
      </c>
      <c r="L64" s="655" t="s">
        <v>3957</v>
      </c>
      <c r="M64" s="660">
        <v>224137.93</v>
      </c>
      <c r="N64" s="660">
        <v>0</v>
      </c>
      <c r="O64" s="660">
        <v>35862.07</v>
      </c>
      <c r="P64" s="660">
        <v>260000</v>
      </c>
      <c r="Q64" s="548"/>
      <c r="R64" s="660">
        <v>203012.91</v>
      </c>
      <c r="S64" s="549">
        <f t="shared" si="0"/>
        <v>56987.09</v>
      </c>
      <c r="T64" s="267" t="s">
        <v>1932</v>
      </c>
      <c r="U64" s="626" t="str">
        <f t="shared" si="5"/>
        <v>AA11011</v>
      </c>
      <c r="V64" s="627" t="str">
        <f t="shared" si="6"/>
        <v>1229-TCN17</v>
      </c>
      <c r="W64" s="626">
        <f t="shared" si="7"/>
        <v>522401</v>
      </c>
      <c r="X64" s="626" t="str">
        <f t="shared" si="8"/>
        <v>YARIS XLE R AT</v>
      </c>
      <c r="Y64" s="627">
        <f t="shared" si="8"/>
        <v>2017</v>
      </c>
      <c r="Z64" s="628">
        <f t="shared" si="9"/>
        <v>224137.93</v>
      </c>
      <c r="AA64" s="629">
        <f>+Z64</f>
        <v>224137.93</v>
      </c>
      <c r="AB64" s="665">
        <v>1</v>
      </c>
      <c r="AC64" s="629">
        <f t="shared" si="18"/>
        <v>0.01</v>
      </c>
      <c r="AD64" s="630">
        <f t="shared" si="19"/>
        <v>0.02</v>
      </c>
      <c r="AE64" s="629">
        <f t="shared" si="20"/>
        <v>0</v>
      </c>
      <c r="AF64" s="629"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ht="12.75" customHeight="1" x14ac:dyDescent="0.2">
      <c r="A65" s="423">
        <f t="shared" si="11"/>
        <v>60</v>
      </c>
      <c r="B65" s="683" t="s">
        <v>3423</v>
      </c>
      <c r="C65" s="655">
        <v>522402</v>
      </c>
      <c r="D65" s="658">
        <v>1061</v>
      </c>
      <c r="E65" s="655" t="s">
        <v>1518</v>
      </c>
      <c r="F65" s="546">
        <v>2017</v>
      </c>
      <c r="G65" s="659">
        <v>42880</v>
      </c>
      <c r="H65" s="655" t="s">
        <v>2214</v>
      </c>
      <c r="I65" s="655" t="s">
        <v>3697</v>
      </c>
      <c r="J65" s="655" t="s">
        <v>729</v>
      </c>
      <c r="K65" s="655" t="s">
        <v>3842</v>
      </c>
      <c r="L65" s="655" t="s">
        <v>3956</v>
      </c>
      <c r="M65" s="660">
        <v>223620.69</v>
      </c>
      <c r="N65" s="660">
        <v>0</v>
      </c>
      <c r="O65" s="660">
        <v>35779.31</v>
      </c>
      <c r="P65" s="660">
        <v>259400</v>
      </c>
      <c r="Q65" s="548"/>
      <c r="R65" s="660">
        <v>194470.67</v>
      </c>
      <c r="S65" s="549">
        <f t="shared" si="0"/>
        <v>64929.329999999987</v>
      </c>
      <c r="T65" s="113" t="s">
        <v>1932</v>
      </c>
      <c r="U65" s="626" t="str">
        <f t="shared" si="5"/>
        <v>AA11143</v>
      </c>
      <c r="V65" s="627" t="str">
        <f t="shared" si="6"/>
        <v>1213-TCN17</v>
      </c>
      <c r="W65" s="626">
        <f t="shared" si="7"/>
        <v>522402</v>
      </c>
      <c r="X65" s="626" t="str">
        <f t="shared" si="8"/>
        <v>YARIS R INTERMEDIO</v>
      </c>
      <c r="Y65" s="627">
        <f t="shared" si="8"/>
        <v>2017</v>
      </c>
      <c r="Z65" s="628">
        <f t="shared" si="9"/>
        <v>223620.69</v>
      </c>
      <c r="AA65" s="629">
        <f>+Z65</f>
        <v>223620.69</v>
      </c>
      <c r="AB65" s="665">
        <v>1</v>
      </c>
      <c r="AC65" s="629">
        <f t="shared" si="18"/>
        <v>0.01</v>
      </c>
      <c r="AD65" s="630">
        <f t="shared" si="19"/>
        <v>0.02</v>
      </c>
      <c r="AE65" s="629">
        <f t="shared" si="20"/>
        <v>0</v>
      </c>
      <c r="AF65" s="629">
        <v>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ht="12.75" customHeight="1" x14ac:dyDescent="0.2">
      <c r="A66" s="423">
        <f t="shared" si="11"/>
        <v>61</v>
      </c>
      <c r="B66" s="683" t="s">
        <v>3589</v>
      </c>
      <c r="C66" s="655">
        <v>1520104</v>
      </c>
      <c r="D66" s="658">
        <v>7493</v>
      </c>
      <c r="E66" s="655" t="s">
        <v>711</v>
      </c>
      <c r="F66" s="546">
        <v>2017</v>
      </c>
      <c r="G66" s="659">
        <v>42877</v>
      </c>
      <c r="H66" s="655" t="s">
        <v>819</v>
      </c>
      <c r="I66" s="655" t="s">
        <v>3790</v>
      </c>
      <c r="J66" s="655" t="s">
        <v>724</v>
      </c>
      <c r="K66" s="655" t="s">
        <v>3176</v>
      </c>
      <c r="L66" s="655" t="s">
        <v>4049</v>
      </c>
      <c r="M66" s="660">
        <v>250000</v>
      </c>
      <c r="N66" s="660">
        <v>12500</v>
      </c>
      <c r="O66" s="660">
        <v>42000</v>
      </c>
      <c r="P66" s="660">
        <v>304500</v>
      </c>
      <c r="Q66" s="548"/>
      <c r="R66" s="660">
        <v>229061.04</v>
      </c>
      <c r="S66" s="549">
        <f t="shared" si="0"/>
        <v>75438.959999999992</v>
      </c>
      <c r="T66" s="267" t="s">
        <v>1932</v>
      </c>
      <c r="U66" s="626" t="str">
        <f t="shared" si="5"/>
        <v>AA11120</v>
      </c>
      <c r="V66" s="627" t="str">
        <f t="shared" si="6"/>
        <v>1306-TCN17</v>
      </c>
      <c r="W66" s="626">
        <f t="shared" si="7"/>
        <v>1520104</v>
      </c>
      <c r="X66" s="626" t="str">
        <f t="shared" si="8"/>
        <v>HILUX PICK UP BASIC CAB L4 16V AC</v>
      </c>
      <c r="Y66" s="627">
        <f t="shared" si="8"/>
        <v>2017</v>
      </c>
      <c r="Z66" s="628">
        <f t="shared" si="9"/>
        <v>250000</v>
      </c>
      <c r="AA66" s="629"/>
      <c r="AB66" s="664"/>
      <c r="AC66" s="629">
        <f t="shared" si="18"/>
        <v>246423.66</v>
      </c>
      <c r="AD66" s="630">
        <f t="shared" si="19"/>
        <v>0.05</v>
      </c>
      <c r="AE66" s="629">
        <f t="shared" si="20"/>
        <v>4928.3900000000003</v>
      </c>
      <c r="AF66" s="629">
        <f t="shared" ref="AF66:AF79" si="28">+N66</f>
        <v>12500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ht="12.75" customHeight="1" x14ac:dyDescent="0.2">
      <c r="A67" s="423">
        <f t="shared" si="11"/>
        <v>62</v>
      </c>
      <c r="B67" s="683" t="s">
        <v>3591</v>
      </c>
      <c r="C67" s="655">
        <v>1520104</v>
      </c>
      <c r="D67" s="658">
        <v>7493</v>
      </c>
      <c r="E67" s="655" t="s">
        <v>711</v>
      </c>
      <c r="F67" s="546">
        <v>2017</v>
      </c>
      <c r="G67" s="659">
        <v>42884</v>
      </c>
      <c r="H67" s="655" t="s">
        <v>2216</v>
      </c>
      <c r="I67" s="655" t="s">
        <v>3792</v>
      </c>
      <c r="J67" s="655" t="s">
        <v>724</v>
      </c>
      <c r="K67" s="655" t="s">
        <v>3909</v>
      </c>
      <c r="L67" s="655" t="s">
        <v>4051</v>
      </c>
      <c r="M67" s="660">
        <v>250000</v>
      </c>
      <c r="N67" s="660">
        <v>12500</v>
      </c>
      <c r="O67" s="660">
        <v>42000</v>
      </c>
      <c r="P67" s="660">
        <v>304500</v>
      </c>
      <c r="Q67" s="548"/>
      <c r="R67" s="660">
        <v>218207.39</v>
      </c>
      <c r="S67" s="549">
        <f t="shared" si="0"/>
        <v>86292.609999999986</v>
      </c>
      <c r="T67" s="267" t="s">
        <v>1932</v>
      </c>
      <c r="U67" s="626" t="str">
        <f t="shared" si="5"/>
        <v>AA11170</v>
      </c>
      <c r="V67" s="627" t="str">
        <f t="shared" si="6"/>
        <v>1110-TCN17</v>
      </c>
      <c r="W67" s="626">
        <f t="shared" si="7"/>
        <v>1520104</v>
      </c>
      <c r="X67" s="626" t="str">
        <f t="shared" si="8"/>
        <v>HILUX PICK UP BASIC CAB L4 16V AC</v>
      </c>
      <c r="Y67" s="627">
        <f t="shared" si="8"/>
        <v>2017</v>
      </c>
      <c r="Z67" s="628">
        <f t="shared" si="9"/>
        <v>250000</v>
      </c>
      <c r="AA67" s="629"/>
      <c r="AB67" s="665"/>
      <c r="AC67" s="629">
        <f t="shared" si="18"/>
        <v>246423.66</v>
      </c>
      <c r="AD67" s="630">
        <f t="shared" si="19"/>
        <v>0.05</v>
      </c>
      <c r="AE67" s="629">
        <f t="shared" si="20"/>
        <v>4928.3900000000003</v>
      </c>
      <c r="AF67" s="629">
        <f t="shared" si="28"/>
        <v>12500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ht="13.5" customHeight="1" x14ac:dyDescent="0.2">
      <c r="A68" s="423">
        <f t="shared" si="11"/>
        <v>63</v>
      </c>
      <c r="B68" s="683" t="s">
        <v>3580</v>
      </c>
      <c r="C68" s="655">
        <v>1520104</v>
      </c>
      <c r="D68" s="658">
        <v>7493</v>
      </c>
      <c r="E68" s="655" t="s">
        <v>711</v>
      </c>
      <c r="F68" s="546">
        <v>2017</v>
      </c>
      <c r="G68" s="659">
        <v>42858</v>
      </c>
      <c r="H68" s="655" t="s">
        <v>778</v>
      </c>
      <c r="I68" s="655" t="s">
        <v>3789</v>
      </c>
      <c r="J68" s="655" t="s">
        <v>724</v>
      </c>
      <c r="K68" s="655" t="s">
        <v>3907</v>
      </c>
      <c r="L68" s="655" t="s">
        <v>4048</v>
      </c>
      <c r="M68" s="660">
        <v>238095.24</v>
      </c>
      <c r="N68" s="660">
        <v>11904.76</v>
      </c>
      <c r="O68" s="660">
        <v>40000</v>
      </c>
      <c r="P68" s="660">
        <v>290000</v>
      </c>
      <c r="Q68" s="548"/>
      <c r="R68" s="660">
        <v>218207.39</v>
      </c>
      <c r="S68" s="549">
        <f t="shared" si="0"/>
        <v>71792.609999999986</v>
      </c>
      <c r="T68" s="267" t="s">
        <v>1932</v>
      </c>
      <c r="U68" s="626" t="str">
        <f t="shared" si="5"/>
        <v>AA11013</v>
      </c>
      <c r="V68" s="627" t="str">
        <f t="shared" si="6"/>
        <v>1109-TCN17</v>
      </c>
      <c r="W68" s="626">
        <f t="shared" si="7"/>
        <v>1520104</v>
      </c>
      <c r="X68" s="626" t="str">
        <f t="shared" si="8"/>
        <v>HILUX PICK UP BASIC CAB L4 16V AC</v>
      </c>
      <c r="Y68" s="627">
        <f t="shared" si="8"/>
        <v>2017</v>
      </c>
      <c r="Z68" s="628">
        <f t="shared" si="9"/>
        <v>238095.24</v>
      </c>
      <c r="AA68" s="629"/>
      <c r="AB68" s="664"/>
      <c r="AC68" s="629">
        <f t="shared" si="18"/>
        <v>0.01</v>
      </c>
      <c r="AD68" s="630">
        <f t="shared" si="19"/>
        <v>0.02</v>
      </c>
      <c r="AE68" s="629">
        <f t="shared" si="20"/>
        <v>0</v>
      </c>
      <c r="AF68" s="629">
        <f t="shared" si="28"/>
        <v>11904.76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ht="12.75" customHeight="1" x14ac:dyDescent="0.2">
      <c r="A69" s="423">
        <f t="shared" si="11"/>
        <v>64</v>
      </c>
      <c r="B69" s="683" t="s">
        <v>3590</v>
      </c>
      <c r="C69" s="655">
        <v>1520104</v>
      </c>
      <c r="D69" s="658">
        <v>7493</v>
      </c>
      <c r="E69" s="655" t="s">
        <v>711</v>
      </c>
      <c r="F69" s="546">
        <v>2017</v>
      </c>
      <c r="G69" s="659">
        <v>42879</v>
      </c>
      <c r="H69" s="655" t="s">
        <v>908</v>
      </c>
      <c r="I69" s="655" t="s">
        <v>3791</v>
      </c>
      <c r="J69" s="655" t="s">
        <v>724</v>
      </c>
      <c r="K69" s="655" t="s">
        <v>3908</v>
      </c>
      <c r="L69" s="655" t="s">
        <v>4050</v>
      </c>
      <c r="M69" s="660">
        <v>250000</v>
      </c>
      <c r="N69" s="660">
        <v>12500</v>
      </c>
      <c r="O69" s="660">
        <v>42000</v>
      </c>
      <c r="P69" s="660">
        <v>304500</v>
      </c>
      <c r="Q69" s="548"/>
      <c r="R69" s="660">
        <v>218207.39</v>
      </c>
      <c r="S69" s="549">
        <f t="shared" si="0"/>
        <v>86292.609999999986</v>
      </c>
      <c r="T69" s="267" t="s">
        <v>1932</v>
      </c>
      <c r="U69" s="626" t="str">
        <f t="shared" si="5"/>
        <v>AA11135</v>
      </c>
      <c r="V69" s="627" t="str">
        <f t="shared" si="6"/>
        <v>1321-TCN17</v>
      </c>
      <c r="W69" s="626">
        <f t="shared" si="7"/>
        <v>1520104</v>
      </c>
      <c r="X69" s="626" t="str">
        <f t="shared" si="8"/>
        <v>HILUX PICK UP BASIC CAB L4 16V AC</v>
      </c>
      <c r="Y69" s="627">
        <f t="shared" si="8"/>
        <v>2017</v>
      </c>
      <c r="Z69" s="628">
        <f t="shared" si="9"/>
        <v>250000</v>
      </c>
      <c r="AA69" s="629">
        <f>+SUM(Z66:Z69)</f>
        <v>988095.24</v>
      </c>
      <c r="AB69" s="677">
        <v>4</v>
      </c>
      <c r="AC69" s="629">
        <f t="shared" si="18"/>
        <v>246423.66</v>
      </c>
      <c r="AD69" s="630">
        <f t="shared" si="19"/>
        <v>0.05</v>
      </c>
      <c r="AE69" s="629">
        <f t="shared" si="20"/>
        <v>4928.3900000000003</v>
      </c>
      <c r="AF69" s="629">
        <f t="shared" si="28"/>
        <v>12500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ht="13.5" customHeight="1" x14ac:dyDescent="0.2">
      <c r="A70" s="423">
        <f t="shared" si="11"/>
        <v>65</v>
      </c>
      <c r="B70" s="683" t="s">
        <v>3592</v>
      </c>
      <c r="C70" s="655">
        <v>1520105</v>
      </c>
      <c r="D70" s="658">
        <v>7494</v>
      </c>
      <c r="E70" s="655" t="s">
        <v>712</v>
      </c>
      <c r="F70" s="546">
        <v>2017</v>
      </c>
      <c r="G70" s="659">
        <v>42859</v>
      </c>
      <c r="H70" s="655" t="s">
        <v>747</v>
      </c>
      <c r="I70" s="655" t="s">
        <v>3392</v>
      </c>
      <c r="J70" s="655" t="s">
        <v>724</v>
      </c>
      <c r="K70" s="655" t="s">
        <v>3401</v>
      </c>
      <c r="L70" s="655" t="s">
        <v>3410</v>
      </c>
      <c r="M70" s="660">
        <v>-223973.72</v>
      </c>
      <c r="N70" s="660">
        <v>-11198.69</v>
      </c>
      <c r="O70" s="660">
        <v>-37627.589999999997</v>
      </c>
      <c r="P70" s="660">
        <v>-272800</v>
      </c>
      <c r="Q70" s="548"/>
      <c r="R70" s="660">
        <v>-205183</v>
      </c>
      <c r="S70" s="549">
        <f t="shared" ref="S70:S133" si="29">+P70-R70</f>
        <v>-67617</v>
      </c>
      <c r="T70" s="267" t="s">
        <v>1266</v>
      </c>
      <c r="U70" s="626" t="str">
        <f t="shared" si="5"/>
        <v>ZA04057</v>
      </c>
      <c r="V70" s="627" t="str">
        <f t="shared" si="6"/>
        <v>0927-TCN17</v>
      </c>
      <c r="W70" s="626">
        <f t="shared" si="7"/>
        <v>1520105</v>
      </c>
      <c r="X70" s="626" t="str">
        <f t="shared" si="8"/>
        <v>HILUX PICK UP CHASSIS CAB</v>
      </c>
      <c r="Y70" s="627">
        <f t="shared" si="8"/>
        <v>2017</v>
      </c>
      <c r="Z70" s="628">
        <f t="shared" si="9"/>
        <v>-223973.72</v>
      </c>
      <c r="AA70" s="629"/>
      <c r="AB70" s="664"/>
      <c r="AC70" s="629" t="e">
        <f t="shared" si="18"/>
        <v>#N/A</v>
      </c>
      <c r="AD70" s="630" t="e">
        <f t="shared" si="19"/>
        <v>#N/A</v>
      </c>
      <c r="AE70" s="629" t="e">
        <f t="shared" si="20"/>
        <v>#N/A</v>
      </c>
      <c r="AF70" s="629">
        <f t="shared" si="28"/>
        <v>-11198.69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ht="13.5" customHeight="1" x14ac:dyDescent="0.2">
      <c r="A71" s="423">
        <f t="shared" si="11"/>
        <v>66</v>
      </c>
      <c r="B71" s="683" t="s">
        <v>3595</v>
      </c>
      <c r="C71" s="655">
        <v>1520105</v>
      </c>
      <c r="D71" s="658">
        <v>7494</v>
      </c>
      <c r="E71" s="655" t="s">
        <v>712</v>
      </c>
      <c r="F71" s="546">
        <v>2017</v>
      </c>
      <c r="G71" s="659">
        <v>42863</v>
      </c>
      <c r="H71" s="655" t="s">
        <v>774</v>
      </c>
      <c r="I71" s="655" t="s">
        <v>3794</v>
      </c>
      <c r="J71" s="655" t="s">
        <v>724</v>
      </c>
      <c r="K71" s="655" t="s">
        <v>3911</v>
      </c>
      <c r="L71" s="655" t="s">
        <v>4053</v>
      </c>
      <c r="M71" s="660">
        <v>235139.57</v>
      </c>
      <c r="N71" s="660">
        <v>11756.98</v>
      </c>
      <c r="O71" s="660">
        <v>39503.449999999997</v>
      </c>
      <c r="P71" s="660">
        <v>286400</v>
      </c>
      <c r="Q71" s="548"/>
      <c r="R71" s="660">
        <v>205332.7</v>
      </c>
      <c r="S71" s="549">
        <f t="shared" si="29"/>
        <v>81067.299999999988</v>
      </c>
      <c r="T71" s="113" t="s">
        <v>1932</v>
      </c>
      <c r="U71" s="626" t="str">
        <f t="shared" ref="U71:U89" si="30">+B71</f>
        <v>AA11045</v>
      </c>
      <c r="V71" s="627" t="str">
        <f t="shared" ref="V71:V89" si="31">+I71</f>
        <v>1196-TCN17</v>
      </c>
      <c r="W71" s="626">
        <f t="shared" ref="W71:W89" si="32">+C71</f>
        <v>1520105</v>
      </c>
      <c r="X71" s="626" t="str">
        <f t="shared" ref="X71:Y89" si="33">+E71</f>
        <v>HILUX PICK UP CHASSIS CAB</v>
      </c>
      <c r="Y71" s="627">
        <f t="shared" si="33"/>
        <v>2017</v>
      </c>
      <c r="Z71" s="628">
        <f t="shared" ref="Z71:Z89" si="34">+M71</f>
        <v>235139.57</v>
      </c>
      <c r="AA71" s="629"/>
      <c r="AB71" s="665"/>
      <c r="AC71" s="629">
        <f t="shared" si="18"/>
        <v>0.01</v>
      </c>
      <c r="AD71" s="630">
        <f t="shared" si="19"/>
        <v>0.02</v>
      </c>
      <c r="AE71" s="629">
        <f t="shared" si="20"/>
        <v>0</v>
      </c>
      <c r="AF71" s="629">
        <f t="shared" si="28"/>
        <v>11756.98</v>
      </c>
      <c r="AG71" s="555">
        <f t="shared" ref="AG71:AG89" si="35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ht="12.75" customHeight="1" x14ac:dyDescent="0.2">
      <c r="A72" s="423">
        <f t="shared" ref="A72:A135" si="36">+A71+1</f>
        <v>67</v>
      </c>
      <c r="B72" s="683" t="s">
        <v>3596</v>
      </c>
      <c r="C72" s="655">
        <v>1520105</v>
      </c>
      <c r="D72" s="658">
        <v>7494</v>
      </c>
      <c r="E72" s="655" t="s">
        <v>712</v>
      </c>
      <c r="F72" s="546">
        <v>2017</v>
      </c>
      <c r="G72" s="659">
        <v>42867</v>
      </c>
      <c r="H72" s="655" t="s">
        <v>819</v>
      </c>
      <c r="I72" s="655" t="s">
        <v>3795</v>
      </c>
      <c r="J72" s="655" t="s">
        <v>724</v>
      </c>
      <c r="K72" s="655" t="s">
        <v>3912</v>
      </c>
      <c r="L72" s="655" t="s">
        <v>4054</v>
      </c>
      <c r="M72" s="660">
        <v>235139.57</v>
      </c>
      <c r="N72" s="660">
        <v>11756.98</v>
      </c>
      <c r="O72" s="660">
        <v>39503.449999999997</v>
      </c>
      <c r="P72" s="660">
        <v>286400</v>
      </c>
      <c r="Q72" s="548"/>
      <c r="R72" s="660">
        <v>205332.7</v>
      </c>
      <c r="S72" s="549">
        <f t="shared" si="29"/>
        <v>81067.299999999988</v>
      </c>
      <c r="T72" s="113" t="s">
        <v>1932</v>
      </c>
      <c r="U72" s="626" t="str">
        <f t="shared" si="30"/>
        <v>AA11064</v>
      </c>
      <c r="V72" s="627" t="str">
        <f t="shared" si="31"/>
        <v>1221-TCN17</v>
      </c>
      <c r="W72" s="626">
        <f t="shared" si="32"/>
        <v>1520105</v>
      </c>
      <c r="X72" s="626" t="str">
        <f t="shared" si="33"/>
        <v>HILUX PICK UP CHASSIS CAB</v>
      </c>
      <c r="Y72" s="627">
        <f t="shared" si="33"/>
        <v>2017</v>
      </c>
      <c r="Z72" s="628">
        <f t="shared" si="34"/>
        <v>235139.57</v>
      </c>
      <c r="AA72" s="629"/>
      <c r="AB72" s="664"/>
      <c r="AC72" s="629">
        <f t="shared" si="18"/>
        <v>0.01</v>
      </c>
      <c r="AD72" s="630">
        <f t="shared" si="19"/>
        <v>0.02</v>
      </c>
      <c r="AE72" s="629">
        <f t="shared" si="20"/>
        <v>0</v>
      </c>
      <c r="AF72" s="629">
        <f t="shared" si="28"/>
        <v>11756.98</v>
      </c>
      <c r="AG72" s="555">
        <f t="shared" si="35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ht="12.75" customHeight="1" x14ac:dyDescent="0.2">
      <c r="A73" s="423">
        <f t="shared" si="36"/>
        <v>68</v>
      </c>
      <c r="B73" s="683" t="s">
        <v>3600</v>
      </c>
      <c r="C73" s="655">
        <v>1520105</v>
      </c>
      <c r="D73" s="658">
        <v>7494</v>
      </c>
      <c r="E73" s="655" t="s">
        <v>712</v>
      </c>
      <c r="F73" s="546">
        <v>2017</v>
      </c>
      <c r="G73" s="659">
        <v>42885</v>
      </c>
      <c r="H73" s="655" t="s">
        <v>2216</v>
      </c>
      <c r="I73" s="655" t="s">
        <v>3796</v>
      </c>
      <c r="J73" s="655" t="s">
        <v>724</v>
      </c>
      <c r="K73" s="655" t="s">
        <v>3913</v>
      </c>
      <c r="L73" s="655" t="s">
        <v>4055</v>
      </c>
      <c r="M73" s="660">
        <v>235139.57</v>
      </c>
      <c r="N73" s="660">
        <v>11756.98</v>
      </c>
      <c r="O73" s="660">
        <v>39503.449999999997</v>
      </c>
      <c r="P73" s="660">
        <v>286400</v>
      </c>
      <c r="Q73" s="548"/>
      <c r="R73" s="660">
        <v>205332.7</v>
      </c>
      <c r="S73" s="549">
        <f t="shared" si="29"/>
        <v>81067.299999999988</v>
      </c>
      <c r="T73" s="267" t="s">
        <v>1932</v>
      </c>
      <c r="U73" s="626" t="str">
        <f t="shared" si="30"/>
        <v>AA11177</v>
      </c>
      <c r="V73" s="627" t="str">
        <f t="shared" si="31"/>
        <v>1220-TCN17</v>
      </c>
      <c r="W73" s="626">
        <f t="shared" si="32"/>
        <v>1520105</v>
      </c>
      <c r="X73" s="626" t="str">
        <f t="shared" si="33"/>
        <v>HILUX PICK UP CHASSIS CAB</v>
      </c>
      <c r="Y73" s="627">
        <f t="shared" si="33"/>
        <v>2017</v>
      </c>
      <c r="Z73" s="628">
        <f t="shared" si="34"/>
        <v>235139.57</v>
      </c>
      <c r="AA73" s="629"/>
      <c r="AB73" s="664"/>
      <c r="AC73" s="629">
        <f t="shared" si="18"/>
        <v>0.01</v>
      </c>
      <c r="AD73" s="630">
        <f t="shared" si="19"/>
        <v>0.02</v>
      </c>
      <c r="AE73" s="629">
        <f t="shared" si="20"/>
        <v>0</v>
      </c>
      <c r="AF73" s="629">
        <f t="shared" si="28"/>
        <v>11756.98</v>
      </c>
      <c r="AG73" s="555">
        <f t="shared" si="35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ht="12.75" customHeight="1" x14ac:dyDescent="0.2">
      <c r="A74" s="423">
        <f t="shared" si="36"/>
        <v>69</v>
      </c>
      <c r="B74" s="683" t="s">
        <v>3593</v>
      </c>
      <c r="C74" s="655">
        <v>1520105</v>
      </c>
      <c r="D74" s="658">
        <v>7494</v>
      </c>
      <c r="E74" s="655" t="s">
        <v>712</v>
      </c>
      <c r="F74" s="546">
        <v>2017</v>
      </c>
      <c r="G74" s="659">
        <v>42859</v>
      </c>
      <c r="H74" s="655" t="s">
        <v>747</v>
      </c>
      <c r="I74" s="655" t="s">
        <v>3392</v>
      </c>
      <c r="J74" s="655" t="s">
        <v>724</v>
      </c>
      <c r="K74" s="655" t="s">
        <v>3910</v>
      </c>
      <c r="L74" s="655" t="s">
        <v>3410</v>
      </c>
      <c r="M74" s="660">
        <v>235139.57</v>
      </c>
      <c r="N74" s="660">
        <v>11756.98</v>
      </c>
      <c r="O74" s="660">
        <v>39503.449999999997</v>
      </c>
      <c r="P74" s="660">
        <v>286400</v>
      </c>
      <c r="Q74" s="548"/>
      <c r="R74" s="660">
        <v>205183</v>
      </c>
      <c r="S74" s="549">
        <f t="shared" si="29"/>
        <v>81217</v>
      </c>
      <c r="T74" s="267" t="s">
        <v>1932</v>
      </c>
      <c r="U74" s="626" t="str">
        <f t="shared" si="30"/>
        <v>AA11026</v>
      </c>
      <c r="V74" s="627" t="str">
        <f t="shared" si="31"/>
        <v>0927-TCN17</v>
      </c>
      <c r="W74" s="626">
        <f t="shared" si="32"/>
        <v>1520105</v>
      </c>
      <c r="X74" s="626" t="str">
        <f t="shared" si="33"/>
        <v>HILUX PICK UP CHASSIS CAB</v>
      </c>
      <c r="Y74" s="627">
        <f t="shared" si="33"/>
        <v>2017</v>
      </c>
      <c r="Z74" s="628">
        <f t="shared" si="34"/>
        <v>235139.57</v>
      </c>
      <c r="AA74" s="629">
        <f>+SUM(Z70:Z74)</f>
        <v>716584.56</v>
      </c>
      <c r="AB74" s="677">
        <v>3</v>
      </c>
      <c r="AC74" s="629">
        <f t="shared" si="18"/>
        <v>0.01</v>
      </c>
      <c r="AD74" s="630">
        <f t="shared" si="19"/>
        <v>0.02</v>
      </c>
      <c r="AE74" s="629">
        <f t="shared" si="20"/>
        <v>0</v>
      </c>
      <c r="AF74" s="629">
        <f t="shared" si="28"/>
        <v>11756.98</v>
      </c>
      <c r="AG74" s="555">
        <f t="shared" si="35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ht="12.75" customHeight="1" x14ac:dyDescent="0.2">
      <c r="A75" s="423">
        <f t="shared" si="36"/>
        <v>70</v>
      </c>
      <c r="B75" s="683" t="s">
        <v>3547</v>
      </c>
      <c r="C75" s="655">
        <v>1520204</v>
      </c>
      <c r="D75" s="658">
        <v>5603</v>
      </c>
      <c r="E75" s="655" t="s">
        <v>713</v>
      </c>
      <c r="F75" s="546">
        <v>2017</v>
      </c>
      <c r="G75" s="659">
        <v>42878</v>
      </c>
      <c r="H75" s="655" t="s">
        <v>747</v>
      </c>
      <c r="I75" s="655" t="s">
        <v>3775</v>
      </c>
      <c r="J75" s="655" t="s">
        <v>724</v>
      </c>
      <c r="K75" s="655" t="s">
        <v>3895</v>
      </c>
      <c r="L75" s="655" t="s">
        <v>4034</v>
      </c>
      <c r="M75" s="660">
        <v>304351.40000000002</v>
      </c>
      <c r="N75" s="660">
        <v>15217.57</v>
      </c>
      <c r="O75" s="660">
        <v>51131.03</v>
      </c>
      <c r="P75" s="660">
        <v>370700</v>
      </c>
      <c r="Q75" s="548"/>
      <c r="R75" s="660">
        <v>277250.59999999998</v>
      </c>
      <c r="S75" s="549">
        <f t="shared" si="29"/>
        <v>93449.400000000023</v>
      </c>
      <c r="T75" s="267" t="s">
        <v>1932</v>
      </c>
      <c r="U75" s="626" t="str">
        <f t="shared" si="30"/>
        <v>AA11128</v>
      </c>
      <c r="V75" s="627" t="str">
        <f t="shared" si="31"/>
        <v>0917-TCN17</v>
      </c>
      <c r="W75" s="626">
        <f t="shared" si="32"/>
        <v>1520204</v>
      </c>
      <c r="X75" s="626" t="str">
        <f t="shared" si="33"/>
        <v>HIACE PANEL SUP LARGA C/VENT</v>
      </c>
      <c r="Y75" s="627">
        <f t="shared" si="33"/>
        <v>2017</v>
      </c>
      <c r="Z75" s="628">
        <f t="shared" si="34"/>
        <v>304351.40000000002</v>
      </c>
      <c r="AA75" s="629"/>
      <c r="AB75" s="665"/>
      <c r="AC75" s="629">
        <f t="shared" si="18"/>
        <v>295708.34000000003</v>
      </c>
      <c r="AD75" s="630">
        <f t="shared" si="19"/>
        <v>0.1</v>
      </c>
      <c r="AE75" s="629">
        <f t="shared" si="20"/>
        <v>7392.74</v>
      </c>
      <c r="AF75" s="629">
        <f t="shared" si="28"/>
        <v>15217.57</v>
      </c>
      <c r="AG75" s="555">
        <f t="shared" si="35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ht="12.75" customHeight="1" x14ac:dyDescent="0.2">
      <c r="A76" s="423">
        <f t="shared" si="36"/>
        <v>71</v>
      </c>
      <c r="B76" s="683" t="s">
        <v>3551</v>
      </c>
      <c r="C76" s="655">
        <v>1520204</v>
      </c>
      <c r="D76" s="658">
        <v>5603</v>
      </c>
      <c r="E76" s="655" t="s">
        <v>713</v>
      </c>
      <c r="F76" s="546">
        <v>2017</v>
      </c>
      <c r="G76" s="659">
        <v>42882</v>
      </c>
      <c r="H76" s="655" t="s">
        <v>1038</v>
      </c>
      <c r="I76" s="655" t="s">
        <v>3779</v>
      </c>
      <c r="J76" s="655" t="s">
        <v>724</v>
      </c>
      <c r="K76" s="655" t="s">
        <v>3899</v>
      </c>
      <c r="L76" s="655" t="s">
        <v>4038</v>
      </c>
      <c r="M76" s="660">
        <v>304351.40000000002</v>
      </c>
      <c r="N76" s="660">
        <v>15217.57</v>
      </c>
      <c r="O76" s="660">
        <v>51131.03</v>
      </c>
      <c r="P76" s="660">
        <v>370700</v>
      </c>
      <c r="Q76" s="548"/>
      <c r="R76" s="660">
        <v>277250.59999999998</v>
      </c>
      <c r="S76" s="549">
        <f t="shared" si="29"/>
        <v>93449.400000000023</v>
      </c>
      <c r="T76" s="267" t="s">
        <v>1932</v>
      </c>
      <c r="U76" s="626" t="str">
        <f t="shared" si="30"/>
        <v>AA11151</v>
      </c>
      <c r="V76" s="627" t="str">
        <f t="shared" si="31"/>
        <v>0920-TCN17</v>
      </c>
      <c r="W76" s="626">
        <f t="shared" si="32"/>
        <v>1520204</v>
      </c>
      <c r="X76" s="626" t="str">
        <f t="shared" si="33"/>
        <v>HIACE PANEL SUP LARGA C/VENT</v>
      </c>
      <c r="Y76" s="627">
        <f t="shared" si="33"/>
        <v>2017</v>
      </c>
      <c r="Z76" s="628">
        <f t="shared" si="34"/>
        <v>304351.40000000002</v>
      </c>
      <c r="AA76" s="629"/>
      <c r="AB76" s="664"/>
      <c r="AC76" s="629">
        <f t="shared" si="18"/>
        <v>295708.34000000003</v>
      </c>
      <c r="AD76" s="630">
        <f t="shared" si="19"/>
        <v>0.1</v>
      </c>
      <c r="AE76" s="629">
        <f t="shared" si="20"/>
        <v>7392.74</v>
      </c>
      <c r="AF76" s="629">
        <f t="shared" si="28"/>
        <v>15217.57</v>
      </c>
      <c r="AG76" s="555">
        <f t="shared" si="35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ht="12.75" customHeight="1" x14ac:dyDescent="0.2">
      <c r="A77" s="423">
        <f t="shared" si="36"/>
        <v>72</v>
      </c>
      <c r="B77" s="683" t="s">
        <v>3549</v>
      </c>
      <c r="C77" s="655">
        <v>1520204</v>
      </c>
      <c r="D77" s="658">
        <v>5603</v>
      </c>
      <c r="E77" s="655" t="s">
        <v>713</v>
      </c>
      <c r="F77" s="546">
        <v>2017</v>
      </c>
      <c r="G77" s="659">
        <v>42882</v>
      </c>
      <c r="H77" s="655" t="s">
        <v>1038</v>
      </c>
      <c r="I77" s="655" t="s">
        <v>3777</v>
      </c>
      <c r="J77" s="655" t="s">
        <v>724</v>
      </c>
      <c r="K77" s="655" t="s">
        <v>3897</v>
      </c>
      <c r="L77" s="655" t="s">
        <v>4036</v>
      </c>
      <c r="M77" s="660">
        <v>304351.40000000002</v>
      </c>
      <c r="N77" s="660">
        <v>15217.57</v>
      </c>
      <c r="O77" s="660">
        <v>51131.03</v>
      </c>
      <c r="P77" s="660">
        <v>370700</v>
      </c>
      <c r="Q77" s="548"/>
      <c r="R77" s="660">
        <v>277250.59999999998</v>
      </c>
      <c r="S77" s="549">
        <f t="shared" si="29"/>
        <v>93449.400000000023</v>
      </c>
      <c r="T77" s="267" t="s">
        <v>1932</v>
      </c>
      <c r="U77" s="626" t="str">
        <f t="shared" si="30"/>
        <v>AA11152</v>
      </c>
      <c r="V77" s="627" t="str">
        <f t="shared" si="31"/>
        <v>0864-TCN17</v>
      </c>
      <c r="W77" s="626">
        <f t="shared" si="32"/>
        <v>1520204</v>
      </c>
      <c r="X77" s="626" t="str">
        <f t="shared" si="33"/>
        <v>HIACE PANEL SUP LARGA C/VENT</v>
      </c>
      <c r="Y77" s="627">
        <f t="shared" si="33"/>
        <v>2017</v>
      </c>
      <c r="Z77" s="628">
        <f t="shared" si="34"/>
        <v>304351.40000000002</v>
      </c>
      <c r="AA77" s="629"/>
      <c r="AB77" s="664"/>
      <c r="AC77" s="629">
        <f t="shared" si="18"/>
        <v>295708.34000000003</v>
      </c>
      <c r="AD77" s="630">
        <f t="shared" si="19"/>
        <v>0.1</v>
      </c>
      <c r="AE77" s="629">
        <f t="shared" si="20"/>
        <v>7392.74</v>
      </c>
      <c r="AF77" s="629">
        <f t="shared" si="28"/>
        <v>15217.57</v>
      </c>
      <c r="AG77" s="555">
        <f t="shared" si="35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ht="12.75" customHeight="1" x14ac:dyDescent="0.2">
      <c r="A78" s="423">
        <f t="shared" si="36"/>
        <v>73</v>
      </c>
      <c r="B78" s="683" t="s">
        <v>3548</v>
      </c>
      <c r="C78" s="655">
        <v>1520204</v>
      </c>
      <c r="D78" s="658">
        <v>5603</v>
      </c>
      <c r="E78" s="655" t="s">
        <v>713</v>
      </c>
      <c r="F78" s="546">
        <v>2017</v>
      </c>
      <c r="G78" s="659">
        <v>42878</v>
      </c>
      <c r="H78" s="655" t="s">
        <v>747</v>
      </c>
      <c r="I78" s="655" t="s">
        <v>3776</v>
      </c>
      <c r="J78" s="655" t="s">
        <v>724</v>
      </c>
      <c r="K78" s="655" t="s">
        <v>3896</v>
      </c>
      <c r="L78" s="655" t="s">
        <v>4035</v>
      </c>
      <c r="M78" s="660">
        <v>304351.40000000002</v>
      </c>
      <c r="N78" s="660">
        <v>15217.57</v>
      </c>
      <c r="O78" s="660">
        <v>51131.03</v>
      </c>
      <c r="P78" s="660">
        <v>370700</v>
      </c>
      <c r="Q78" s="548"/>
      <c r="R78" s="660">
        <v>277250.59999999998</v>
      </c>
      <c r="S78" s="549">
        <f t="shared" si="29"/>
        <v>93449.400000000023</v>
      </c>
      <c r="T78" s="267" t="s">
        <v>1932</v>
      </c>
      <c r="U78" s="626" t="str">
        <f t="shared" si="30"/>
        <v>AA11129</v>
      </c>
      <c r="V78" s="627" t="str">
        <f t="shared" si="31"/>
        <v>0918-TCN17</v>
      </c>
      <c r="W78" s="626">
        <f t="shared" si="32"/>
        <v>1520204</v>
      </c>
      <c r="X78" s="626" t="str">
        <f t="shared" si="33"/>
        <v>HIACE PANEL SUP LARGA C/VENT</v>
      </c>
      <c r="Y78" s="627">
        <f t="shared" si="33"/>
        <v>2017</v>
      </c>
      <c r="Z78" s="628">
        <f t="shared" si="34"/>
        <v>304351.40000000002</v>
      </c>
      <c r="AA78" s="629"/>
      <c r="AB78" s="665"/>
      <c r="AC78" s="629">
        <f t="shared" si="18"/>
        <v>295708.34000000003</v>
      </c>
      <c r="AD78" s="630">
        <f t="shared" si="19"/>
        <v>0.1</v>
      </c>
      <c r="AE78" s="629">
        <f t="shared" si="20"/>
        <v>7392.74</v>
      </c>
      <c r="AF78" s="629">
        <f t="shared" si="28"/>
        <v>15217.57</v>
      </c>
      <c r="AG78" s="555">
        <f t="shared" si="35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ht="12.75" customHeight="1" x14ac:dyDescent="0.2">
      <c r="A79" s="423">
        <f t="shared" si="36"/>
        <v>74</v>
      </c>
      <c r="B79" s="683" t="s">
        <v>3550</v>
      </c>
      <c r="C79" s="655">
        <v>1520204</v>
      </c>
      <c r="D79" s="658">
        <v>5603</v>
      </c>
      <c r="E79" s="655" t="s">
        <v>713</v>
      </c>
      <c r="F79" s="546">
        <v>2017</v>
      </c>
      <c r="G79" s="659">
        <v>42882</v>
      </c>
      <c r="H79" s="655" t="s">
        <v>1038</v>
      </c>
      <c r="I79" s="655" t="s">
        <v>3778</v>
      </c>
      <c r="J79" s="655" t="s">
        <v>724</v>
      </c>
      <c r="K79" s="655" t="s">
        <v>3898</v>
      </c>
      <c r="L79" s="655" t="s">
        <v>4037</v>
      </c>
      <c r="M79" s="660">
        <v>304351.40000000002</v>
      </c>
      <c r="N79" s="660">
        <v>15217.57</v>
      </c>
      <c r="O79" s="660">
        <v>51131.03</v>
      </c>
      <c r="P79" s="660">
        <v>370700</v>
      </c>
      <c r="Q79" s="548"/>
      <c r="R79" s="660">
        <v>277250.59999999998</v>
      </c>
      <c r="S79" s="549">
        <f t="shared" si="29"/>
        <v>93449.400000000023</v>
      </c>
      <c r="T79" s="267" t="s">
        <v>1932</v>
      </c>
      <c r="U79" s="626" t="str">
        <f t="shared" si="30"/>
        <v>AA11153</v>
      </c>
      <c r="V79" s="627" t="str">
        <f t="shared" si="31"/>
        <v>0919-TCN17</v>
      </c>
      <c r="W79" s="626">
        <f t="shared" si="32"/>
        <v>1520204</v>
      </c>
      <c r="X79" s="626" t="str">
        <f t="shared" si="33"/>
        <v>HIACE PANEL SUP LARGA C/VENT</v>
      </c>
      <c r="Y79" s="627">
        <f t="shared" si="33"/>
        <v>2017</v>
      </c>
      <c r="Z79" s="628">
        <f t="shared" si="34"/>
        <v>304351.40000000002</v>
      </c>
      <c r="AA79" s="629">
        <f>+SUM(Z75:Z79)</f>
        <v>1521757</v>
      </c>
      <c r="AB79" s="677">
        <v>5</v>
      </c>
      <c r="AC79" s="629">
        <f t="shared" si="18"/>
        <v>295708.34000000003</v>
      </c>
      <c r="AD79" s="630">
        <f t="shared" si="19"/>
        <v>0.1</v>
      </c>
      <c r="AE79" s="629">
        <f t="shared" si="20"/>
        <v>7392.74</v>
      </c>
      <c r="AF79" s="629">
        <f t="shared" si="28"/>
        <v>15217.57</v>
      </c>
      <c r="AG79" s="555">
        <f t="shared" si="35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ht="12.75" customHeight="1" x14ac:dyDescent="0.2">
      <c r="A80" s="423">
        <f t="shared" si="36"/>
        <v>75</v>
      </c>
      <c r="B80" s="683" t="s">
        <v>3579</v>
      </c>
      <c r="C80" s="655">
        <v>1520304</v>
      </c>
      <c r="D80" s="658">
        <v>7440</v>
      </c>
      <c r="E80" s="655" t="s">
        <v>1520</v>
      </c>
      <c r="F80" s="546">
        <v>2017</v>
      </c>
      <c r="G80" s="659">
        <v>42878</v>
      </c>
      <c r="H80" s="655" t="s">
        <v>792</v>
      </c>
      <c r="I80" s="655" t="s">
        <v>3788</v>
      </c>
      <c r="J80" s="655" t="s">
        <v>724</v>
      </c>
      <c r="K80" s="655" t="s">
        <v>3906</v>
      </c>
      <c r="L80" s="655" t="s">
        <v>4047</v>
      </c>
      <c r="M80" s="660">
        <v>579556.65</v>
      </c>
      <c r="N80" s="660">
        <v>28977.83</v>
      </c>
      <c r="O80" s="660">
        <v>97365.52</v>
      </c>
      <c r="P80" s="660">
        <v>705900</v>
      </c>
      <c r="Q80" s="548"/>
      <c r="R80" s="660">
        <v>512522.75</v>
      </c>
      <c r="S80" s="549">
        <f t="shared" si="29"/>
        <v>193377.25</v>
      </c>
      <c r="T80" s="267" t="s">
        <v>1932</v>
      </c>
      <c r="U80" s="626" t="str">
        <f t="shared" si="30"/>
        <v>AA11125</v>
      </c>
      <c r="V80" s="627" t="str">
        <f t="shared" si="31"/>
        <v>1289-TCN17</v>
      </c>
      <c r="W80" s="626">
        <f t="shared" si="32"/>
        <v>1520304</v>
      </c>
      <c r="X80" s="626" t="str">
        <f t="shared" si="33"/>
        <v>TACOMA EDICION ESPECIAL</v>
      </c>
      <c r="Y80" s="627">
        <f t="shared" si="33"/>
        <v>2017</v>
      </c>
      <c r="Z80" s="628">
        <f t="shared" si="34"/>
        <v>579556.65</v>
      </c>
      <c r="AA80" s="629">
        <f>+Z80</f>
        <v>579556.65</v>
      </c>
      <c r="AB80" s="677">
        <v>1</v>
      </c>
      <c r="AC80" s="629">
        <f t="shared" si="18"/>
        <v>443562.4</v>
      </c>
      <c r="AD80" s="630">
        <f t="shared" si="19"/>
        <v>0.17</v>
      </c>
      <c r="AE80" s="629">
        <f t="shared" si="20"/>
        <v>27106.55</v>
      </c>
      <c r="AF80" s="629">
        <f t="shared" ref="AF80" si="37">+N80</f>
        <v>28977.83</v>
      </c>
      <c r="AG80" s="555">
        <f t="shared" si="35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ht="12.75" customHeight="1" x14ac:dyDescent="0.2">
      <c r="A81" s="423">
        <f t="shared" si="36"/>
        <v>76</v>
      </c>
      <c r="B81" s="683" t="s">
        <v>3622</v>
      </c>
      <c r="C81" s="655">
        <v>1520603</v>
      </c>
      <c r="D81" s="658">
        <v>7497</v>
      </c>
      <c r="E81" s="655" t="s">
        <v>717</v>
      </c>
      <c r="F81" s="546">
        <v>2017</v>
      </c>
      <c r="G81" s="659">
        <v>42885</v>
      </c>
      <c r="H81" s="655" t="s">
        <v>739</v>
      </c>
      <c r="I81" s="655" t="s">
        <v>3090</v>
      </c>
      <c r="J81" s="655" t="s">
        <v>724</v>
      </c>
      <c r="K81" s="655" t="s">
        <v>3918</v>
      </c>
      <c r="L81" s="655" t="s">
        <v>3356</v>
      </c>
      <c r="M81" s="660">
        <v>275369.46000000002</v>
      </c>
      <c r="N81" s="660">
        <v>13768.47</v>
      </c>
      <c r="O81" s="660">
        <v>46262.07</v>
      </c>
      <c r="P81" s="660">
        <v>335400</v>
      </c>
      <c r="Q81" s="548"/>
      <c r="R81" s="660">
        <v>247640.05</v>
      </c>
      <c r="S81" s="549">
        <f t="shared" si="29"/>
        <v>87759.950000000012</v>
      </c>
      <c r="T81" s="113" t="s">
        <v>1932</v>
      </c>
      <c r="U81" s="626" t="str">
        <f t="shared" si="30"/>
        <v>AA11180</v>
      </c>
      <c r="V81" s="627" t="str">
        <f t="shared" si="31"/>
        <v>0679-TCN17</v>
      </c>
      <c r="W81" s="626">
        <f t="shared" si="32"/>
        <v>1520603</v>
      </c>
      <c r="X81" s="626" t="str">
        <f t="shared" si="33"/>
        <v>HILUX BASE CON VIDRIOS ELECTRICOS</v>
      </c>
      <c r="Y81" s="627">
        <f t="shared" si="33"/>
        <v>2017</v>
      </c>
      <c r="Z81" s="628">
        <f t="shared" si="34"/>
        <v>275369.46000000002</v>
      </c>
      <c r="AA81" s="629"/>
      <c r="AB81" s="664"/>
      <c r="AC81" s="629">
        <f t="shared" si="18"/>
        <v>246423.66</v>
      </c>
      <c r="AD81" s="630">
        <f t="shared" si="19"/>
        <v>0.05</v>
      </c>
      <c r="AE81" s="629">
        <f t="shared" si="20"/>
        <v>4928.3900000000003</v>
      </c>
      <c r="AF81" s="629">
        <f t="shared" ref="AF81:AF89" si="38">+N81</f>
        <v>13768.47</v>
      </c>
      <c r="AG81" s="555">
        <f t="shared" si="35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ht="12.75" customHeight="1" x14ac:dyDescent="0.2">
      <c r="A82" s="423">
        <f t="shared" si="36"/>
        <v>77</v>
      </c>
      <c r="B82" s="683" t="s">
        <v>3628</v>
      </c>
      <c r="C82" s="655">
        <v>1520603</v>
      </c>
      <c r="D82" s="658">
        <v>7497</v>
      </c>
      <c r="E82" s="655" t="s">
        <v>717</v>
      </c>
      <c r="F82" s="546">
        <v>2017</v>
      </c>
      <c r="G82" s="659">
        <v>42886</v>
      </c>
      <c r="H82" s="655" t="s">
        <v>727</v>
      </c>
      <c r="I82" s="655" t="s">
        <v>3809</v>
      </c>
      <c r="J82" s="655" t="s">
        <v>724</v>
      </c>
      <c r="K82" s="655" t="s">
        <v>3919</v>
      </c>
      <c r="L82" s="655" t="s">
        <v>4068</v>
      </c>
      <c r="M82" s="660">
        <v>275369.46000000002</v>
      </c>
      <c r="N82" s="660">
        <v>13768.47</v>
      </c>
      <c r="O82" s="660">
        <v>46262.07</v>
      </c>
      <c r="P82" s="660">
        <v>335400</v>
      </c>
      <c r="Q82" s="548"/>
      <c r="R82" s="660">
        <v>247285.57</v>
      </c>
      <c r="S82" s="549">
        <f t="shared" si="29"/>
        <v>88114.43</v>
      </c>
      <c r="T82" s="267" t="s">
        <v>1932</v>
      </c>
      <c r="U82" s="626" t="str">
        <f t="shared" si="30"/>
        <v>AA11199</v>
      </c>
      <c r="V82" s="627" t="str">
        <f t="shared" si="31"/>
        <v>0852-TCN17</v>
      </c>
      <c r="W82" s="626">
        <f t="shared" si="32"/>
        <v>1520603</v>
      </c>
      <c r="X82" s="626" t="str">
        <f t="shared" si="33"/>
        <v>HILUX BASE CON VIDRIOS ELECTRICOS</v>
      </c>
      <c r="Y82" s="627">
        <f t="shared" si="33"/>
        <v>2017</v>
      </c>
      <c r="Z82" s="628">
        <f t="shared" si="34"/>
        <v>275369.46000000002</v>
      </c>
      <c r="AA82" s="629"/>
      <c r="AB82" s="664"/>
      <c r="AC82" s="629">
        <f t="shared" si="18"/>
        <v>246423.66</v>
      </c>
      <c r="AD82" s="630">
        <f t="shared" si="19"/>
        <v>0.05</v>
      </c>
      <c r="AE82" s="629">
        <f t="shared" si="20"/>
        <v>4928.3900000000003</v>
      </c>
      <c r="AF82" s="629">
        <f t="shared" si="38"/>
        <v>13768.47</v>
      </c>
      <c r="AG82" s="555">
        <f t="shared" si="35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ht="12.75" customHeight="1" x14ac:dyDescent="0.2">
      <c r="A83" s="423">
        <f t="shared" si="36"/>
        <v>78</v>
      </c>
      <c r="B83" s="683" t="s">
        <v>3685</v>
      </c>
      <c r="C83" s="655">
        <v>1520603</v>
      </c>
      <c r="D83" s="658" t="s">
        <v>686</v>
      </c>
      <c r="E83" s="655" t="s">
        <v>717</v>
      </c>
      <c r="F83" s="546">
        <v>2017</v>
      </c>
      <c r="G83" s="659">
        <v>42871</v>
      </c>
      <c r="H83" s="655" t="s">
        <v>1207</v>
      </c>
      <c r="I83" s="655" t="s">
        <v>3838</v>
      </c>
      <c r="J83" s="655" t="s">
        <v>724</v>
      </c>
      <c r="K83" s="655" t="s">
        <v>3951</v>
      </c>
      <c r="L83" s="655" t="s">
        <v>4097</v>
      </c>
      <c r="M83" s="660">
        <v>266830.87</v>
      </c>
      <c r="N83" s="660">
        <v>13341.54</v>
      </c>
      <c r="O83" s="660">
        <v>44827.59</v>
      </c>
      <c r="P83" s="660">
        <v>325000</v>
      </c>
      <c r="Q83" s="548"/>
      <c r="R83" s="660">
        <v>241699.82</v>
      </c>
      <c r="S83" s="549">
        <f t="shared" si="29"/>
        <v>83300.179999999993</v>
      </c>
      <c r="T83" s="113" t="s">
        <v>1932</v>
      </c>
      <c r="U83" s="626" t="str">
        <f t="shared" si="30"/>
        <v>AA11091</v>
      </c>
      <c r="V83" s="627" t="str">
        <f t="shared" si="31"/>
        <v>0171-TCN17</v>
      </c>
      <c r="W83" s="626">
        <f t="shared" si="32"/>
        <v>1520603</v>
      </c>
      <c r="X83" s="626" t="str">
        <f t="shared" si="33"/>
        <v>HILUX BASE CON VIDRIOS ELECTRICOS</v>
      </c>
      <c r="Y83" s="627">
        <f t="shared" si="33"/>
        <v>2017</v>
      </c>
      <c r="Z83" s="628">
        <f t="shared" si="34"/>
        <v>266830.87</v>
      </c>
      <c r="AA83" s="629"/>
      <c r="AB83" s="664"/>
      <c r="AC83" s="629">
        <f t="shared" si="18"/>
        <v>246423.66</v>
      </c>
      <c r="AD83" s="630">
        <f t="shared" si="19"/>
        <v>0.05</v>
      </c>
      <c r="AE83" s="629">
        <f t="shared" si="20"/>
        <v>4928.3900000000003</v>
      </c>
      <c r="AF83" s="629">
        <f t="shared" si="38"/>
        <v>13341.54</v>
      </c>
      <c r="AG83" s="555">
        <f t="shared" si="35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ht="12.75" customHeight="1" x14ac:dyDescent="0.2">
      <c r="A84" s="423">
        <f t="shared" si="36"/>
        <v>79</v>
      </c>
      <c r="B84" s="683" t="s">
        <v>3616</v>
      </c>
      <c r="C84" s="655">
        <v>1520603</v>
      </c>
      <c r="D84" s="658">
        <v>7497</v>
      </c>
      <c r="E84" s="655" t="s">
        <v>717</v>
      </c>
      <c r="F84" s="546">
        <v>2017</v>
      </c>
      <c r="G84" s="659">
        <v>42873</v>
      </c>
      <c r="H84" s="655" t="s">
        <v>722</v>
      </c>
      <c r="I84" s="655" t="s">
        <v>3089</v>
      </c>
      <c r="J84" s="655" t="s">
        <v>724</v>
      </c>
      <c r="K84" s="655" t="s">
        <v>3917</v>
      </c>
      <c r="L84" s="655" t="s">
        <v>3355</v>
      </c>
      <c r="M84" s="660">
        <v>275369.46000000002</v>
      </c>
      <c r="N84" s="660">
        <v>13768.47</v>
      </c>
      <c r="O84" s="660">
        <v>46262.07</v>
      </c>
      <c r="P84" s="660">
        <v>335400</v>
      </c>
      <c r="Q84" s="548"/>
      <c r="R84" s="660">
        <v>247329.71</v>
      </c>
      <c r="S84" s="549">
        <f t="shared" si="29"/>
        <v>88070.290000000008</v>
      </c>
      <c r="T84" s="113" t="s">
        <v>1932</v>
      </c>
      <c r="U84" s="626" t="str">
        <f t="shared" si="30"/>
        <v>AA11106</v>
      </c>
      <c r="V84" s="627" t="str">
        <f t="shared" si="31"/>
        <v>0652-TCN17</v>
      </c>
      <c r="W84" s="626">
        <f t="shared" si="32"/>
        <v>1520603</v>
      </c>
      <c r="X84" s="626" t="str">
        <f t="shared" si="33"/>
        <v>HILUX BASE CON VIDRIOS ELECTRICOS</v>
      </c>
      <c r="Y84" s="627">
        <f t="shared" si="33"/>
        <v>2017</v>
      </c>
      <c r="Z84" s="628">
        <f t="shared" si="34"/>
        <v>275369.46000000002</v>
      </c>
      <c r="AA84" s="629"/>
      <c r="AB84" s="664"/>
      <c r="AC84" s="629">
        <f t="shared" si="18"/>
        <v>246423.66</v>
      </c>
      <c r="AD84" s="630">
        <f t="shared" si="19"/>
        <v>0.05</v>
      </c>
      <c r="AE84" s="629">
        <f t="shared" si="20"/>
        <v>4928.3900000000003</v>
      </c>
      <c r="AF84" s="629">
        <f t="shared" si="38"/>
        <v>13768.47</v>
      </c>
      <c r="AG84" s="555">
        <f t="shared" si="35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ht="12.75" customHeight="1" x14ac:dyDescent="0.2">
      <c r="A85" s="423">
        <f t="shared" si="36"/>
        <v>80</v>
      </c>
      <c r="B85" s="683" t="s">
        <v>3629</v>
      </c>
      <c r="C85" s="655">
        <v>1520603</v>
      </c>
      <c r="D85" s="658">
        <v>7497</v>
      </c>
      <c r="E85" s="655" t="s">
        <v>717</v>
      </c>
      <c r="F85" s="546">
        <v>2017</v>
      </c>
      <c r="G85" s="659">
        <v>42886</v>
      </c>
      <c r="H85" s="655" t="s">
        <v>1207</v>
      </c>
      <c r="I85" s="655" t="s">
        <v>3810</v>
      </c>
      <c r="J85" s="655" t="s">
        <v>724</v>
      </c>
      <c r="K85" s="655" t="s">
        <v>3920</v>
      </c>
      <c r="L85" s="655" t="s">
        <v>4069</v>
      </c>
      <c r="M85" s="660">
        <v>275369.46000000002</v>
      </c>
      <c r="N85" s="660">
        <v>13768.47</v>
      </c>
      <c r="O85" s="660">
        <v>46262.07</v>
      </c>
      <c r="P85" s="660">
        <v>335400</v>
      </c>
      <c r="Q85" s="548"/>
      <c r="R85" s="660">
        <v>247285.57</v>
      </c>
      <c r="S85" s="549">
        <f t="shared" si="29"/>
        <v>88114.43</v>
      </c>
      <c r="T85" s="113" t="s">
        <v>1932</v>
      </c>
      <c r="U85" s="626" t="str">
        <f t="shared" si="30"/>
        <v>AA11197</v>
      </c>
      <c r="V85" s="627" t="str">
        <f t="shared" si="31"/>
        <v>0853-TCN17</v>
      </c>
      <c r="W85" s="626">
        <f t="shared" si="32"/>
        <v>1520603</v>
      </c>
      <c r="X85" s="626" t="str">
        <f t="shared" si="33"/>
        <v>HILUX BASE CON VIDRIOS ELECTRICOS</v>
      </c>
      <c r="Y85" s="627">
        <f t="shared" si="33"/>
        <v>2017</v>
      </c>
      <c r="Z85" s="628">
        <f t="shared" si="34"/>
        <v>275369.46000000002</v>
      </c>
      <c r="AA85" s="629">
        <f>+SUM(Z81:Z85)</f>
        <v>1368308.71</v>
      </c>
      <c r="AB85" s="677">
        <v>5</v>
      </c>
      <c r="AC85" s="629">
        <f t="shared" si="18"/>
        <v>246423.66</v>
      </c>
      <c r="AD85" s="630">
        <f t="shared" si="19"/>
        <v>0.05</v>
      </c>
      <c r="AE85" s="629">
        <f t="shared" si="20"/>
        <v>4928.3900000000003</v>
      </c>
      <c r="AF85" s="629">
        <f t="shared" si="38"/>
        <v>13768.47</v>
      </c>
      <c r="AG85" s="555">
        <f t="shared" si="35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ht="12.75" customHeight="1" x14ac:dyDescent="0.2">
      <c r="A86" s="423">
        <f t="shared" si="36"/>
        <v>81</v>
      </c>
      <c r="B86" s="683" t="s">
        <v>3602</v>
      </c>
      <c r="C86" s="655">
        <v>1520604</v>
      </c>
      <c r="D86" s="658">
        <v>7495</v>
      </c>
      <c r="E86" s="655" t="s">
        <v>718</v>
      </c>
      <c r="F86" s="546">
        <v>2017</v>
      </c>
      <c r="G86" s="659">
        <v>42859</v>
      </c>
      <c r="H86" s="655" t="s">
        <v>2216</v>
      </c>
      <c r="I86" s="655" t="s">
        <v>3079</v>
      </c>
      <c r="J86" s="655" t="s">
        <v>724</v>
      </c>
      <c r="K86" s="655" t="s">
        <v>3192</v>
      </c>
      <c r="L86" s="655" t="s">
        <v>3345</v>
      </c>
      <c r="M86" s="660">
        <v>-282019.7</v>
      </c>
      <c r="N86" s="660">
        <v>-14100.99</v>
      </c>
      <c r="O86" s="660">
        <v>-47379.31</v>
      </c>
      <c r="P86" s="660">
        <v>-343500</v>
      </c>
      <c r="Q86" s="548"/>
      <c r="R86" s="660">
        <v>-255426.86</v>
      </c>
      <c r="S86" s="549">
        <f t="shared" si="29"/>
        <v>-88073.140000000014</v>
      </c>
      <c r="T86" s="113" t="s">
        <v>1266</v>
      </c>
      <c r="U86" s="626" t="str">
        <f t="shared" si="30"/>
        <v>ZA04055</v>
      </c>
      <c r="V86" s="627" t="str">
        <f t="shared" si="31"/>
        <v>1151-TCN17</v>
      </c>
      <c r="W86" s="626">
        <f t="shared" si="32"/>
        <v>1520604</v>
      </c>
      <c r="X86" s="626" t="str">
        <f t="shared" si="33"/>
        <v>HILUX PICK UP D CAB SR A/C</v>
      </c>
      <c r="Y86" s="627">
        <f t="shared" si="33"/>
        <v>2017</v>
      </c>
      <c r="Z86" s="628">
        <f t="shared" si="34"/>
        <v>-282019.7</v>
      </c>
      <c r="AA86" s="629"/>
      <c r="AB86" s="664"/>
      <c r="AC86" s="629"/>
      <c r="AD86" s="630"/>
      <c r="AE86" s="629"/>
      <c r="AF86" s="629">
        <f>+N86</f>
        <v>-14100.99</v>
      </c>
      <c r="AG86" s="555">
        <f t="shared" si="35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ht="12.75" customHeight="1" x14ac:dyDescent="0.2">
      <c r="A87" s="423">
        <f t="shared" si="36"/>
        <v>82</v>
      </c>
      <c r="B87" s="683" t="s">
        <v>3615</v>
      </c>
      <c r="C87" s="655">
        <v>1520604</v>
      </c>
      <c r="D87" s="658">
        <v>7495</v>
      </c>
      <c r="E87" s="655" t="s">
        <v>718</v>
      </c>
      <c r="F87" s="546">
        <v>2017</v>
      </c>
      <c r="G87" s="659">
        <v>42886</v>
      </c>
      <c r="H87" s="655" t="s">
        <v>722</v>
      </c>
      <c r="I87" s="655" t="s">
        <v>3805</v>
      </c>
      <c r="J87" s="655" t="s">
        <v>724</v>
      </c>
      <c r="K87" s="655" t="s">
        <v>3916</v>
      </c>
      <c r="L87" s="655" t="s">
        <v>4064</v>
      </c>
      <c r="M87" s="660">
        <v>296880.13</v>
      </c>
      <c r="N87" s="660">
        <v>14844.01</v>
      </c>
      <c r="O87" s="660">
        <v>49875.86</v>
      </c>
      <c r="P87" s="660">
        <v>361600</v>
      </c>
      <c r="Q87" s="548"/>
      <c r="R87" s="660">
        <v>255426.86</v>
      </c>
      <c r="S87" s="549">
        <f t="shared" si="29"/>
        <v>106173.14000000001</v>
      </c>
      <c r="T87" s="113" t="s">
        <v>1932</v>
      </c>
      <c r="U87" s="626" t="str">
        <f t="shared" si="30"/>
        <v>AA11202</v>
      </c>
      <c r="V87" s="627" t="str">
        <f t="shared" si="31"/>
        <v>1218-TCN17</v>
      </c>
      <c r="W87" s="626">
        <f t="shared" si="32"/>
        <v>1520604</v>
      </c>
      <c r="X87" s="626" t="str">
        <f t="shared" si="33"/>
        <v>HILUX PICK UP D CAB SR A/C</v>
      </c>
      <c r="Y87" s="627">
        <f t="shared" si="33"/>
        <v>2017</v>
      </c>
      <c r="Z87" s="628">
        <f t="shared" si="34"/>
        <v>296880.13</v>
      </c>
      <c r="AA87" s="629"/>
      <c r="AB87" s="677"/>
      <c r="AC87" s="629">
        <f t="shared" si="18"/>
        <v>295708.34000000003</v>
      </c>
      <c r="AD87" s="630">
        <f t="shared" si="19"/>
        <v>0.1</v>
      </c>
      <c r="AE87" s="629">
        <f t="shared" si="20"/>
        <v>7392.74</v>
      </c>
      <c r="AF87" s="629">
        <f t="shared" si="38"/>
        <v>14844.01</v>
      </c>
      <c r="AG87" s="555">
        <f t="shared" si="35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ht="12.75" customHeight="1" x14ac:dyDescent="0.2">
      <c r="A88" s="423">
        <f t="shared" si="36"/>
        <v>83</v>
      </c>
      <c r="B88" s="683" t="s">
        <v>3608</v>
      </c>
      <c r="C88" s="655">
        <v>1520604</v>
      </c>
      <c r="D88" s="658">
        <v>7495</v>
      </c>
      <c r="E88" s="655" t="s">
        <v>718</v>
      </c>
      <c r="F88" s="546">
        <v>2017</v>
      </c>
      <c r="G88" s="659">
        <v>42872</v>
      </c>
      <c r="H88" s="655" t="s">
        <v>2214</v>
      </c>
      <c r="I88" s="655" t="s">
        <v>3802</v>
      </c>
      <c r="J88" s="655" t="s">
        <v>724</v>
      </c>
      <c r="K88" s="655" t="s">
        <v>3915</v>
      </c>
      <c r="L88" s="655" t="s">
        <v>4061</v>
      </c>
      <c r="M88" s="660">
        <v>296880.13</v>
      </c>
      <c r="N88" s="660">
        <v>14844.01</v>
      </c>
      <c r="O88" s="660">
        <v>49875.86</v>
      </c>
      <c r="P88" s="660">
        <v>361600</v>
      </c>
      <c r="Q88" s="548"/>
      <c r="R88" s="660">
        <v>255426.86</v>
      </c>
      <c r="S88" s="549">
        <f t="shared" si="29"/>
        <v>106173.14000000001</v>
      </c>
      <c r="T88" s="113" t="s">
        <v>1932</v>
      </c>
      <c r="U88" s="626" t="str">
        <f t="shared" si="30"/>
        <v>AA11098</v>
      </c>
      <c r="V88" s="627" t="str">
        <f t="shared" si="31"/>
        <v>1214-TCN17</v>
      </c>
      <c r="W88" s="626">
        <f t="shared" si="32"/>
        <v>1520604</v>
      </c>
      <c r="X88" s="626" t="str">
        <f t="shared" si="33"/>
        <v>HILUX PICK UP D CAB SR A/C</v>
      </c>
      <c r="Y88" s="627">
        <f t="shared" si="33"/>
        <v>2017</v>
      </c>
      <c r="Z88" s="628">
        <f t="shared" si="34"/>
        <v>296880.13</v>
      </c>
      <c r="AA88" s="629"/>
      <c r="AB88" s="664"/>
      <c r="AC88" s="629">
        <f t="shared" si="18"/>
        <v>295708.34000000003</v>
      </c>
      <c r="AD88" s="630">
        <f t="shared" si="19"/>
        <v>0.1</v>
      </c>
      <c r="AE88" s="629">
        <f t="shared" si="20"/>
        <v>7392.74</v>
      </c>
      <c r="AF88" s="629">
        <f t="shared" si="38"/>
        <v>14844.01</v>
      </c>
      <c r="AG88" s="555">
        <f t="shared" si="35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ht="12.75" customHeight="1" x14ac:dyDescent="0.2">
      <c r="A89" s="423">
        <f t="shared" si="36"/>
        <v>84</v>
      </c>
      <c r="B89" s="683" t="s">
        <v>3610</v>
      </c>
      <c r="C89" s="655">
        <v>1520604</v>
      </c>
      <c r="D89" s="658">
        <v>7495</v>
      </c>
      <c r="E89" s="655" t="s">
        <v>718</v>
      </c>
      <c r="F89" s="546">
        <v>2017</v>
      </c>
      <c r="G89" s="659">
        <v>42873</v>
      </c>
      <c r="H89" s="655" t="s">
        <v>817</v>
      </c>
      <c r="I89" s="655" t="s">
        <v>3803</v>
      </c>
      <c r="J89" s="655" t="s">
        <v>724</v>
      </c>
      <c r="K89" s="655" t="s">
        <v>3914</v>
      </c>
      <c r="L89" s="655" t="s">
        <v>4062</v>
      </c>
      <c r="M89" s="660">
        <v>296880.13</v>
      </c>
      <c r="N89" s="660">
        <v>14844.01</v>
      </c>
      <c r="O89" s="660">
        <v>49875.86</v>
      </c>
      <c r="P89" s="660">
        <v>361600</v>
      </c>
      <c r="Q89" s="548"/>
      <c r="R89" s="660">
        <v>262450.93</v>
      </c>
      <c r="S89" s="549">
        <f t="shared" si="29"/>
        <v>99149.07</v>
      </c>
      <c r="T89" s="444" t="s">
        <v>1932</v>
      </c>
      <c r="U89" s="626" t="str">
        <f t="shared" si="30"/>
        <v>AA11102</v>
      </c>
      <c r="V89" s="627" t="str">
        <f t="shared" si="31"/>
        <v>1274-TCN17</v>
      </c>
      <c r="W89" s="626">
        <f t="shared" si="32"/>
        <v>1520604</v>
      </c>
      <c r="X89" s="626" t="str">
        <f t="shared" si="33"/>
        <v>HILUX PICK UP D CAB SR A/C</v>
      </c>
      <c r="Y89" s="627">
        <f t="shared" si="33"/>
        <v>2017</v>
      </c>
      <c r="Z89" s="628">
        <f t="shared" si="34"/>
        <v>296880.13</v>
      </c>
      <c r="AA89" s="629">
        <f>+SUM(Z86:Z89)</f>
        <v>608620.68999999994</v>
      </c>
      <c r="AB89" s="677">
        <v>2</v>
      </c>
      <c r="AC89" s="629">
        <f t="shared" si="18"/>
        <v>295708.34000000003</v>
      </c>
      <c r="AD89" s="630">
        <f t="shared" si="19"/>
        <v>0.1</v>
      </c>
      <c r="AE89" s="629">
        <f t="shared" si="20"/>
        <v>7392.74</v>
      </c>
      <c r="AF89" s="629">
        <f t="shared" si="38"/>
        <v>14844.01</v>
      </c>
      <c r="AG89" s="555">
        <f t="shared" si="35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ht="12.75" hidden="1" customHeight="1" x14ac:dyDescent="0.2">
      <c r="A90" s="423">
        <f t="shared" si="36"/>
        <v>85</v>
      </c>
      <c r="B90" s="683" t="s">
        <v>3515</v>
      </c>
      <c r="C90" s="655">
        <v>520816</v>
      </c>
      <c r="D90" s="658">
        <v>4497</v>
      </c>
      <c r="E90" s="655" t="s">
        <v>695</v>
      </c>
      <c r="F90" s="546">
        <v>2017</v>
      </c>
      <c r="G90" s="659">
        <v>42878</v>
      </c>
      <c r="H90" s="655" t="s">
        <v>747</v>
      </c>
      <c r="I90" s="655" t="s">
        <v>3758</v>
      </c>
      <c r="J90" s="655" t="s">
        <v>724</v>
      </c>
      <c r="K90" s="655" t="s">
        <v>3887</v>
      </c>
      <c r="L90" s="655" t="s">
        <v>4017</v>
      </c>
      <c r="M90" s="660">
        <v>-413820.26</v>
      </c>
      <c r="N90" s="660">
        <v>-22645.26</v>
      </c>
      <c r="O90" s="660">
        <v>-69834.48</v>
      </c>
      <c r="P90" s="660">
        <v>-506300</v>
      </c>
      <c r="Q90" s="548"/>
      <c r="R90" s="660">
        <v>-376785.74</v>
      </c>
      <c r="S90" s="549">
        <f t="shared" si="29"/>
        <v>-129514.26000000001</v>
      </c>
      <c r="T90" s="267" t="s">
        <v>1931</v>
      </c>
      <c r="U90" s="267"/>
      <c r="V90" s="93"/>
      <c r="W90" s="267"/>
      <c r="X90" s="267"/>
      <c r="Y90" s="93"/>
      <c r="Z90" s="618"/>
      <c r="AA90" s="424"/>
      <c r="AB90" s="715"/>
      <c r="AC90" s="424"/>
      <c r="AD90" s="425"/>
      <c r="AE90" s="424"/>
      <c r="AF90" s="424"/>
      <c r="AG90" s="396"/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ht="12.75" hidden="1" customHeight="1" thickBot="1" x14ac:dyDescent="0.25">
      <c r="A91" s="423">
        <f t="shared" si="36"/>
        <v>86</v>
      </c>
      <c r="B91" s="683" t="s">
        <v>3516</v>
      </c>
      <c r="C91" s="655">
        <v>520816</v>
      </c>
      <c r="D91" s="658">
        <v>4497</v>
      </c>
      <c r="E91" s="655" t="s">
        <v>695</v>
      </c>
      <c r="F91" s="546">
        <v>2017</v>
      </c>
      <c r="G91" s="659">
        <v>42878</v>
      </c>
      <c r="H91" s="655" t="s">
        <v>747</v>
      </c>
      <c r="I91" s="655" t="s">
        <v>3758</v>
      </c>
      <c r="J91" s="655" t="s">
        <v>724</v>
      </c>
      <c r="K91" s="655" t="s">
        <v>3887</v>
      </c>
      <c r="L91" s="655" t="s">
        <v>4017</v>
      </c>
      <c r="M91" s="660">
        <v>413820.26</v>
      </c>
      <c r="N91" s="660">
        <v>22645.26</v>
      </c>
      <c r="O91" s="660">
        <v>69834.48</v>
      </c>
      <c r="P91" s="660">
        <v>506300</v>
      </c>
      <c r="Q91" s="548"/>
      <c r="R91" s="660">
        <v>376785.74</v>
      </c>
      <c r="S91" s="549">
        <f t="shared" si="29"/>
        <v>129514.26000000001</v>
      </c>
      <c r="T91" s="113" t="s">
        <v>1931</v>
      </c>
      <c r="AA91" s="667"/>
      <c r="AF91" s="395"/>
      <c r="AG91" s="396"/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ht="12.75" hidden="1" customHeight="1" thickBot="1" x14ac:dyDescent="0.25">
      <c r="A92" s="423">
        <f t="shared" si="36"/>
        <v>87</v>
      </c>
      <c r="B92" s="683" t="s">
        <v>3498</v>
      </c>
      <c r="C92" s="655">
        <v>520815</v>
      </c>
      <c r="D92" s="658">
        <v>4492</v>
      </c>
      <c r="E92" s="655" t="s">
        <v>694</v>
      </c>
      <c r="F92" s="546">
        <v>2017</v>
      </c>
      <c r="G92" s="659">
        <v>42882</v>
      </c>
      <c r="H92" s="655" t="s">
        <v>819</v>
      </c>
      <c r="I92" s="655" t="s">
        <v>3747</v>
      </c>
      <c r="J92" s="655" t="s">
        <v>724</v>
      </c>
      <c r="K92" s="655" t="s">
        <v>3882</v>
      </c>
      <c r="L92" s="655" t="s">
        <v>4006</v>
      </c>
      <c r="M92" s="660">
        <v>333641.53000000003</v>
      </c>
      <c r="N92" s="660">
        <v>11186.06</v>
      </c>
      <c r="O92" s="660">
        <v>55172.41</v>
      </c>
      <c r="P92" s="660">
        <v>400000</v>
      </c>
      <c r="Q92" s="548"/>
      <c r="R92" s="660">
        <v>296567.37</v>
      </c>
      <c r="S92" s="549">
        <f t="shared" si="29"/>
        <v>103432.63</v>
      </c>
      <c r="T92" s="113" t="s">
        <v>1931</v>
      </c>
      <c r="U92" s="423"/>
      <c r="V92" s="362"/>
      <c r="W92" s="362"/>
      <c r="X92" s="619">
        <f>154-4</f>
        <v>150</v>
      </c>
      <c r="Y92" s="620">
        <f>+SUM(Z6:Z160)</f>
        <v>66832578.239999987</v>
      </c>
      <c r="Z92" s="620">
        <f>+SUM(AA6:AA160)</f>
        <v>22300025.02</v>
      </c>
      <c r="AA92" s="643">
        <f>+SUM(AB6:AB160)</f>
        <v>77</v>
      </c>
      <c r="AB92" s="620"/>
      <c r="AC92" s="620"/>
      <c r="AD92" s="620"/>
      <c r="AE92" s="620">
        <f>+SUM(AF6:AF160)</f>
        <v>819707.15999999968</v>
      </c>
      <c r="AF92" s="379"/>
      <c r="AG92" s="396"/>
      <c r="AH92" s="361"/>
      <c r="AI92" s="313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ht="12.75" hidden="1" customHeight="1" thickTop="1" x14ac:dyDescent="0.2">
      <c r="A93" s="423">
        <f t="shared" si="36"/>
        <v>88</v>
      </c>
      <c r="B93" s="683" t="s">
        <v>3500</v>
      </c>
      <c r="C93" s="655">
        <v>520815</v>
      </c>
      <c r="D93" s="658">
        <v>4492</v>
      </c>
      <c r="E93" s="655" t="s">
        <v>694</v>
      </c>
      <c r="F93" s="546">
        <v>2017</v>
      </c>
      <c r="G93" s="659">
        <v>42885</v>
      </c>
      <c r="H93" s="655" t="s">
        <v>819</v>
      </c>
      <c r="I93" s="655" t="s">
        <v>3747</v>
      </c>
      <c r="J93" s="655" t="s">
        <v>724</v>
      </c>
      <c r="K93" s="655" t="s">
        <v>3882</v>
      </c>
      <c r="L93" s="655" t="s">
        <v>4006</v>
      </c>
      <c r="M93" s="660">
        <v>-333641.53000000003</v>
      </c>
      <c r="N93" s="660">
        <v>-11186.06</v>
      </c>
      <c r="O93" s="660">
        <v>-55172.41</v>
      </c>
      <c r="P93" s="660">
        <v>-400000</v>
      </c>
      <c r="Q93" s="548"/>
      <c r="R93" s="660">
        <v>-296567.37</v>
      </c>
      <c r="S93" s="549">
        <f t="shared" si="29"/>
        <v>-103432.63</v>
      </c>
      <c r="T93" s="444" t="s">
        <v>1931</v>
      </c>
      <c r="U93" s="427"/>
      <c r="V93" s="428"/>
      <c r="W93" s="428"/>
      <c r="X93" s="93"/>
      <c r="Y93" s="260"/>
      <c r="Z93" s="431"/>
      <c r="AA93" s="668"/>
      <c r="AB93" s="431"/>
      <c r="AC93" s="436"/>
      <c r="AD93" s="431"/>
      <c r="AE93" s="431">
        <f>+N283</f>
        <v>819707.15999999968</v>
      </c>
      <c r="AF93" s="440"/>
      <c r="AG93" s="396"/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ht="12.75" hidden="1" customHeight="1" x14ac:dyDescent="0.2">
      <c r="A94" s="423">
        <f t="shared" si="36"/>
        <v>89</v>
      </c>
      <c r="B94" s="683" t="s">
        <v>3488</v>
      </c>
      <c r="C94" s="655">
        <v>520815</v>
      </c>
      <c r="D94" s="658">
        <v>4492</v>
      </c>
      <c r="E94" s="655" t="s">
        <v>694</v>
      </c>
      <c r="F94" s="546">
        <v>2017</v>
      </c>
      <c r="G94" s="659">
        <v>42861</v>
      </c>
      <c r="H94" s="655" t="s">
        <v>3693</v>
      </c>
      <c r="I94" s="655" t="s">
        <v>3745</v>
      </c>
      <c r="J94" s="655" t="s">
        <v>724</v>
      </c>
      <c r="K94" s="655" t="s">
        <v>3880</v>
      </c>
      <c r="L94" s="655" t="s">
        <v>4004</v>
      </c>
      <c r="M94" s="660">
        <v>355799.27</v>
      </c>
      <c r="N94" s="660">
        <v>13942.11</v>
      </c>
      <c r="O94" s="660">
        <v>59158.62</v>
      </c>
      <c r="P94" s="660">
        <v>428900</v>
      </c>
      <c r="Q94" s="548"/>
      <c r="R94" s="660">
        <v>303720.68</v>
      </c>
      <c r="S94" s="549">
        <f t="shared" si="29"/>
        <v>125179.32</v>
      </c>
      <c r="T94" s="267" t="s">
        <v>1931</v>
      </c>
      <c r="U94" s="93"/>
      <c r="V94" s="267"/>
      <c r="W94" s="271"/>
      <c r="X94" s="469"/>
      <c r="Y94" s="470"/>
      <c r="Z94" s="431"/>
      <c r="AA94" s="668"/>
      <c r="AB94" s="396"/>
      <c r="AC94" s="425"/>
      <c r="AD94" s="395"/>
      <c r="AE94" s="379"/>
      <c r="AF94" s="395"/>
      <c r="AG94" s="396"/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ht="12.75" hidden="1" customHeight="1" x14ac:dyDescent="0.2">
      <c r="A95" s="423">
        <f t="shared" si="36"/>
        <v>90</v>
      </c>
      <c r="B95" s="683" t="s">
        <v>3490</v>
      </c>
      <c r="C95" s="655">
        <v>520815</v>
      </c>
      <c r="D95" s="658">
        <v>4492</v>
      </c>
      <c r="E95" s="655" t="s">
        <v>694</v>
      </c>
      <c r="F95" s="546">
        <v>2017</v>
      </c>
      <c r="G95" s="659">
        <v>42871</v>
      </c>
      <c r="H95" s="655" t="s">
        <v>3693</v>
      </c>
      <c r="I95" s="655" t="s">
        <v>3745</v>
      </c>
      <c r="J95" s="655" t="s">
        <v>724</v>
      </c>
      <c r="K95" s="655" t="s">
        <v>3880</v>
      </c>
      <c r="L95" s="655" t="s">
        <v>4004</v>
      </c>
      <c r="M95" s="660">
        <v>-355799.27</v>
      </c>
      <c r="N95" s="660">
        <v>-13942.11</v>
      </c>
      <c r="O95" s="660">
        <v>-59158.62</v>
      </c>
      <c r="P95" s="660">
        <v>-428900</v>
      </c>
      <c r="Q95" s="548"/>
      <c r="R95" s="660">
        <v>-303720.68</v>
      </c>
      <c r="S95" s="549">
        <f t="shared" si="29"/>
        <v>-125179.32</v>
      </c>
      <c r="T95" s="113" t="s">
        <v>1931</v>
      </c>
      <c r="U95" s="298" t="s">
        <v>250</v>
      </c>
      <c r="V95" s="437" t="s">
        <v>2127</v>
      </c>
      <c r="W95" s="382"/>
      <c r="X95" s="441"/>
      <c r="Y95" s="438"/>
      <c r="Z95" s="439"/>
      <c r="AA95" s="669"/>
      <c r="AB95" s="396"/>
      <c r="AC95" s="425"/>
      <c r="AD95" s="440"/>
      <c r="AE95" s="439">
        <f>+AE92-AE93</f>
        <v>0</v>
      </c>
      <c r="AF95" s="396">
        <f>SUM(AG6:AG166)</f>
        <v>6.0850000042592001E-2</v>
      </c>
      <c r="AG95" s="396"/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ht="12.75" hidden="1" customHeight="1" x14ac:dyDescent="0.2">
      <c r="A96" s="423">
        <f t="shared" si="36"/>
        <v>91</v>
      </c>
      <c r="B96" s="683" t="s">
        <v>3491</v>
      </c>
      <c r="C96" s="655">
        <v>520815</v>
      </c>
      <c r="D96" s="658">
        <v>4492</v>
      </c>
      <c r="E96" s="655" t="s">
        <v>694</v>
      </c>
      <c r="F96" s="546">
        <v>2017</v>
      </c>
      <c r="G96" s="659">
        <v>42871</v>
      </c>
      <c r="H96" s="655" t="s">
        <v>3693</v>
      </c>
      <c r="I96" s="655" t="s">
        <v>3745</v>
      </c>
      <c r="J96" s="655" t="s">
        <v>724</v>
      </c>
      <c r="K96" s="655" t="s">
        <v>3880</v>
      </c>
      <c r="L96" s="655" t="s">
        <v>4004</v>
      </c>
      <c r="M96" s="660">
        <v>-355799.27</v>
      </c>
      <c r="N96" s="660">
        <v>-13942.11</v>
      </c>
      <c r="O96" s="660">
        <v>-59158.62</v>
      </c>
      <c r="P96" s="660">
        <v>-428900</v>
      </c>
      <c r="Q96" s="548"/>
      <c r="R96" s="660">
        <v>-303720.68</v>
      </c>
      <c r="S96" s="549">
        <f t="shared" si="29"/>
        <v>-125179.32</v>
      </c>
      <c r="T96" s="113" t="s">
        <v>1931</v>
      </c>
      <c r="U96" s="298" t="s">
        <v>251</v>
      </c>
      <c r="V96" s="437" t="s">
        <v>1991</v>
      </c>
      <c r="W96" s="271"/>
      <c r="X96" s="441"/>
      <c r="Y96" s="471">
        <f>+AB160+AB90+AB89+AB88+AB87+AB84+AB83+AB81</f>
        <v>2</v>
      </c>
      <c r="Z96" s="472">
        <f>+AA160+AA90+AA89+AA88+AA87+AA84+AA83+AA81</f>
        <v>608620.68999999994</v>
      </c>
      <c r="AA96" s="646"/>
      <c r="AB96" s="474" t="s">
        <v>1269</v>
      </c>
      <c r="AC96" s="436"/>
      <c r="AD96" s="431"/>
      <c r="AE96" s="431"/>
      <c r="AF96" s="440"/>
      <c r="AG96" s="396"/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ht="12.75" hidden="1" customHeight="1" x14ac:dyDescent="0.2">
      <c r="A97" s="423">
        <f t="shared" si="36"/>
        <v>92</v>
      </c>
      <c r="B97" s="683" t="s">
        <v>3492</v>
      </c>
      <c r="C97" s="655">
        <v>520815</v>
      </c>
      <c r="D97" s="658">
        <v>4492</v>
      </c>
      <c r="E97" s="655" t="s">
        <v>694</v>
      </c>
      <c r="F97" s="546">
        <v>2017</v>
      </c>
      <c r="G97" s="659">
        <v>42871</v>
      </c>
      <c r="H97" s="655" t="s">
        <v>3693</v>
      </c>
      <c r="I97" s="655" t="s">
        <v>3745</v>
      </c>
      <c r="J97" s="655" t="s">
        <v>724</v>
      </c>
      <c r="K97" s="655" t="s">
        <v>3880</v>
      </c>
      <c r="L97" s="655" t="s">
        <v>4004</v>
      </c>
      <c r="M97" s="660">
        <v>355799.27</v>
      </c>
      <c r="N97" s="660">
        <v>13942.11</v>
      </c>
      <c r="O97" s="660">
        <v>59158.62</v>
      </c>
      <c r="P97" s="660">
        <v>428900</v>
      </c>
      <c r="Q97" s="548"/>
      <c r="R97" s="660">
        <v>303720.68</v>
      </c>
      <c r="S97" s="549">
        <f t="shared" si="29"/>
        <v>125179.32</v>
      </c>
      <c r="T97" s="113" t="s">
        <v>1931</v>
      </c>
      <c r="U97" s="93"/>
      <c r="V97" s="267"/>
      <c r="W97" s="271"/>
      <c r="X97" s="94"/>
      <c r="Y97" s="475">
        <f>+AB76+AB75+AB74+AB68+AB63+AB62+AB54+AB29+AB27</f>
        <v>20</v>
      </c>
      <c r="Z97" s="472">
        <f>+AA76+AA75+AA74+AA68+AA63+AA62+AA54+AA29+AA27</f>
        <v>5169755.79</v>
      </c>
      <c r="AA97" s="646"/>
      <c r="AB97" s="474" t="s">
        <v>1270</v>
      </c>
      <c r="AC97" s="425"/>
      <c r="AD97" s="424"/>
      <c r="AE97" s="424"/>
      <c r="AF97" s="346"/>
      <c r="AG97" s="396"/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ht="12.75" hidden="1" customHeight="1" x14ac:dyDescent="0.2">
      <c r="A98" s="423">
        <f t="shared" si="36"/>
        <v>93</v>
      </c>
      <c r="B98" s="683" t="s">
        <v>3494</v>
      </c>
      <c r="C98" s="655">
        <v>520815</v>
      </c>
      <c r="D98" s="658">
        <v>4492</v>
      </c>
      <c r="E98" s="655" t="s">
        <v>694</v>
      </c>
      <c r="F98" s="546">
        <v>2017</v>
      </c>
      <c r="G98" s="659">
        <v>42877</v>
      </c>
      <c r="H98" s="655" t="s">
        <v>819</v>
      </c>
      <c r="I98" s="655" t="s">
        <v>3025</v>
      </c>
      <c r="J98" s="655" t="s">
        <v>724</v>
      </c>
      <c r="K98" s="655" t="s">
        <v>3881</v>
      </c>
      <c r="L98" s="655" t="s">
        <v>3291</v>
      </c>
      <c r="M98" s="660">
        <v>346153.84</v>
      </c>
      <c r="N98" s="660">
        <v>12495.3</v>
      </c>
      <c r="O98" s="660">
        <v>57383.86</v>
      </c>
      <c r="P98" s="660">
        <v>416033</v>
      </c>
      <c r="Q98" s="548"/>
      <c r="R98" s="660">
        <v>296567.37</v>
      </c>
      <c r="S98" s="549">
        <f t="shared" si="29"/>
        <v>119465.63</v>
      </c>
      <c r="T98" s="113" t="s">
        <v>1931</v>
      </c>
      <c r="U98" s="429"/>
      <c r="V98" s="426"/>
      <c r="W98" s="382"/>
      <c r="X98" s="442"/>
      <c r="Y98" s="476">
        <f>+AB69+AB51+AB24+AB23+AB21+AB17+AB16+AB15+AB13+AB12+AB11+AB10+AB6</f>
        <v>12</v>
      </c>
      <c r="Z98" s="472">
        <f>+AA69+AA51+AA24+AA23+AA21+AA17+AA16+AA15+AA13+AA12+AA11+AA10+AA6</f>
        <v>3385391.5700000003</v>
      </c>
      <c r="AA98" s="646"/>
      <c r="AB98" s="474" t="s">
        <v>1271</v>
      </c>
      <c r="AC98" s="443"/>
      <c r="AD98" s="439"/>
      <c r="AE98" s="439"/>
      <c r="AG98" s="396"/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ht="12.75" hidden="1" customHeight="1" thickBot="1" x14ac:dyDescent="0.25">
      <c r="A99" s="423">
        <f t="shared" si="36"/>
        <v>94</v>
      </c>
      <c r="B99" s="683" t="s">
        <v>3495</v>
      </c>
      <c r="C99" s="655">
        <v>520815</v>
      </c>
      <c r="D99" s="658">
        <v>4492</v>
      </c>
      <c r="E99" s="655" t="s">
        <v>694</v>
      </c>
      <c r="F99" s="546">
        <v>2017</v>
      </c>
      <c r="G99" s="659">
        <v>42878</v>
      </c>
      <c r="H99" s="655" t="s">
        <v>819</v>
      </c>
      <c r="I99" s="655" t="s">
        <v>3025</v>
      </c>
      <c r="J99" s="655" t="s">
        <v>724</v>
      </c>
      <c r="K99" s="655" t="s">
        <v>3881</v>
      </c>
      <c r="L99" s="655" t="s">
        <v>3291</v>
      </c>
      <c r="M99" s="660">
        <v>-346153.84</v>
      </c>
      <c r="N99" s="660">
        <v>-12495.3</v>
      </c>
      <c r="O99" s="660">
        <v>-57383.86</v>
      </c>
      <c r="P99" s="660">
        <v>-416033</v>
      </c>
      <c r="Q99" s="548"/>
      <c r="R99" s="660">
        <v>-296567.37</v>
      </c>
      <c r="S99" s="549">
        <f t="shared" si="29"/>
        <v>-119465.63</v>
      </c>
      <c r="T99" s="113" t="s">
        <v>1931</v>
      </c>
      <c r="U99" s="351"/>
      <c r="V99" s="351"/>
      <c r="W99" s="351"/>
      <c r="X99" s="352"/>
      <c r="Y99" s="477">
        <f>+AB40</f>
        <v>5</v>
      </c>
      <c r="Z99" s="478">
        <f>+AA40</f>
        <v>1952534.5499999998</v>
      </c>
      <c r="AA99" s="646"/>
      <c r="AB99" s="474" t="s">
        <v>1272</v>
      </c>
      <c r="AC99" s="351"/>
      <c r="AD99" s="351"/>
      <c r="AE99" s="351"/>
      <c r="AF99" s="351"/>
      <c r="AG99" s="396"/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ht="12.75" hidden="1" customHeight="1" thickTop="1" x14ac:dyDescent="0.2">
      <c r="A100" s="423">
        <f t="shared" si="36"/>
        <v>95</v>
      </c>
      <c r="B100" s="683" t="s">
        <v>3496</v>
      </c>
      <c r="C100" s="655">
        <v>520815</v>
      </c>
      <c r="D100" s="658">
        <v>4492</v>
      </c>
      <c r="E100" s="655" t="s">
        <v>694</v>
      </c>
      <c r="F100" s="546">
        <v>2017</v>
      </c>
      <c r="G100" s="659">
        <v>42878</v>
      </c>
      <c r="H100" s="655" t="s">
        <v>819</v>
      </c>
      <c r="I100" s="655" t="s">
        <v>3025</v>
      </c>
      <c r="J100" s="655" t="s">
        <v>724</v>
      </c>
      <c r="K100" s="655" t="s">
        <v>3882</v>
      </c>
      <c r="L100" s="655" t="s">
        <v>3291</v>
      </c>
      <c r="M100" s="660">
        <v>346153.84</v>
      </c>
      <c r="N100" s="660">
        <v>12495.3</v>
      </c>
      <c r="O100" s="660">
        <v>57383.86</v>
      </c>
      <c r="P100" s="660">
        <v>416033</v>
      </c>
      <c r="Q100" s="548"/>
      <c r="R100" s="660">
        <v>296567.37</v>
      </c>
      <c r="S100" s="549">
        <f t="shared" si="29"/>
        <v>119465.63</v>
      </c>
      <c r="T100" s="113" t="s">
        <v>1931</v>
      </c>
      <c r="U100" s="348"/>
      <c r="V100" s="348"/>
      <c r="W100" s="348"/>
      <c r="X100" s="348"/>
      <c r="Y100" s="479">
        <f>+SUM(Y96:Y99)</f>
        <v>39</v>
      </c>
      <c r="Z100" s="480">
        <f>SUM(Z96:Z99)</f>
        <v>11116302.600000001</v>
      </c>
      <c r="AA100" s="646"/>
      <c r="AB100" s="472"/>
      <c r="AC100" s="348"/>
      <c r="AD100" s="348"/>
      <c r="AE100" s="348"/>
      <c r="AF100" s="348"/>
      <c r="AG100" s="396"/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ht="12.75" hidden="1" customHeight="1" x14ac:dyDescent="0.2">
      <c r="A101" s="423">
        <f t="shared" si="36"/>
        <v>96</v>
      </c>
      <c r="B101" s="683" t="s">
        <v>3499</v>
      </c>
      <c r="C101" s="655">
        <v>520815</v>
      </c>
      <c r="D101" s="658">
        <v>4492</v>
      </c>
      <c r="E101" s="655" t="s">
        <v>694</v>
      </c>
      <c r="F101" s="546">
        <v>2017</v>
      </c>
      <c r="G101" s="659">
        <v>42882</v>
      </c>
      <c r="H101" s="655" t="s">
        <v>819</v>
      </c>
      <c r="I101" s="655" t="s">
        <v>3025</v>
      </c>
      <c r="J101" s="655" t="s">
        <v>724</v>
      </c>
      <c r="K101" s="655" t="s">
        <v>3882</v>
      </c>
      <c r="L101" s="655" t="s">
        <v>3291</v>
      </c>
      <c r="M101" s="660">
        <v>-346153.84</v>
      </c>
      <c r="N101" s="660">
        <v>-12495.3</v>
      </c>
      <c r="O101" s="660">
        <v>-57383.86</v>
      </c>
      <c r="P101" s="660">
        <v>-416033</v>
      </c>
      <c r="Q101" s="548"/>
      <c r="R101" s="660">
        <v>-296567.37</v>
      </c>
      <c r="S101" s="549">
        <f t="shared" si="29"/>
        <v>-119465.63</v>
      </c>
      <c r="T101" s="113" t="s">
        <v>1931</v>
      </c>
      <c r="U101" s="267"/>
      <c r="V101" s="93"/>
      <c r="W101" s="267"/>
      <c r="X101" s="267"/>
      <c r="Y101" s="93"/>
      <c r="Z101" s="618"/>
      <c r="AA101" s="424"/>
      <c r="AB101" s="715"/>
      <c r="AC101" s="424"/>
      <c r="AD101" s="425"/>
      <c r="AE101" s="424"/>
      <c r="AF101" s="424"/>
      <c r="AG101" s="396"/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ht="12.75" hidden="1" customHeight="1" x14ac:dyDescent="0.2">
      <c r="A102" s="423">
        <f t="shared" si="36"/>
        <v>97</v>
      </c>
      <c r="B102" s="683" t="s">
        <v>3577</v>
      </c>
      <c r="C102" s="655">
        <v>1520304</v>
      </c>
      <c r="D102" s="658">
        <v>7440</v>
      </c>
      <c r="E102" s="655" t="s">
        <v>1520</v>
      </c>
      <c r="F102" s="546">
        <v>2017</v>
      </c>
      <c r="G102" s="659">
        <v>42874</v>
      </c>
      <c r="H102" s="655" t="s">
        <v>792</v>
      </c>
      <c r="I102" s="655" t="s">
        <v>3788</v>
      </c>
      <c r="J102" s="655" t="s">
        <v>724</v>
      </c>
      <c r="K102" s="655" t="s">
        <v>3906</v>
      </c>
      <c r="L102" s="655" t="s">
        <v>4047</v>
      </c>
      <c r="M102" s="660">
        <v>579556.65</v>
      </c>
      <c r="N102" s="660">
        <v>28977.83</v>
      </c>
      <c r="O102" s="660">
        <v>97365.52</v>
      </c>
      <c r="P102" s="660">
        <v>705900</v>
      </c>
      <c r="Q102" s="548"/>
      <c r="R102" s="660">
        <v>512522.75</v>
      </c>
      <c r="S102" s="549">
        <f t="shared" si="29"/>
        <v>193377.25</v>
      </c>
      <c r="T102" s="113" t="s">
        <v>1931</v>
      </c>
      <c r="U102" s="267"/>
      <c r="V102" s="93"/>
      <c r="W102" s="267"/>
      <c r="X102" s="267"/>
      <c r="Y102" s="93"/>
      <c r="Z102" s="618"/>
      <c r="AA102" s="424"/>
      <c r="AB102" s="715"/>
      <c r="AC102" s="424"/>
      <c r="AD102" s="425"/>
      <c r="AE102" s="424"/>
      <c r="AF102" s="424"/>
      <c r="AG102" s="396"/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2.75" hidden="1" customHeight="1" x14ac:dyDescent="0.2">
      <c r="A103" s="423">
        <f t="shared" si="36"/>
        <v>98</v>
      </c>
      <c r="B103" s="683" t="s">
        <v>3578</v>
      </c>
      <c r="C103" s="655">
        <v>1520304</v>
      </c>
      <c r="D103" s="658">
        <v>7440</v>
      </c>
      <c r="E103" s="655" t="s">
        <v>1520</v>
      </c>
      <c r="F103" s="546">
        <v>2017</v>
      </c>
      <c r="G103" s="659">
        <v>42878</v>
      </c>
      <c r="H103" s="655" t="s">
        <v>792</v>
      </c>
      <c r="I103" s="655" t="s">
        <v>3788</v>
      </c>
      <c r="J103" s="655" t="s">
        <v>724</v>
      </c>
      <c r="K103" s="655" t="s">
        <v>3906</v>
      </c>
      <c r="L103" s="655" t="s">
        <v>4047</v>
      </c>
      <c r="M103" s="660">
        <v>-579556.65</v>
      </c>
      <c r="N103" s="660">
        <v>-28977.83</v>
      </c>
      <c r="O103" s="660">
        <v>-97365.52</v>
      </c>
      <c r="P103" s="660">
        <v>-705900</v>
      </c>
      <c r="Q103" s="548"/>
      <c r="R103" s="660">
        <v>-512522.75</v>
      </c>
      <c r="S103" s="549">
        <f t="shared" si="29"/>
        <v>-193377.25</v>
      </c>
      <c r="T103" s="445" t="s">
        <v>1931</v>
      </c>
      <c r="U103" s="267"/>
      <c r="V103" s="93"/>
      <c r="W103" s="267"/>
      <c r="X103" s="267"/>
      <c r="Y103" s="93"/>
      <c r="Z103" s="618"/>
      <c r="AA103" s="424"/>
      <c r="AB103" s="715"/>
      <c r="AC103" s="424"/>
      <c r="AD103" s="425"/>
      <c r="AE103" s="424"/>
      <c r="AF103" s="424"/>
      <c r="AG103" s="396"/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2.75" hidden="1" customHeight="1" x14ac:dyDescent="0.2">
      <c r="A104" s="423">
        <f t="shared" si="36"/>
        <v>99</v>
      </c>
      <c r="B104" s="683" t="s">
        <v>3535</v>
      </c>
      <c r="C104" s="655">
        <v>520514</v>
      </c>
      <c r="D104" s="658">
        <v>5398</v>
      </c>
      <c r="E104" s="655" t="s">
        <v>117</v>
      </c>
      <c r="F104" s="546">
        <v>2017</v>
      </c>
      <c r="G104" s="659">
        <v>42878</v>
      </c>
      <c r="H104" s="655" t="s">
        <v>2215</v>
      </c>
      <c r="I104" s="655" t="s">
        <v>3770</v>
      </c>
      <c r="J104" s="655" t="s">
        <v>724</v>
      </c>
      <c r="K104" s="655" t="s">
        <v>3893</v>
      </c>
      <c r="L104" s="655" t="s">
        <v>4029</v>
      </c>
      <c r="M104" s="660">
        <v>-508787.88</v>
      </c>
      <c r="N104" s="660">
        <v>-38194.879999999997</v>
      </c>
      <c r="O104" s="660">
        <v>-87517.24</v>
      </c>
      <c r="P104" s="660">
        <v>-634500</v>
      </c>
      <c r="Q104" s="548"/>
      <c r="R104" s="660">
        <v>-456016.94</v>
      </c>
      <c r="S104" s="549">
        <f t="shared" si="29"/>
        <v>-178483.06</v>
      </c>
      <c r="T104" s="267" t="s">
        <v>1931</v>
      </c>
      <c r="U104" s="267"/>
      <c r="V104" s="93"/>
      <c r="W104" s="267"/>
      <c r="X104" s="267"/>
      <c r="Y104" s="93"/>
      <c r="Z104" s="618"/>
      <c r="AA104" s="424"/>
      <c r="AB104" s="715"/>
      <c r="AC104" s="424"/>
      <c r="AD104" s="425"/>
      <c r="AE104" s="424"/>
      <c r="AF104" s="424"/>
      <c r="AG104" s="396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2.75" hidden="1" customHeight="1" x14ac:dyDescent="0.2">
      <c r="A105" s="423">
        <f t="shared" si="36"/>
        <v>100</v>
      </c>
      <c r="B105" s="683" t="s">
        <v>3536</v>
      </c>
      <c r="C105" s="655">
        <v>520514</v>
      </c>
      <c r="D105" s="658">
        <v>5398</v>
      </c>
      <c r="E105" s="655" t="s">
        <v>117</v>
      </c>
      <c r="F105" s="546">
        <v>2017</v>
      </c>
      <c r="G105" s="659">
        <v>42878</v>
      </c>
      <c r="H105" s="655" t="s">
        <v>2215</v>
      </c>
      <c r="I105" s="655" t="s">
        <v>3770</v>
      </c>
      <c r="J105" s="655" t="s">
        <v>724</v>
      </c>
      <c r="K105" s="655" t="s">
        <v>3893</v>
      </c>
      <c r="L105" s="655" t="s">
        <v>4029</v>
      </c>
      <c r="M105" s="660">
        <v>508787.88</v>
      </c>
      <c r="N105" s="660">
        <v>38194.879999999997</v>
      </c>
      <c r="O105" s="660">
        <v>87517.24</v>
      </c>
      <c r="P105" s="660">
        <v>634500</v>
      </c>
      <c r="Q105" s="548"/>
      <c r="R105" s="660">
        <v>456016.94</v>
      </c>
      <c r="S105" s="549">
        <f t="shared" si="29"/>
        <v>178483.06</v>
      </c>
      <c r="T105" s="267" t="s">
        <v>1931</v>
      </c>
      <c r="U105" s="267"/>
      <c r="V105" s="93"/>
      <c r="W105" s="267"/>
      <c r="X105" s="267"/>
      <c r="Y105" s="93"/>
      <c r="Z105" s="618"/>
      <c r="AA105" s="424"/>
      <c r="AB105" s="715"/>
      <c r="AC105" s="424"/>
      <c r="AD105" s="425"/>
      <c r="AE105" s="424"/>
      <c r="AF105" s="424"/>
      <c r="AG105" s="396"/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2.75" hidden="1" customHeight="1" x14ac:dyDescent="0.2">
      <c r="A106" s="423">
        <f t="shared" si="36"/>
        <v>101</v>
      </c>
      <c r="B106" s="683" t="s">
        <v>3537</v>
      </c>
      <c r="C106" s="655">
        <v>520514</v>
      </c>
      <c r="D106" s="658">
        <v>5398</v>
      </c>
      <c r="E106" s="655" t="s">
        <v>117</v>
      </c>
      <c r="F106" s="546">
        <v>2017</v>
      </c>
      <c r="G106" s="659">
        <v>42878</v>
      </c>
      <c r="H106" s="655" t="s">
        <v>2215</v>
      </c>
      <c r="I106" s="655" t="s">
        <v>3770</v>
      </c>
      <c r="J106" s="655" t="s">
        <v>724</v>
      </c>
      <c r="K106" s="655" t="s">
        <v>3893</v>
      </c>
      <c r="L106" s="655" t="s">
        <v>4029</v>
      </c>
      <c r="M106" s="660">
        <v>508787.88</v>
      </c>
      <c r="N106" s="660">
        <v>38194.879999999997</v>
      </c>
      <c r="O106" s="660">
        <v>87517.24</v>
      </c>
      <c r="P106" s="660">
        <v>634500</v>
      </c>
      <c r="Q106" s="548"/>
      <c r="R106" s="660">
        <v>456016.94</v>
      </c>
      <c r="S106" s="549">
        <f t="shared" si="29"/>
        <v>178483.06</v>
      </c>
      <c r="T106" s="113" t="s">
        <v>1931</v>
      </c>
      <c r="U106" s="267"/>
      <c r="V106" s="93"/>
      <c r="W106" s="267"/>
      <c r="X106" s="267"/>
      <c r="Y106" s="93"/>
      <c r="Z106" s="618"/>
      <c r="AA106" s="424"/>
      <c r="AB106" s="715"/>
      <c r="AC106" s="424"/>
      <c r="AD106" s="425"/>
      <c r="AE106" s="424"/>
      <c r="AF106" s="424"/>
      <c r="AG106" s="396"/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2.75" hidden="1" customHeight="1" x14ac:dyDescent="0.2">
      <c r="A107" s="423">
        <f t="shared" si="36"/>
        <v>102</v>
      </c>
      <c r="B107" s="683" t="s">
        <v>3539</v>
      </c>
      <c r="C107" s="655">
        <v>520514</v>
      </c>
      <c r="D107" s="658">
        <v>5398</v>
      </c>
      <c r="E107" s="655" t="s">
        <v>117</v>
      </c>
      <c r="F107" s="546">
        <v>2017</v>
      </c>
      <c r="G107" s="659">
        <v>42884</v>
      </c>
      <c r="H107" s="655" t="s">
        <v>2215</v>
      </c>
      <c r="I107" s="655" t="s">
        <v>3770</v>
      </c>
      <c r="J107" s="655" t="s">
        <v>724</v>
      </c>
      <c r="K107" s="655" t="s">
        <v>3893</v>
      </c>
      <c r="L107" s="655" t="s">
        <v>4029</v>
      </c>
      <c r="M107" s="660">
        <v>-508787.88</v>
      </c>
      <c r="N107" s="660">
        <v>-38194.879999999997</v>
      </c>
      <c r="O107" s="660">
        <v>-87517.24</v>
      </c>
      <c r="P107" s="660">
        <v>-634500</v>
      </c>
      <c r="Q107" s="548"/>
      <c r="R107" s="660">
        <v>-456016.94</v>
      </c>
      <c r="S107" s="549">
        <f t="shared" si="29"/>
        <v>-178483.06</v>
      </c>
      <c r="T107" s="267" t="s">
        <v>1931</v>
      </c>
      <c r="U107" s="267"/>
      <c r="V107" s="93"/>
      <c r="W107" s="267"/>
      <c r="X107" s="267"/>
      <c r="Y107" s="93"/>
      <c r="Z107" s="618"/>
      <c r="AA107" s="424"/>
      <c r="AB107" s="715"/>
      <c r="AC107" s="424"/>
      <c r="AD107" s="425"/>
      <c r="AE107" s="424"/>
      <c r="AF107" s="424"/>
      <c r="AG107" s="396"/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ht="12.75" hidden="1" customHeight="1" x14ac:dyDescent="0.2">
      <c r="A108" s="423">
        <f t="shared" si="36"/>
        <v>103</v>
      </c>
      <c r="B108" s="683" t="s">
        <v>3531</v>
      </c>
      <c r="C108" s="655">
        <v>520514</v>
      </c>
      <c r="D108" s="658">
        <v>5398</v>
      </c>
      <c r="E108" s="655" t="s">
        <v>117</v>
      </c>
      <c r="F108" s="546">
        <v>2017</v>
      </c>
      <c r="G108" s="659">
        <v>42859</v>
      </c>
      <c r="H108" s="655" t="s">
        <v>2215</v>
      </c>
      <c r="I108" s="655" t="s">
        <v>3034</v>
      </c>
      <c r="J108" s="655" t="s">
        <v>724</v>
      </c>
      <c r="K108" s="655" t="s">
        <v>3167</v>
      </c>
      <c r="L108" s="655" t="s">
        <v>3300</v>
      </c>
      <c r="M108" s="660">
        <v>508787.88</v>
      </c>
      <c r="N108" s="660">
        <v>38194.879999999997</v>
      </c>
      <c r="O108" s="660">
        <v>87517.24</v>
      </c>
      <c r="P108" s="660">
        <v>634500</v>
      </c>
      <c r="Q108" s="548"/>
      <c r="R108" s="660">
        <v>456016.94</v>
      </c>
      <c r="S108" s="549">
        <f t="shared" si="29"/>
        <v>178483.06</v>
      </c>
      <c r="T108" s="267" t="s">
        <v>1931</v>
      </c>
      <c r="U108" s="267"/>
      <c r="V108" s="93"/>
      <c r="W108" s="267"/>
      <c r="X108" s="267"/>
      <c r="Y108" s="93"/>
      <c r="Z108" s="618"/>
      <c r="AA108" s="424"/>
      <c r="AB108" s="715"/>
      <c r="AC108" s="424"/>
      <c r="AD108" s="425"/>
      <c r="AE108" s="424"/>
      <c r="AF108" s="424"/>
      <c r="AG108" s="396"/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ht="12.75" hidden="1" customHeight="1" x14ac:dyDescent="0.2">
      <c r="A109" s="423">
        <f t="shared" si="36"/>
        <v>104</v>
      </c>
      <c r="B109" s="683" t="s">
        <v>3538</v>
      </c>
      <c r="C109" s="655">
        <v>520514</v>
      </c>
      <c r="D109" s="658">
        <v>5398</v>
      </c>
      <c r="E109" s="655" t="s">
        <v>117</v>
      </c>
      <c r="F109" s="546">
        <v>2017</v>
      </c>
      <c r="G109" s="659">
        <v>42884</v>
      </c>
      <c r="H109" s="655" t="s">
        <v>2215</v>
      </c>
      <c r="I109" s="655" t="s">
        <v>3034</v>
      </c>
      <c r="J109" s="655" t="s">
        <v>724</v>
      </c>
      <c r="K109" s="655" t="s">
        <v>3167</v>
      </c>
      <c r="L109" s="655" t="s">
        <v>3300</v>
      </c>
      <c r="M109" s="660">
        <v>-508787.88</v>
      </c>
      <c r="N109" s="660">
        <v>-38194.879999999997</v>
      </c>
      <c r="O109" s="660">
        <v>-87517.24</v>
      </c>
      <c r="P109" s="660">
        <v>-634500</v>
      </c>
      <c r="Q109" s="548"/>
      <c r="R109" s="660">
        <v>-456016.94</v>
      </c>
      <c r="S109" s="549">
        <f t="shared" si="29"/>
        <v>-178483.06</v>
      </c>
      <c r="T109" s="267" t="s">
        <v>1931</v>
      </c>
      <c r="U109" s="267"/>
      <c r="V109" s="93"/>
      <c r="W109" s="267"/>
      <c r="X109" s="267"/>
      <c r="Y109" s="93"/>
      <c r="Z109" s="618"/>
      <c r="AA109" s="424"/>
      <c r="AB109" s="715"/>
      <c r="AC109" s="424"/>
      <c r="AD109" s="425"/>
      <c r="AE109" s="424"/>
      <c r="AF109" s="424"/>
      <c r="AG109" s="396"/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ht="12.75" hidden="1" customHeight="1" x14ac:dyDescent="0.2">
      <c r="A110" s="423">
        <f t="shared" si="36"/>
        <v>105</v>
      </c>
      <c r="B110" s="683" t="s">
        <v>3434</v>
      </c>
      <c r="C110" s="655">
        <v>520223</v>
      </c>
      <c r="D110" s="658">
        <v>1796</v>
      </c>
      <c r="E110" s="655" t="s">
        <v>689</v>
      </c>
      <c r="F110" s="546">
        <v>2017</v>
      </c>
      <c r="G110" s="659">
        <v>42879</v>
      </c>
      <c r="H110" s="655" t="s">
        <v>819</v>
      </c>
      <c r="I110" s="655" t="s">
        <v>3706</v>
      </c>
      <c r="J110" s="655" t="s">
        <v>724</v>
      </c>
      <c r="K110" s="655" t="s">
        <v>3850</v>
      </c>
      <c r="L110" s="655" t="s">
        <v>3965</v>
      </c>
      <c r="M110" s="660">
        <v>-250536.43</v>
      </c>
      <c r="N110" s="660">
        <v>-2567.02</v>
      </c>
      <c r="O110" s="660">
        <v>-40496.550000000003</v>
      </c>
      <c r="P110" s="660">
        <v>-293600</v>
      </c>
      <c r="Q110" s="548"/>
      <c r="R110" s="660">
        <v>-211571.1</v>
      </c>
      <c r="S110" s="549">
        <f t="shared" si="29"/>
        <v>-82028.899999999994</v>
      </c>
      <c r="T110" s="267" t="s">
        <v>1931</v>
      </c>
      <c r="U110" s="267"/>
      <c r="V110" s="93"/>
      <c r="W110" s="267"/>
      <c r="X110" s="267"/>
      <c r="Y110" s="93"/>
      <c r="Z110" s="618"/>
      <c r="AA110" s="424"/>
      <c r="AB110" s="715"/>
      <c r="AC110" s="424"/>
      <c r="AD110" s="425"/>
      <c r="AE110" s="424"/>
      <c r="AF110" s="424"/>
      <c r="AG110" s="396"/>
      <c r="AH110" s="361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2.75" hidden="1" customHeight="1" x14ac:dyDescent="0.2">
      <c r="A111" s="423">
        <f t="shared" si="36"/>
        <v>106</v>
      </c>
      <c r="B111" s="683" t="s">
        <v>3435</v>
      </c>
      <c r="C111" s="655">
        <v>520223</v>
      </c>
      <c r="D111" s="658">
        <v>1796</v>
      </c>
      <c r="E111" s="655" t="s">
        <v>689</v>
      </c>
      <c r="F111" s="546">
        <v>2017</v>
      </c>
      <c r="G111" s="659">
        <v>42879</v>
      </c>
      <c r="H111" s="655" t="s">
        <v>819</v>
      </c>
      <c r="I111" s="655" t="s">
        <v>3706</v>
      </c>
      <c r="J111" s="655" t="s">
        <v>724</v>
      </c>
      <c r="K111" s="655" t="s">
        <v>3850</v>
      </c>
      <c r="L111" s="655" t="s">
        <v>3965</v>
      </c>
      <c r="M111" s="660">
        <v>250536.43</v>
      </c>
      <c r="N111" s="660">
        <v>2567.02</v>
      </c>
      <c r="O111" s="660">
        <v>40496.550000000003</v>
      </c>
      <c r="P111" s="660">
        <v>293600</v>
      </c>
      <c r="Q111" s="548"/>
      <c r="R111" s="660">
        <v>211571.1</v>
      </c>
      <c r="S111" s="549">
        <f t="shared" si="29"/>
        <v>82028.899999999994</v>
      </c>
      <c r="T111" s="267" t="s">
        <v>1931</v>
      </c>
      <c r="U111" s="267"/>
      <c r="V111" s="93"/>
      <c r="W111" s="267"/>
      <c r="X111" s="267"/>
      <c r="Y111" s="93"/>
      <c r="Z111" s="618"/>
      <c r="AA111" s="424"/>
      <c r="AB111" s="715"/>
      <c r="AC111" s="424"/>
      <c r="AD111" s="425"/>
      <c r="AE111" s="424"/>
      <c r="AF111" s="424"/>
      <c r="AG111" s="396"/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2.75" hidden="1" customHeight="1" x14ac:dyDescent="0.2">
      <c r="A112" s="423">
        <f t="shared" si="36"/>
        <v>107</v>
      </c>
      <c r="B112" s="683" t="s">
        <v>3425</v>
      </c>
      <c r="C112" s="655">
        <v>521101</v>
      </c>
      <c r="D112" s="658">
        <v>1251</v>
      </c>
      <c r="E112" s="655" t="s">
        <v>700</v>
      </c>
      <c r="F112" s="546">
        <v>2017</v>
      </c>
      <c r="G112" s="659">
        <v>42875</v>
      </c>
      <c r="H112" s="655" t="s">
        <v>788</v>
      </c>
      <c r="I112" s="655" t="s">
        <v>3699</v>
      </c>
      <c r="J112" s="655" t="s">
        <v>724</v>
      </c>
      <c r="K112" s="655" t="s">
        <v>3844</v>
      </c>
      <c r="L112" s="655" t="s">
        <v>3958</v>
      </c>
      <c r="M112" s="660">
        <v>330517.24</v>
      </c>
      <c r="N112" s="660">
        <v>0</v>
      </c>
      <c r="O112" s="660">
        <v>52882.76</v>
      </c>
      <c r="P112" s="660">
        <v>383400</v>
      </c>
      <c r="Q112" s="548"/>
      <c r="R112" s="660">
        <v>283666.84000000003</v>
      </c>
      <c r="S112" s="549">
        <f t="shared" si="29"/>
        <v>99733.159999999974</v>
      </c>
      <c r="T112" s="267" t="s">
        <v>1931</v>
      </c>
      <c r="U112" s="267"/>
      <c r="V112" s="93"/>
      <c r="W112" s="267"/>
      <c r="X112" s="267"/>
      <c r="Y112" s="93"/>
      <c r="Z112" s="618"/>
      <c r="AA112" s="424"/>
      <c r="AB112" s="715"/>
      <c r="AC112" s="424"/>
      <c r="AD112" s="425"/>
      <c r="AE112" s="424"/>
      <c r="AF112" s="424"/>
      <c r="AG112" s="396"/>
      <c r="AH112" s="361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ht="12.75" hidden="1" customHeight="1" x14ac:dyDescent="0.2">
      <c r="A113" s="423">
        <f t="shared" si="36"/>
        <v>108</v>
      </c>
      <c r="B113" s="683" t="s">
        <v>3426</v>
      </c>
      <c r="C113" s="655">
        <v>521101</v>
      </c>
      <c r="D113" s="658">
        <v>1251</v>
      </c>
      <c r="E113" s="655" t="s">
        <v>700</v>
      </c>
      <c r="F113" s="546">
        <v>2017</v>
      </c>
      <c r="G113" s="659">
        <v>42879</v>
      </c>
      <c r="H113" s="655" t="s">
        <v>788</v>
      </c>
      <c r="I113" s="655" t="s">
        <v>3699</v>
      </c>
      <c r="J113" s="655" t="s">
        <v>724</v>
      </c>
      <c r="K113" s="655" t="s">
        <v>3844</v>
      </c>
      <c r="L113" s="655" t="s">
        <v>3958</v>
      </c>
      <c r="M113" s="660">
        <v>-330517.24</v>
      </c>
      <c r="N113" s="660">
        <v>0</v>
      </c>
      <c r="O113" s="660">
        <v>-52882.76</v>
      </c>
      <c r="P113" s="660">
        <v>-383400</v>
      </c>
      <c r="Q113" s="548"/>
      <c r="R113" s="660">
        <v>-283666.84000000003</v>
      </c>
      <c r="S113" s="549">
        <f t="shared" si="29"/>
        <v>-99733.159999999974</v>
      </c>
      <c r="T113" s="267" t="s">
        <v>1931</v>
      </c>
      <c r="U113" s="267"/>
      <c r="V113" s="93"/>
      <c r="W113" s="267"/>
      <c r="X113" s="267"/>
      <c r="Y113" s="93"/>
      <c r="Z113" s="618"/>
      <c r="AA113" s="424"/>
      <c r="AB113" s="715"/>
      <c r="AC113" s="424"/>
      <c r="AD113" s="425"/>
      <c r="AE113" s="424"/>
      <c r="AF113" s="424"/>
      <c r="AG113" s="396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2.75" hidden="1" customHeight="1" x14ac:dyDescent="0.2">
      <c r="A114" s="423">
        <f t="shared" si="36"/>
        <v>109</v>
      </c>
      <c r="B114" s="683" t="s">
        <v>3565</v>
      </c>
      <c r="C114" s="655">
        <v>521502</v>
      </c>
      <c r="D114" s="658">
        <v>5611</v>
      </c>
      <c r="E114" s="655" t="s">
        <v>225</v>
      </c>
      <c r="F114" s="546">
        <v>2018</v>
      </c>
      <c r="G114" s="659">
        <v>42875</v>
      </c>
      <c r="H114" s="655" t="s">
        <v>817</v>
      </c>
      <c r="I114" s="655" t="s">
        <v>3784</v>
      </c>
      <c r="J114" s="655" t="s">
        <v>724</v>
      </c>
      <c r="K114" s="655" t="s">
        <v>3902</v>
      </c>
      <c r="L114" s="655" t="s">
        <v>4043</v>
      </c>
      <c r="M114" s="660">
        <v>390506.91</v>
      </c>
      <c r="N114" s="660">
        <v>19148.259999999998</v>
      </c>
      <c r="O114" s="660">
        <v>65544.83</v>
      </c>
      <c r="P114" s="660">
        <v>475200</v>
      </c>
      <c r="Q114" s="548"/>
      <c r="R114" s="660">
        <v>345842.5</v>
      </c>
      <c r="S114" s="549">
        <f t="shared" si="29"/>
        <v>129357.5</v>
      </c>
      <c r="T114" s="113" t="s">
        <v>1931</v>
      </c>
      <c r="U114" s="267"/>
      <c r="V114" s="93"/>
      <c r="W114" s="267"/>
      <c r="X114" s="267"/>
      <c r="Y114" s="93"/>
      <c r="Z114" s="618"/>
      <c r="AA114" s="424"/>
      <c r="AB114" s="715"/>
      <c r="AC114" s="424"/>
      <c r="AD114" s="425"/>
      <c r="AE114" s="424"/>
      <c r="AF114" s="424"/>
      <c r="AG114" s="396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ht="12.75" hidden="1" customHeight="1" x14ac:dyDescent="0.2">
      <c r="A115" s="423">
        <f t="shared" si="36"/>
        <v>110</v>
      </c>
      <c r="B115" s="683" t="s">
        <v>3566</v>
      </c>
      <c r="C115" s="655">
        <v>521502</v>
      </c>
      <c r="D115" s="658">
        <v>5611</v>
      </c>
      <c r="E115" s="655" t="s">
        <v>225</v>
      </c>
      <c r="F115" s="546">
        <v>2018</v>
      </c>
      <c r="G115" s="659">
        <v>42879</v>
      </c>
      <c r="H115" s="655" t="s">
        <v>817</v>
      </c>
      <c r="I115" s="655" t="s">
        <v>3784</v>
      </c>
      <c r="J115" s="655" t="s">
        <v>724</v>
      </c>
      <c r="K115" s="655" t="s">
        <v>3902</v>
      </c>
      <c r="L115" s="655" t="s">
        <v>4043</v>
      </c>
      <c r="M115" s="660">
        <v>-390506.91</v>
      </c>
      <c r="N115" s="660">
        <v>-19148.259999999998</v>
      </c>
      <c r="O115" s="660">
        <v>-65544.83</v>
      </c>
      <c r="P115" s="660">
        <v>-475200</v>
      </c>
      <c r="Q115" s="548"/>
      <c r="R115" s="660">
        <v>-345842.5</v>
      </c>
      <c r="S115" s="549">
        <f t="shared" si="29"/>
        <v>-129357.5</v>
      </c>
      <c r="T115" s="113" t="s">
        <v>1931</v>
      </c>
      <c r="U115" s="267"/>
      <c r="V115" s="93"/>
      <c r="W115" s="267"/>
      <c r="X115" s="267"/>
      <c r="Y115" s="93"/>
      <c r="Z115" s="618"/>
      <c r="AA115" s="424"/>
      <c r="AB115" s="715"/>
      <c r="AC115" s="424"/>
      <c r="AD115" s="425"/>
      <c r="AE115" s="424"/>
      <c r="AF115" s="424"/>
      <c r="AG115" s="396"/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ht="12.75" hidden="1" customHeight="1" x14ac:dyDescent="0.2">
      <c r="A116" s="423">
        <f t="shared" si="36"/>
        <v>111</v>
      </c>
      <c r="B116" s="683" t="s">
        <v>3553</v>
      </c>
      <c r="C116" s="655">
        <v>521502</v>
      </c>
      <c r="D116" s="658">
        <v>5611</v>
      </c>
      <c r="E116" s="655" t="s">
        <v>225</v>
      </c>
      <c r="F116" s="546">
        <v>2017</v>
      </c>
      <c r="G116" s="659">
        <v>42857</v>
      </c>
      <c r="H116" s="655" t="s">
        <v>747</v>
      </c>
      <c r="I116" s="655" t="s">
        <v>1614</v>
      </c>
      <c r="J116" s="655" t="s">
        <v>724</v>
      </c>
      <c r="K116" s="655" t="s">
        <v>2453</v>
      </c>
      <c r="L116" s="655" t="s">
        <v>1876</v>
      </c>
      <c r="M116" s="660">
        <v>-375364.49</v>
      </c>
      <c r="N116" s="660">
        <v>-16876.89</v>
      </c>
      <c r="O116" s="660">
        <v>-62758.62</v>
      </c>
      <c r="P116" s="660">
        <v>-455000</v>
      </c>
      <c r="Q116" s="548"/>
      <c r="R116" s="660">
        <v>-335727.72</v>
      </c>
      <c r="S116" s="549">
        <f t="shared" si="29"/>
        <v>-119272.28000000003</v>
      </c>
      <c r="T116" s="267" t="s">
        <v>1931</v>
      </c>
      <c r="U116" s="267"/>
      <c r="V116" s="93"/>
      <c r="W116" s="267"/>
      <c r="X116" s="267"/>
      <c r="Y116" s="93"/>
      <c r="Z116" s="618"/>
      <c r="AA116" s="424"/>
      <c r="AB116" s="715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ht="12.75" hidden="1" customHeight="1" x14ac:dyDescent="0.2">
      <c r="A117" s="423">
        <f t="shared" si="36"/>
        <v>112</v>
      </c>
      <c r="B117" s="683" t="s">
        <v>3554</v>
      </c>
      <c r="C117" s="655">
        <v>521502</v>
      </c>
      <c r="D117" s="658">
        <v>5611</v>
      </c>
      <c r="E117" s="655" t="s">
        <v>225</v>
      </c>
      <c r="F117" s="546">
        <v>2017</v>
      </c>
      <c r="G117" s="659">
        <v>42857</v>
      </c>
      <c r="H117" s="655" t="s">
        <v>747</v>
      </c>
      <c r="I117" s="655" t="s">
        <v>1614</v>
      </c>
      <c r="J117" s="655" t="s">
        <v>724</v>
      </c>
      <c r="K117" s="655" t="s">
        <v>2453</v>
      </c>
      <c r="L117" s="655" t="s">
        <v>1876</v>
      </c>
      <c r="M117" s="660">
        <v>375364.49</v>
      </c>
      <c r="N117" s="660">
        <v>16876.89</v>
      </c>
      <c r="O117" s="660">
        <v>62758.62</v>
      </c>
      <c r="P117" s="660">
        <v>455000</v>
      </c>
      <c r="Q117" s="548"/>
      <c r="R117" s="660">
        <v>335727.72</v>
      </c>
      <c r="S117" s="549">
        <f t="shared" si="29"/>
        <v>119272.28000000003</v>
      </c>
      <c r="T117" s="113" t="s">
        <v>1931</v>
      </c>
      <c r="U117" s="267"/>
      <c r="V117" s="93"/>
      <c r="W117" s="267"/>
      <c r="X117" s="267"/>
      <c r="Y117" s="93"/>
      <c r="Z117" s="618"/>
      <c r="AA117" s="424"/>
      <c r="AB117" s="715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ht="12.75" hidden="1" customHeight="1" x14ac:dyDescent="0.2">
      <c r="A118" s="423">
        <f t="shared" si="36"/>
        <v>113</v>
      </c>
      <c r="B118" s="683" t="s">
        <v>3555</v>
      </c>
      <c r="C118" s="655">
        <v>521502</v>
      </c>
      <c r="D118" s="658">
        <v>5611</v>
      </c>
      <c r="E118" s="655" t="s">
        <v>225</v>
      </c>
      <c r="F118" s="546">
        <v>2017</v>
      </c>
      <c r="G118" s="659">
        <v>42858</v>
      </c>
      <c r="H118" s="655" t="s">
        <v>747</v>
      </c>
      <c r="I118" s="655" t="s">
        <v>1614</v>
      </c>
      <c r="J118" s="655" t="s">
        <v>724</v>
      </c>
      <c r="K118" s="655" t="s">
        <v>2453</v>
      </c>
      <c r="L118" s="655" t="s">
        <v>1876</v>
      </c>
      <c r="M118" s="660">
        <v>-375364.49</v>
      </c>
      <c r="N118" s="660">
        <v>-16876.89</v>
      </c>
      <c r="O118" s="660">
        <v>-62758.62</v>
      </c>
      <c r="P118" s="660">
        <v>-455000</v>
      </c>
      <c r="Q118" s="548"/>
      <c r="R118" s="660">
        <v>-335727.72</v>
      </c>
      <c r="S118" s="549">
        <f t="shared" si="29"/>
        <v>-119272.28000000003</v>
      </c>
      <c r="T118" s="267" t="s">
        <v>1931</v>
      </c>
      <c r="U118" s="267"/>
      <c r="V118" s="93"/>
      <c r="W118" s="267"/>
      <c r="X118" s="267"/>
      <c r="Y118" s="93"/>
      <c r="Z118" s="618"/>
      <c r="AA118" s="424"/>
      <c r="AB118" s="715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ht="12.75" hidden="1" customHeight="1" x14ac:dyDescent="0.2">
      <c r="A119" s="423">
        <f t="shared" si="36"/>
        <v>114</v>
      </c>
      <c r="B119" s="683" t="s">
        <v>3556</v>
      </c>
      <c r="C119" s="655">
        <v>521502</v>
      </c>
      <c r="D119" s="658">
        <v>5611</v>
      </c>
      <c r="E119" s="655" t="s">
        <v>225</v>
      </c>
      <c r="F119" s="546">
        <v>2017</v>
      </c>
      <c r="G119" s="659">
        <v>42858</v>
      </c>
      <c r="H119" s="655" t="s">
        <v>743</v>
      </c>
      <c r="I119" s="655" t="s">
        <v>1614</v>
      </c>
      <c r="J119" s="655" t="s">
        <v>724</v>
      </c>
      <c r="K119" s="655" t="s">
        <v>3900</v>
      </c>
      <c r="L119" s="655" t="s">
        <v>1876</v>
      </c>
      <c r="M119" s="660">
        <v>-219827.59</v>
      </c>
      <c r="N119" s="660">
        <v>0</v>
      </c>
      <c r="O119" s="660">
        <v>-35172.410000000003</v>
      </c>
      <c r="P119" s="660">
        <v>-255000</v>
      </c>
      <c r="Q119" s="548"/>
      <c r="R119" s="660">
        <v>-335727.72</v>
      </c>
      <c r="S119" s="549">
        <f t="shared" si="29"/>
        <v>80727.719999999972</v>
      </c>
      <c r="T119" s="267" t="s">
        <v>1931</v>
      </c>
      <c r="U119" s="267"/>
      <c r="V119" s="93"/>
      <c r="W119" s="267"/>
      <c r="X119" s="267"/>
      <c r="Y119" s="93"/>
      <c r="Z119" s="618"/>
      <c r="AA119" s="424"/>
      <c r="AB119" s="715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ht="12.75" hidden="1" customHeight="1" x14ac:dyDescent="0.2">
      <c r="A120" s="423">
        <f t="shared" si="36"/>
        <v>115</v>
      </c>
      <c r="B120" s="683" t="s">
        <v>3557</v>
      </c>
      <c r="C120" s="655">
        <v>521502</v>
      </c>
      <c r="D120" s="658">
        <v>5611</v>
      </c>
      <c r="E120" s="655" t="s">
        <v>225</v>
      </c>
      <c r="F120" s="546">
        <v>2017</v>
      </c>
      <c r="G120" s="659">
        <v>42858</v>
      </c>
      <c r="H120" s="655" t="s">
        <v>743</v>
      </c>
      <c r="I120" s="655" t="s">
        <v>1614</v>
      </c>
      <c r="J120" s="655" t="s">
        <v>724</v>
      </c>
      <c r="K120" s="655" t="s">
        <v>3900</v>
      </c>
      <c r="L120" s="655" t="s">
        <v>1876</v>
      </c>
      <c r="M120" s="660">
        <v>219827.59</v>
      </c>
      <c r="N120" s="660">
        <v>0</v>
      </c>
      <c r="O120" s="660">
        <v>35172.410000000003</v>
      </c>
      <c r="P120" s="660">
        <v>255000</v>
      </c>
      <c r="Q120" s="548"/>
      <c r="R120" s="660">
        <v>335727.72</v>
      </c>
      <c r="S120" s="549">
        <f t="shared" si="29"/>
        <v>-80727.719999999972</v>
      </c>
      <c r="T120" s="267" t="s">
        <v>1931</v>
      </c>
      <c r="U120" s="267"/>
      <c r="V120" s="93"/>
      <c r="W120" s="267"/>
      <c r="X120" s="267"/>
      <c r="Y120" s="93"/>
      <c r="Z120" s="618"/>
      <c r="AA120" s="424"/>
      <c r="AB120" s="716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ht="12.75" hidden="1" customHeight="1" x14ac:dyDescent="0.2">
      <c r="A121" s="423">
        <f t="shared" si="36"/>
        <v>116</v>
      </c>
      <c r="B121" s="683" t="s">
        <v>3558</v>
      </c>
      <c r="C121" s="655">
        <v>521502</v>
      </c>
      <c r="D121" s="658">
        <v>5611</v>
      </c>
      <c r="E121" s="655" t="s">
        <v>225</v>
      </c>
      <c r="F121" s="546">
        <v>2017</v>
      </c>
      <c r="G121" s="659">
        <v>42858</v>
      </c>
      <c r="H121" s="655" t="s">
        <v>743</v>
      </c>
      <c r="I121" s="655" t="s">
        <v>1614</v>
      </c>
      <c r="J121" s="655" t="s">
        <v>724</v>
      </c>
      <c r="K121" s="655" t="s">
        <v>3900</v>
      </c>
      <c r="L121" s="655" t="s">
        <v>1876</v>
      </c>
      <c r="M121" s="660">
        <v>375364.49</v>
      </c>
      <c r="N121" s="660">
        <v>16876.89</v>
      </c>
      <c r="O121" s="660">
        <v>62758.62</v>
      </c>
      <c r="P121" s="660">
        <v>455000</v>
      </c>
      <c r="Q121" s="548"/>
      <c r="R121" s="660">
        <v>335727.72</v>
      </c>
      <c r="S121" s="549">
        <f t="shared" si="29"/>
        <v>119272.28000000003</v>
      </c>
      <c r="T121" s="267" t="s">
        <v>1931</v>
      </c>
      <c r="U121" s="267"/>
      <c r="V121" s="93"/>
      <c r="W121" s="267"/>
      <c r="X121" s="267"/>
      <c r="Y121" s="93"/>
      <c r="Z121" s="618"/>
      <c r="AA121" s="424"/>
      <c r="AB121" s="716"/>
      <c r="AC121" s="424"/>
      <c r="AD121" s="425"/>
      <c r="AE121" s="424"/>
      <c r="AF121" s="424"/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ht="12.75" hidden="1" customHeight="1" x14ac:dyDescent="0.2">
      <c r="A122" s="423">
        <f t="shared" si="36"/>
        <v>117</v>
      </c>
      <c r="B122" s="683" t="s">
        <v>3560</v>
      </c>
      <c r="C122" s="655">
        <v>521502</v>
      </c>
      <c r="D122" s="658">
        <v>5611</v>
      </c>
      <c r="E122" s="655" t="s">
        <v>225</v>
      </c>
      <c r="F122" s="546">
        <v>2017</v>
      </c>
      <c r="G122" s="659">
        <v>42864</v>
      </c>
      <c r="H122" s="655" t="s">
        <v>743</v>
      </c>
      <c r="I122" s="655" t="s">
        <v>1614</v>
      </c>
      <c r="J122" s="655" t="s">
        <v>724</v>
      </c>
      <c r="K122" s="655" t="s">
        <v>3900</v>
      </c>
      <c r="L122" s="655" t="s">
        <v>1876</v>
      </c>
      <c r="M122" s="660">
        <v>-375364.49</v>
      </c>
      <c r="N122" s="660">
        <v>-16876.89</v>
      </c>
      <c r="O122" s="660">
        <v>-62758.62</v>
      </c>
      <c r="P122" s="660">
        <v>-455000</v>
      </c>
      <c r="Q122" s="548"/>
      <c r="R122" s="660">
        <v>-335727.72</v>
      </c>
      <c r="S122" s="549">
        <f t="shared" si="29"/>
        <v>-119272.28000000003</v>
      </c>
      <c r="T122" s="113" t="s">
        <v>1931</v>
      </c>
      <c r="U122" s="267"/>
      <c r="V122" s="93"/>
      <c r="W122" s="267"/>
      <c r="X122" s="267"/>
      <c r="Y122" s="93"/>
      <c r="Z122" s="618"/>
      <c r="AA122" s="424"/>
      <c r="AB122" s="716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ht="12.75" hidden="1" customHeight="1" x14ac:dyDescent="0.2">
      <c r="A123" s="423">
        <f t="shared" si="36"/>
        <v>118</v>
      </c>
      <c r="B123" s="683" t="s">
        <v>3561</v>
      </c>
      <c r="C123" s="655">
        <v>521502</v>
      </c>
      <c r="D123" s="658">
        <v>5611</v>
      </c>
      <c r="E123" s="655" t="s">
        <v>225</v>
      </c>
      <c r="F123" s="546">
        <v>2017</v>
      </c>
      <c r="G123" s="659">
        <v>42864</v>
      </c>
      <c r="H123" s="655" t="s">
        <v>743</v>
      </c>
      <c r="I123" s="655" t="s">
        <v>1614</v>
      </c>
      <c r="J123" s="655" t="s">
        <v>724</v>
      </c>
      <c r="K123" s="655" t="s">
        <v>3900</v>
      </c>
      <c r="L123" s="655" t="s">
        <v>1876</v>
      </c>
      <c r="M123" s="660">
        <v>375364.49</v>
      </c>
      <c r="N123" s="660">
        <v>16876.89</v>
      </c>
      <c r="O123" s="660">
        <v>62758.62</v>
      </c>
      <c r="P123" s="660">
        <v>455000</v>
      </c>
      <c r="Q123" s="548"/>
      <c r="R123" s="660">
        <v>335727.72</v>
      </c>
      <c r="S123" s="549">
        <f t="shared" si="29"/>
        <v>119272.28000000003</v>
      </c>
      <c r="T123" s="113" t="s">
        <v>1931</v>
      </c>
      <c r="U123" s="267"/>
      <c r="V123" s="93"/>
      <c r="W123" s="267"/>
      <c r="X123" s="267"/>
      <c r="Y123" s="93"/>
      <c r="Z123" s="618"/>
      <c r="AA123" s="424"/>
      <c r="AB123" s="716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ht="12.75" hidden="1" customHeight="1" x14ac:dyDescent="0.2">
      <c r="A124" s="423">
        <f t="shared" si="36"/>
        <v>119</v>
      </c>
      <c r="B124" s="683" t="s">
        <v>3563</v>
      </c>
      <c r="C124" s="655">
        <v>521502</v>
      </c>
      <c r="D124" s="658">
        <v>5611</v>
      </c>
      <c r="E124" s="655" t="s">
        <v>225</v>
      </c>
      <c r="F124" s="546">
        <v>2018</v>
      </c>
      <c r="G124" s="659">
        <v>42866</v>
      </c>
      <c r="H124" s="655" t="s">
        <v>747</v>
      </c>
      <c r="I124" s="655" t="s">
        <v>3783</v>
      </c>
      <c r="J124" s="655" t="s">
        <v>724</v>
      </c>
      <c r="K124" s="655" t="s">
        <v>2462</v>
      </c>
      <c r="L124" s="655" t="s">
        <v>4042</v>
      </c>
      <c r="M124" s="660">
        <v>390506.91</v>
      </c>
      <c r="N124" s="660">
        <v>19148.259999999998</v>
      </c>
      <c r="O124" s="660">
        <v>65544.83</v>
      </c>
      <c r="P124" s="660">
        <v>475200</v>
      </c>
      <c r="Q124" s="548"/>
      <c r="R124" s="660">
        <v>345842.5</v>
      </c>
      <c r="S124" s="549">
        <f t="shared" si="29"/>
        <v>129357.5</v>
      </c>
      <c r="T124" s="113" t="s">
        <v>1931</v>
      </c>
      <c r="U124" s="267"/>
      <c r="V124" s="93"/>
      <c r="W124" s="267"/>
      <c r="X124" s="267"/>
      <c r="Y124" s="93"/>
      <c r="Z124" s="618"/>
      <c r="AA124" s="424"/>
      <c r="AB124" s="716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ht="12.75" hidden="1" customHeight="1" x14ac:dyDescent="0.2">
      <c r="A125" s="423">
        <f t="shared" si="36"/>
        <v>120</v>
      </c>
      <c r="B125" s="683" t="s">
        <v>3564</v>
      </c>
      <c r="C125" s="655">
        <v>521502</v>
      </c>
      <c r="D125" s="658">
        <v>5611</v>
      </c>
      <c r="E125" s="655" t="s">
        <v>225</v>
      </c>
      <c r="F125" s="546">
        <v>2018</v>
      </c>
      <c r="G125" s="659">
        <v>42871</v>
      </c>
      <c r="H125" s="655" t="s">
        <v>747</v>
      </c>
      <c r="I125" s="655" t="s">
        <v>3783</v>
      </c>
      <c r="J125" s="655" t="s">
        <v>724</v>
      </c>
      <c r="K125" s="655" t="s">
        <v>2462</v>
      </c>
      <c r="L125" s="655" t="s">
        <v>4042</v>
      </c>
      <c r="M125" s="660">
        <v>-390506.91</v>
      </c>
      <c r="N125" s="660">
        <v>-19148.259999999998</v>
      </c>
      <c r="O125" s="660">
        <v>-65544.83</v>
      </c>
      <c r="P125" s="660">
        <v>-475200</v>
      </c>
      <c r="Q125" s="548"/>
      <c r="R125" s="660">
        <v>-345842.5</v>
      </c>
      <c r="S125" s="549">
        <f t="shared" si="29"/>
        <v>-129357.5</v>
      </c>
      <c r="T125" s="113" t="s">
        <v>1931</v>
      </c>
      <c r="U125" s="267"/>
      <c r="V125" s="93"/>
      <c r="W125" s="267"/>
      <c r="X125" s="267"/>
      <c r="Y125" s="93"/>
      <c r="Z125" s="618"/>
      <c r="AA125" s="424"/>
      <c r="AB125" s="716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ht="12.75" hidden="1" customHeight="1" x14ac:dyDescent="0.2">
      <c r="A126" s="423">
        <f t="shared" si="36"/>
        <v>121</v>
      </c>
      <c r="B126" s="683" t="s">
        <v>3568</v>
      </c>
      <c r="C126" s="655">
        <v>521502</v>
      </c>
      <c r="D126" s="658">
        <v>5611</v>
      </c>
      <c r="E126" s="655" t="s">
        <v>225</v>
      </c>
      <c r="F126" s="546">
        <v>2018</v>
      </c>
      <c r="G126" s="659">
        <v>42881</v>
      </c>
      <c r="H126" s="655" t="s">
        <v>747</v>
      </c>
      <c r="I126" s="655" t="s">
        <v>3783</v>
      </c>
      <c r="J126" s="655" t="s">
        <v>724</v>
      </c>
      <c r="K126" s="655" t="s">
        <v>3899</v>
      </c>
      <c r="L126" s="655" t="s">
        <v>4042</v>
      </c>
      <c r="M126" s="660">
        <v>390506.91</v>
      </c>
      <c r="N126" s="660">
        <v>19148.259999999998</v>
      </c>
      <c r="O126" s="660">
        <v>65544.83</v>
      </c>
      <c r="P126" s="660">
        <v>475200</v>
      </c>
      <c r="Q126" s="548"/>
      <c r="R126" s="660">
        <v>345842.5</v>
      </c>
      <c r="S126" s="549">
        <f t="shared" si="29"/>
        <v>129357.5</v>
      </c>
      <c r="T126" s="444" t="s">
        <v>1931</v>
      </c>
      <c r="U126" s="267"/>
      <c r="V126" s="93"/>
      <c r="W126" s="267"/>
      <c r="X126" s="267"/>
      <c r="Y126" s="93"/>
      <c r="Z126" s="618"/>
      <c r="AA126" s="424"/>
      <c r="AB126" s="716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ht="12.75" hidden="1" customHeight="1" x14ac:dyDescent="0.2">
      <c r="A127" s="423">
        <f t="shared" si="36"/>
        <v>122</v>
      </c>
      <c r="B127" s="683" t="s">
        <v>3569</v>
      </c>
      <c r="C127" s="655">
        <v>521502</v>
      </c>
      <c r="D127" s="658">
        <v>5611</v>
      </c>
      <c r="E127" s="655" t="s">
        <v>225</v>
      </c>
      <c r="F127" s="546">
        <v>2018</v>
      </c>
      <c r="G127" s="659">
        <v>42882</v>
      </c>
      <c r="H127" s="655" t="s">
        <v>747</v>
      </c>
      <c r="I127" s="655" t="s">
        <v>3783</v>
      </c>
      <c r="J127" s="655" t="s">
        <v>724</v>
      </c>
      <c r="K127" s="655" t="s">
        <v>3899</v>
      </c>
      <c r="L127" s="655" t="s">
        <v>4042</v>
      </c>
      <c r="M127" s="660">
        <v>-390506.91</v>
      </c>
      <c r="N127" s="660">
        <v>-19148.259999999998</v>
      </c>
      <c r="O127" s="660">
        <v>-65544.83</v>
      </c>
      <c r="P127" s="660">
        <v>-475200</v>
      </c>
      <c r="Q127" s="548"/>
      <c r="R127" s="660">
        <v>-345842.5</v>
      </c>
      <c r="S127" s="549">
        <f t="shared" si="29"/>
        <v>-129357.5</v>
      </c>
      <c r="T127" s="267" t="s">
        <v>1931</v>
      </c>
      <c r="U127" s="267"/>
      <c r="V127" s="93"/>
      <c r="W127" s="267"/>
      <c r="X127" s="267"/>
      <c r="Y127" s="93"/>
      <c r="Z127" s="618"/>
      <c r="AA127" s="424"/>
      <c r="AB127" s="716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ht="12.75" hidden="1" customHeight="1" x14ac:dyDescent="0.2">
      <c r="A128" s="423">
        <f t="shared" si="36"/>
        <v>123</v>
      </c>
      <c r="B128" s="683" t="s">
        <v>3570</v>
      </c>
      <c r="C128" s="655">
        <v>521502</v>
      </c>
      <c r="D128" s="658">
        <v>5611</v>
      </c>
      <c r="E128" s="655" t="s">
        <v>225</v>
      </c>
      <c r="F128" s="546">
        <v>2018</v>
      </c>
      <c r="G128" s="659">
        <v>42882</v>
      </c>
      <c r="H128" s="655" t="s">
        <v>747</v>
      </c>
      <c r="I128" s="655" t="s">
        <v>3783</v>
      </c>
      <c r="J128" s="655" t="s">
        <v>724</v>
      </c>
      <c r="K128" s="655" t="s">
        <v>2453</v>
      </c>
      <c r="L128" s="655" t="s">
        <v>4042</v>
      </c>
      <c r="M128" s="660">
        <v>-379112.61</v>
      </c>
      <c r="N128" s="660">
        <v>-17439.11</v>
      </c>
      <c r="O128" s="660">
        <v>-63448.28</v>
      </c>
      <c r="P128" s="660">
        <v>-460000</v>
      </c>
      <c r="Q128" s="548"/>
      <c r="R128" s="660">
        <v>-345842.5</v>
      </c>
      <c r="S128" s="549">
        <f t="shared" si="29"/>
        <v>-114157.5</v>
      </c>
      <c r="T128" s="113" t="s">
        <v>1931</v>
      </c>
      <c r="U128" s="267"/>
      <c r="V128" s="93"/>
      <c r="W128" s="267"/>
      <c r="X128" s="267"/>
      <c r="Y128" s="93"/>
      <c r="Z128" s="618"/>
      <c r="AA128" s="424"/>
      <c r="AB128" s="716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ht="12.75" hidden="1" customHeight="1" x14ac:dyDescent="0.2">
      <c r="A129" s="423">
        <f t="shared" si="36"/>
        <v>124</v>
      </c>
      <c r="B129" s="683" t="s">
        <v>3571</v>
      </c>
      <c r="C129" s="655">
        <v>521502</v>
      </c>
      <c r="D129" s="658">
        <v>5611</v>
      </c>
      <c r="E129" s="655" t="s">
        <v>225</v>
      </c>
      <c r="F129" s="546">
        <v>2018</v>
      </c>
      <c r="G129" s="659">
        <v>42882</v>
      </c>
      <c r="H129" s="655" t="s">
        <v>747</v>
      </c>
      <c r="I129" s="655" t="s">
        <v>3783</v>
      </c>
      <c r="J129" s="655" t="s">
        <v>724</v>
      </c>
      <c r="K129" s="655" t="s">
        <v>2453</v>
      </c>
      <c r="L129" s="655" t="s">
        <v>4042</v>
      </c>
      <c r="M129" s="660">
        <v>379112.61</v>
      </c>
      <c r="N129" s="660">
        <v>17439.11</v>
      </c>
      <c r="O129" s="660">
        <v>63448.28</v>
      </c>
      <c r="P129" s="660">
        <v>460000</v>
      </c>
      <c r="Q129" s="548"/>
      <c r="R129" s="660">
        <v>345842.5</v>
      </c>
      <c r="S129" s="549">
        <f t="shared" si="29"/>
        <v>114157.5</v>
      </c>
      <c r="T129" s="113" t="s">
        <v>1931</v>
      </c>
      <c r="U129" s="267"/>
      <c r="V129" s="93"/>
      <c r="W129" s="267"/>
      <c r="X129" s="267"/>
      <c r="Y129" s="93"/>
      <c r="Z129" s="618"/>
      <c r="AA129" s="424"/>
      <c r="AB129" s="716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ht="12.75" hidden="1" customHeight="1" x14ac:dyDescent="0.2">
      <c r="A130" s="423">
        <f t="shared" si="36"/>
        <v>125</v>
      </c>
      <c r="B130" s="683" t="s">
        <v>3585</v>
      </c>
      <c r="C130" s="655">
        <v>1520104</v>
      </c>
      <c r="D130" s="658">
        <v>7493</v>
      </c>
      <c r="E130" s="655" t="s">
        <v>711</v>
      </c>
      <c r="F130" s="546">
        <v>2017</v>
      </c>
      <c r="G130" s="659">
        <v>42859</v>
      </c>
      <c r="H130" s="655" t="s">
        <v>819</v>
      </c>
      <c r="I130" s="655" t="s">
        <v>3391</v>
      </c>
      <c r="J130" s="655" t="s">
        <v>724</v>
      </c>
      <c r="K130" s="655" t="s">
        <v>3176</v>
      </c>
      <c r="L130" s="655" t="s">
        <v>3409</v>
      </c>
      <c r="M130" s="660">
        <v>-238095.24</v>
      </c>
      <c r="N130" s="660">
        <v>-11904.76</v>
      </c>
      <c r="O130" s="660">
        <v>-40000</v>
      </c>
      <c r="P130" s="660">
        <v>-290000</v>
      </c>
      <c r="Q130" s="548"/>
      <c r="R130" s="660">
        <v>-218561.35</v>
      </c>
      <c r="S130" s="549">
        <f t="shared" si="29"/>
        <v>-71438.649999999994</v>
      </c>
      <c r="T130" s="113" t="s">
        <v>1931</v>
      </c>
      <c r="U130" s="267"/>
      <c r="V130" s="93"/>
      <c r="W130" s="267"/>
      <c r="X130" s="267"/>
      <c r="Y130" s="93"/>
      <c r="Z130" s="618"/>
      <c r="AA130" s="424"/>
      <c r="AB130" s="716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ht="12.75" hidden="1" customHeight="1" x14ac:dyDescent="0.2">
      <c r="A131" s="423">
        <f t="shared" si="36"/>
        <v>126</v>
      </c>
      <c r="B131" s="683" t="s">
        <v>3586</v>
      </c>
      <c r="C131" s="655">
        <v>1520104</v>
      </c>
      <c r="D131" s="658">
        <v>7493</v>
      </c>
      <c r="E131" s="655" t="s">
        <v>711</v>
      </c>
      <c r="F131" s="546">
        <v>2017</v>
      </c>
      <c r="G131" s="659">
        <v>42859</v>
      </c>
      <c r="H131" s="655" t="s">
        <v>819</v>
      </c>
      <c r="I131" s="655" t="s">
        <v>3391</v>
      </c>
      <c r="J131" s="655" t="s">
        <v>724</v>
      </c>
      <c r="K131" s="655" t="s">
        <v>3176</v>
      </c>
      <c r="L131" s="655" t="s">
        <v>3409</v>
      </c>
      <c r="M131" s="660">
        <v>-250000</v>
      </c>
      <c r="N131" s="660">
        <v>-12500</v>
      </c>
      <c r="O131" s="660">
        <v>-42000</v>
      </c>
      <c r="P131" s="660">
        <v>-304500</v>
      </c>
      <c r="Q131" s="548"/>
      <c r="R131" s="660">
        <v>-218561.35</v>
      </c>
      <c r="S131" s="549">
        <f t="shared" si="29"/>
        <v>-85938.65</v>
      </c>
      <c r="T131" s="267" t="s">
        <v>1931</v>
      </c>
      <c r="U131" s="267"/>
      <c r="V131" s="93"/>
      <c r="W131" s="267"/>
      <c r="X131" s="267"/>
      <c r="Y131" s="93"/>
      <c r="Z131" s="618"/>
      <c r="AA131" s="424"/>
      <c r="AB131" s="716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ht="12.75" hidden="1" customHeight="1" x14ac:dyDescent="0.2">
      <c r="A132" s="423">
        <f t="shared" si="36"/>
        <v>127</v>
      </c>
      <c r="B132" s="683" t="s">
        <v>3587</v>
      </c>
      <c r="C132" s="655">
        <v>1520104</v>
      </c>
      <c r="D132" s="658">
        <v>7493</v>
      </c>
      <c r="E132" s="655" t="s">
        <v>711</v>
      </c>
      <c r="F132" s="546">
        <v>2017</v>
      </c>
      <c r="G132" s="659">
        <v>42859</v>
      </c>
      <c r="H132" s="655" t="s">
        <v>819</v>
      </c>
      <c r="I132" s="655" t="s">
        <v>3391</v>
      </c>
      <c r="J132" s="655" t="s">
        <v>724</v>
      </c>
      <c r="K132" s="655" t="s">
        <v>3176</v>
      </c>
      <c r="L132" s="655" t="s">
        <v>3409</v>
      </c>
      <c r="M132" s="660">
        <v>250000</v>
      </c>
      <c r="N132" s="660">
        <v>12500</v>
      </c>
      <c r="O132" s="660">
        <v>42000</v>
      </c>
      <c r="P132" s="660">
        <v>304500</v>
      </c>
      <c r="Q132" s="548"/>
      <c r="R132" s="660">
        <v>218561.35</v>
      </c>
      <c r="S132" s="549">
        <f t="shared" si="29"/>
        <v>85938.65</v>
      </c>
      <c r="T132" s="113" t="s">
        <v>1931</v>
      </c>
      <c r="U132" s="267"/>
      <c r="V132" s="93"/>
      <c r="W132" s="267"/>
      <c r="X132" s="267"/>
      <c r="Y132" s="93"/>
      <c r="Z132" s="618"/>
      <c r="AA132" s="424"/>
      <c r="AB132" s="716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ht="12.75" hidden="1" customHeight="1" x14ac:dyDescent="0.2">
      <c r="A133" s="423">
        <f t="shared" si="36"/>
        <v>128</v>
      </c>
      <c r="B133" s="683" t="s">
        <v>3588</v>
      </c>
      <c r="C133" s="655">
        <v>1520104</v>
      </c>
      <c r="D133" s="658">
        <v>7493</v>
      </c>
      <c r="E133" s="655" t="s">
        <v>711</v>
      </c>
      <c r="F133" s="546">
        <v>2017</v>
      </c>
      <c r="G133" s="659">
        <v>42859</v>
      </c>
      <c r="H133" s="655" t="s">
        <v>819</v>
      </c>
      <c r="I133" s="655" t="s">
        <v>3391</v>
      </c>
      <c r="J133" s="655" t="s">
        <v>724</v>
      </c>
      <c r="K133" s="655" t="s">
        <v>3176</v>
      </c>
      <c r="L133" s="655" t="s">
        <v>3409</v>
      </c>
      <c r="M133" s="660">
        <v>238095.24</v>
      </c>
      <c r="N133" s="660">
        <v>11904.76</v>
      </c>
      <c r="O133" s="660">
        <v>40000</v>
      </c>
      <c r="P133" s="660">
        <v>290000</v>
      </c>
      <c r="Q133" s="548"/>
      <c r="R133" s="660">
        <v>218561.35</v>
      </c>
      <c r="S133" s="549">
        <f t="shared" si="29"/>
        <v>71438.649999999994</v>
      </c>
      <c r="T133" s="113" t="s">
        <v>1931</v>
      </c>
      <c r="U133" s="267"/>
      <c r="V133" s="93"/>
      <c r="W133" s="267"/>
      <c r="X133" s="267"/>
      <c r="Y133" s="93"/>
      <c r="Z133" s="618"/>
      <c r="AA133" s="424"/>
      <c r="AB133" s="716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ht="12.75" hidden="1" customHeight="1" x14ac:dyDescent="0.2">
      <c r="A134" s="423">
        <f t="shared" si="36"/>
        <v>129</v>
      </c>
      <c r="B134" s="683" t="s">
        <v>3581</v>
      </c>
      <c r="C134" s="655">
        <v>1520104</v>
      </c>
      <c r="D134" s="658">
        <v>7493</v>
      </c>
      <c r="E134" s="655" t="s">
        <v>711</v>
      </c>
      <c r="F134" s="546">
        <v>2017</v>
      </c>
      <c r="G134" s="659">
        <v>42859</v>
      </c>
      <c r="H134" s="655" t="s">
        <v>819</v>
      </c>
      <c r="I134" s="655" t="s">
        <v>3059</v>
      </c>
      <c r="J134" s="655" t="s">
        <v>724</v>
      </c>
      <c r="K134" s="655" t="s">
        <v>3176</v>
      </c>
      <c r="L134" s="655" t="s">
        <v>3325</v>
      </c>
      <c r="M134" s="660">
        <v>-238095.24</v>
      </c>
      <c r="N134" s="660">
        <v>-11904.76</v>
      </c>
      <c r="O134" s="660">
        <v>-40000</v>
      </c>
      <c r="P134" s="660">
        <v>-290000</v>
      </c>
      <c r="Q134" s="548"/>
      <c r="R134" s="660">
        <v>-218561.35</v>
      </c>
      <c r="S134" s="549">
        <f t="shared" ref="S134:S197" si="39">+P134-R134</f>
        <v>-71438.649999999994</v>
      </c>
      <c r="T134" s="113" t="s">
        <v>1931</v>
      </c>
      <c r="U134" s="267"/>
      <c r="V134" s="93"/>
      <c r="W134" s="267"/>
      <c r="X134" s="267"/>
      <c r="Y134" s="93"/>
      <c r="Z134" s="618"/>
      <c r="AA134" s="424"/>
      <c r="AB134" s="716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ht="12.75" hidden="1" customHeight="1" x14ac:dyDescent="0.2">
      <c r="A135" s="423">
        <f t="shared" si="36"/>
        <v>130</v>
      </c>
      <c r="B135" s="683" t="s">
        <v>3582</v>
      </c>
      <c r="C135" s="655">
        <v>1520104</v>
      </c>
      <c r="D135" s="658">
        <v>7493</v>
      </c>
      <c r="E135" s="655" t="s">
        <v>711</v>
      </c>
      <c r="F135" s="546">
        <v>2017</v>
      </c>
      <c r="G135" s="659">
        <v>42859</v>
      </c>
      <c r="H135" s="655" t="s">
        <v>819</v>
      </c>
      <c r="I135" s="655" t="s">
        <v>3059</v>
      </c>
      <c r="J135" s="655" t="s">
        <v>724</v>
      </c>
      <c r="K135" s="655" t="s">
        <v>3176</v>
      </c>
      <c r="L135" s="655" t="s">
        <v>3325</v>
      </c>
      <c r="M135" s="660">
        <v>-250000</v>
      </c>
      <c r="N135" s="660">
        <v>-12500</v>
      </c>
      <c r="O135" s="660">
        <v>-42000</v>
      </c>
      <c r="P135" s="660">
        <v>-304500</v>
      </c>
      <c r="Q135" s="548"/>
      <c r="R135" s="660">
        <v>-218561.35</v>
      </c>
      <c r="S135" s="549">
        <f t="shared" si="39"/>
        <v>-85938.65</v>
      </c>
      <c r="T135" s="113" t="s">
        <v>1931</v>
      </c>
      <c r="U135" s="267"/>
      <c r="V135" s="93"/>
      <c r="W135" s="267"/>
      <c r="X135" s="267"/>
      <c r="Y135" s="93"/>
      <c r="Z135" s="618"/>
      <c r="AA135" s="424"/>
      <c r="AB135" s="716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ht="12.75" hidden="1" customHeight="1" x14ac:dyDescent="0.2">
      <c r="A136" s="423">
        <f t="shared" ref="A136:A199" si="40">+A135+1</f>
        <v>131</v>
      </c>
      <c r="B136" s="683" t="s">
        <v>3583</v>
      </c>
      <c r="C136" s="655">
        <v>1520104</v>
      </c>
      <c r="D136" s="658">
        <v>7493</v>
      </c>
      <c r="E136" s="655" t="s">
        <v>711</v>
      </c>
      <c r="F136" s="546">
        <v>2017</v>
      </c>
      <c r="G136" s="659">
        <v>42859</v>
      </c>
      <c r="H136" s="655" t="s">
        <v>819</v>
      </c>
      <c r="I136" s="655" t="s">
        <v>3059</v>
      </c>
      <c r="J136" s="655" t="s">
        <v>724</v>
      </c>
      <c r="K136" s="655" t="s">
        <v>3176</v>
      </c>
      <c r="L136" s="655" t="s">
        <v>3325</v>
      </c>
      <c r="M136" s="660">
        <v>250000</v>
      </c>
      <c r="N136" s="660">
        <v>12500</v>
      </c>
      <c r="O136" s="660">
        <v>42000</v>
      </c>
      <c r="P136" s="660">
        <v>304500</v>
      </c>
      <c r="Q136" s="548"/>
      <c r="R136" s="660">
        <v>218561.35</v>
      </c>
      <c r="S136" s="549">
        <f t="shared" si="39"/>
        <v>85938.65</v>
      </c>
      <c r="T136" s="267" t="s">
        <v>1931</v>
      </c>
      <c r="U136" s="267"/>
      <c r="V136" s="93"/>
      <c r="W136" s="267"/>
      <c r="X136" s="267"/>
      <c r="Y136" s="93"/>
      <c r="Z136" s="618"/>
      <c r="AA136" s="424"/>
      <c r="AB136" s="716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ht="12.75" hidden="1" customHeight="1" x14ac:dyDescent="0.2">
      <c r="A137" s="423">
        <f t="shared" si="40"/>
        <v>132</v>
      </c>
      <c r="B137" s="683" t="s">
        <v>3584</v>
      </c>
      <c r="C137" s="655">
        <v>1520104</v>
      </c>
      <c r="D137" s="658">
        <v>7493</v>
      </c>
      <c r="E137" s="655" t="s">
        <v>711</v>
      </c>
      <c r="F137" s="546">
        <v>2017</v>
      </c>
      <c r="G137" s="659">
        <v>42859</v>
      </c>
      <c r="H137" s="655" t="s">
        <v>819</v>
      </c>
      <c r="I137" s="655" t="s">
        <v>3059</v>
      </c>
      <c r="J137" s="655" t="s">
        <v>724</v>
      </c>
      <c r="K137" s="655" t="s">
        <v>3176</v>
      </c>
      <c r="L137" s="655" t="s">
        <v>3325</v>
      </c>
      <c r="M137" s="660">
        <v>238095.24</v>
      </c>
      <c r="N137" s="660">
        <v>11904.76</v>
      </c>
      <c r="O137" s="660">
        <v>40000</v>
      </c>
      <c r="P137" s="660">
        <v>290000</v>
      </c>
      <c r="Q137" s="548"/>
      <c r="R137" s="660">
        <v>218561.35</v>
      </c>
      <c r="S137" s="549">
        <f t="shared" si="39"/>
        <v>71438.649999999994</v>
      </c>
      <c r="T137" s="267" t="s">
        <v>1931</v>
      </c>
      <c r="U137" s="267"/>
      <c r="V137" s="93"/>
      <c r="W137" s="267"/>
      <c r="X137" s="267"/>
      <c r="Y137" s="93"/>
      <c r="Z137" s="618"/>
      <c r="AA137" s="424"/>
      <c r="AB137" s="716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ht="12.75" hidden="1" customHeight="1" x14ac:dyDescent="0.2">
      <c r="A138" s="423">
        <f t="shared" si="40"/>
        <v>133</v>
      </c>
      <c r="B138" s="683" t="s">
        <v>3597</v>
      </c>
      <c r="C138" s="655">
        <v>1520105</v>
      </c>
      <c r="D138" s="658">
        <v>7494</v>
      </c>
      <c r="E138" s="655" t="s">
        <v>712</v>
      </c>
      <c r="F138" s="546">
        <v>2017</v>
      </c>
      <c r="G138" s="659">
        <v>42871</v>
      </c>
      <c r="H138" s="655" t="s">
        <v>2216</v>
      </c>
      <c r="I138" s="655" t="s">
        <v>3796</v>
      </c>
      <c r="J138" s="655" t="s">
        <v>724</v>
      </c>
      <c r="K138" s="655" t="s">
        <v>3913</v>
      </c>
      <c r="L138" s="655" t="s">
        <v>4055</v>
      </c>
      <c r="M138" s="660">
        <v>235139.57</v>
      </c>
      <c r="N138" s="660">
        <v>11756.98</v>
      </c>
      <c r="O138" s="660">
        <v>39503.449999999997</v>
      </c>
      <c r="P138" s="660">
        <v>286400</v>
      </c>
      <c r="Q138" s="548"/>
      <c r="R138" s="660">
        <v>205332.7</v>
      </c>
      <c r="S138" s="549">
        <f t="shared" si="39"/>
        <v>81067.299999999988</v>
      </c>
      <c r="T138" s="267" t="s">
        <v>1931</v>
      </c>
      <c r="U138" s="267"/>
      <c r="V138" s="93"/>
      <c r="W138" s="267"/>
      <c r="X138" s="267"/>
      <c r="Y138" s="93"/>
      <c r="Z138" s="618"/>
      <c r="AA138" s="424"/>
      <c r="AB138" s="716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ht="12.75" hidden="1" customHeight="1" x14ac:dyDescent="0.2">
      <c r="A139" s="423">
        <f t="shared" si="40"/>
        <v>134</v>
      </c>
      <c r="B139" s="683" t="s">
        <v>3599</v>
      </c>
      <c r="C139" s="655">
        <v>1520105</v>
      </c>
      <c r="D139" s="658">
        <v>7494</v>
      </c>
      <c r="E139" s="655" t="s">
        <v>712</v>
      </c>
      <c r="F139" s="546">
        <v>2017</v>
      </c>
      <c r="G139" s="659">
        <v>42885</v>
      </c>
      <c r="H139" s="655" t="s">
        <v>2216</v>
      </c>
      <c r="I139" s="655" t="s">
        <v>3796</v>
      </c>
      <c r="J139" s="655" t="s">
        <v>724</v>
      </c>
      <c r="K139" s="655" t="s">
        <v>3913</v>
      </c>
      <c r="L139" s="655" t="s">
        <v>4055</v>
      </c>
      <c r="M139" s="660">
        <v>-235139.57</v>
      </c>
      <c r="N139" s="660">
        <v>-11756.98</v>
      </c>
      <c r="O139" s="660">
        <v>-39503.449999999997</v>
      </c>
      <c r="P139" s="660">
        <v>-286400</v>
      </c>
      <c r="Q139" s="548"/>
      <c r="R139" s="660">
        <v>-205332.7</v>
      </c>
      <c r="S139" s="549">
        <f t="shared" si="39"/>
        <v>-81067.299999999988</v>
      </c>
      <c r="T139" s="267" t="s">
        <v>1931</v>
      </c>
      <c r="U139" s="267"/>
      <c r="V139" s="93"/>
      <c r="W139" s="267"/>
      <c r="X139" s="267"/>
      <c r="Y139" s="93"/>
      <c r="Z139" s="618"/>
      <c r="AA139" s="424"/>
      <c r="AB139" s="716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ht="12.75" hidden="1" customHeight="1" x14ac:dyDescent="0.2">
      <c r="A140" s="423">
        <f t="shared" si="40"/>
        <v>135</v>
      </c>
      <c r="B140" s="683" t="s">
        <v>3605</v>
      </c>
      <c r="C140" s="655">
        <v>1520604</v>
      </c>
      <c r="D140" s="658">
        <v>7495</v>
      </c>
      <c r="E140" s="655" t="s">
        <v>718</v>
      </c>
      <c r="F140" s="546">
        <v>2017</v>
      </c>
      <c r="G140" s="659">
        <v>42871</v>
      </c>
      <c r="H140" s="655" t="s">
        <v>817</v>
      </c>
      <c r="I140" s="655" t="s">
        <v>3801</v>
      </c>
      <c r="J140" s="655" t="s">
        <v>724</v>
      </c>
      <c r="K140" s="655" t="s">
        <v>3914</v>
      </c>
      <c r="L140" s="655" t="s">
        <v>4060</v>
      </c>
      <c r="M140" s="660">
        <v>-296880.13</v>
      </c>
      <c r="N140" s="660">
        <v>-14844.01</v>
      </c>
      <c r="O140" s="660">
        <v>-49875.86</v>
      </c>
      <c r="P140" s="660">
        <v>-361600</v>
      </c>
      <c r="Q140" s="548"/>
      <c r="R140" s="660">
        <v>-255426.86</v>
      </c>
      <c r="S140" s="549">
        <f t="shared" si="39"/>
        <v>-106173.14000000001</v>
      </c>
      <c r="T140" s="113" t="s">
        <v>1931</v>
      </c>
      <c r="U140" s="267"/>
      <c r="V140" s="93"/>
      <c r="W140" s="267"/>
      <c r="X140" s="267"/>
      <c r="Y140" s="93"/>
      <c r="Z140" s="618"/>
      <c r="AA140" s="424"/>
      <c r="AB140" s="716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ht="12.75" hidden="1" customHeight="1" x14ac:dyDescent="0.2">
      <c r="A141" s="423">
        <f t="shared" si="40"/>
        <v>136</v>
      </c>
      <c r="B141" s="683" t="s">
        <v>3606</v>
      </c>
      <c r="C141" s="655">
        <v>1520604</v>
      </c>
      <c r="D141" s="658">
        <v>7495</v>
      </c>
      <c r="E141" s="655" t="s">
        <v>718</v>
      </c>
      <c r="F141" s="546">
        <v>2017</v>
      </c>
      <c r="G141" s="659">
        <v>42871</v>
      </c>
      <c r="H141" s="655" t="s">
        <v>817</v>
      </c>
      <c r="I141" s="655" t="s">
        <v>3801</v>
      </c>
      <c r="J141" s="655" t="s">
        <v>724</v>
      </c>
      <c r="K141" s="655" t="s">
        <v>3914</v>
      </c>
      <c r="L141" s="655" t="s">
        <v>4060</v>
      </c>
      <c r="M141" s="660">
        <v>296880.13</v>
      </c>
      <c r="N141" s="660">
        <v>14844.01</v>
      </c>
      <c r="O141" s="660">
        <v>49875.86</v>
      </c>
      <c r="P141" s="660">
        <v>361600</v>
      </c>
      <c r="Q141" s="548"/>
      <c r="R141" s="660">
        <v>255426.86</v>
      </c>
      <c r="S141" s="549">
        <f t="shared" si="39"/>
        <v>106173.14000000001</v>
      </c>
      <c r="T141" s="113" t="s">
        <v>1931</v>
      </c>
      <c r="U141" s="267"/>
      <c r="V141" s="93"/>
      <c r="W141" s="267"/>
      <c r="X141" s="267"/>
      <c r="Y141" s="93"/>
      <c r="Z141" s="618"/>
      <c r="AA141" s="424"/>
      <c r="AB141" s="716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ht="12.75" hidden="1" customHeight="1" x14ac:dyDescent="0.2">
      <c r="A142" s="423">
        <f t="shared" si="40"/>
        <v>137</v>
      </c>
      <c r="B142" s="683" t="s">
        <v>3607</v>
      </c>
      <c r="C142" s="655">
        <v>1520604</v>
      </c>
      <c r="D142" s="658">
        <v>7495</v>
      </c>
      <c r="E142" s="655" t="s">
        <v>718</v>
      </c>
      <c r="F142" s="546">
        <v>2017</v>
      </c>
      <c r="G142" s="659">
        <v>42871</v>
      </c>
      <c r="H142" s="655" t="s">
        <v>817</v>
      </c>
      <c r="I142" s="655" t="s">
        <v>3801</v>
      </c>
      <c r="J142" s="655" t="s">
        <v>724</v>
      </c>
      <c r="K142" s="655" t="s">
        <v>3914</v>
      </c>
      <c r="L142" s="655" t="s">
        <v>4060</v>
      </c>
      <c r="M142" s="660">
        <v>296880.13</v>
      </c>
      <c r="N142" s="660">
        <v>14844.01</v>
      </c>
      <c r="O142" s="660">
        <v>49875.86</v>
      </c>
      <c r="P142" s="660">
        <v>361600</v>
      </c>
      <c r="Q142" s="548"/>
      <c r="R142" s="660">
        <v>255426.86</v>
      </c>
      <c r="S142" s="549">
        <f t="shared" si="39"/>
        <v>106173.14000000001</v>
      </c>
      <c r="T142" s="267" t="s">
        <v>1931</v>
      </c>
      <c r="U142" s="267"/>
      <c r="V142" s="93"/>
      <c r="W142" s="267"/>
      <c r="X142" s="267"/>
      <c r="Y142" s="93"/>
      <c r="Z142" s="618"/>
      <c r="AA142" s="424"/>
      <c r="AB142" s="716"/>
      <c r="AC142" s="424"/>
      <c r="AD142" s="425"/>
      <c r="AE142" s="424"/>
      <c r="AF142" s="424"/>
      <c r="AG142" s="396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ht="12.75" hidden="1" customHeight="1" x14ac:dyDescent="0.2">
      <c r="A143" s="423">
        <f t="shared" si="40"/>
        <v>138</v>
      </c>
      <c r="B143" s="683" t="s">
        <v>3609</v>
      </c>
      <c r="C143" s="655">
        <v>1520604</v>
      </c>
      <c r="D143" s="658">
        <v>7495</v>
      </c>
      <c r="E143" s="655" t="s">
        <v>718</v>
      </c>
      <c r="F143" s="546">
        <v>2017</v>
      </c>
      <c r="G143" s="659">
        <v>42873</v>
      </c>
      <c r="H143" s="655" t="s">
        <v>817</v>
      </c>
      <c r="I143" s="655" t="s">
        <v>3801</v>
      </c>
      <c r="J143" s="655" t="s">
        <v>724</v>
      </c>
      <c r="K143" s="655" t="s">
        <v>3914</v>
      </c>
      <c r="L143" s="655" t="s">
        <v>4060</v>
      </c>
      <c r="M143" s="660">
        <v>-296880.13</v>
      </c>
      <c r="N143" s="660">
        <v>-14844.01</v>
      </c>
      <c r="O143" s="660">
        <v>-49875.86</v>
      </c>
      <c r="P143" s="660">
        <v>-361600</v>
      </c>
      <c r="Q143" s="548"/>
      <c r="R143" s="660">
        <v>-255426.86</v>
      </c>
      <c r="S143" s="549">
        <f t="shared" si="39"/>
        <v>-106173.14000000001</v>
      </c>
      <c r="T143" s="267" t="s">
        <v>1931</v>
      </c>
      <c r="U143" s="267"/>
      <c r="V143" s="93"/>
      <c r="W143" s="267"/>
      <c r="X143" s="267"/>
      <c r="Y143" s="93"/>
      <c r="Z143" s="618"/>
      <c r="AA143" s="424"/>
      <c r="AB143" s="716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ht="12.75" hidden="1" customHeight="1" x14ac:dyDescent="0.2">
      <c r="A144" s="423">
        <f t="shared" si="40"/>
        <v>139</v>
      </c>
      <c r="B144" s="683" t="s">
        <v>3613</v>
      </c>
      <c r="C144" s="655">
        <v>1520604</v>
      </c>
      <c r="D144" s="658">
        <v>7495</v>
      </c>
      <c r="E144" s="655" t="s">
        <v>718</v>
      </c>
      <c r="F144" s="546">
        <v>2017</v>
      </c>
      <c r="G144" s="659">
        <v>42886</v>
      </c>
      <c r="H144" s="655" t="s">
        <v>908</v>
      </c>
      <c r="I144" s="655" t="s">
        <v>3805</v>
      </c>
      <c r="J144" s="655" t="s">
        <v>724</v>
      </c>
      <c r="K144" s="655" t="s">
        <v>3916</v>
      </c>
      <c r="L144" s="655" t="s">
        <v>4064</v>
      </c>
      <c r="M144" s="660">
        <v>-296880.13</v>
      </c>
      <c r="N144" s="660">
        <v>-14844.01</v>
      </c>
      <c r="O144" s="660">
        <v>-49875.86</v>
      </c>
      <c r="P144" s="660">
        <v>-361600</v>
      </c>
      <c r="Q144" s="548"/>
      <c r="R144" s="660">
        <v>-255426.86</v>
      </c>
      <c r="S144" s="549">
        <f t="shared" si="39"/>
        <v>-106173.14000000001</v>
      </c>
      <c r="T144" s="267" t="s">
        <v>1931</v>
      </c>
      <c r="U144" s="267"/>
      <c r="V144" s="93"/>
      <c r="W144" s="267"/>
      <c r="X144" s="267"/>
      <c r="Y144" s="93"/>
      <c r="Z144" s="618"/>
      <c r="AA144" s="424"/>
      <c r="AB144" s="716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ht="12.75" hidden="1" customHeight="1" x14ac:dyDescent="0.2">
      <c r="A145" s="423">
        <f t="shared" si="40"/>
        <v>140</v>
      </c>
      <c r="B145" s="683" t="s">
        <v>3614</v>
      </c>
      <c r="C145" s="655">
        <v>1520604</v>
      </c>
      <c r="D145" s="658">
        <v>7495</v>
      </c>
      <c r="E145" s="655" t="s">
        <v>718</v>
      </c>
      <c r="F145" s="546">
        <v>2017</v>
      </c>
      <c r="G145" s="659">
        <v>42886</v>
      </c>
      <c r="H145" s="655" t="s">
        <v>908</v>
      </c>
      <c r="I145" s="655" t="s">
        <v>3805</v>
      </c>
      <c r="J145" s="655" t="s">
        <v>724</v>
      </c>
      <c r="K145" s="655" t="s">
        <v>3916</v>
      </c>
      <c r="L145" s="655" t="s">
        <v>4064</v>
      </c>
      <c r="M145" s="660">
        <v>296880.13</v>
      </c>
      <c r="N145" s="660">
        <v>14844.01</v>
      </c>
      <c r="O145" s="660">
        <v>49875.86</v>
      </c>
      <c r="P145" s="660">
        <v>361600</v>
      </c>
      <c r="Q145" s="548"/>
      <c r="R145" s="660">
        <v>255426.86</v>
      </c>
      <c r="S145" s="549">
        <f t="shared" si="39"/>
        <v>106173.14000000001</v>
      </c>
      <c r="T145" s="113" t="s">
        <v>1931</v>
      </c>
      <c r="U145" s="267"/>
      <c r="V145" s="93"/>
      <c r="W145" s="267"/>
      <c r="X145" s="267"/>
      <c r="Y145" s="93"/>
      <c r="Z145" s="618"/>
      <c r="AA145" s="424"/>
      <c r="AB145" s="716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ht="12.75" hidden="1" customHeight="1" x14ac:dyDescent="0.2">
      <c r="A146" s="423">
        <f t="shared" si="40"/>
        <v>141</v>
      </c>
      <c r="B146" s="683" t="s">
        <v>3460</v>
      </c>
      <c r="C146" s="655">
        <v>521707</v>
      </c>
      <c r="D146" s="658">
        <v>2006</v>
      </c>
      <c r="E146" s="655" t="s">
        <v>702</v>
      </c>
      <c r="F146" s="546">
        <v>2017</v>
      </c>
      <c r="G146" s="659">
        <v>42885</v>
      </c>
      <c r="H146" s="655" t="s">
        <v>2214</v>
      </c>
      <c r="I146" s="655" t="s">
        <v>3724</v>
      </c>
      <c r="J146" s="655" t="s">
        <v>724</v>
      </c>
      <c r="K146" s="655" t="s">
        <v>2512</v>
      </c>
      <c r="L146" s="655" t="s">
        <v>3983</v>
      </c>
      <c r="M146" s="660">
        <v>-201982.76</v>
      </c>
      <c r="N146" s="660">
        <v>0</v>
      </c>
      <c r="O146" s="660">
        <v>-32317.24</v>
      </c>
      <c r="P146" s="660">
        <v>-234300</v>
      </c>
      <c r="Q146" s="548"/>
      <c r="R146" s="660">
        <v>-183052.26</v>
      </c>
      <c r="S146" s="549">
        <f t="shared" si="39"/>
        <v>-51247.739999999991</v>
      </c>
      <c r="T146" s="113" t="s">
        <v>1931</v>
      </c>
      <c r="U146" s="267"/>
      <c r="V146" s="93"/>
      <c r="W146" s="267"/>
      <c r="X146" s="267"/>
      <c r="Y146" s="93"/>
      <c r="Z146" s="618"/>
      <c r="AA146" s="424"/>
      <c r="AB146" s="716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ht="12.75" hidden="1" customHeight="1" x14ac:dyDescent="0.2">
      <c r="A147" s="423">
        <f t="shared" si="40"/>
        <v>142</v>
      </c>
      <c r="B147" s="683" t="s">
        <v>3461</v>
      </c>
      <c r="C147" s="655">
        <v>521707</v>
      </c>
      <c r="D147" s="658">
        <v>2006</v>
      </c>
      <c r="E147" s="655" t="s">
        <v>702</v>
      </c>
      <c r="F147" s="546">
        <v>2017</v>
      </c>
      <c r="G147" s="659">
        <v>42885</v>
      </c>
      <c r="H147" s="655" t="s">
        <v>2214</v>
      </c>
      <c r="I147" s="655" t="s">
        <v>3724</v>
      </c>
      <c r="J147" s="655" t="s">
        <v>724</v>
      </c>
      <c r="K147" s="655" t="s">
        <v>2512</v>
      </c>
      <c r="L147" s="655" t="s">
        <v>3983</v>
      </c>
      <c r="M147" s="660">
        <v>201982.76</v>
      </c>
      <c r="N147" s="660">
        <v>0</v>
      </c>
      <c r="O147" s="660">
        <v>32317.24</v>
      </c>
      <c r="P147" s="660">
        <v>234300</v>
      </c>
      <c r="Q147" s="548"/>
      <c r="R147" s="660">
        <v>183052.26</v>
      </c>
      <c r="S147" s="549">
        <f t="shared" si="39"/>
        <v>51247.739999999991</v>
      </c>
      <c r="T147" s="267" t="s">
        <v>1931</v>
      </c>
      <c r="U147" s="267"/>
      <c r="V147" s="93"/>
      <c r="W147" s="267"/>
      <c r="X147" s="267"/>
      <c r="Y147" s="93"/>
      <c r="Z147" s="618"/>
      <c r="AA147" s="424"/>
      <c r="AB147" s="716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ht="12.75" hidden="1" customHeight="1" x14ac:dyDescent="0.2">
      <c r="A148" s="423">
        <f t="shared" si="40"/>
        <v>143</v>
      </c>
      <c r="B148" s="683" t="s">
        <v>3445</v>
      </c>
      <c r="C148" s="655">
        <v>521702</v>
      </c>
      <c r="D148" s="658">
        <v>2005</v>
      </c>
      <c r="E148" s="655" t="s">
        <v>701</v>
      </c>
      <c r="F148" s="546">
        <v>2017</v>
      </c>
      <c r="G148" s="659">
        <v>42880</v>
      </c>
      <c r="H148" s="655" t="s">
        <v>1038</v>
      </c>
      <c r="I148" s="655" t="s">
        <v>3711</v>
      </c>
      <c r="J148" s="655" t="s">
        <v>724</v>
      </c>
      <c r="K148" s="655" t="s">
        <v>3855</v>
      </c>
      <c r="L148" s="655" t="s">
        <v>3970</v>
      </c>
      <c r="M148" s="660">
        <v>183620.69</v>
      </c>
      <c r="N148" s="660">
        <v>0</v>
      </c>
      <c r="O148" s="660">
        <v>29379.31</v>
      </c>
      <c r="P148" s="660">
        <v>213000</v>
      </c>
      <c r="Q148" s="548"/>
      <c r="R148" s="660">
        <v>166508.04</v>
      </c>
      <c r="S148" s="549">
        <f t="shared" si="39"/>
        <v>46491.959999999992</v>
      </c>
      <c r="T148" s="113" t="s">
        <v>1931</v>
      </c>
      <c r="U148" s="267"/>
      <c r="V148" s="93"/>
      <c r="W148" s="267"/>
      <c r="X148" s="267"/>
      <c r="Y148" s="93"/>
      <c r="Z148" s="618"/>
      <c r="AA148" s="424"/>
      <c r="AB148" s="716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ht="12.75" hidden="1" customHeight="1" x14ac:dyDescent="0.2">
      <c r="A149" s="423">
        <f t="shared" si="40"/>
        <v>144</v>
      </c>
      <c r="B149" s="683" t="s">
        <v>3446</v>
      </c>
      <c r="C149" s="655">
        <v>521702</v>
      </c>
      <c r="D149" s="658">
        <v>2005</v>
      </c>
      <c r="E149" s="655" t="s">
        <v>701</v>
      </c>
      <c r="F149" s="546">
        <v>2017</v>
      </c>
      <c r="G149" s="659">
        <v>42881</v>
      </c>
      <c r="H149" s="655" t="s">
        <v>1038</v>
      </c>
      <c r="I149" s="655" t="s">
        <v>3711</v>
      </c>
      <c r="J149" s="655" t="s">
        <v>724</v>
      </c>
      <c r="K149" s="655" t="s">
        <v>3855</v>
      </c>
      <c r="L149" s="655" t="s">
        <v>3970</v>
      </c>
      <c r="M149" s="660">
        <v>-183620.69</v>
      </c>
      <c r="N149" s="660">
        <v>0</v>
      </c>
      <c r="O149" s="660">
        <v>-29379.31</v>
      </c>
      <c r="P149" s="660">
        <v>-213000</v>
      </c>
      <c r="Q149" s="548"/>
      <c r="R149" s="660">
        <v>-166508.04</v>
      </c>
      <c r="S149" s="549">
        <f t="shared" si="39"/>
        <v>-46491.959999999992</v>
      </c>
      <c r="T149" s="267" t="s">
        <v>1931</v>
      </c>
      <c r="U149" s="267"/>
      <c r="V149" s="93"/>
      <c r="W149" s="267"/>
      <c r="X149" s="267"/>
      <c r="Y149" s="93"/>
      <c r="Z149" s="618"/>
      <c r="AA149" s="424"/>
      <c r="AB149" s="716"/>
      <c r="AC149" s="424"/>
      <c r="AD149" s="425"/>
      <c r="AE149" s="424"/>
      <c r="AF149" s="424"/>
      <c r="AG149" s="396"/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ht="12.75" hidden="1" customHeight="1" x14ac:dyDescent="0.2">
      <c r="A150" s="423">
        <f t="shared" si="40"/>
        <v>145</v>
      </c>
      <c r="B150" s="683" t="s">
        <v>3438</v>
      </c>
      <c r="C150" s="655">
        <v>521702</v>
      </c>
      <c r="D150" s="658">
        <v>2005</v>
      </c>
      <c r="E150" s="655" t="s">
        <v>701</v>
      </c>
      <c r="F150" s="546">
        <v>2017</v>
      </c>
      <c r="G150" s="659">
        <v>42857</v>
      </c>
      <c r="H150" s="655" t="s">
        <v>819</v>
      </c>
      <c r="I150" s="655" t="s">
        <v>3708</v>
      </c>
      <c r="J150" s="655" t="s">
        <v>724</v>
      </c>
      <c r="K150" s="655" t="s">
        <v>3852</v>
      </c>
      <c r="L150" s="655" t="s">
        <v>3967</v>
      </c>
      <c r="M150" s="660">
        <v>183620.69</v>
      </c>
      <c r="N150" s="660">
        <v>0</v>
      </c>
      <c r="O150" s="660">
        <v>29379.31</v>
      </c>
      <c r="P150" s="660">
        <v>213000</v>
      </c>
      <c r="Q150" s="548"/>
      <c r="R150" s="660">
        <v>160915.62</v>
      </c>
      <c r="S150" s="549">
        <f t="shared" si="39"/>
        <v>52084.380000000005</v>
      </c>
      <c r="T150" s="113" t="s">
        <v>1931</v>
      </c>
      <c r="U150" s="267"/>
      <c r="V150" s="93"/>
      <c r="W150" s="267"/>
      <c r="X150" s="267"/>
      <c r="Y150" s="93"/>
      <c r="Z150" s="618"/>
      <c r="AA150" s="424"/>
      <c r="AB150" s="716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ht="12.75" hidden="1" customHeight="1" x14ac:dyDescent="0.2">
      <c r="A151" s="423">
        <f t="shared" si="40"/>
        <v>146</v>
      </c>
      <c r="B151" s="683" t="s">
        <v>3441</v>
      </c>
      <c r="C151" s="655">
        <v>521702</v>
      </c>
      <c r="D151" s="658">
        <v>2005</v>
      </c>
      <c r="E151" s="655" t="s">
        <v>701</v>
      </c>
      <c r="F151" s="546">
        <v>2017</v>
      </c>
      <c r="G151" s="659">
        <v>42860</v>
      </c>
      <c r="H151" s="655" t="s">
        <v>819</v>
      </c>
      <c r="I151" s="655" t="s">
        <v>3708</v>
      </c>
      <c r="J151" s="655" t="s">
        <v>724</v>
      </c>
      <c r="K151" s="655" t="s">
        <v>3852</v>
      </c>
      <c r="L151" s="655" t="s">
        <v>3967</v>
      </c>
      <c r="M151" s="660">
        <v>-183620.69</v>
      </c>
      <c r="N151" s="660">
        <v>0</v>
      </c>
      <c r="O151" s="660">
        <v>-29379.31</v>
      </c>
      <c r="P151" s="660">
        <v>-213000</v>
      </c>
      <c r="Q151" s="548"/>
      <c r="R151" s="660">
        <v>-160915.62</v>
      </c>
      <c r="S151" s="549">
        <f t="shared" si="39"/>
        <v>-52084.380000000005</v>
      </c>
      <c r="T151" s="113" t="s">
        <v>1931</v>
      </c>
      <c r="U151" s="267"/>
      <c r="V151" s="93"/>
      <c r="W151" s="267"/>
      <c r="X151" s="267"/>
      <c r="Y151" s="93"/>
      <c r="Z151" s="618"/>
      <c r="AA151" s="424"/>
      <c r="AB151" s="716"/>
      <c r="AC151" s="424"/>
      <c r="AD151" s="425"/>
      <c r="AE151" s="424"/>
      <c r="AF151" s="424"/>
      <c r="AG151" s="396"/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ht="12.75" hidden="1" customHeight="1" x14ac:dyDescent="0.2">
      <c r="A152" s="423">
        <f t="shared" si="40"/>
        <v>147</v>
      </c>
      <c r="B152" s="683" t="s">
        <v>3422</v>
      </c>
      <c r="C152" s="655">
        <v>522402</v>
      </c>
      <c r="D152" s="658">
        <v>1061</v>
      </c>
      <c r="E152" s="655" t="s">
        <v>1518</v>
      </c>
      <c r="F152" s="546">
        <v>2017</v>
      </c>
      <c r="G152" s="659">
        <v>42880</v>
      </c>
      <c r="H152" s="655"/>
      <c r="I152" s="655" t="s">
        <v>3696</v>
      </c>
      <c r="J152" s="655" t="s">
        <v>729</v>
      </c>
      <c r="K152" s="655" t="s">
        <v>1155</v>
      </c>
      <c r="L152" s="655" t="s">
        <v>3955</v>
      </c>
      <c r="M152" s="660">
        <v>202548.26</v>
      </c>
      <c r="N152" s="660">
        <v>0</v>
      </c>
      <c r="O152" s="660">
        <v>32407.72</v>
      </c>
      <c r="P152" s="660">
        <v>234955.98</v>
      </c>
      <c r="Q152" s="548"/>
      <c r="R152" s="660">
        <v>195331.88</v>
      </c>
      <c r="S152" s="549">
        <f t="shared" si="39"/>
        <v>39624.100000000006</v>
      </c>
      <c r="T152" s="113" t="s">
        <v>283</v>
      </c>
      <c r="U152" s="267"/>
      <c r="V152" s="93"/>
      <c r="W152" s="267"/>
      <c r="X152" s="267"/>
      <c r="Y152" s="93"/>
      <c r="Z152" s="618"/>
      <c r="AA152" s="717"/>
      <c r="AB152" s="718"/>
      <c r="AC152" s="424"/>
      <c r="AD152" s="425"/>
      <c r="AE152" s="424"/>
      <c r="AF152" s="424"/>
      <c r="AG152" s="396"/>
      <c r="AH152" s="361"/>
      <c r="AI152" s="313"/>
      <c r="AJ152" s="374"/>
      <c r="AK152" s="331"/>
      <c r="AL152" s="331"/>
      <c r="AM152" s="331"/>
    </row>
    <row r="153" spans="1:47" s="412" customFormat="1" ht="12.75" hidden="1" customHeight="1" x14ac:dyDescent="0.2">
      <c r="A153" s="423">
        <f t="shared" si="40"/>
        <v>148</v>
      </c>
      <c r="B153" s="683" t="s">
        <v>3430</v>
      </c>
      <c r="C153" s="655">
        <v>520227</v>
      </c>
      <c r="D153" s="658">
        <v>1782</v>
      </c>
      <c r="E153" s="655" t="s">
        <v>691</v>
      </c>
      <c r="F153" s="546">
        <v>2017</v>
      </c>
      <c r="G153" s="659">
        <v>42880</v>
      </c>
      <c r="H153" s="655"/>
      <c r="I153" s="655" t="s">
        <v>3702</v>
      </c>
      <c r="J153" s="655" t="s">
        <v>724</v>
      </c>
      <c r="K153" s="655" t="s">
        <v>1144</v>
      </c>
      <c r="L153" s="655" t="s">
        <v>3961</v>
      </c>
      <c r="M153" s="660">
        <v>260686.97</v>
      </c>
      <c r="N153" s="660">
        <v>0</v>
      </c>
      <c r="O153" s="660">
        <v>41709.919999999998</v>
      </c>
      <c r="P153" s="660">
        <v>302396.89</v>
      </c>
      <c r="Q153" s="548"/>
      <c r="R153" s="660">
        <v>253151.03</v>
      </c>
      <c r="S153" s="549">
        <f t="shared" si="39"/>
        <v>49245.860000000015</v>
      </c>
      <c r="T153" s="267" t="s">
        <v>283</v>
      </c>
      <c r="U153" s="267"/>
      <c r="V153" s="93"/>
      <c r="W153" s="267"/>
      <c r="X153" s="267"/>
      <c r="Y153" s="93"/>
      <c r="Z153" s="618"/>
      <c r="AA153" s="271"/>
      <c r="AB153" s="718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ht="12.75" hidden="1" customHeight="1" x14ac:dyDescent="0.2">
      <c r="A154" s="423">
        <f t="shared" si="40"/>
        <v>149</v>
      </c>
      <c r="B154" s="683" t="s">
        <v>3432</v>
      </c>
      <c r="C154" s="655">
        <v>520220</v>
      </c>
      <c r="D154" s="658">
        <v>1794</v>
      </c>
      <c r="E154" s="655" t="s">
        <v>687</v>
      </c>
      <c r="F154" s="546">
        <v>2017</v>
      </c>
      <c r="G154" s="659">
        <v>42857</v>
      </c>
      <c r="H154" s="655"/>
      <c r="I154" s="655" t="s">
        <v>3704</v>
      </c>
      <c r="J154" s="655" t="s">
        <v>724</v>
      </c>
      <c r="K154" s="655" t="s">
        <v>1175</v>
      </c>
      <c r="L154" s="655" t="s">
        <v>3963</v>
      </c>
      <c r="M154" s="660">
        <v>230840.27</v>
      </c>
      <c r="N154" s="660">
        <v>0</v>
      </c>
      <c r="O154" s="660">
        <v>36934.44</v>
      </c>
      <c r="P154" s="660">
        <v>267774.71000000002</v>
      </c>
      <c r="Q154" s="548"/>
      <c r="R154" s="660">
        <v>230484.92</v>
      </c>
      <c r="S154" s="549">
        <f t="shared" si="39"/>
        <v>37289.790000000008</v>
      </c>
      <c r="T154" s="113" t="s">
        <v>283</v>
      </c>
      <c r="U154" s="267"/>
      <c r="V154" s="93"/>
      <c r="W154" s="267"/>
      <c r="X154" s="267"/>
      <c r="Y154" s="93"/>
      <c r="Z154" s="618"/>
      <c r="AA154" s="717"/>
      <c r="AB154" s="718"/>
      <c r="AC154" s="424"/>
      <c r="AD154" s="425"/>
      <c r="AE154" s="424"/>
      <c r="AF154" s="424"/>
      <c r="AG154" s="396"/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ht="12.75" hidden="1" customHeight="1" x14ac:dyDescent="0.2">
      <c r="A155" s="423">
        <f t="shared" si="40"/>
        <v>150</v>
      </c>
      <c r="B155" s="683" t="s">
        <v>3439</v>
      </c>
      <c r="C155" s="655">
        <v>521702</v>
      </c>
      <c r="D155" s="658">
        <v>2005</v>
      </c>
      <c r="E155" s="655" t="s">
        <v>701</v>
      </c>
      <c r="F155" s="546">
        <v>2017</v>
      </c>
      <c r="G155" s="659">
        <v>42860</v>
      </c>
      <c r="H155" s="655"/>
      <c r="I155" s="655" t="s">
        <v>2982</v>
      </c>
      <c r="J155" s="655" t="s">
        <v>724</v>
      </c>
      <c r="K155" s="655" t="s">
        <v>3130</v>
      </c>
      <c r="L155" s="655" t="s">
        <v>3248</v>
      </c>
      <c r="M155" s="660">
        <v>-193996.33</v>
      </c>
      <c r="N155" s="660">
        <v>0</v>
      </c>
      <c r="O155" s="660">
        <v>-31039.41</v>
      </c>
      <c r="P155" s="660">
        <v>-225035.74</v>
      </c>
      <c r="Q155" s="548"/>
      <c r="R155" s="660">
        <v>-193995.47</v>
      </c>
      <c r="S155" s="549">
        <f t="shared" si="39"/>
        <v>-31040.26999999999</v>
      </c>
      <c r="T155" s="267" t="s">
        <v>283</v>
      </c>
      <c r="U155" s="267"/>
      <c r="V155" s="93"/>
      <c r="W155" s="267"/>
      <c r="X155" s="267"/>
      <c r="Y155" s="93"/>
      <c r="Z155" s="618"/>
      <c r="AA155" s="717"/>
      <c r="AB155" s="718"/>
      <c r="AC155" s="424"/>
      <c r="AD155" s="425"/>
      <c r="AE155" s="424"/>
      <c r="AF155" s="424"/>
      <c r="AG155" s="396"/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ht="12.75" hidden="1" customHeight="1" x14ac:dyDescent="0.2">
      <c r="A156" s="423">
        <f t="shared" si="40"/>
        <v>151</v>
      </c>
      <c r="B156" s="683" t="s">
        <v>3440</v>
      </c>
      <c r="C156" s="655">
        <v>521702</v>
      </c>
      <c r="D156" s="658">
        <v>2005</v>
      </c>
      <c r="E156" s="655" t="s">
        <v>701</v>
      </c>
      <c r="F156" s="546">
        <v>2017</v>
      </c>
      <c r="G156" s="659">
        <v>42860</v>
      </c>
      <c r="H156" s="655"/>
      <c r="I156" s="655" t="s">
        <v>2982</v>
      </c>
      <c r="J156" s="655" t="s">
        <v>724</v>
      </c>
      <c r="K156" s="655" t="s">
        <v>3130</v>
      </c>
      <c r="L156" s="655" t="s">
        <v>3248</v>
      </c>
      <c r="M156" s="660">
        <v>161271.97</v>
      </c>
      <c r="N156" s="660">
        <v>0</v>
      </c>
      <c r="O156" s="660">
        <v>25803.51</v>
      </c>
      <c r="P156" s="660">
        <v>187075.48</v>
      </c>
      <c r="Q156" s="548"/>
      <c r="R156" s="660">
        <v>161271.1</v>
      </c>
      <c r="S156" s="549">
        <f t="shared" si="39"/>
        <v>25804.380000000005</v>
      </c>
      <c r="T156" s="267" t="s">
        <v>283</v>
      </c>
      <c r="U156" s="267"/>
      <c r="V156" s="93"/>
      <c r="W156" s="267"/>
      <c r="X156" s="267"/>
      <c r="Y156" s="93"/>
      <c r="Z156" s="618"/>
      <c r="AA156" s="271"/>
      <c r="AB156" s="718"/>
      <c r="AC156" s="424"/>
      <c r="AD156" s="425"/>
      <c r="AE156" s="424"/>
      <c r="AF156" s="424"/>
      <c r="AG156" s="396"/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ht="12.75" hidden="1" customHeight="1" x14ac:dyDescent="0.2">
      <c r="A157" s="423">
        <f t="shared" si="40"/>
        <v>152</v>
      </c>
      <c r="B157" s="683" t="s">
        <v>3450</v>
      </c>
      <c r="C157" s="655">
        <v>521702</v>
      </c>
      <c r="D157" s="658">
        <v>2005</v>
      </c>
      <c r="E157" s="655" t="s">
        <v>701</v>
      </c>
      <c r="F157" s="546">
        <v>2017</v>
      </c>
      <c r="G157" s="659">
        <v>42885</v>
      </c>
      <c r="H157" s="655"/>
      <c r="I157" s="655" t="s">
        <v>3714</v>
      </c>
      <c r="J157" s="655" t="s">
        <v>724</v>
      </c>
      <c r="K157" s="655" t="s">
        <v>365</v>
      </c>
      <c r="L157" s="655" t="s">
        <v>3973</v>
      </c>
      <c r="M157" s="660">
        <v>166864.39000000001</v>
      </c>
      <c r="N157" s="660">
        <v>0</v>
      </c>
      <c r="O157" s="660">
        <v>26698.3</v>
      </c>
      <c r="P157" s="660">
        <v>193562.69</v>
      </c>
      <c r="Q157" s="548"/>
      <c r="R157" s="660">
        <v>166863.53</v>
      </c>
      <c r="S157" s="549">
        <f t="shared" si="39"/>
        <v>26699.160000000003</v>
      </c>
      <c r="T157" s="113" t="s">
        <v>283</v>
      </c>
      <c r="U157" s="267"/>
      <c r="V157" s="93"/>
      <c r="W157" s="267"/>
      <c r="X157" s="267"/>
      <c r="Y157" s="93"/>
      <c r="Z157" s="618"/>
      <c r="AA157" s="271"/>
      <c r="AB157" s="718"/>
      <c r="AC157" s="424"/>
      <c r="AD157" s="425"/>
      <c r="AE157" s="424"/>
      <c r="AF157" s="424"/>
      <c r="AG157" s="396"/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ht="12.75" hidden="1" customHeight="1" x14ac:dyDescent="0.2">
      <c r="A158" s="423">
        <f t="shared" si="40"/>
        <v>153</v>
      </c>
      <c r="B158" s="683" t="s">
        <v>3451</v>
      </c>
      <c r="C158" s="655">
        <v>521702</v>
      </c>
      <c r="D158" s="658">
        <v>2005</v>
      </c>
      <c r="E158" s="655" t="s">
        <v>701</v>
      </c>
      <c r="F158" s="546">
        <v>2017</v>
      </c>
      <c r="G158" s="659">
        <v>42885</v>
      </c>
      <c r="H158" s="655"/>
      <c r="I158" s="655" t="s">
        <v>3715</v>
      </c>
      <c r="J158" s="655" t="s">
        <v>724</v>
      </c>
      <c r="K158" s="655" t="s">
        <v>3858</v>
      </c>
      <c r="L158" s="655" t="s">
        <v>3974</v>
      </c>
      <c r="M158" s="660">
        <v>166864.39000000001</v>
      </c>
      <c r="N158" s="660">
        <v>0</v>
      </c>
      <c r="O158" s="660">
        <v>26698.3</v>
      </c>
      <c r="P158" s="660">
        <v>193562.69</v>
      </c>
      <c r="Q158" s="548"/>
      <c r="R158" s="660">
        <v>166863.53</v>
      </c>
      <c r="S158" s="549">
        <f t="shared" si="39"/>
        <v>26699.160000000003</v>
      </c>
      <c r="T158" s="113" t="s">
        <v>283</v>
      </c>
      <c r="U158" s="267"/>
      <c r="V158" s="93"/>
      <c r="W158" s="267"/>
      <c r="X158" s="267"/>
      <c r="Y158" s="93"/>
      <c r="Z158" s="618"/>
      <c r="AA158" s="717"/>
      <c r="AB158" s="718"/>
      <c r="AC158" s="424"/>
      <c r="AD158" s="425"/>
      <c r="AE158" s="424"/>
      <c r="AF158" s="424"/>
      <c r="AG158" s="396"/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ht="12.75" hidden="1" customHeight="1" x14ac:dyDescent="0.2">
      <c r="A159" s="423">
        <f t="shared" si="40"/>
        <v>154</v>
      </c>
      <c r="B159" s="683" t="s">
        <v>3462</v>
      </c>
      <c r="C159" s="655">
        <v>521707</v>
      </c>
      <c r="D159" s="658">
        <v>2006</v>
      </c>
      <c r="E159" s="655" t="s">
        <v>702</v>
      </c>
      <c r="F159" s="546">
        <v>2017</v>
      </c>
      <c r="G159" s="659">
        <v>42886</v>
      </c>
      <c r="H159" s="655"/>
      <c r="I159" s="655" t="s">
        <v>3724</v>
      </c>
      <c r="J159" s="655" t="s">
        <v>724</v>
      </c>
      <c r="K159" s="655" t="s">
        <v>135</v>
      </c>
      <c r="L159" s="655" t="s">
        <v>3983</v>
      </c>
      <c r="M159" s="660">
        <v>183407.6</v>
      </c>
      <c r="N159" s="660">
        <v>0</v>
      </c>
      <c r="O159" s="660">
        <v>29345.22</v>
      </c>
      <c r="P159" s="660">
        <v>212752.82</v>
      </c>
      <c r="Q159" s="548"/>
      <c r="R159" s="660">
        <v>183052.26</v>
      </c>
      <c r="S159" s="549">
        <f t="shared" si="39"/>
        <v>29700.559999999998</v>
      </c>
      <c r="T159" s="444" t="s">
        <v>283</v>
      </c>
      <c r="U159" s="267"/>
      <c r="V159" s="93"/>
      <c r="W159" s="267"/>
      <c r="X159" s="267"/>
      <c r="Y159" s="93"/>
      <c r="Z159" s="618"/>
      <c r="AA159" s="717"/>
      <c r="AB159" s="718"/>
      <c r="AC159" s="424"/>
      <c r="AD159" s="425"/>
      <c r="AE159" s="424"/>
      <c r="AF159" s="424"/>
      <c r="AG159" s="396"/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ht="12.75" hidden="1" customHeight="1" x14ac:dyDescent="0.2">
      <c r="A160" s="423">
        <f t="shared" si="40"/>
        <v>155</v>
      </c>
      <c r="B160" s="683" t="s">
        <v>3463</v>
      </c>
      <c r="C160" s="655">
        <v>520906</v>
      </c>
      <c r="D160" s="658">
        <v>2007</v>
      </c>
      <c r="E160" s="655" t="s">
        <v>2208</v>
      </c>
      <c r="F160" s="546">
        <v>2017</v>
      </c>
      <c r="G160" s="659">
        <v>42881</v>
      </c>
      <c r="H160" s="655"/>
      <c r="I160" s="655" t="s">
        <v>3725</v>
      </c>
      <c r="J160" s="655" t="s">
        <v>724</v>
      </c>
      <c r="K160" s="655" t="s">
        <v>1706</v>
      </c>
      <c r="L160" s="655" t="s">
        <v>3984</v>
      </c>
      <c r="M160" s="660">
        <v>168237.71</v>
      </c>
      <c r="N160" s="660">
        <v>0</v>
      </c>
      <c r="O160" s="660">
        <v>26918.03</v>
      </c>
      <c r="P160" s="660">
        <v>195155.74</v>
      </c>
      <c r="Q160" s="548"/>
      <c r="R160" s="660">
        <v>167882.36</v>
      </c>
      <c r="S160" s="549">
        <f t="shared" si="39"/>
        <v>27273.380000000005</v>
      </c>
      <c r="T160" s="267" t="s">
        <v>283</v>
      </c>
      <c r="U160" s="267"/>
      <c r="V160" s="93"/>
      <c r="W160" s="267"/>
      <c r="X160" s="267"/>
      <c r="Y160" s="93"/>
      <c r="Z160" s="618"/>
      <c r="AA160" s="618"/>
      <c r="AB160" s="718"/>
      <c r="AC160" s="424"/>
      <c r="AD160" s="425"/>
      <c r="AE160" s="424"/>
      <c r="AF160" s="424"/>
      <c r="AG160" s="396"/>
      <c r="AH160" s="488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ht="12.75" hidden="1" customHeight="1" x14ac:dyDescent="0.2">
      <c r="A161" s="423">
        <f t="shared" si="40"/>
        <v>156</v>
      </c>
      <c r="B161" s="683" t="s">
        <v>3467</v>
      </c>
      <c r="C161" s="655">
        <v>521801</v>
      </c>
      <c r="D161" s="658">
        <v>2201</v>
      </c>
      <c r="E161" s="655" t="s">
        <v>704</v>
      </c>
      <c r="F161" s="546">
        <v>2017</v>
      </c>
      <c r="G161" s="659">
        <v>42868</v>
      </c>
      <c r="H161" s="655"/>
      <c r="I161" s="655" t="s">
        <v>3729</v>
      </c>
      <c r="J161" s="655" t="s">
        <v>724</v>
      </c>
      <c r="K161" s="655" t="s">
        <v>1189</v>
      </c>
      <c r="L161" s="655" t="s">
        <v>3988</v>
      </c>
      <c r="M161" s="660">
        <v>-184427.34</v>
      </c>
      <c r="N161" s="660">
        <v>0</v>
      </c>
      <c r="O161" s="660">
        <v>-29508.38</v>
      </c>
      <c r="P161" s="660">
        <v>-213935.72</v>
      </c>
      <c r="Q161" s="548"/>
      <c r="R161" s="660">
        <v>-179254.07</v>
      </c>
      <c r="S161" s="549">
        <f t="shared" si="39"/>
        <v>-34681.649999999994</v>
      </c>
      <c r="T161" s="444" t="s">
        <v>283</v>
      </c>
      <c r="AB161" s="666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ht="12.75" hidden="1" customHeight="1" x14ac:dyDescent="0.2">
      <c r="A162" s="423">
        <f t="shared" si="40"/>
        <v>157</v>
      </c>
      <c r="B162" s="683" t="s">
        <v>3468</v>
      </c>
      <c r="C162" s="655">
        <v>521801</v>
      </c>
      <c r="D162" s="658">
        <v>2201</v>
      </c>
      <c r="E162" s="655" t="s">
        <v>704</v>
      </c>
      <c r="F162" s="546">
        <v>2017</v>
      </c>
      <c r="G162" s="659">
        <v>42868</v>
      </c>
      <c r="H162" s="655"/>
      <c r="I162" s="655" t="s">
        <v>3729</v>
      </c>
      <c r="J162" s="655" t="s">
        <v>724</v>
      </c>
      <c r="K162" s="655" t="s">
        <v>1189</v>
      </c>
      <c r="L162" s="655" t="s">
        <v>3988</v>
      </c>
      <c r="M162" s="660">
        <v>184427.34</v>
      </c>
      <c r="N162" s="660">
        <v>0</v>
      </c>
      <c r="O162" s="660">
        <v>29508.38</v>
      </c>
      <c r="P162" s="660">
        <v>213935.72</v>
      </c>
      <c r="Q162" s="548"/>
      <c r="R162" s="660">
        <v>179254.07</v>
      </c>
      <c r="S162" s="549">
        <f t="shared" si="39"/>
        <v>34681.649999999994</v>
      </c>
      <c r="T162" s="113" t="s">
        <v>283</v>
      </c>
      <c r="AB162" s="114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ht="12.75" hidden="1" customHeight="1" x14ac:dyDescent="0.2">
      <c r="A163" s="423">
        <f t="shared" si="40"/>
        <v>158</v>
      </c>
      <c r="B163" s="683" t="s">
        <v>3469</v>
      </c>
      <c r="C163" s="655">
        <v>521801</v>
      </c>
      <c r="D163" s="658">
        <v>2201</v>
      </c>
      <c r="E163" s="655" t="s">
        <v>704</v>
      </c>
      <c r="F163" s="546">
        <v>2017</v>
      </c>
      <c r="G163" s="659">
        <v>42868</v>
      </c>
      <c r="H163" s="655"/>
      <c r="I163" s="655" t="s">
        <v>3729</v>
      </c>
      <c r="J163" s="655" t="s">
        <v>724</v>
      </c>
      <c r="K163" s="655" t="s">
        <v>1189</v>
      </c>
      <c r="L163" s="655" t="s">
        <v>3988</v>
      </c>
      <c r="M163" s="660">
        <v>183987.7</v>
      </c>
      <c r="N163" s="660">
        <v>0</v>
      </c>
      <c r="O163" s="660">
        <v>29438.03</v>
      </c>
      <c r="P163" s="660">
        <v>213425.73</v>
      </c>
      <c r="Q163" s="548"/>
      <c r="R163" s="660">
        <v>179254.07</v>
      </c>
      <c r="S163" s="549">
        <f t="shared" si="39"/>
        <v>34171.660000000003</v>
      </c>
      <c r="T163" s="444" t="s">
        <v>283</v>
      </c>
      <c r="U163" s="291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ht="12.75" hidden="1" customHeight="1" x14ac:dyDescent="0.2">
      <c r="A164" s="423">
        <f t="shared" si="40"/>
        <v>159</v>
      </c>
      <c r="B164" s="683" t="s">
        <v>3471</v>
      </c>
      <c r="C164" s="655">
        <v>521801</v>
      </c>
      <c r="D164" s="658">
        <v>2201</v>
      </c>
      <c r="E164" s="655" t="s">
        <v>704</v>
      </c>
      <c r="F164" s="546">
        <v>2017</v>
      </c>
      <c r="G164" s="659">
        <v>42879</v>
      </c>
      <c r="H164" s="655"/>
      <c r="I164" s="655" t="s">
        <v>3731</v>
      </c>
      <c r="J164" s="655" t="s">
        <v>724</v>
      </c>
      <c r="K164" s="655" t="s">
        <v>1745</v>
      </c>
      <c r="L164" s="655" t="s">
        <v>3990</v>
      </c>
      <c r="M164" s="660">
        <v>183987.71</v>
      </c>
      <c r="N164" s="660">
        <v>0</v>
      </c>
      <c r="O164" s="660">
        <v>29438.03</v>
      </c>
      <c r="P164" s="660">
        <v>213425.74</v>
      </c>
      <c r="Q164" s="548"/>
      <c r="R164" s="660">
        <v>183632.36</v>
      </c>
      <c r="S164" s="549">
        <f t="shared" si="39"/>
        <v>29793.380000000005</v>
      </c>
      <c r="T164" s="113" t="s">
        <v>283</v>
      </c>
      <c r="U164" s="307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ht="12.75" hidden="1" customHeight="1" x14ac:dyDescent="0.2">
      <c r="A165" s="423">
        <f t="shared" si="40"/>
        <v>160</v>
      </c>
      <c r="B165" s="683" t="s">
        <v>3473</v>
      </c>
      <c r="C165" s="655">
        <v>521802</v>
      </c>
      <c r="D165" s="658">
        <v>2202</v>
      </c>
      <c r="E165" s="655" t="s">
        <v>703</v>
      </c>
      <c r="F165" s="546">
        <v>2017</v>
      </c>
      <c r="G165" s="659">
        <v>42860</v>
      </c>
      <c r="H165" s="655"/>
      <c r="I165" s="655" t="s">
        <v>3733</v>
      </c>
      <c r="J165" s="655" t="s">
        <v>724</v>
      </c>
      <c r="K165" s="655" t="s">
        <v>3871</v>
      </c>
      <c r="L165" s="655" t="s">
        <v>3992</v>
      </c>
      <c r="M165" s="660">
        <v>183987.7</v>
      </c>
      <c r="N165" s="660">
        <v>0</v>
      </c>
      <c r="O165" s="660">
        <v>29438.03</v>
      </c>
      <c r="P165" s="660">
        <v>213425.73</v>
      </c>
      <c r="Q165" s="548"/>
      <c r="R165" s="660">
        <v>182856.5</v>
      </c>
      <c r="S165" s="549">
        <f t="shared" si="39"/>
        <v>30569.23000000001</v>
      </c>
      <c r="T165" s="113" t="s">
        <v>283</v>
      </c>
      <c r="U165" s="434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ht="12.75" hidden="1" customHeight="1" x14ac:dyDescent="0.2">
      <c r="A166" s="423">
        <f t="shared" si="40"/>
        <v>161</v>
      </c>
      <c r="B166" s="683" t="s">
        <v>3476</v>
      </c>
      <c r="C166" s="655">
        <v>521802</v>
      </c>
      <c r="D166" s="658">
        <v>2202</v>
      </c>
      <c r="E166" s="655" t="s">
        <v>703</v>
      </c>
      <c r="F166" s="546">
        <v>2017</v>
      </c>
      <c r="G166" s="659">
        <v>42871</v>
      </c>
      <c r="H166" s="655"/>
      <c r="I166" s="655" t="s">
        <v>3736</v>
      </c>
      <c r="J166" s="655" t="s">
        <v>724</v>
      </c>
      <c r="K166" s="655" t="s">
        <v>1147</v>
      </c>
      <c r="L166" s="655" t="s">
        <v>3995</v>
      </c>
      <c r="M166" s="660">
        <v>-188022.18</v>
      </c>
      <c r="N166" s="660">
        <v>0</v>
      </c>
      <c r="O166" s="660">
        <v>-30083.55</v>
      </c>
      <c r="P166" s="660">
        <v>-218105.73</v>
      </c>
      <c r="Q166" s="548"/>
      <c r="R166" s="660">
        <v>-182865.12</v>
      </c>
      <c r="S166" s="549">
        <f t="shared" si="39"/>
        <v>-35240.610000000015</v>
      </c>
      <c r="T166" s="113" t="s">
        <v>283</v>
      </c>
      <c r="U166" s="93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ht="12.75" hidden="1" customHeight="1" x14ac:dyDescent="0.2">
      <c r="A167" s="423">
        <f t="shared" si="40"/>
        <v>162</v>
      </c>
      <c r="B167" s="683" t="s">
        <v>3477</v>
      </c>
      <c r="C167" s="655">
        <v>521802</v>
      </c>
      <c r="D167" s="658">
        <v>2202</v>
      </c>
      <c r="E167" s="655" t="s">
        <v>703</v>
      </c>
      <c r="F167" s="546">
        <v>2017</v>
      </c>
      <c r="G167" s="659">
        <v>42871</v>
      </c>
      <c r="H167" s="655"/>
      <c r="I167" s="655" t="s">
        <v>3736</v>
      </c>
      <c r="J167" s="655" t="s">
        <v>724</v>
      </c>
      <c r="K167" s="655" t="s">
        <v>1147</v>
      </c>
      <c r="L167" s="655" t="s">
        <v>3995</v>
      </c>
      <c r="M167" s="660">
        <v>188022.18</v>
      </c>
      <c r="N167" s="660">
        <v>0</v>
      </c>
      <c r="O167" s="660">
        <v>30083.55</v>
      </c>
      <c r="P167" s="660">
        <v>218105.73</v>
      </c>
      <c r="Q167" s="548"/>
      <c r="R167" s="660">
        <v>182865.12</v>
      </c>
      <c r="S167" s="549">
        <f t="shared" si="39"/>
        <v>35240.610000000015</v>
      </c>
      <c r="T167" s="267" t="s">
        <v>283</v>
      </c>
      <c r="U167" s="429"/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ht="12.75" hidden="1" customHeight="1" x14ac:dyDescent="0.2">
      <c r="A168" s="423">
        <f t="shared" si="40"/>
        <v>163</v>
      </c>
      <c r="B168" s="683" t="s">
        <v>3478</v>
      </c>
      <c r="C168" s="655">
        <v>521802</v>
      </c>
      <c r="D168" s="658">
        <v>2202</v>
      </c>
      <c r="E168" s="655" t="s">
        <v>703</v>
      </c>
      <c r="F168" s="546">
        <v>2017</v>
      </c>
      <c r="G168" s="659">
        <v>42871</v>
      </c>
      <c r="H168" s="655"/>
      <c r="I168" s="655" t="s">
        <v>3736</v>
      </c>
      <c r="J168" s="655" t="s">
        <v>724</v>
      </c>
      <c r="K168" s="655" t="s">
        <v>1147</v>
      </c>
      <c r="L168" s="655" t="s">
        <v>3995</v>
      </c>
      <c r="M168" s="660">
        <v>188022.18</v>
      </c>
      <c r="N168" s="660">
        <v>0</v>
      </c>
      <c r="O168" s="660">
        <v>30083.55</v>
      </c>
      <c r="P168" s="660">
        <v>218105.73</v>
      </c>
      <c r="Q168" s="548"/>
      <c r="R168" s="660">
        <v>182865.12</v>
      </c>
      <c r="S168" s="549">
        <f t="shared" si="39"/>
        <v>35240.610000000015</v>
      </c>
      <c r="T168" s="113" t="s">
        <v>283</v>
      </c>
      <c r="U168" s="93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ht="12.75" hidden="1" customHeight="1" x14ac:dyDescent="0.2">
      <c r="A169" s="423">
        <f t="shared" si="40"/>
        <v>164</v>
      </c>
      <c r="B169" s="683" t="s">
        <v>3479</v>
      </c>
      <c r="C169" s="655">
        <v>521802</v>
      </c>
      <c r="D169" s="658">
        <v>2202</v>
      </c>
      <c r="E169" s="655" t="s">
        <v>703</v>
      </c>
      <c r="F169" s="546">
        <v>2017</v>
      </c>
      <c r="G169" s="659">
        <v>42875</v>
      </c>
      <c r="H169" s="655"/>
      <c r="I169" s="655" t="s">
        <v>3737</v>
      </c>
      <c r="J169" s="655" t="s">
        <v>724</v>
      </c>
      <c r="K169" s="655" t="s">
        <v>1155</v>
      </c>
      <c r="L169" s="655" t="s">
        <v>3996</v>
      </c>
      <c r="M169" s="660">
        <v>188022.18</v>
      </c>
      <c r="N169" s="660">
        <v>0</v>
      </c>
      <c r="O169" s="660">
        <v>30083.55</v>
      </c>
      <c r="P169" s="660">
        <v>218105.73</v>
      </c>
      <c r="Q169" s="548"/>
      <c r="R169" s="660">
        <v>182856.5</v>
      </c>
      <c r="S169" s="549">
        <f t="shared" si="39"/>
        <v>35249.23000000001</v>
      </c>
      <c r="T169" s="113" t="s">
        <v>283</v>
      </c>
      <c r="U169" s="93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ht="12.75" hidden="1" customHeight="1" x14ac:dyDescent="0.2">
      <c r="A170" s="423">
        <f t="shared" si="40"/>
        <v>165</v>
      </c>
      <c r="B170" s="683" t="s">
        <v>3482</v>
      </c>
      <c r="C170" s="655">
        <v>521802</v>
      </c>
      <c r="D170" s="658">
        <v>2202</v>
      </c>
      <c r="E170" s="655" t="s">
        <v>703</v>
      </c>
      <c r="F170" s="546">
        <v>2017</v>
      </c>
      <c r="G170" s="659">
        <v>42886</v>
      </c>
      <c r="H170" s="655"/>
      <c r="I170" s="655" t="s">
        <v>3740</v>
      </c>
      <c r="J170" s="655" t="s">
        <v>724</v>
      </c>
      <c r="K170" s="655" t="s">
        <v>1149</v>
      </c>
      <c r="L170" s="655" t="s">
        <v>3999</v>
      </c>
      <c r="M170" s="660">
        <v>183212.84</v>
      </c>
      <c r="N170" s="660">
        <v>0</v>
      </c>
      <c r="O170" s="660">
        <v>29314.06</v>
      </c>
      <c r="P170" s="660">
        <v>212526.9</v>
      </c>
      <c r="Q170" s="548"/>
      <c r="R170" s="660">
        <v>183211.98</v>
      </c>
      <c r="S170" s="549">
        <f t="shared" si="39"/>
        <v>29314.919999999984</v>
      </c>
      <c r="T170" s="267" t="s">
        <v>283</v>
      </c>
      <c r="U170" s="429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ht="12.75" hidden="1" customHeight="1" x14ac:dyDescent="0.2">
      <c r="A171" s="423">
        <f t="shared" si="40"/>
        <v>166</v>
      </c>
      <c r="B171" s="683" t="s">
        <v>3483</v>
      </c>
      <c r="C171" s="655">
        <v>521802</v>
      </c>
      <c r="D171" s="658">
        <v>2204</v>
      </c>
      <c r="E171" s="655" t="s">
        <v>705</v>
      </c>
      <c r="F171" s="546">
        <v>2017</v>
      </c>
      <c r="G171" s="659">
        <v>42885</v>
      </c>
      <c r="H171" s="655"/>
      <c r="I171" s="655" t="s">
        <v>3741</v>
      </c>
      <c r="J171" s="655" t="s">
        <v>724</v>
      </c>
      <c r="K171" s="655" t="s">
        <v>1164</v>
      </c>
      <c r="L171" s="655" t="s">
        <v>4000</v>
      </c>
      <c r="M171" s="660">
        <v>208375.12</v>
      </c>
      <c r="N171" s="660">
        <v>0</v>
      </c>
      <c r="O171" s="660">
        <v>33340.019999999997</v>
      </c>
      <c r="P171" s="660">
        <v>241715.14</v>
      </c>
      <c r="Q171" s="548"/>
      <c r="R171" s="660">
        <v>208019.78</v>
      </c>
      <c r="S171" s="549">
        <f t="shared" si="39"/>
        <v>33695.360000000015</v>
      </c>
      <c r="T171" s="113" t="s">
        <v>283</v>
      </c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ht="12.75" hidden="1" customHeight="1" x14ac:dyDescent="0.2">
      <c r="A172" s="423">
        <f t="shared" si="40"/>
        <v>167</v>
      </c>
      <c r="B172" s="683" t="s">
        <v>3502</v>
      </c>
      <c r="C172" s="655">
        <v>520815</v>
      </c>
      <c r="D172" s="658">
        <v>4492</v>
      </c>
      <c r="E172" s="655" t="s">
        <v>694</v>
      </c>
      <c r="F172" s="546">
        <v>2017</v>
      </c>
      <c r="G172" s="659">
        <v>42885</v>
      </c>
      <c r="H172" s="655"/>
      <c r="I172" s="655" t="s">
        <v>3025</v>
      </c>
      <c r="J172" s="655" t="s">
        <v>724</v>
      </c>
      <c r="K172" s="655" t="s">
        <v>1147</v>
      </c>
      <c r="L172" s="655" t="s">
        <v>3291</v>
      </c>
      <c r="M172" s="660">
        <v>311960.52</v>
      </c>
      <c r="N172" s="660">
        <v>0</v>
      </c>
      <c r="O172" s="660">
        <v>49913.68</v>
      </c>
      <c r="P172" s="660">
        <v>361874.2</v>
      </c>
      <c r="Q172" s="548"/>
      <c r="R172" s="660">
        <v>296567.37</v>
      </c>
      <c r="S172" s="549">
        <f t="shared" si="39"/>
        <v>65306.830000000016</v>
      </c>
      <c r="T172" s="267" t="s">
        <v>283</v>
      </c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ht="12.75" hidden="1" customHeight="1" x14ac:dyDescent="0.2">
      <c r="A173" s="423">
        <f t="shared" si="40"/>
        <v>168</v>
      </c>
      <c r="B173" s="683" t="s">
        <v>3503</v>
      </c>
      <c r="C173" s="655">
        <v>520815</v>
      </c>
      <c r="D173" s="658">
        <v>4492</v>
      </c>
      <c r="E173" s="655" t="s">
        <v>694</v>
      </c>
      <c r="F173" s="546">
        <v>2017</v>
      </c>
      <c r="G173" s="659">
        <v>42885</v>
      </c>
      <c r="H173" s="655"/>
      <c r="I173" s="655" t="s">
        <v>3748</v>
      </c>
      <c r="J173" s="655" t="s">
        <v>724</v>
      </c>
      <c r="K173" s="655" t="s">
        <v>1147</v>
      </c>
      <c r="L173" s="655" t="s">
        <v>4007</v>
      </c>
      <c r="M173" s="660">
        <v>311960.52</v>
      </c>
      <c r="N173" s="660">
        <v>0</v>
      </c>
      <c r="O173" s="660">
        <v>49913.68</v>
      </c>
      <c r="P173" s="660">
        <v>361874.2</v>
      </c>
      <c r="Q173" s="548"/>
      <c r="R173" s="660">
        <v>296567.37</v>
      </c>
      <c r="S173" s="549">
        <f t="shared" si="39"/>
        <v>65306.830000000016</v>
      </c>
      <c r="T173" s="113" t="s">
        <v>283</v>
      </c>
      <c r="U173" s="267"/>
      <c r="V173" s="93"/>
      <c r="W173" s="267"/>
      <c r="X173" s="267"/>
      <c r="Y173" s="93"/>
      <c r="Z173" s="618"/>
      <c r="AA173" s="424"/>
      <c r="AB173" s="480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ht="12.75" hidden="1" customHeight="1" x14ac:dyDescent="0.2">
      <c r="A174" s="423">
        <f t="shared" si="40"/>
        <v>169</v>
      </c>
      <c r="B174" s="683" t="s">
        <v>3505</v>
      </c>
      <c r="C174" s="655">
        <v>520814</v>
      </c>
      <c r="D174" s="658">
        <v>4493</v>
      </c>
      <c r="E174" s="655" t="s">
        <v>693</v>
      </c>
      <c r="F174" s="546">
        <v>2017</v>
      </c>
      <c r="G174" s="659">
        <v>42857</v>
      </c>
      <c r="H174" s="655"/>
      <c r="I174" s="655" t="s">
        <v>3750</v>
      </c>
      <c r="J174" s="655" t="s">
        <v>724</v>
      </c>
      <c r="K174" s="655" t="s">
        <v>1745</v>
      </c>
      <c r="L174" s="655" t="s">
        <v>4009</v>
      </c>
      <c r="M174" s="660">
        <v>269501.46999999997</v>
      </c>
      <c r="N174" s="660">
        <v>0</v>
      </c>
      <c r="O174" s="660">
        <v>43120.23</v>
      </c>
      <c r="P174" s="660">
        <v>312621.7</v>
      </c>
      <c r="Q174" s="548"/>
      <c r="R174" s="660">
        <v>269146.12</v>
      </c>
      <c r="S174" s="549">
        <f t="shared" si="39"/>
        <v>43475.580000000016</v>
      </c>
      <c r="T174" s="267" t="s">
        <v>283</v>
      </c>
      <c r="U174" s="267"/>
      <c r="V174" s="93"/>
      <c r="W174" s="267"/>
      <c r="X174" s="267"/>
      <c r="Y174" s="93"/>
      <c r="Z174" s="618"/>
      <c r="AA174" s="424"/>
      <c r="AB174" s="480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ht="12.75" hidden="1" customHeight="1" x14ac:dyDescent="0.2">
      <c r="A175" s="423">
        <f t="shared" si="40"/>
        <v>170</v>
      </c>
      <c r="B175" s="683" t="s">
        <v>3506</v>
      </c>
      <c r="C175" s="655">
        <v>520814</v>
      </c>
      <c r="D175" s="658">
        <v>4493</v>
      </c>
      <c r="E175" s="655" t="s">
        <v>693</v>
      </c>
      <c r="F175" s="546">
        <v>2017</v>
      </c>
      <c r="G175" s="659">
        <v>42864</v>
      </c>
      <c r="H175" s="655"/>
      <c r="I175" s="655" t="s">
        <v>3751</v>
      </c>
      <c r="J175" s="655" t="s">
        <v>724</v>
      </c>
      <c r="K175" s="655" t="s">
        <v>2438</v>
      </c>
      <c r="L175" s="655" t="s">
        <v>4010</v>
      </c>
      <c r="M175" s="660">
        <v>277001.46999999997</v>
      </c>
      <c r="N175" s="660">
        <v>0</v>
      </c>
      <c r="O175" s="660">
        <v>44320.23</v>
      </c>
      <c r="P175" s="660">
        <v>321321.7</v>
      </c>
      <c r="Q175" s="548"/>
      <c r="R175" s="660">
        <v>276646.13</v>
      </c>
      <c r="S175" s="549">
        <f t="shared" si="39"/>
        <v>44675.570000000007</v>
      </c>
      <c r="T175" s="267" t="s">
        <v>283</v>
      </c>
      <c r="U175" s="267"/>
      <c r="V175" s="93"/>
      <c r="W175" s="267"/>
      <c r="X175" s="267"/>
      <c r="Y175" s="93"/>
      <c r="Z175" s="618"/>
      <c r="AA175" s="424"/>
      <c r="AB175" s="480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ht="12.75" hidden="1" customHeight="1" x14ac:dyDescent="0.2">
      <c r="A176" s="423">
        <f t="shared" si="40"/>
        <v>171</v>
      </c>
      <c r="B176" s="683" t="s">
        <v>3507</v>
      </c>
      <c r="C176" s="655">
        <v>520814</v>
      </c>
      <c r="D176" s="658">
        <v>4493</v>
      </c>
      <c r="E176" s="655" t="s">
        <v>693</v>
      </c>
      <c r="F176" s="546">
        <v>2017</v>
      </c>
      <c r="G176" s="659">
        <v>42864</v>
      </c>
      <c r="H176" s="655"/>
      <c r="I176" s="655" t="s">
        <v>3752</v>
      </c>
      <c r="J176" s="655" t="s">
        <v>724</v>
      </c>
      <c r="K176" s="655" t="s">
        <v>1745</v>
      </c>
      <c r="L176" s="655" t="s">
        <v>4011</v>
      </c>
      <c r="M176" s="660">
        <v>277001.46999999997</v>
      </c>
      <c r="N176" s="660">
        <v>0</v>
      </c>
      <c r="O176" s="660">
        <v>44320.23</v>
      </c>
      <c r="P176" s="660">
        <v>321321.7</v>
      </c>
      <c r="Q176" s="548"/>
      <c r="R176" s="660">
        <v>276646.12</v>
      </c>
      <c r="S176" s="549">
        <f t="shared" si="39"/>
        <v>44675.580000000016</v>
      </c>
      <c r="T176" s="267" t="s">
        <v>283</v>
      </c>
      <c r="U176" s="267"/>
      <c r="V176" s="93"/>
      <c r="W176" s="267"/>
      <c r="X176" s="267"/>
      <c r="Y176" s="93"/>
      <c r="Z176" s="618"/>
      <c r="AA176" s="424"/>
      <c r="AB176" s="480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ht="12.75" hidden="1" customHeight="1" x14ac:dyDescent="0.2">
      <c r="A177" s="423">
        <f t="shared" si="40"/>
        <v>172</v>
      </c>
      <c r="B177" s="683" t="s">
        <v>3508</v>
      </c>
      <c r="C177" s="655">
        <v>520814</v>
      </c>
      <c r="D177" s="658">
        <v>4493</v>
      </c>
      <c r="E177" s="655" t="s">
        <v>693</v>
      </c>
      <c r="F177" s="546">
        <v>2017</v>
      </c>
      <c r="G177" s="659">
        <v>42878</v>
      </c>
      <c r="H177" s="655"/>
      <c r="I177" s="655" t="s">
        <v>3753</v>
      </c>
      <c r="J177" s="655" t="s">
        <v>724</v>
      </c>
      <c r="K177" s="655" t="s">
        <v>2404</v>
      </c>
      <c r="L177" s="655" t="s">
        <v>4012</v>
      </c>
      <c r="M177" s="660">
        <v>-277001.46999999997</v>
      </c>
      <c r="N177" s="660">
        <v>0</v>
      </c>
      <c r="O177" s="660">
        <v>-44320.23</v>
      </c>
      <c r="P177" s="660">
        <v>-321321.7</v>
      </c>
      <c r="Q177" s="548"/>
      <c r="R177" s="660">
        <v>-276646.12</v>
      </c>
      <c r="S177" s="549">
        <f t="shared" si="39"/>
        <v>-44675.580000000016</v>
      </c>
      <c r="T177" s="267" t="s">
        <v>283</v>
      </c>
      <c r="U177" s="267"/>
      <c r="V177" s="93"/>
      <c r="W177" s="267"/>
      <c r="X177" s="267"/>
      <c r="Y177" s="93"/>
      <c r="Z177" s="618"/>
      <c r="AA177" s="424"/>
      <c r="AB177" s="480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ht="12.75" hidden="1" customHeight="1" x14ac:dyDescent="0.2">
      <c r="A178" s="423">
        <f t="shared" si="40"/>
        <v>173</v>
      </c>
      <c r="B178" s="683" t="s">
        <v>3509</v>
      </c>
      <c r="C178" s="655">
        <v>520814</v>
      </c>
      <c r="D178" s="658">
        <v>4493</v>
      </c>
      <c r="E178" s="655" t="s">
        <v>693</v>
      </c>
      <c r="F178" s="546">
        <v>2017</v>
      </c>
      <c r="G178" s="659">
        <v>42878</v>
      </c>
      <c r="H178" s="655"/>
      <c r="I178" s="655" t="s">
        <v>3753</v>
      </c>
      <c r="J178" s="655" t="s">
        <v>724</v>
      </c>
      <c r="K178" s="655" t="s">
        <v>2404</v>
      </c>
      <c r="L178" s="655" t="s">
        <v>4012</v>
      </c>
      <c r="M178" s="660">
        <v>277001.46999999997</v>
      </c>
      <c r="N178" s="660">
        <v>0</v>
      </c>
      <c r="O178" s="660">
        <v>44320.23</v>
      </c>
      <c r="P178" s="660">
        <v>321321.7</v>
      </c>
      <c r="Q178" s="548"/>
      <c r="R178" s="660">
        <v>276646.12</v>
      </c>
      <c r="S178" s="549">
        <f t="shared" si="39"/>
        <v>44675.580000000016</v>
      </c>
      <c r="T178" s="267" t="s">
        <v>283</v>
      </c>
      <c r="U178" s="267"/>
      <c r="V178" s="93"/>
      <c r="W178" s="267"/>
      <c r="X178" s="267"/>
      <c r="Y178" s="93"/>
      <c r="Z178" s="618"/>
      <c r="AA178" s="424"/>
      <c r="AB178" s="480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ht="12.75" hidden="1" customHeight="1" x14ac:dyDescent="0.2">
      <c r="A179" s="423">
        <f t="shared" si="40"/>
        <v>174</v>
      </c>
      <c r="B179" s="683" t="s">
        <v>3510</v>
      </c>
      <c r="C179" s="655">
        <v>520814</v>
      </c>
      <c r="D179" s="658">
        <v>4493</v>
      </c>
      <c r="E179" s="655" t="s">
        <v>693</v>
      </c>
      <c r="F179" s="546">
        <v>2017</v>
      </c>
      <c r="G179" s="659">
        <v>42878</v>
      </c>
      <c r="H179" s="655"/>
      <c r="I179" s="655" t="s">
        <v>3753</v>
      </c>
      <c r="J179" s="655" t="s">
        <v>724</v>
      </c>
      <c r="K179" s="655" t="s">
        <v>2404</v>
      </c>
      <c r="L179" s="655" t="s">
        <v>4012</v>
      </c>
      <c r="M179" s="660">
        <v>277001.46999999997</v>
      </c>
      <c r="N179" s="660">
        <v>0</v>
      </c>
      <c r="O179" s="660">
        <v>44320.23</v>
      </c>
      <c r="P179" s="660">
        <v>321321.7</v>
      </c>
      <c r="Q179" s="548"/>
      <c r="R179" s="660">
        <v>276646.12</v>
      </c>
      <c r="S179" s="549">
        <f t="shared" si="39"/>
        <v>44675.580000000016</v>
      </c>
      <c r="T179" s="267" t="s">
        <v>283</v>
      </c>
      <c r="U179" s="267"/>
      <c r="V179" s="93"/>
      <c r="W179" s="267"/>
      <c r="X179" s="267"/>
      <c r="Y179" s="93"/>
      <c r="Z179" s="618"/>
      <c r="AA179" s="424"/>
      <c r="AB179" s="480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ht="12.75" hidden="1" customHeight="1" x14ac:dyDescent="0.2">
      <c r="A180" s="423">
        <f t="shared" si="40"/>
        <v>175</v>
      </c>
      <c r="B180" s="683" t="s">
        <v>3520</v>
      </c>
      <c r="C180" s="655">
        <v>520819</v>
      </c>
      <c r="D180" s="658">
        <v>4498</v>
      </c>
      <c r="E180" s="655" t="s">
        <v>696</v>
      </c>
      <c r="F180" s="546">
        <v>2017</v>
      </c>
      <c r="G180" s="659">
        <v>42880</v>
      </c>
      <c r="H180" s="655"/>
      <c r="I180" s="655" t="s">
        <v>3762</v>
      </c>
      <c r="J180" s="655" t="s">
        <v>724</v>
      </c>
      <c r="K180" s="655" t="s">
        <v>1730</v>
      </c>
      <c r="L180" s="655" t="s">
        <v>4021</v>
      </c>
      <c r="M180" s="660">
        <v>336482.26</v>
      </c>
      <c r="N180" s="660">
        <v>0</v>
      </c>
      <c r="O180" s="660">
        <v>53837.16</v>
      </c>
      <c r="P180" s="660">
        <v>390319.42</v>
      </c>
      <c r="Q180" s="548"/>
      <c r="R180" s="660">
        <v>319849.96999999997</v>
      </c>
      <c r="S180" s="549">
        <f t="shared" si="39"/>
        <v>70469.450000000012</v>
      </c>
      <c r="T180" s="267" t="s">
        <v>283</v>
      </c>
      <c r="U180" s="267"/>
      <c r="V180" s="93"/>
      <c r="W180" s="267"/>
      <c r="X180" s="267"/>
      <c r="Y180" s="93"/>
      <c r="Z180" s="618"/>
      <c r="AA180" s="424"/>
      <c r="AB180" s="480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ht="12.75" hidden="1" customHeight="1" x14ac:dyDescent="0.2">
      <c r="A181" s="423">
        <f t="shared" si="40"/>
        <v>176</v>
      </c>
      <c r="B181" s="683" t="s">
        <v>3521</v>
      </c>
      <c r="C181" s="655">
        <v>520512</v>
      </c>
      <c r="D181" s="658">
        <v>5394</v>
      </c>
      <c r="E181" s="655" t="s">
        <v>223</v>
      </c>
      <c r="F181" s="546">
        <v>2017</v>
      </c>
      <c r="G181" s="659">
        <v>42886</v>
      </c>
      <c r="H181" s="655"/>
      <c r="I181" s="655" t="s">
        <v>3763</v>
      </c>
      <c r="J181" s="655" t="s">
        <v>724</v>
      </c>
      <c r="K181" s="655" t="s">
        <v>3890</v>
      </c>
      <c r="L181" s="655" t="s">
        <v>4022</v>
      </c>
      <c r="M181" s="660">
        <v>391965.61</v>
      </c>
      <c r="N181" s="660">
        <v>0</v>
      </c>
      <c r="O181" s="660">
        <v>62714.5</v>
      </c>
      <c r="P181" s="660">
        <v>454680.11</v>
      </c>
      <c r="Q181" s="548"/>
      <c r="R181" s="660">
        <v>391610.27</v>
      </c>
      <c r="S181" s="549">
        <f t="shared" si="39"/>
        <v>63069.839999999967</v>
      </c>
      <c r="T181" s="113" t="s">
        <v>283</v>
      </c>
      <c r="U181" s="267"/>
      <c r="V181" s="93"/>
      <c r="W181" s="267"/>
      <c r="X181" s="267"/>
      <c r="Y181" s="93"/>
      <c r="Z181" s="618"/>
      <c r="AA181" s="424"/>
      <c r="AB181" s="480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ht="12.75" hidden="1" customHeight="1" x14ac:dyDescent="0.2">
      <c r="A182" s="423">
        <f t="shared" si="40"/>
        <v>177</v>
      </c>
      <c r="B182" s="683" t="s">
        <v>3522</v>
      </c>
      <c r="C182" s="655">
        <v>520513</v>
      </c>
      <c r="D182" s="658">
        <v>5396</v>
      </c>
      <c r="E182" s="655" t="s">
        <v>132</v>
      </c>
      <c r="F182" s="546">
        <v>2017</v>
      </c>
      <c r="G182" s="659">
        <v>42872</v>
      </c>
      <c r="H182" s="655"/>
      <c r="I182" s="655" t="s">
        <v>3764</v>
      </c>
      <c r="J182" s="655" t="s">
        <v>724</v>
      </c>
      <c r="K182" s="655" t="s">
        <v>3129</v>
      </c>
      <c r="L182" s="655" t="s">
        <v>4023</v>
      </c>
      <c r="M182" s="660">
        <v>426221.97</v>
      </c>
      <c r="N182" s="660">
        <v>0</v>
      </c>
      <c r="O182" s="660">
        <v>68195.520000000004</v>
      </c>
      <c r="P182" s="660">
        <v>494417.49</v>
      </c>
      <c r="Q182" s="548"/>
      <c r="R182" s="660">
        <v>416400.08</v>
      </c>
      <c r="S182" s="549">
        <f t="shared" si="39"/>
        <v>78017.409999999974</v>
      </c>
      <c r="T182" s="267" t="s">
        <v>283</v>
      </c>
      <c r="U182" s="267"/>
      <c r="V182" s="93"/>
      <c r="W182" s="267"/>
      <c r="X182" s="267"/>
      <c r="Y182" s="93"/>
      <c r="Z182" s="618"/>
      <c r="AA182" s="424"/>
      <c r="AB182" s="480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ht="12.75" hidden="1" customHeight="1" x14ac:dyDescent="0.2">
      <c r="A183" s="423">
        <f t="shared" si="40"/>
        <v>178</v>
      </c>
      <c r="B183" s="683" t="s">
        <v>3523</v>
      </c>
      <c r="C183" s="655">
        <v>520513</v>
      </c>
      <c r="D183" s="658">
        <v>5396</v>
      </c>
      <c r="E183" s="655" t="s">
        <v>132</v>
      </c>
      <c r="F183" s="546">
        <v>2017</v>
      </c>
      <c r="G183" s="659">
        <v>42873</v>
      </c>
      <c r="H183" s="655"/>
      <c r="I183" s="655" t="s">
        <v>3764</v>
      </c>
      <c r="J183" s="655" t="s">
        <v>724</v>
      </c>
      <c r="K183" s="655" t="s">
        <v>3129</v>
      </c>
      <c r="L183" s="655" t="s">
        <v>4023</v>
      </c>
      <c r="M183" s="660">
        <v>-426221.97</v>
      </c>
      <c r="N183" s="660">
        <v>0</v>
      </c>
      <c r="O183" s="660">
        <v>-68195.520000000004</v>
      </c>
      <c r="P183" s="660">
        <v>-494417.49</v>
      </c>
      <c r="Q183" s="548"/>
      <c r="R183" s="660">
        <v>-416400.08</v>
      </c>
      <c r="S183" s="549">
        <f t="shared" si="39"/>
        <v>-78017.409999999974</v>
      </c>
      <c r="T183" s="267" t="s">
        <v>283</v>
      </c>
      <c r="U183" s="267"/>
      <c r="V183" s="93"/>
      <c r="W183" s="267"/>
      <c r="X183" s="267"/>
      <c r="Y183" s="93"/>
      <c r="Z183" s="618"/>
      <c r="AA183" s="424"/>
      <c r="AB183" s="480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ht="12.75" hidden="1" customHeight="1" x14ac:dyDescent="0.2">
      <c r="A184" s="423">
        <f t="shared" si="40"/>
        <v>179</v>
      </c>
      <c r="B184" s="683" t="s">
        <v>3524</v>
      </c>
      <c r="C184" s="655">
        <v>520513</v>
      </c>
      <c r="D184" s="658">
        <v>5396</v>
      </c>
      <c r="E184" s="655" t="s">
        <v>132</v>
      </c>
      <c r="F184" s="546">
        <v>2017</v>
      </c>
      <c r="G184" s="659">
        <v>42873</v>
      </c>
      <c r="H184" s="655"/>
      <c r="I184" s="655" t="s">
        <v>3764</v>
      </c>
      <c r="J184" s="655" t="s">
        <v>724</v>
      </c>
      <c r="K184" s="655" t="s">
        <v>3129</v>
      </c>
      <c r="L184" s="655" t="s">
        <v>4023</v>
      </c>
      <c r="M184" s="660">
        <v>-426221.97</v>
      </c>
      <c r="N184" s="660">
        <v>0</v>
      </c>
      <c r="O184" s="660">
        <v>-68195.520000000004</v>
      </c>
      <c r="P184" s="660">
        <v>-494417.49</v>
      </c>
      <c r="Q184" s="548"/>
      <c r="R184" s="660">
        <v>-416400.08</v>
      </c>
      <c r="S184" s="549">
        <f t="shared" si="39"/>
        <v>-78017.409999999974</v>
      </c>
      <c r="T184" s="267" t="s">
        <v>283</v>
      </c>
      <c r="U184" s="267"/>
      <c r="V184" s="93"/>
      <c r="W184" s="267"/>
      <c r="X184" s="267"/>
      <c r="Y184" s="93"/>
      <c r="Z184" s="618"/>
      <c r="AA184" s="424"/>
      <c r="AB184" s="480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ht="12.75" hidden="1" customHeight="1" x14ac:dyDescent="0.2">
      <c r="A185" s="423">
        <f t="shared" si="40"/>
        <v>180</v>
      </c>
      <c r="B185" s="683" t="s">
        <v>3525</v>
      </c>
      <c r="C185" s="655">
        <v>520513</v>
      </c>
      <c r="D185" s="658">
        <v>5396</v>
      </c>
      <c r="E185" s="655" t="s">
        <v>132</v>
      </c>
      <c r="F185" s="546">
        <v>2017</v>
      </c>
      <c r="G185" s="659">
        <v>42873</v>
      </c>
      <c r="H185" s="655"/>
      <c r="I185" s="655" t="s">
        <v>3764</v>
      </c>
      <c r="J185" s="655" t="s">
        <v>724</v>
      </c>
      <c r="K185" s="655" t="s">
        <v>3129</v>
      </c>
      <c r="L185" s="655" t="s">
        <v>4023</v>
      </c>
      <c r="M185" s="660">
        <v>426221.97</v>
      </c>
      <c r="N185" s="660">
        <v>0</v>
      </c>
      <c r="O185" s="660">
        <v>68195.520000000004</v>
      </c>
      <c r="P185" s="660">
        <v>494417.49</v>
      </c>
      <c r="Q185" s="548"/>
      <c r="R185" s="660">
        <v>416400.08</v>
      </c>
      <c r="S185" s="549">
        <f t="shared" si="39"/>
        <v>78017.409999999974</v>
      </c>
      <c r="T185" s="267" t="s">
        <v>283</v>
      </c>
      <c r="U185" s="267"/>
      <c r="V185" s="93"/>
      <c r="W185" s="267"/>
      <c r="X185" s="267"/>
      <c r="Y185" s="93"/>
      <c r="Z185" s="618"/>
      <c r="AA185" s="424"/>
      <c r="AB185" s="480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ht="12.75" hidden="1" customHeight="1" x14ac:dyDescent="0.2">
      <c r="A186" s="423">
        <f t="shared" si="40"/>
        <v>181</v>
      </c>
      <c r="B186" s="683" t="s">
        <v>3526</v>
      </c>
      <c r="C186" s="655">
        <v>520513</v>
      </c>
      <c r="D186" s="658">
        <v>5396</v>
      </c>
      <c r="E186" s="655" t="s">
        <v>132</v>
      </c>
      <c r="F186" s="546">
        <v>2017</v>
      </c>
      <c r="G186" s="659">
        <v>42873</v>
      </c>
      <c r="H186" s="655"/>
      <c r="I186" s="655" t="s">
        <v>3764</v>
      </c>
      <c r="J186" s="655" t="s">
        <v>724</v>
      </c>
      <c r="K186" s="655" t="s">
        <v>3129</v>
      </c>
      <c r="L186" s="655" t="s">
        <v>4023</v>
      </c>
      <c r="M186" s="660">
        <v>426221.97</v>
      </c>
      <c r="N186" s="660">
        <v>0</v>
      </c>
      <c r="O186" s="660">
        <v>68195.520000000004</v>
      </c>
      <c r="P186" s="660">
        <v>494417.49</v>
      </c>
      <c r="Q186" s="548"/>
      <c r="R186" s="660">
        <v>416400.08</v>
      </c>
      <c r="S186" s="549">
        <f t="shared" si="39"/>
        <v>78017.409999999974</v>
      </c>
      <c r="T186" s="267" t="s">
        <v>283</v>
      </c>
      <c r="U186" s="267"/>
      <c r="V186" s="93"/>
      <c r="W186" s="267"/>
      <c r="X186" s="267"/>
      <c r="Y186" s="93"/>
      <c r="Z186" s="618"/>
      <c r="AA186" s="424"/>
      <c r="AB186" s="480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ht="12.75" hidden="1" customHeight="1" x14ac:dyDescent="0.2">
      <c r="A187" s="423">
        <f t="shared" si="40"/>
        <v>182</v>
      </c>
      <c r="B187" s="683" t="s">
        <v>3527</v>
      </c>
      <c r="C187" s="655">
        <v>520513</v>
      </c>
      <c r="D187" s="658">
        <v>5396</v>
      </c>
      <c r="E187" s="655" t="s">
        <v>132</v>
      </c>
      <c r="F187" s="546">
        <v>2017</v>
      </c>
      <c r="G187" s="659">
        <v>42885</v>
      </c>
      <c r="H187" s="655"/>
      <c r="I187" s="655" t="s">
        <v>3765</v>
      </c>
      <c r="J187" s="655" t="s">
        <v>724</v>
      </c>
      <c r="K187" s="655" t="s">
        <v>1745</v>
      </c>
      <c r="L187" s="655" t="s">
        <v>4024</v>
      </c>
      <c r="M187" s="660">
        <v>-426221.97</v>
      </c>
      <c r="N187" s="660">
        <v>0</v>
      </c>
      <c r="O187" s="660">
        <v>-68195.520000000004</v>
      </c>
      <c r="P187" s="660">
        <v>-494417.49</v>
      </c>
      <c r="Q187" s="548"/>
      <c r="R187" s="660">
        <v>-425866.63</v>
      </c>
      <c r="S187" s="549">
        <f t="shared" si="39"/>
        <v>-68550.859999999986</v>
      </c>
      <c r="T187" s="444" t="s">
        <v>283</v>
      </c>
      <c r="U187" s="267"/>
      <c r="V187" s="93"/>
      <c r="W187" s="267"/>
      <c r="X187" s="267"/>
      <c r="Y187" s="93"/>
      <c r="Z187" s="618"/>
      <c r="AA187" s="424"/>
      <c r="AB187" s="480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ht="12.75" hidden="1" customHeight="1" x14ac:dyDescent="0.2">
      <c r="A188" s="423">
        <f t="shared" si="40"/>
        <v>183</v>
      </c>
      <c r="B188" s="683" t="s">
        <v>3528</v>
      </c>
      <c r="C188" s="655">
        <v>520513</v>
      </c>
      <c r="D188" s="658">
        <v>5396</v>
      </c>
      <c r="E188" s="655" t="s">
        <v>132</v>
      </c>
      <c r="F188" s="546">
        <v>2017</v>
      </c>
      <c r="G188" s="659">
        <v>42885</v>
      </c>
      <c r="H188" s="655"/>
      <c r="I188" s="655" t="s">
        <v>3765</v>
      </c>
      <c r="J188" s="655" t="s">
        <v>724</v>
      </c>
      <c r="K188" s="655" t="s">
        <v>1745</v>
      </c>
      <c r="L188" s="655" t="s">
        <v>4024</v>
      </c>
      <c r="M188" s="660">
        <v>426221.97</v>
      </c>
      <c r="N188" s="660">
        <v>0</v>
      </c>
      <c r="O188" s="660">
        <v>68195.520000000004</v>
      </c>
      <c r="P188" s="660">
        <v>494417.49</v>
      </c>
      <c r="Q188" s="548"/>
      <c r="R188" s="660">
        <v>425866.63</v>
      </c>
      <c r="S188" s="549">
        <f t="shared" si="39"/>
        <v>68550.859999999986</v>
      </c>
      <c r="T188" s="267" t="s">
        <v>283</v>
      </c>
      <c r="U188" s="267"/>
      <c r="V188" s="93"/>
      <c r="W188" s="267"/>
      <c r="X188" s="267"/>
      <c r="Y188" s="93"/>
      <c r="Z188" s="618"/>
      <c r="AA188" s="424"/>
      <c r="AB188" s="480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ht="12.75" hidden="1" customHeight="1" x14ac:dyDescent="0.2">
      <c r="A189" s="423">
        <f t="shared" si="40"/>
        <v>184</v>
      </c>
      <c r="B189" s="683" t="s">
        <v>3529</v>
      </c>
      <c r="C189" s="655">
        <v>520513</v>
      </c>
      <c r="D189" s="658">
        <v>5396</v>
      </c>
      <c r="E189" s="655" t="s">
        <v>132</v>
      </c>
      <c r="F189" s="546">
        <v>2017</v>
      </c>
      <c r="G189" s="659">
        <v>42885</v>
      </c>
      <c r="H189" s="655"/>
      <c r="I189" s="655" t="s">
        <v>3766</v>
      </c>
      <c r="J189" s="655" t="s">
        <v>724</v>
      </c>
      <c r="K189" s="655" t="s">
        <v>1147</v>
      </c>
      <c r="L189" s="655" t="s">
        <v>4025</v>
      </c>
      <c r="M189" s="660">
        <v>426221.97</v>
      </c>
      <c r="N189" s="660">
        <v>0</v>
      </c>
      <c r="O189" s="660">
        <v>68195.520000000004</v>
      </c>
      <c r="P189" s="660">
        <v>494417.49</v>
      </c>
      <c r="Q189" s="548"/>
      <c r="R189" s="660">
        <v>425866.63</v>
      </c>
      <c r="S189" s="549">
        <f t="shared" si="39"/>
        <v>68550.859999999986</v>
      </c>
      <c r="T189" s="267" t="s">
        <v>283</v>
      </c>
      <c r="U189" s="267"/>
      <c r="V189" s="93"/>
      <c r="W189" s="267"/>
      <c r="X189" s="267"/>
      <c r="Y189" s="93"/>
      <c r="Z189" s="618"/>
      <c r="AA189" s="424"/>
      <c r="AB189" s="480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ht="12.75" hidden="1" customHeight="1" x14ac:dyDescent="0.2">
      <c r="A190" s="423">
        <f t="shared" si="40"/>
        <v>185</v>
      </c>
      <c r="B190" s="683" t="s">
        <v>3532</v>
      </c>
      <c r="C190" s="655">
        <v>520514</v>
      </c>
      <c r="D190" s="658">
        <v>5398</v>
      </c>
      <c r="E190" s="655" t="s">
        <v>117</v>
      </c>
      <c r="F190" s="546">
        <v>2017</v>
      </c>
      <c r="G190" s="659">
        <v>42860</v>
      </c>
      <c r="H190" s="655"/>
      <c r="I190" s="655" t="s">
        <v>3767</v>
      </c>
      <c r="J190" s="655" t="s">
        <v>724</v>
      </c>
      <c r="K190" s="655" t="s">
        <v>357</v>
      </c>
      <c r="L190" s="655" t="s">
        <v>4026</v>
      </c>
      <c r="M190" s="660">
        <v>466811.42</v>
      </c>
      <c r="N190" s="660">
        <v>0</v>
      </c>
      <c r="O190" s="660">
        <v>74689.83</v>
      </c>
      <c r="P190" s="660">
        <v>541501.25</v>
      </c>
      <c r="Q190" s="548"/>
      <c r="R190" s="660">
        <v>456016.94</v>
      </c>
      <c r="S190" s="549">
        <f t="shared" si="39"/>
        <v>85484.31</v>
      </c>
      <c r="T190" s="267" t="s">
        <v>283</v>
      </c>
      <c r="AB190" s="670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ht="12.75" hidden="1" customHeight="1" x14ac:dyDescent="0.2">
      <c r="A191" s="423">
        <f t="shared" si="40"/>
        <v>186</v>
      </c>
      <c r="B191" s="683" t="s">
        <v>3543</v>
      </c>
      <c r="C191" s="655">
        <v>1520204</v>
      </c>
      <c r="D191" s="658">
        <v>5603</v>
      </c>
      <c r="E191" s="655" t="s">
        <v>713</v>
      </c>
      <c r="F191" s="546">
        <v>2017</v>
      </c>
      <c r="G191" s="659">
        <v>42857</v>
      </c>
      <c r="H191" s="655"/>
      <c r="I191" s="655" t="s">
        <v>3773</v>
      </c>
      <c r="J191" s="655" t="s">
        <v>724</v>
      </c>
      <c r="K191" s="655" t="s">
        <v>1730</v>
      </c>
      <c r="L191" s="655" t="s">
        <v>4032</v>
      </c>
      <c r="M191" s="660">
        <v>286637.15000000002</v>
      </c>
      <c r="N191" s="660">
        <v>0</v>
      </c>
      <c r="O191" s="660">
        <v>45861.94</v>
      </c>
      <c r="P191" s="660">
        <v>332499.09000000003</v>
      </c>
      <c r="Q191" s="548"/>
      <c r="R191" s="660">
        <v>277250.59999999998</v>
      </c>
      <c r="S191" s="549">
        <f t="shared" si="39"/>
        <v>55248.490000000049</v>
      </c>
      <c r="T191" s="113" t="s">
        <v>283</v>
      </c>
      <c r="AB191" s="667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ht="12.75" hidden="1" customHeight="1" x14ac:dyDescent="0.2">
      <c r="A192" s="423">
        <f t="shared" si="40"/>
        <v>187</v>
      </c>
      <c r="B192" s="683" t="s">
        <v>3544</v>
      </c>
      <c r="C192" s="655">
        <v>1520204</v>
      </c>
      <c r="D192" s="658">
        <v>5603</v>
      </c>
      <c r="E192" s="655" t="s">
        <v>713</v>
      </c>
      <c r="F192" s="546">
        <v>2017</v>
      </c>
      <c r="G192" s="659">
        <v>42859</v>
      </c>
      <c r="H192" s="655"/>
      <c r="I192" s="655" t="s">
        <v>3038</v>
      </c>
      <c r="J192" s="655" t="s">
        <v>724</v>
      </c>
      <c r="K192" s="655" t="s">
        <v>2411</v>
      </c>
      <c r="L192" s="655" t="s">
        <v>3304</v>
      </c>
      <c r="M192" s="660">
        <v>-286638.01</v>
      </c>
      <c r="N192" s="660">
        <v>0</v>
      </c>
      <c r="O192" s="660">
        <v>-45862.080000000002</v>
      </c>
      <c r="P192" s="660">
        <v>-332500.09000000003</v>
      </c>
      <c r="Q192" s="548"/>
      <c r="R192" s="660">
        <v>-277250.59999999998</v>
      </c>
      <c r="S192" s="549">
        <f t="shared" si="39"/>
        <v>-55249.490000000049</v>
      </c>
      <c r="T192" s="267" t="s">
        <v>283</v>
      </c>
      <c r="AB192" s="667"/>
      <c r="AI192" s="313"/>
      <c r="AK192" s="296"/>
      <c r="AL192" s="374"/>
      <c r="AM192" s="374"/>
    </row>
    <row r="193" spans="1:45" s="291" customFormat="1" hidden="1" x14ac:dyDescent="0.2">
      <c r="A193" s="423">
        <f t="shared" si="40"/>
        <v>188</v>
      </c>
      <c r="B193" s="683" t="s">
        <v>3545</v>
      </c>
      <c r="C193" s="655">
        <v>1520204</v>
      </c>
      <c r="D193" s="658">
        <v>5603</v>
      </c>
      <c r="E193" s="655" t="s">
        <v>713</v>
      </c>
      <c r="F193" s="546">
        <v>2017</v>
      </c>
      <c r="G193" s="659">
        <v>42859</v>
      </c>
      <c r="H193" s="655"/>
      <c r="I193" s="655" t="s">
        <v>3038</v>
      </c>
      <c r="J193" s="655" t="s">
        <v>724</v>
      </c>
      <c r="K193" s="655" t="s">
        <v>2411</v>
      </c>
      <c r="L193" s="655" t="s">
        <v>3304</v>
      </c>
      <c r="M193" s="660">
        <v>277605.95</v>
      </c>
      <c r="N193" s="660">
        <v>0</v>
      </c>
      <c r="O193" s="660">
        <v>44416.95</v>
      </c>
      <c r="P193" s="660">
        <v>322022.90000000002</v>
      </c>
      <c r="Q193" s="548"/>
      <c r="R193" s="660">
        <v>277250.59999999998</v>
      </c>
      <c r="S193" s="549">
        <f t="shared" si="39"/>
        <v>44772.300000000047</v>
      </c>
      <c r="T193" s="113" t="s">
        <v>283</v>
      </c>
      <c r="AB193" s="667"/>
      <c r="AI193" s="313"/>
      <c r="AK193" s="296"/>
      <c r="AL193" s="374"/>
      <c r="AM193" s="374"/>
    </row>
    <row r="194" spans="1:45" s="291" customFormat="1" hidden="1" x14ac:dyDescent="0.2">
      <c r="A194" s="423">
        <f t="shared" si="40"/>
        <v>189</v>
      </c>
      <c r="B194" s="683" t="s">
        <v>3546</v>
      </c>
      <c r="C194" s="655">
        <v>1520204</v>
      </c>
      <c r="D194" s="658">
        <v>5603</v>
      </c>
      <c r="E194" s="655" t="s">
        <v>713</v>
      </c>
      <c r="F194" s="546">
        <v>2017</v>
      </c>
      <c r="G194" s="659">
        <v>42875</v>
      </c>
      <c r="H194" s="655"/>
      <c r="I194" s="655" t="s">
        <v>3774</v>
      </c>
      <c r="J194" s="655" t="s">
        <v>724</v>
      </c>
      <c r="K194" s="655" t="s">
        <v>2411</v>
      </c>
      <c r="L194" s="655" t="s">
        <v>4033</v>
      </c>
      <c r="M194" s="660">
        <v>277605.95</v>
      </c>
      <c r="N194" s="660">
        <v>0</v>
      </c>
      <c r="O194" s="660">
        <v>44416.95</v>
      </c>
      <c r="P194" s="660">
        <v>322022.90000000002</v>
      </c>
      <c r="Q194" s="548"/>
      <c r="R194" s="660">
        <v>277250.59999999998</v>
      </c>
      <c r="S194" s="549">
        <f t="shared" si="39"/>
        <v>44772.300000000047</v>
      </c>
      <c r="T194" s="113" t="s">
        <v>283</v>
      </c>
      <c r="AB194" s="667"/>
      <c r="AI194" s="313"/>
      <c r="AJ194" s="374"/>
      <c r="AK194" s="374"/>
      <c r="AL194" s="374"/>
      <c r="AM194" s="374"/>
    </row>
    <row r="195" spans="1:45" s="348" customFormat="1" hidden="1" x14ac:dyDescent="0.2">
      <c r="A195" s="423">
        <f t="shared" si="40"/>
        <v>190</v>
      </c>
      <c r="B195" s="683" t="s">
        <v>3552</v>
      </c>
      <c r="C195" s="655">
        <v>1520204</v>
      </c>
      <c r="D195" s="658">
        <v>5603</v>
      </c>
      <c r="E195" s="655" t="s">
        <v>713</v>
      </c>
      <c r="F195" s="546">
        <v>2017</v>
      </c>
      <c r="G195" s="659">
        <v>42885</v>
      </c>
      <c r="H195" s="655"/>
      <c r="I195" s="655" t="s">
        <v>3780</v>
      </c>
      <c r="J195" s="655" t="s">
        <v>724</v>
      </c>
      <c r="K195" s="655" t="s">
        <v>59</v>
      </c>
      <c r="L195" s="655" t="s">
        <v>4039</v>
      </c>
      <c r="M195" s="660">
        <v>277605.95</v>
      </c>
      <c r="N195" s="660">
        <v>0</v>
      </c>
      <c r="O195" s="660">
        <v>44416.95</v>
      </c>
      <c r="P195" s="660">
        <v>322022.90000000002</v>
      </c>
      <c r="Q195" s="548"/>
      <c r="R195" s="660">
        <v>277250.59999999998</v>
      </c>
      <c r="S195" s="549">
        <f t="shared" si="39"/>
        <v>44772.300000000047</v>
      </c>
      <c r="T195" s="267" t="s">
        <v>283</v>
      </c>
      <c r="AB195" s="671"/>
      <c r="AI195" s="363"/>
      <c r="AJ195" s="330"/>
      <c r="AK195" s="330"/>
      <c r="AL195" s="330"/>
      <c r="AM195" s="330"/>
    </row>
    <row r="196" spans="1:45" s="351" customFormat="1" hidden="1" x14ac:dyDescent="0.2">
      <c r="A196" s="423">
        <f t="shared" si="40"/>
        <v>191</v>
      </c>
      <c r="B196" s="683" t="s">
        <v>3575</v>
      </c>
      <c r="C196" s="655">
        <v>521908</v>
      </c>
      <c r="D196" s="658">
        <v>6980</v>
      </c>
      <c r="E196" s="655" t="s">
        <v>706</v>
      </c>
      <c r="F196" s="546">
        <v>2017</v>
      </c>
      <c r="G196" s="659">
        <v>42884</v>
      </c>
      <c r="H196" s="655"/>
      <c r="I196" s="655" t="s">
        <v>3046</v>
      </c>
      <c r="J196" s="655" t="s">
        <v>724</v>
      </c>
      <c r="K196" s="655" t="s">
        <v>3905</v>
      </c>
      <c r="L196" s="655" t="s">
        <v>3312</v>
      </c>
      <c r="M196" s="660">
        <v>460716.52</v>
      </c>
      <c r="N196" s="660">
        <v>0</v>
      </c>
      <c r="O196" s="660">
        <v>73714.64</v>
      </c>
      <c r="P196" s="660">
        <v>534431.16</v>
      </c>
      <c r="Q196" s="548"/>
      <c r="R196" s="660">
        <v>439547.74</v>
      </c>
      <c r="S196" s="549">
        <f t="shared" si="39"/>
        <v>94883.420000000042</v>
      </c>
      <c r="T196" s="267" t="s">
        <v>283</v>
      </c>
      <c r="AB196" s="670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hidden="1" x14ac:dyDescent="0.2">
      <c r="A197" s="423">
        <f t="shared" si="40"/>
        <v>192</v>
      </c>
      <c r="B197" s="683" t="s">
        <v>3576</v>
      </c>
      <c r="C197" s="655">
        <v>521909</v>
      </c>
      <c r="D197" s="658">
        <v>6987</v>
      </c>
      <c r="E197" s="655" t="s">
        <v>708</v>
      </c>
      <c r="F197" s="546">
        <v>2017</v>
      </c>
      <c r="G197" s="659">
        <v>42866</v>
      </c>
      <c r="H197" s="655"/>
      <c r="I197" s="655" t="s">
        <v>3787</v>
      </c>
      <c r="J197" s="655" t="s">
        <v>724</v>
      </c>
      <c r="K197" s="655" t="s">
        <v>1189</v>
      </c>
      <c r="L197" s="655" t="s">
        <v>4046</v>
      </c>
      <c r="M197" s="660">
        <v>501435.65</v>
      </c>
      <c r="N197" s="660">
        <v>0</v>
      </c>
      <c r="O197" s="660">
        <v>80229.7</v>
      </c>
      <c r="P197" s="660">
        <v>581665.35</v>
      </c>
      <c r="Q197" s="548"/>
      <c r="R197" s="660">
        <v>478256.85</v>
      </c>
      <c r="S197" s="549">
        <f t="shared" si="39"/>
        <v>103408.5</v>
      </c>
      <c r="T197" s="267" t="s">
        <v>283</v>
      </c>
      <c r="AB197" s="671"/>
      <c r="AI197" s="313"/>
      <c r="AJ197" s="331"/>
      <c r="AK197" s="330"/>
      <c r="AL197" s="330"/>
      <c r="AM197" s="330"/>
    </row>
    <row r="198" spans="1:45" s="291" customFormat="1" hidden="1" x14ac:dyDescent="0.2">
      <c r="A198" s="423">
        <f t="shared" si="40"/>
        <v>193</v>
      </c>
      <c r="B198" s="683" t="s">
        <v>3594</v>
      </c>
      <c r="C198" s="655">
        <v>1520105</v>
      </c>
      <c r="D198" s="658">
        <v>7494</v>
      </c>
      <c r="E198" s="655" t="s">
        <v>712</v>
      </c>
      <c r="F198" s="546">
        <v>2017</v>
      </c>
      <c r="G198" s="659">
        <v>42860</v>
      </c>
      <c r="H198" s="655"/>
      <c r="I198" s="655" t="s">
        <v>3793</v>
      </c>
      <c r="J198" s="655" t="s">
        <v>724</v>
      </c>
      <c r="K198" s="655" t="s">
        <v>392</v>
      </c>
      <c r="L198" s="655" t="s">
        <v>4052</v>
      </c>
      <c r="M198" s="660">
        <v>205688.04</v>
      </c>
      <c r="N198" s="660">
        <v>0</v>
      </c>
      <c r="O198" s="660">
        <v>32910.089999999997</v>
      </c>
      <c r="P198" s="660">
        <v>238598.13</v>
      </c>
      <c r="Q198" s="548"/>
      <c r="R198" s="660">
        <v>205332.7</v>
      </c>
      <c r="S198" s="549">
        <f t="shared" ref="S198:S261" si="41">+P198-R198</f>
        <v>33265.429999999993</v>
      </c>
      <c r="T198" s="445" t="s">
        <v>283</v>
      </c>
      <c r="AB198" s="667"/>
      <c r="AI198" s="313"/>
      <c r="AJ198" s="331"/>
      <c r="AK198" s="374"/>
      <c r="AL198" s="374"/>
      <c r="AM198" s="374"/>
    </row>
    <row r="199" spans="1:45" s="351" customFormat="1" hidden="1" x14ac:dyDescent="0.2">
      <c r="A199" s="423">
        <f t="shared" si="40"/>
        <v>194</v>
      </c>
      <c r="B199" s="683" t="s">
        <v>3598</v>
      </c>
      <c r="C199" s="655">
        <v>1520105</v>
      </c>
      <c r="D199" s="658">
        <v>7494</v>
      </c>
      <c r="E199" s="655" t="s">
        <v>712</v>
      </c>
      <c r="F199" s="546">
        <v>2017</v>
      </c>
      <c r="G199" s="659">
        <v>42875</v>
      </c>
      <c r="H199" s="655"/>
      <c r="I199" s="655" t="s">
        <v>3797</v>
      </c>
      <c r="J199" s="655" t="s">
        <v>724</v>
      </c>
      <c r="K199" s="655" t="s">
        <v>392</v>
      </c>
      <c r="L199" s="655" t="s">
        <v>4056</v>
      </c>
      <c r="M199" s="660">
        <v>215868.03</v>
      </c>
      <c r="N199" s="660">
        <v>0</v>
      </c>
      <c r="O199" s="660">
        <v>34538.879999999997</v>
      </c>
      <c r="P199" s="660">
        <v>250406.91</v>
      </c>
      <c r="Q199" s="548"/>
      <c r="R199" s="660">
        <v>205332.7</v>
      </c>
      <c r="S199" s="549">
        <f t="shared" si="41"/>
        <v>45074.209999999992</v>
      </c>
      <c r="T199" s="267" t="s">
        <v>283</v>
      </c>
      <c r="AB199" s="670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hidden="1" x14ac:dyDescent="0.2">
      <c r="A200" s="423">
        <f t="shared" ref="A200:A263" si="42">+A199+1</f>
        <v>195</v>
      </c>
      <c r="B200" s="683" t="s">
        <v>3601</v>
      </c>
      <c r="C200" s="655">
        <v>1520604</v>
      </c>
      <c r="D200" s="658">
        <v>7495</v>
      </c>
      <c r="E200" s="655" t="s">
        <v>718</v>
      </c>
      <c r="F200" s="546">
        <v>2017</v>
      </c>
      <c r="G200" s="659">
        <v>42857</v>
      </c>
      <c r="H200" s="655"/>
      <c r="I200" s="655" t="s">
        <v>3798</v>
      </c>
      <c r="J200" s="655" t="s">
        <v>724</v>
      </c>
      <c r="K200" s="655" t="s">
        <v>3871</v>
      </c>
      <c r="L200" s="655" t="s">
        <v>4057</v>
      </c>
      <c r="M200" s="660">
        <v>255782.21</v>
      </c>
      <c r="N200" s="660">
        <v>0</v>
      </c>
      <c r="O200" s="660">
        <v>40925.15</v>
      </c>
      <c r="P200" s="660">
        <v>296707.36</v>
      </c>
      <c r="Q200" s="548"/>
      <c r="R200" s="660">
        <v>255426.86</v>
      </c>
      <c r="S200" s="549">
        <f t="shared" si="41"/>
        <v>41280.5</v>
      </c>
      <c r="T200" s="113" t="s">
        <v>283</v>
      </c>
      <c r="AB200" s="671"/>
      <c r="AI200" s="313"/>
      <c r="AJ200" s="374"/>
      <c r="AK200" s="330"/>
      <c r="AL200" s="330"/>
      <c r="AM200" s="330"/>
    </row>
    <row r="201" spans="1:45" s="291" customFormat="1" hidden="1" x14ac:dyDescent="0.2">
      <c r="A201" s="423">
        <f t="shared" si="42"/>
        <v>196</v>
      </c>
      <c r="B201" s="683" t="s">
        <v>3603</v>
      </c>
      <c r="C201" s="655">
        <v>1520604</v>
      </c>
      <c r="D201" s="658">
        <v>7495</v>
      </c>
      <c r="E201" s="655" t="s">
        <v>718</v>
      </c>
      <c r="F201" s="546">
        <v>2017</v>
      </c>
      <c r="G201" s="659">
        <v>42860</v>
      </c>
      <c r="H201" s="655"/>
      <c r="I201" s="655" t="s">
        <v>3799</v>
      </c>
      <c r="J201" s="655" t="s">
        <v>724</v>
      </c>
      <c r="K201" s="655" t="s">
        <v>2404</v>
      </c>
      <c r="L201" s="655" t="s">
        <v>4058</v>
      </c>
      <c r="M201" s="660">
        <v>262806.28000000003</v>
      </c>
      <c r="N201" s="660">
        <v>0</v>
      </c>
      <c r="O201" s="660">
        <v>42049</v>
      </c>
      <c r="P201" s="660">
        <v>304855.28000000003</v>
      </c>
      <c r="Q201" s="548"/>
      <c r="R201" s="660">
        <v>255426.86</v>
      </c>
      <c r="S201" s="549">
        <f t="shared" si="41"/>
        <v>49428.420000000042</v>
      </c>
      <c r="T201" s="267" t="s">
        <v>283</v>
      </c>
      <c r="AB201" s="667"/>
      <c r="AI201" s="313"/>
      <c r="AJ201" s="331"/>
      <c r="AK201" s="374"/>
      <c r="AL201" s="374"/>
      <c r="AM201" s="374"/>
    </row>
    <row r="202" spans="1:45" s="291" customFormat="1" hidden="1" x14ac:dyDescent="0.2">
      <c r="A202" s="423">
        <f t="shared" si="42"/>
        <v>197</v>
      </c>
      <c r="B202" s="683" t="s">
        <v>3604</v>
      </c>
      <c r="C202" s="655">
        <v>1520604</v>
      </c>
      <c r="D202" s="658">
        <v>7495</v>
      </c>
      <c r="E202" s="655" t="s">
        <v>718</v>
      </c>
      <c r="F202" s="546">
        <v>2017</v>
      </c>
      <c r="G202" s="659">
        <v>42868</v>
      </c>
      <c r="H202" s="655"/>
      <c r="I202" s="655" t="s">
        <v>3800</v>
      </c>
      <c r="J202" s="655" t="s">
        <v>724</v>
      </c>
      <c r="K202" s="655" t="s">
        <v>1672</v>
      </c>
      <c r="L202" s="655" t="s">
        <v>4059</v>
      </c>
      <c r="M202" s="660">
        <v>262806.28000000003</v>
      </c>
      <c r="N202" s="660">
        <v>0</v>
      </c>
      <c r="O202" s="660">
        <v>42049</v>
      </c>
      <c r="P202" s="660">
        <v>304855.28000000003</v>
      </c>
      <c r="Q202" s="548"/>
      <c r="R202" s="660">
        <v>255426.86</v>
      </c>
      <c r="S202" s="549">
        <f t="shared" si="41"/>
        <v>49428.420000000042</v>
      </c>
      <c r="T202" s="113" t="s">
        <v>283</v>
      </c>
      <c r="AB202" s="667"/>
      <c r="AI202" s="313"/>
      <c r="AJ202" s="374"/>
      <c r="AK202" s="374"/>
      <c r="AL202" s="374"/>
      <c r="AM202" s="374"/>
    </row>
    <row r="203" spans="1:45" s="348" customFormat="1" hidden="1" x14ac:dyDescent="0.2">
      <c r="A203" s="423">
        <f t="shared" si="42"/>
        <v>198</v>
      </c>
      <c r="B203" s="683" t="s">
        <v>3611</v>
      </c>
      <c r="C203" s="655">
        <v>1520604</v>
      </c>
      <c r="D203" s="658">
        <v>7495</v>
      </c>
      <c r="E203" s="655" t="s">
        <v>718</v>
      </c>
      <c r="F203" s="546">
        <v>2017</v>
      </c>
      <c r="G203" s="659">
        <v>42884</v>
      </c>
      <c r="H203" s="655"/>
      <c r="I203" s="655" t="s">
        <v>3080</v>
      </c>
      <c r="J203" s="655" t="s">
        <v>724</v>
      </c>
      <c r="K203" s="655" t="s">
        <v>1175</v>
      </c>
      <c r="L203" s="655" t="s">
        <v>3346</v>
      </c>
      <c r="M203" s="660">
        <v>262806.28000000003</v>
      </c>
      <c r="N203" s="660">
        <v>0</v>
      </c>
      <c r="O203" s="660">
        <v>42049</v>
      </c>
      <c r="P203" s="660">
        <v>304855.28000000003</v>
      </c>
      <c r="Q203" s="548"/>
      <c r="R203" s="660">
        <v>255426.86</v>
      </c>
      <c r="S203" s="549">
        <f t="shared" si="41"/>
        <v>49428.420000000042</v>
      </c>
      <c r="T203" s="113" t="s">
        <v>283</v>
      </c>
      <c r="AB203" s="671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hidden="1" x14ac:dyDescent="0.2">
      <c r="A204" s="423">
        <f t="shared" si="42"/>
        <v>199</v>
      </c>
      <c r="B204" s="683" t="s">
        <v>3612</v>
      </c>
      <c r="C204" s="655">
        <v>1520604</v>
      </c>
      <c r="D204" s="658">
        <v>7495</v>
      </c>
      <c r="E204" s="655" t="s">
        <v>718</v>
      </c>
      <c r="F204" s="546">
        <v>2017</v>
      </c>
      <c r="G204" s="659">
        <v>42884</v>
      </c>
      <c r="H204" s="655"/>
      <c r="I204" s="655" t="s">
        <v>3804</v>
      </c>
      <c r="J204" s="655" t="s">
        <v>724</v>
      </c>
      <c r="K204" s="655" t="s">
        <v>1175</v>
      </c>
      <c r="L204" s="655" t="s">
        <v>4063</v>
      </c>
      <c r="M204" s="660">
        <v>262806.28000000003</v>
      </c>
      <c r="N204" s="660">
        <v>0</v>
      </c>
      <c r="O204" s="660">
        <v>42049</v>
      </c>
      <c r="P204" s="660">
        <v>304855.28000000003</v>
      </c>
      <c r="Q204" s="548"/>
      <c r="R204" s="660">
        <v>262450.93</v>
      </c>
      <c r="S204" s="549">
        <f t="shared" si="41"/>
        <v>42404.350000000035</v>
      </c>
      <c r="T204" s="267" t="s">
        <v>283</v>
      </c>
      <c r="AB204" s="671"/>
      <c r="AI204" s="313"/>
      <c r="AJ204" s="374"/>
      <c r="AK204" s="330"/>
      <c r="AL204" s="330"/>
      <c r="AM204" s="330"/>
    </row>
    <row r="205" spans="1:45" s="348" customFormat="1" hidden="1" x14ac:dyDescent="0.2">
      <c r="A205" s="423">
        <f t="shared" si="42"/>
        <v>200</v>
      </c>
      <c r="B205" s="683" t="s">
        <v>3617</v>
      </c>
      <c r="C205" s="655">
        <v>1520603</v>
      </c>
      <c r="D205" s="658">
        <v>7497</v>
      </c>
      <c r="E205" s="655" t="s">
        <v>717</v>
      </c>
      <c r="F205" s="546">
        <v>2017</v>
      </c>
      <c r="G205" s="659">
        <v>42882</v>
      </c>
      <c r="H205" s="655"/>
      <c r="I205" s="655" t="s">
        <v>3806</v>
      </c>
      <c r="J205" s="655" t="s">
        <v>724</v>
      </c>
      <c r="K205" s="655" t="s">
        <v>1144</v>
      </c>
      <c r="L205" s="655" t="s">
        <v>4065</v>
      </c>
      <c r="M205" s="660">
        <v>257188.43</v>
      </c>
      <c r="N205" s="660">
        <v>0</v>
      </c>
      <c r="O205" s="660">
        <v>41150.15</v>
      </c>
      <c r="P205" s="660">
        <v>298338.58</v>
      </c>
      <c r="Q205" s="548"/>
      <c r="R205" s="660">
        <v>241699.82</v>
      </c>
      <c r="S205" s="549">
        <f t="shared" si="41"/>
        <v>56638.760000000009</v>
      </c>
      <c r="T205" s="113" t="s">
        <v>283</v>
      </c>
      <c r="U205" s="360"/>
      <c r="V205" s="360"/>
      <c r="W205" s="358"/>
      <c r="X205" s="331"/>
      <c r="Y205" s="360"/>
      <c r="Z205" s="334"/>
      <c r="AA205" s="334"/>
      <c r="AB205" s="672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hidden="1" x14ac:dyDescent="0.2">
      <c r="A206" s="423">
        <f t="shared" si="42"/>
        <v>201</v>
      </c>
      <c r="B206" s="683" t="s">
        <v>3618</v>
      </c>
      <c r="C206" s="655">
        <v>1520603</v>
      </c>
      <c r="D206" s="658">
        <v>7497</v>
      </c>
      <c r="E206" s="655" t="s">
        <v>717</v>
      </c>
      <c r="F206" s="546">
        <v>2017</v>
      </c>
      <c r="G206" s="659">
        <v>42884</v>
      </c>
      <c r="H206" s="655"/>
      <c r="I206" s="655" t="s">
        <v>3806</v>
      </c>
      <c r="J206" s="655" t="s">
        <v>724</v>
      </c>
      <c r="K206" s="655" t="s">
        <v>1144</v>
      </c>
      <c r="L206" s="655" t="s">
        <v>4065</v>
      </c>
      <c r="M206" s="660">
        <v>-257188.43</v>
      </c>
      <c r="N206" s="660">
        <v>0</v>
      </c>
      <c r="O206" s="660">
        <v>-41150.15</v>
      </c>
      <c r="P206" s="660">
        <v>-298338.58</v>
      </c>
      <c r="Q206" s="548"/>
      <c r="R206" s="660">
        <v>-241699.82</v>
      </c>
      <c r="S206" s="549">
        <f t="shared" si="41"/>
        <v>-56638.760000000009</v>
      </c>
      <c r="T206" s="113" t="s">
        <v>283</v>
      </c>
      <c r="U206" s="370"/>
      <c r="V206" s="370"/>
      <c r="W206" s="375"/>
      <c r="X206" s="374"/>
      <c r="Y206" s="370"/>
      <c r="Z206" s="371"/>
      <c r="AA206" s="371"/>
      <c r="AB206" s="673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hidden="1" x14ac:dyDescent="0.2">
      <c r="A207" s="423">
        <f t="shared" si="42"/>
        <v>202</v>
      </c>
      <c r="B207" s="683" t="s">
        <v>3619</v>
      </c>
      <c r="C207" s="655">
        <v>1520603</v>
      </c>
      <c r="D207" s="658">
        <v>7497</v>
      </c>
      <c r="E207" s="655" t="s">
        <v>717</v>
      </c>
      <c r="F207" s="546">
        <v>2017</v>
      </c>
      <c r="G207" s="659">
        <v>42884</v>
      </c>
      <c r="H207" s="655"/>
      <c r="I207" s="655" t="s">
        <v>3806</v>
      </c>
      <c r="J207" s="655" t="s">
        <v>724</v>
      </c>
      <c r="K207" s="655" t="s">
        <v>392</v>
      </c>
      <c r="L207" s="655" t="s">
        <v>4065</v>
      </c>
      <c r="M207" s="660">
        <v>257188.43</v>
      </c>
      <c r="N207" s="660">
        <v>0</v>
      </c>
      <c r="O207" s="660">
        <v>41150.15</v>
      </c>
      <c r="P207" s="660">
        <v>298338.58</v>
      </c>
      <c r="Q207" s="548"/>
      <c r="R207" s="660">
        <v>241699.82</v>
      </c>
      <c r="S207" s="549">
        <f t="shared" si="41"/>
        <v>56638.760000000009</v>
      </c>
      <c r="T207" s="267" t="s">
        <v>283</v>
      </c>
      <c r="U207" s="370"/>
      <c r="V207" s="370"/>
      <c r="W207" s="375"/>
      <c r="X207" s="374"/>
      <c r="Y207" s="370"/>
      <c r="Z207" s="371"/>
      <c r="AA207" s="371"/>
      <c r="AB207" s="673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hidden="1" x14ac:dyDescent="0.2">
      <c r="A208" s="423">
        <f t="shared" si="42"/>
        <v>203</v>
      </c>
      <c r="B208" s="683" t="s">
        <v>3620</v>
      </c>
      <c r="C208" s="655">
        <v>1520603</v>
      </c>
      <c r="D208" s="658">
        <v>7497</v>
      </c>
      <c r="E208" s="655" t="s">
        <v>717</v>
      </c>
      <c r="F208" s="546">
        <v>2017</v>
      </c>
      <c r="G208" s="659">
        <v>42884</v>
      </c>
      <c r="H208" s="655"/>
      <c r="I208" s="655" t="s">
        <v>3088</v>
      </c>
      <c r="J208" s="655" t="s">
        <v>724</v>
      </c>
      <c r="K208" s="655" t="s">
        <v>3905</v>
      </c>
      <c r="L208" s="655" t="s">
        <v>3354</v>
      </c>
      <c r="M208" s="660">
        <v>257188.43</v>
      </c>
      <c r="N208" s="660">
        <v>0</v>
      </c>
      <c r="O208" s="660">
        <v>41150.15</v>
      </c>
      <c r="P208" s="660">
        <v>298338.58</v>
      </c>
      <c r="Q208" s="548"/>
      <c r="R208" s="660">
        <v>247285.57</v>
      </c>
      <c r="S208" s="549">
        <f t="shared" si="41"/>
        <v>51053.010000000009</v>
      </c>
      <c r="T208" s="113" t="s">
        <v>283</v>
      </c>
      <c r="U208" s="354"/>
      <c r="V208" s="354"/>
      <c r="W208" s="355"/>
      <c r="X208" s="330"/>
      <c r="Y208" s="354"/>
      <c r="Z208" s="328"/>
      <c r="AA208" s="328"/>
      <c r="AB208" s="674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hidden="1" x14ac:dyDescent="0.2">
      <c r="A209" s="423">
        <f t="shared" si="42"/>
        <v>204</v>
      </c>
      <c r="B209" s="683" t="s">
        <v>3621</v>
      </c>
      <c r="C209" s="655">
        <v>1520603</v>
      </c>
      <c r="D209" s="658">
        <v>7497</v>
      </c>
      <c r="E209" s="655" t="s">
        <v>717</v>
      </c>
      <c r="F209" s="546">
        <v>2017</v>
      </c>
      <c r="G209" s="659">
        <v>42885</v>
      </c>
      <c r="H209" s="655"/>
      <c r="I209" s="655" t="s">
        <v>3090</v>
      </c>
      <c r="J209" s="655" t="s">
        <v>724</v>
      </c>
      <c r="K209" s="655" t="s">
        <v>1745</v>
      </c>
      <c r="L209" s="655" t="s">
        <v>3356</v>
      </c>
      <c r="M209" s="660">
        <v>-257188.43</v>
      </c>
      <c r="N209" s="660">
        <v>0</v>
      </c>
      <c r="O209" s="660">
        <v>-41150.15</v>
      </c>
      <c r="P209" s="660">
        <v>-298338.58</v>
      </c>
      <c r="Q209" s="548"/>
      <c r="R209" s="660">
        <v>-247640.05</v>
      </c>
      <c r="S209" s="549">
        <f t="shared" si="41"/>
        <v>-50698.530000000028</v>
      </c>
      <c r="T209" s="444" t="s">
        <v>283</v>
      </c>
      <c r="U209" s="360"/>
      <c r="V209" s="360"/>
      <c r="W209" s="358"/>
      <c r="X209" s="331"/>
      <c r="Y209" s="360"/>
      <c r="Z209" s="334"/>
      <c r="AA209" s="334"/>
      <c r="AB209" s="672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hidden="1" x14ac:dyDescent="0.2">
      <c r="A210" s="423">
        <f t="shared" si="42"/>
        <v>205</v>
      </c>
      <c r="B210" s="683" t="s">
        <v>3623</v>
      </c>
      <c r="C210" s="655">
        <v>1520603</v>
      </c>
      <c r="D210" s="658">
        <v>7497</v>
      </c>
      <c r="E210" s="655" t="s">
        <v>717</v>
      </c>
      <c r="F210" s="546">
        <v>2017</v>
      </c>
      <c r="G210" s="659">
        <v>42885</v>
      </c>
      <c r="H210" s="655"/>
      <c r="I210" s="655" t="s">
        <v>3090</v>
      </c>
      <c r="J210" s="655" t="s">
        <v>724</v>
      </c>
      <c r="K210" s="655" t="s">
        <v>1745</v>
      </c>
      <c r="L210" s="655" t="s">
        <v>3356</v>
      </c>
      <c r="M210" s="660">
        <v>257188.43</v>
      </c>
      <c r="N210" s="660">
        <v>0</v>
      </c>
      <c r="O210" s="660">
        <v>41150.15</v>
      </c>
      <c r="P210" s="660">
        <v>298338.58</v>
      </c>
      <c r="Q210" s="548"/>
      <c r="R210" s="660">
        <v>247640.05</v>
      </c>
      <c r="S210" s="549">
        <f t="shared" si="41"/>
        <v>50698.530000000028</v>
      </c>
      <c r="T210" s="113" t="s">
        <v>283</v>
      </c>
      <c r="U210" s="360"/>
      <c r="V210" s="360"/>
      <c r="W210" s="358"/>
      <c r="X210" s="331"/>
      <c r="Y210" s="360"/>
      <c r="Z210" s="334"/>
      <c r="AA210" s="334"/>
      <c r="AB210" s="672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hidden="1" x14ac:dyDescent="0.2">
      <c r="A211" s="423">
        <f t="shared" si="42"/>
        <v>206</v>
      </c>
      <c r="B211" s="683" t="s">
        <v>3624</v>
      </c>
      <c r="C211" s="655">
        <v>1520603</v>
      </c>
      <c r="D211" s="658">
        <v>7497</v>
      </c>
      <c r="E211" s="655" t="s">
        <v>717</v>
      </c>
      <c r="F211" s="546">
        <v>2017</v>
      </c>
      <c r="G211" s="659">
        <v>42885</v>
      </c>
      <c r="H211" s="655"/>
      <c r="I211" s="655" t="s">
        <v>3807</v>
      </c>
      <c r="J211" s="655" t="s">
        <v>724</v>
      </c>
      <c r="K211" s="655" t="s">
        <v>1745</v>
      </c>
      <c r="L211" s="655" t="s">
        <v>4066</v>
      </c>
      <c r="M211" s="660">
        <v>-257188.43</v>
      </c>
      <c r="N211" s="660">
        <v>0</v>
      </c>
      <c r="O211" s="660">
        <v>-41150.15</v>
      </c>
      <c r="P211" s="660">
        <v>-298338.58</v>
      </c>
      <c r="Q211" s="548"/>
      <c r="R211" s="660">
        <v>-247285.57</v>
      </c>
      <c r="S211" s="549">
        <f t="shared" si="41"/>
        <v>-51053.010000000009</v>
      </c>
      <c r="T211" s="267" t="s">
        <v>283</v>
      </c>
      <c r="U211" s="360"/>
      <c r="V211" s="360"/>
      <c r="W211" s="358"/>
      <c r="X211" s="331"/>
      <c r="Y211" s="360"/>
      <c r="Z211" s="334"/>
      <c r="AA211" s="334"/>
      <c r="AB211" s="672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hidden="1" x14ac:dyDescent="0.2">
      <c r="A212" s="423">
        <f t="shared" si="42"/>
        <v>207</v>
      </c>
      <c r="B212" s="683" t="s">
        <v>3625</v>
      </c>
      <c r="C212" s="655">
        <v>1520603</v>
      </c>
      <c r="D212" s="658">
        <v>7497</v>
      </c>
      <c r="E212" s="655" t="s">
        <v>717</v>
      </c>
      <c r="F212" s="546">
        <v>2017</v>
      </c>
      <c r="G212" s="659">
        <v>42885</v>
      </c>
      <c r="H212" s="655"/>
      <c r="I212" s="655" t="s">
        <v>3807</v>
      </c>
      <c r="J212" s="655" t="s">
        <v>724</v>
      </c>
      <c r="K212" s="655" t="s">
        <v>1745</v>
      </c>
      <c r="L212" s="655" t="s">
        <v>4066</v>
      </c>
      <c r="M212" s="660">
        <v>257188.43</v>
      </c>
      <c r="N212" s="660">
        <v>0</v>
      </c>
      <c r="O212" s="660">
        <v>41150.15</v>
      </c>
      <c r="P212" s="660">
        <v>298338.58</v>
      </c>
      <c r="Q212" s="548"/>
      <c r="R212" s="660">
        <v>247285.57</v>
      </c>
      <c r="S212" s="549">
        <f t="shared" si="41"/>
        <v>51053.010000000009</v>
      </c>
      <c r="T212" s="267" t="s">
        <v>283</v>
      </c>
      <c r="U212" s="370"/>
      <c r="V212" s="370"/>
      <c r="W212" s="375"/>
      <c r="X212" s="374"/>
      <c r="Y212" s="370"/>
      <c r="Z212" s="371"/>
      <c r="AA212" s="371"/>
      <c r="AB212" s="673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hidden="1" x14ac:dyDescent="0.2">
      <c r="A213" s="423">
        <f t="shared" si="42"/>
        <v>208</v>
      </c>
      <c r="B213" s="683" t="s">
        <v>3626</v>
      </c>
      <c r="C213" s="655">
        <v>1520603</v>
      </c>
      <c r="D213" s="658">
        <v>7497</v>
      </c>
      <c r="E213" s="655" t="s">
        <v>717</v>
      </c>
      <c r="F213" s="546">
        <v>2017</v>
      </c>
      <c r="G213" s="659">
        <v>42886</v>
      </c>
      <c r="H213" s="655"/>
      <c r="I213" s="655" t="s">
        <v>3808</v>
      </c>
      <c r="J213" s="655" t="s">
        <v>724</v>
      </c>
      <c r="K213" s="655" t="s">
        <v>3890</v>
      </c>
      <c r="L213" s="655" t="s">
        <v>4067</v>
      </c>
      <c r="M213" s="660">
        <v>257188.43</v>
      </c>
      <c r="N213" s="660">
        <v>0</v>
      </c>
      <c r="O213" s="660">
        <v>41150.15</v>
      </c>
      <c r="P213" s="660">
        <v>298338.58</v>
      </c>
      <c r="Q213" s="548"/>
      <c r="R213" s="660">
        <v>247329.71</v>
      </c>
      <c r="S213" s="549">
        <f t="shared" si="41"/>
        <v>51008.870000000024</v>
      </c>
      <c r="T213" s="267" t="s">
        <v>283</v>
      </c>
      <c r="U213" s="360"/>
      <c r="V213" s="360"/>
      <c r="W213" s="358"/>
      <c r="X213" s="331"/>
      <c r="Y213" s="360"/>
      <c r="Z213" s="334"/>
      <c r="AA213" s="334"/>
      <c r="AB213" s="672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hidden="1" x14ac:dyDescent="0.2">
      <c r="A214" s="423">
        <f t="shared" si="42"/>
        <v>209</v>
      </c>
      <c r="B214" s="683" t="s">
        <v>3627</v>
      </c>
      <c r="C214" s="655">
        <v>1520603</v>
      </c>
      <c r="D214" s="658">
        <v>7497</v>
      </c>
      <c r="E214" s="655" t="s">
        <v>717</v>
      </c>
      <c r="F214" s="546">
        <v>2017</v>
      </c>
      <c r="G214" s="659">
        <v>42886</v>
      </c>
      <c r="H214" s="655"/>
      <c r="I214" s="655" t="s">
        <v>3807</v>
      </c>
      <c r="J214" s="655" t="s">
        <v>724</v>
      </c>
      <c r="K214" s="655" t="s">
        <v>3890</v>
      </c>
      <c r="L214" s="655" t="s">
        <v>4066</v>
      </c>
      <c r="M214" s="660">
        <v>257188.43</v>
      </c>
      <c r="N214" s="660">
        <v>0</v>
      </c>
      <c r="O214" s="660">
        <v>41150.15</v>
      </c>
      <c r="P214" s="660">
        <v>298338.58</v>
      </c>
      <c r="Q214" s="548"/>
      <c r="R214" s="660">
        <v>247285.57</v>
      </c>
      <c r="S214" s="549">
        <f t="shared" si="41"/>
        <v>51053.010000000009</v>
      </c>
      <c r="T214" s="267" t="s">
        <v>283</v>
      </c>
      <c r="U214" s="370"/>
      <c r="V214" s="370"/>
      <c r="W214" s="375"/>
      <c r="X214" s="374"/>
      <c r="Y214" s="370"/>
      <c r="Z214" s="371"/>
      <c r="AA214" s="371"/>
      <c r="AB214" s="673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hidden="1" x14ac:dyDescent="0.2">
      <c r="A215" s="423">
        <f t="shared" si="42"/>
        <v>210</v>
      </c>
      <c r="B215" s="683" t="s">
        <v>3630</v>
      </c>
      <c r="C215" s="655">
        <v>56518</v>
      </c>
      <c r="D215" s="658" t="s">
        <v>721</v>
      </c>
      <c r="E215" s="655" t="s">
        <v>3692</v>
      </c>
      <c r="F215" s="546">
        <v>2016</v>
      </c>
      <c r="G215" s="659">
        <v>42857</v>
      </c>
      <c r="H215" s="655" t="s">
        <v>3693</v>
      </c>
      <c r="I215" s="655" t="s">
        <v>3811</v>
      </c>
      <c r="J215" s="655" t="s">
        <v>729</v>
      </c>
      <c r="K215" s="655" t="s">
        <v>3921</v>
      </c>
      <c r="L215" s="655" t="s">
        <v>4070</v>
      </c>
      <c r="M215" s="660">
        <v>203620.69</v>
      </c>
      <c r="N215" s="660">
        <v>0</v>
      </c>
      <c r="O215" s="660">
        <v>1379.31</v>
      </c>
      <c r="P215" s="660">
        <v>205000</v>
      </c>
      <c r="Q215" s="548"/>
      <c r="R215" s="660">
        <v>195000</v>
      </c>
      <c r="S215" s="549">
        <f t="shared" si="41"/>
        <v>10000</v>
      </c>
      <c r="T215" s="267" t="s">
        <v>263</v>
      </c>
      <c r="U215" s="370"/>
      <c r="V215" s="370"/>
      <c r="W215" s="375"/>
      <c r="X215" s="374"/>
      <c r="Y215" s="370"/>
      <c r="Z215" s="371"/>
      <c r="AA215" s="371"/>
      <c r="AB215" s="673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hidden="1" x14ac:dyDescent="0.2">
      <c r="A216" s="423">
        <f t="shared" si="42"/>
        <v>211</v>
      </c>
      <c r="B216" s="683" t="s">
        <v>3631</v>
      </c>
      <c r="C216" s="655">
        <v>44613</v>
      </c>
      <c r="D216" s="658" t="s">
        <v>721</v>
      </c>
      <c r="E216" s="655" t="s">
        <v>3692</v>
      </c>
      <c r="F216" s="546">
        <v>2017</v>
      </c>
      <c r="G216" s="659">
        <v>42858</v>
      </c>
      <c r="H216" s="655" t="s">
        <v>2954</v>
      </c>
      <c r="I216" s="655" t="s">
        <v>3812</v>
      </c>
      <c r="J216" s="655" t="s">
        <v>729</v>
      </c>
      <c r="K216" s="655" t="s">
        <v>3922</v>
      </c>
      <c r="L216" s="655" t="s">
        <v>4071</v>
      </c>
      <c r="M216" s="660">
        <v>157586.21</v>
      </c>
      <c r="N216" s="660">
        <v>0</v>
      </c>
      <c r="O216" s="660">
        <v>4413.79</v>
      </c>
      <c r="P216" s="660">
        <v>162000</v>
      </c>
      <c r="Q216" s="548"/>
      <c r="R216" s="660">
        <v>130000</v>
      </c>
      <c r="S216" s="549">
        <f t="shared" si="41"/>
        <v>32000</v>
      </c>
      <c r="T216" s="267" t="s">
        <v>263</v>
      </c>
      <c r="U216" s="360"/>
      <c r="V216" s="360"/>
      <c r="W216" s="358"/>
      <c r="X216" s="331"/>
      <c r="Y216" s="360"/>
      <c r="Z216" s="334"/>
      <c r="AA216" s="334"/>
      <c r="AB216" s="672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hidden="1" x14ac:dyDescent="0.2">
      <c r="A217" s="423">
        <f t="shared" si="42"/>
        <v>212</v>
      </c>
      <c r="B217" s="683" t="s">
        <v>3632</v>
      </c>
      <c r="C217" s="655">
        <v>39003</v>
      </c>
      <c r="D217" s="658" t="s">
        <v>721</v>
      </c>
      <c r="E217" s="655" t="s">
        <v>3692</v>
      </c>
      <c r="F217" s="546">
        <v>2017</v>
      </c>
      <c r="G217" s="659">
        <v>42859</v>
      </c>
      <c r="H217" s="655" t="s">
        <v>912</v>
      </c>
      <c r="I217" s="655" t="s">
        <v>3813</v>
      </c>
      <c r="J217" s="655" t="s">
        <v>724</v>
      </c>
      <c r="K217" s="655" t="s">
        <v>3923</v>
      </c>
      <c r="L217" s="655" t="s">
        <v>4072</v>
      </c>
      <c r="M217" s="660">
        <v>153448.28</v>
      </c>
      <c r="N217" s="660">
        <v>0</v>
      </c>
      <c r="O217" s="660">
        <v>4551.72</v>
      </c>
      <c r="P217" s="660">
        <v>158000</v>
      </c>
      <c r="Q217" s="548"/>
      <c r="R217" s="660">
        <v>125000</v>
      </c>
      <c r="S217" s="549">
        <f t="shared" si="41"/>
        <v>33000</v>
      </c>
      <c r="T217" s="267" t="s">
        <v>263</v>
      </c>
      <c r="U217" s="360"/>
      <c r="V217" s="360"/>
      <c r="W217" s="358"/>
      <c r="X217" s="331"/>
      <c r="Y217" s="360"/>
      <c r="Z217" s="334"/>
      <c r="AA217" s="334"/>
      <c r="AB217" s="672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hidden="1" x14ac:dyDescent="0.2">
      <c r="A218" s="423">
        <f t="shared" si="42"/>
        <v>213</v>
      </c>
      <c r="B218" s="683" t="s">
        <v>3633</v>
      </c>
      <c r="C218" s="655">
        <v>39003</v>
      </c>
      <c r="D218" s="658" t="s">
        <v>721</v>
      </c>
      <c r="E218" s="655" t="s">
        <v>3692</v>
      </c>
      <c r="F218" s="546">
        <v>2017</v>
      </c>
      <c r="G218" s="659">
        <v>42860</v>
      </c>
      <c r="H218" s="655" t="s">
        <v>2954</v>
      </c>
      <c r="I218" s="655" t="s">
        <v>3814</v>
      </c>
      <c r="J218" s="655" t="s">
        <v>724</v>
      </c>
      <c r="K218" s="655" t="s">
        <v>3924</v>
      </c>
      <c r="L218" s="655" t="s">
        <v>4073</v>
      </c>
      <c r="M218" s="660">
        <v>131551.72</v>
      </c>
      <c r="N218" s="660">
        <v>0</v>
      </c>
      <c r="O218" s="660">
        <v>3448.28</v>
      </c>
      <c r="P218" s="660">
        <v>135000</v>
      </c>
      <c r="Q218" s="548"/>
      <c r="R218" s="660">
        <v>110000</v>
      </c>
      <c r="S218" s="549">
        <f t="shared" si="41"/>
        <v>25000</v>
      </c>
      <c r="T218" s="267" t="s">
        <v>263</v>
      </c>
      <c r="U218" s="354"/>
      <c r="V218" s="354"/>
      <c r="W218" s="355"/>
      <c r="X218" s="330"/>
      <c r="Y218" s="354"/>
      <c r="Z218" s="328"/>
      <c r="AA218" s="328"/>
      <c r="AB218" s="674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hidden="1" x14ac:dyDescent="0.2">
      <c r="A219" s="423">
        <f t="shared" si="42"/>
        <v>214</v>
      </c>
      <c r="B219" s="683" t="s">
        <v>3634</v>
      </c>
      <c r="C219" s="655">
        <v>44613</v>
      </c>
      <c r="D219" s="658" t="s">
        <v>721</v>
      </c>
      <c r="E219" s="655" t="s">
        <v>3692</v>
      </c>
      <c r="F219" s="546">
        <v>2017</v>
      </c>
      <c r="G219" s="659">
        <v>42860</v>
      </c>
      <c r="H219" s="655" t="s">
        <v>2954</v>
      </c>
      <c r="I219" s="655" t="s">
        <v>3812</v>
      </c>
      <c r="J219" s="655" t="s">
        <v>729</v>
      </c>
      <c r="K219" s="655" t="s">
        <v>3922</v>
      </c>
      <c r="L219" s="655" t="s">
        <v>4071</v>
      </c>
      <c r="M219" s="660">
        <v>-157586.21</v>
      </c>
      <c r="N219" s="660">
        <v>0</v>
      </c>
      <c r="O219" s="660">
        <v>-4413.79</v>
      </c>
      <c r="P219" s="660">
        <v>-162000</v>
      </c>
      <c r="Q219" s="548"/>
      <c r="R219" s="660">
        <v>-130000</v>
      </c>
      <c r="S219" s="549">
        <f t="shared" si="41"/>
        <v>-32000</v>
      </c>
      <c r="T219" s="267" t="s">
        <v>263</v>
      </c>
      <c r="U219" s="370"/>
      <c r="V219" s="370"/>
      <c r="W219" s="375"/>
      <c r="X219" s="374"/>
      <c r="Y219" s="370"/>
      <c r="Z219" s="371"/>
      <c r="AA219" s="371"/>
      <c r="AB219" s="673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hidden="1" x14ac:dyDescent="0.2">
      <c r="A220" s="423">
        <f t="shared" si="42"/>
        <v>215</v>
      </c>
      <c r="B220" s="683" t="s">
        <v>3635</v>
      </c>
      <c r="C220" s="655">
        <v>44613</v>
      </c>
      <c r="D220" s="658" t="s">
        <v>721</v>
      </c>
      <c r="E220" s="655" t="s">
        <v>3692</v>
      </c>
      <c r="F220" s="546">
        <v>2017</v>
      </c>
      <c r="G220" s="659">
        <v>42860</v>
      </c>
      <c r="H220" s="655" t="s">
        <v>912</v>
      </c>
      <c r="I220" s="655" t="s">
        <v>3812</v>
      </c>
      <c r="J220" s="655" t="s">
        <v>729</v>
      </c>
      <c r="K220" s="655" t="s">
        <v>3925</v>
      </c>
      <c r="L220" s="655" t="s">
        <v>4071</v>
      </c>
      <c r="M220" s="660">
        <v>155862.07</v>
      </c>
      <c r="N220" s="660">
        <v>0</v>
      </c>
      <c r="O220" s="660">
        <v>4137.93</v>
      </c>
      <c r="P220" s="660">
        <v>160000</v>
      </c>
      <c r="Q220" s="548"/>
      <c r="R220" s="660">
        <v>130000</v>
      </c>
      <c r="S220" s="549">
        <f t="shared" si="41"/>
        <v>30000</v>
      </c>
      <c r="T220" s="267" t="s">
        <v>263</v>
      </c>
      <c r="U220" s="360"/>
      <c r="V220" s="360"/>
      <c r="W220" s="358"/>
      <c r="X220" s="331"/>
      <c r="Y220" s="360"/>
      <c r="Z220" s="334"/>
      <c r="AA220" s="334"/>
      <c r="AB220" s="672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hidden="1" x14ac:dyDescent="0.2">
      <c r="A221" s="423">
        <f t="shared" si="42"/>
        <v>216</v>
      </c>
      <c r="B221" s="683" t="s">
        <v>3636</v>
      </c>
      <c r="C221" s="655">
        <v>521801</v>
      </c>
      <c r="D221" s="658" t="s">
        <v>721</v>
      </c>
      <c r="E221" s="655" t="s">
        <v>3692</v>
      </c>
      <c r="F221" s="546">
        <v>2017</v>
      </c>
      <c r="G221" s="659">
        <v>42861</v>
      </c>
      <c r="H221" s="655" t="s">
        <v>1207</v>
      </c>
      <c r="I221" s="655" t="s">
        <v>3815</v>
      </c>
      <c r="J221" s="655" t="s">
        <v>724</v>
      </c>
      <c r="K221" s="655" t="s">
        <v>3926</v>
      </c>
      <c r="L221" s="655" t="s">
        <v>4074</v>
      </c>
      <c r="M221" s="660">
        <v>134724.14000000001</v>
      </c>
      <c r="N221" s="660">
        <v>0</v>
      </c>
      <c r="O221" s="660">
        <v>4275.8599999999997</v>
      </c>
      <c r="P221" s="660">
        <v>139000</v>
      </c>
      <c r="Q221" s="548"/>
      <c r="R221" s="660">
        <v>108000</v>
      </c>
      <c r="S221" s="549">
        <f t="shared" si="41"/>
        <v>31000</v>
      </c>
      <c r="T221" s="267" t="s">
        <v>263</v>
      </c>
      <c r="U221" s="370"/>
      <c r="V221" s="370"/>
      <c r="W221" s="375"/>
      <c r="X221" s="374"/>
      <c r="Y221" s="370"/>
      <c r="Z221" s="371"/>
      <c r="AA221" s="371"/>
      <c r="AB221" s="673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hidden="1" x14ac:dyDescent="0.2">
      <c r="A222" s="423">
        <f t="shared" si="42"/>
        <v>217</v>
      </c>
      <c r="B222" s="683" t="s">
        <v>3637</v>
      </c>
      <c r="C222" s="655">
        <v>56403</v>
      </c>
      <c r="D222" s="658" t="s">
        <v>721</v>
      </c>
      <c r="E222" s="655" t="s">
        <v>3692</v>
      </c>
      <c r="F222" s="546">
        <v>2017</v>
      </c>
      <c r="G222" s="659">
        <v>42861</v>
      </c>
      <c r="H222" s="655" t="s">
        <v>2213</v>
      </c>
      <c r="I222" s="655" t="s">
        <v>3816</v>
      </c>
      <c r="J222" s="655" t="s">
        <v>724</v>
      </c>
      <c r="K222" s="655" t="s">
        <v>3927</v>
      </c>
      <c r="L222" s="655" t="s">
        <v>4075</v>
      </c>
      <c r="M222" s="660">
        <v>109827.59</v>
      </c>
      <c r="N222" s="660">
        <v>0</v>
      </c>
      <c r="O222" s="660">
        <v>3172.41</v>
      </c>
      <c r="P222" s="660">
        <v>113000</v>
      </c>
      <c r="Q222" s="548"/>
      <c r="R222" s="660">
        <v>90000</v>
      </c>
      <c r="S222" s="549">
        <f t="shared" si="41"/>
        <v>23000</v>
      </c>
      <c r="T222" s="267" t="s">
        <v>263</v>
      </c>
      <c r="U222" s="370"/>
      <c r="V222" s="370"/>
      <c r="W222" s="375"/>
      <c r="X222" s="374"/>
      <c r="Y222" s="370"/>
      <c r="Z222" s="371"/>
      <c r="AA222" s="371"/>
      <c r="AB222" s="673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hidden="1" x14ac:dyDescent="0.2">
      <c r="A223" s="423">
        <f t="shared" si="42"/>
        <v>218</v>
      </c>
      <c r="B223" s="683" t="s">
        <v>3638</v>
      </c>
      <c r="C223" s="655">
        <v>39102</v>
      </c>
      <c r="D223" s="658" t="s">
        <v>721</v>
      </c>
      <c r="E223" s="655" t="s">
        <v>3692</v>
      </c>
      <c r="F223" s="546">
        <v>2017</v>
      </c>
      <c r="G223" s="659">
        <v>42863</v>
      </c>
      <c r="H223" s="655" t="s">
        <v>1211</v>
      </c>
      <c r="I223" s="655" t="s">
        <v>3817</v>
      </c>
      <c r="J223" s="655" t="s">
        <v>724</v>
      </c>
      <c r="K223" s="655" t="s">
        <v>3928</v>
      </c>
      <c r="L223" s="655" t="s">
        <v>4076</v>
      </c>
      <c r="M223" s="660">
        <v>74931.03</v>
      </c>
      <c r="N223" s="660">
        <v>0</v>
      </c>
      <c r="O223" s="660">
        <v>2068.9699999999998</v>
      </c>
      <c r="P223" s="660">
        <v>77000</v>
      </c>
      <c r="Q223" s="548"/>
      <c r="R223" s="660">
        <v>62000</v>
      </c>
      <c r="S223" s="549">
        <f t="shared" si="41"/>
        <v>15000</v>
      </c>
      <c r="T223" s="267" t="s">
        <v>263</v>
      </c>
      <c r="U223" s="370"/>
      <c r="V223" s="370"/>
      <c r="W223" s="375"/>
      <c r="X223" s="374"/>
      <c r="Y223" s="370"/>
      <c r="Z223" s="371"/>
      <c r="AA223" s="371"/>
      <c r="AB223" s="673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hidden="1" x14ac:dyDescent="0.2">
      <c r="A224" s="423">
        <f t="shared" si="42"/>
        <v>219</v>
      </c>
      <c r="B224" s="683" t="s">
        <v>3639</v>
      </c>
      <c r="C224" s="655">
        <v>520513</v>
      </c>
      <c r="D224" s="658" t="s">
        <v>721</v>
      </c>
      <c r="E224" s="655" t="s">
        <v>3692</v>
      </c>
      <c r="F224" s="546">
        <v>2017</v>
      </c>
      <c r="G224" s="659">
        <v>42863</v>
      </c>
      <c r="H224" s="655" t="s">
        <v>735</v>
      </c>
      <c r="I224" s="655" t="s">
        <v>3818</v>
      </c>
      <c r="J224" s="655" t="s">
        <v>724</v>
      </c>
      <c r="K224" s="655" t="s">
        <v>3929</v>
      </c>
      <c r="L224" s="655" t="s">
        <v>4077</v>
      </c>
      <c r="M224" s="660">
        <v>252068.97</v>
      </c>
      <c r="N224" s="660">
        <v>0</v>
      </c>
      <c r="O224" s="660">
        <v>5931.03</v>
      </c>
      <c r="P224" s="660">
        <v>258000</v>
      </c>
      <c r="Q224" s="548"/>
      <c r="R224" s="660">
        <v>215000</v>
      </c>
      <c r="S224" s="549">
        <f t="shared" si="41"/>
        <v>43000</v>
      </c>
      <c r="T224" s="267" t="s">
        <v>263</v>
      </c>
      <c r="U224" s="370"/>
      <c r="V224" s="370"/>
      <c r="W224" s="375"/>
      <c r="X224" s="374"/>
      <c r="Y224" s="370"/>
      <c r="Z224" s="371"/>
      <c r="AA224" s="371"/>
      <c r="AB224" s="673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39" s="291" customFormat="1" hidden="1" x14ac:dyDescent="0.2">
      <c r="A225" s="423">
        <f t="shared" si="42"/>
        <v>220</v>
      </c>
      <c r="B225" s="683" t="s">
        <v>3640</v>
      </c>
      <c r="C225" s="655">
        <v>1013213</v>
      </c>
      <c r="D225" s="658" t="s">
        <v>721</v>
      </c>
      <c r="E225" s="655" t="s">
        <v>3692</v>
      </c>
      <c r="F225" s="546">
        <v>2016</v>
      </c>
      <c r="G225" s="659">
        <v>42863</v>
      </c>
      <c r="H225" s="655" t="s">
        <v>3693</v>
      </c>
      <c r="I225" s="655" t="s">
        <v>3819</v>
      </c>
      <c r="J225" s="655" t="s">
        <v>729</v>
      </c>
      <c r="K225" s="655" t="s">
        <v>3921</v>
      </c>
      <c r="L225" s="655" t="s">
        <v>4078</v>
      </c>
      <c r="M225" s="660">
        <v>215517.24</v>
      </c>
      <c r="N225" s="660">
        <v>0</v>
      </c>
      <c r="O225" s="660">
        <v>34482.76</v>
      </c>
      <c r="P225" s="660">
        <v>250000</v>
      </c>
      <c r="Q225" s="548"/>
      <c r="R225" s="660">
        <v>206896.55</v>
      </c>
      <c r="S225" s="549">
        <f t="shared" si="41"/>
        <v>43103.450000000012</v>
      </c>
      <c r="T225" s="113" t="s">
        <v>263</v>
      </c>
      <c r="U225" s="370"/>
      <c r="V225" s="370"/>
      <c r="W225" s="375"/>
      <c r="X225" s="374"/>
      <c r="Y225" s="370"/>
      <c r="Z225" s="371"/>
      <c r="AA225" s="371"/>
      <c r="AB225" s="673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39" s="348" customFormat="1" hidden="1" x14ac:dyDescent="0.2">
      <c r="A226" s="423">
        <f t="shared" si="42"/>
        <v>221</v>
      </c>
      <c r="B226" s="683" t="s">
        <v>3641</v>
      </c>
      <c r="C226" s="655" t="s">
        <v>3691</v>
      </c>
      <c r="D226" s="658" t="s">
        <v>721</v>
      </c>
      <c r="E226" s="655" t="s">
        <v>3692</v>
      </c>
      <c r="F226" s="546">
        <v>2016</v>
      </c>
      <c r="G226" s="659">
        <v>42863</v>
      </c>
      <c r="H226" s="655" t="s">
        <v>1211</v>
      </c>
      <c r="I226" s="655" t="s">
        <v>3820</v>
      </c>
      <c r="J226" s="655" t="s">
        <v>724</v>
      </c>
      <c r="K226" s="655" t="s">
        <v>3930</v>
      </c>
      <c r="L226" s="655" t="s">
        <v>4079</v>
      </c>
      <c r="M226" s="660">
        <v>215517.24</v>
      </c>
      <c r="N226" s="660">
        <v>0</v>
      </c>
      <c r="O226" s="660">
        <v>34482.76</v>
      </c>
      <c r="P226" s="660">
        <v>250000</v>
      </c>
      <c r="Q226" s="548"/>
      <c r="R226" s="660">
        <v>200000</v>
      </c>
      <c r="S226" s="549">
        <f t="shared" si="41"/>
        <v>50000</v>
      </c>
      <c r="T226" s="267" t="s">
        <v>263</v>
      </c>
      <c r="U226" s="370"/>
      <c r="V226" s="370"/>
      <c r="W226" s="375"/>
      <c r="X226" s="374"/>
      <c r="Y226" s="370"/>
      <c r="Z226" s="371"/>
      <c r="AA226" s="371"/>
      <c r="AB226" s="673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39" s="348" customFormat="1" hidden="1" x14ac:dyDescent="0.2">
      <c r="A227" s="423">
        <f t="shared" si="42"/>
        <v>222</v>
      </c>
      <c r="B227" s="683" t="s">
        <v>3642</v>
      </c>
      <c r="C227" s="655">
        <v>520515</v>
      </c>
      <c r="D227" s="658" t="s">
        <v>721</v>
      </c>
      <c r="E227" s="655" t="s">
        <v>3692</v>
      </c>
      <c r="F227" s="546">
        <v>2017</v>
      </c>
      <c r="G227" s="659">
        <v>42864</v>
      </c>
      <c r="H227" s="655" t="s">
        <v>3694</v>
      </c>
      <c r="I227" s="655" t="s">
        <v>3821</v>
      </c>
      <c r="J227" s="655" t="s">
        <v>724</v>
      </c>
      <c r="K227" s="655" t="s">
        <v>3931</v>
      </c>
      <c r="L227" s="655" t="s">
        <v>4080</v>
      </c>
      <c r="M227" s="660">
        <v>357241.38</v>
      </c>
      <c r="N227" s="660">
        <v>0</v>
      </c>
      <c r="O227" s="660">
        <v>6758.62</v>
      </c>
      <c r="P227" s="660">
        <v>364000</v>
      </c>
      <c r="Q227" s="548"/>
      <c r="R227" s="660">
        <v>315000</v>
      </c>
      <c r="S227" s="549">
        <f t="shared" si="41"/>
        <v>49000</v>
      </c>
      <c r="T227" s="267" t="s">
        <v>263</v>
      </c>
      <c r="U227" s="370"/>
      <c r="V227" s="370"/>
      <c r="W227" s="375"/>
      <c r="X227" s="374"/>
      <c r="Y227" s="370"/>
      <c r="Z227" s="371"/>
      <c r="AA227" s="371"/>
      <c r="AB227" s="673"/>
      <c r="AC227" s="270"/>
      <c r="AD227" s="372"/>
      <c r="AE227" s="270"/>
      <c r="AF227" s="270"/>
      <c r="AG227" s="270"/>
      <c r="AH227" s="350"/>
      <c r="AI227" s="365"/>
      <c r="AJ227" s="331"/>
      <c r="AK227" s="330"/>
      <c r="AL227" s="330"/>
      <c r="AM227" s="330"/>
    </row>
    <row r="228" spans="1:39" s="348" customFormat="1" hidden="1" x14ac:dyDescent="0.2">
      <c r="A228" s="423">
        <f t="shared" si="42"/>
        <v>223</v>
      </c>
      <c r="B228" s="683" t="s">
        <v>3643</v>
      </c>
      <c r="C228" s="655">
        <v>72402</v>
      </c>
      <c r="D228" s="658" t="s">
        <v>721</v>
      </c>
      <c r="E228" s="655" t="s">
        <v>3692</v>
      </c>
      <c r="F228" s="546">
        <v>2017</v>
      </c>
      <c r="G228" s="659">
        <v>42864</v>
      </c>
      <c r="H228" s="655" t="s">
        <v>912</v>
      </c>
      <c r="I228" s="655" t="s">
        <v>3822</v>
      </c>
      <c r="J228" s="655" t="s">
        <v>724</v>
      </c>
      <c r="K228" s="655" t="s">
        <v>3932</v>
      </c>
      <c r="L228" s="655" t="s">
        <v>4081</v>
      </c>
      <c r="M228" s="660">
        <v>129310.34</v>
      </c>
      <c r="N228" s="660">
        <v>0</v>
      </c>
      <c r="O228" s="660">
        <v>20689.66</v>
      </c>
      <c r="P228" s="660">
        <v>150000</v>
      </c>
      <c r="Q228" s="548"/>
      <c r="R228" s="660">
        <v>104913.79</v>
      </c>
      <c r="S228" s="549">
        <f t="shared" si="41"/>
        <v>45086.210000000006</v>
      </c>
      <c r="T228" s="267" t="s">
        <v>263</v>
      </c>
      <c r="U228" s="370"/>
      <c r="V228" s="370"/>
      <c r="W228" s="375"/>
      <c r="X228" s="374"/>
      <c r="Y228" s="370"/>
      <c r="Z228" s="371"/>
      <c r="AA228" s="371"/>
      <c r="AB228" s="673"/>
      <c r="AC228" s="270"/>
      <c r="AD228" s="372"/>
      <c r="AE228" s="270"/>
      <c r="AF228" s="270"/>
      <c r="AG228" s="270"/>
      <c r="AH228" s="347"/>
      <c r="AI228" s="363"/>
      <c r="AJ228" s="330"/>
      <c r="AK228" s="330"/>
      <c r="AL228" s="330"/>
      <c r="AM228" s="330"/>
    </row>
    <row r="229" spans="1:39" s="291" customFormat="1" hidden="1" x14ac:dyDescent="0.2">
      <c r="A229" s="423">
        <f t="shared" si="42"/>
        <v>224</v>
      </c>
      <c r="B229" s="683" t="s">
        <v>3644</v>
      </c>
      <c r="C229" s="655">
        <v>24901</v>
      </c>
      <c r="D229" s="658" t="s">
        <v>721</v>
      </c>
      <c r="E229" s="655" t="s">
        <v>3692</v>
      </c>
      <c r="F229" s="546">
        <v>2017</v>
      </c>
      <c r="G229" s="659">
        <v>42864</v>
      </c>
      <c r="H229" s="655" t="s">
        <v>2954</v>
      </c>
      <c r="I229" s="655" t="s">
        <v>3823</v>
      </c>
      <c r="J229" s="655" t="s">
        <v>729</v>
      </c>
      <c r="K229" s="655" t="s">
        <v>3933</v>
      </c>
      <c r="L229" s="655" t="s">
        <v>4082</v>
      </c>
      <c r="M229" s="660">
        <v>141827.59</v>
      </c>
      <c r="N229" s="660">
        <v>0</v>
      </c>
      <c r="O229" s="660">
        <v>3172.41</v>
      </c>
      <c r="P229" s="660">
        <v>145000</v>
      </c>
      <c r="Q229" s="548"/>
      <c r="R229" s="660">
        <v>122000</v>
      </c>
      <c r="S229" s="549">
        <f t="shared" si="41"/>
        <v>23000</v>
      </c>
      <c r="T229" s="113" t="s">
        <v>263</v>
      </c>
      <c r="U229" s="370"/>
      <c r="V229" s="370"/>
      <c r="W229" s="375"/>
      <c r="X229" s="374"/>
      <c r="Y229" s="370"/>
      <c r="Z229" s="371"/>
      <c r="AA229" s="371"/>
      <c r="AB229" s="673"/>
      <c r="AC229" s="270"/>
      <c r="AD229" s="372"/>
      <c r="AE229" s="270"/>
      <c r="AF229" s="270"/>
      <c r="AG229" s="270"/>
      <c r="AH229" s="272"/>
      <c r="AI229" s="313"/>
      <c r="AJ229" s="331"/>
      <c r="AK229" s="374"/>
      <c r="AL229" s="374"/>
      <c r="AM229" s="374"/>
    </row>
    <row r="230" spans="1:39" s="291" customFormat="1" hidden="1" x14ac:dyDescent="0.2">
      <c r="A230" s="423">
        <f t="shared" si="42"/>
        <v>225</v>
      </c>
      <c r="B230" s="683" t="s">
        <v>3645</v>
      </c>
      <c r="C230" s="655">
        <v>31918</v>
      </c>
      <c r="D230" s="658" t="s">
        <v>721</v>
      </c>
      <c r="E230" s="655" t="s">
        <v>3692</v>
      </c>
      <c r="F230" s="546">
        <v>2016</v>
      </c>
      <c r="G230" s="659">
        <v>42864</v>
      </c>
      <c r="H230" s="655" t="s">
        <v>2218</v>
      </c>
      <c r="I230" s="655" t="s">
        <v>3109</v>
      </c>
      <c r="J230" s="655" t="s">
        <v>724</v>
      </c>
      <c r="K230" s="655" t="s">
        <v>3216</v>
      </c>
      <c r="L230" s="655" t="s">
        <v>3374</v>
      </c>
      <c r="M230" s="660">
        <v>-252931.03</v>
      </c>
      <c r="N230" s="660">
        <v>0</v>
      </c>
      <c r="O230" s="660">
        <v>-2068.9699999999998</v>
      </c>
      <c r="P230" s="660">
        <v>-255000</v>
      </c>
      <c r="Q230" s="548"/>
      <c r="R230" s="660">
        <v>-240000</v>
      </c>
      <c r="S230" s="549">
        <f t="shared" si="41"/>
        <v>-15000</v>
      </c>
      <c r="T230" s="445" t="s">
        <v>263</v>
      </c>
      <c r="U230" s="370"/>
      <c r="V230" s="370"/>
      <c r="W230" s="375"/>
      <c r="X230" s="374"/>
      <c r="Y230" s="370"/>
      <c r="Z230" s="371"/>
      <c r="AA230" s="371"/>
      <c r="AB230" s="673"/>
      <c r="AC230" s="270"/>
      <c r="AD230" s="372"/>
      <c r="AE230" s="270"/>
      <c r="AF230" s="270"/>
      <c r="AG230" s="270"/>
      <c r="AH230" s="350"/>
      <c r="AI230" s="365"/>
      <c r="AJ230" s="330"/>
      <c r="AK230" s="374"/>
      <c r="AL230" s="374"/>
      <c r="AM230" s="374"/>
    </row>
    <row r="231" spans="1:39" s="291" customFormat="1" hidden="1" x14ac:dyDescent="0.2">
      <c r="A231" s="423">
        <f t="shared" si="42"/>
        <v>226</v>
      </c>
      <c r="B231" s="683" t="s">
        <v>3646</v>
      </c>
      <c r="C231" s="655">
        <v>521906</v>
      </c>
      <c r="D231" s="658" t="s">
        <v>721</v>
      </c>
      <c r="E231" s="655" t="s">
        <v>3692</v>
      </c>
      <c r="F231" s="546">
        <v>2017</v>
      </c>
      <c r="G231" s="659">
        <v>42866</v>
      </c>
      <c r="H231" s="655" t="s">
        <v>751</v>
      </c>
      <c r="I231" s="655" t="s">
        <v>3824</v>
      </c>
      <c r="J231" s="655" t="s">
        <v>724</v>
      </c>
      <c r="K231" s="655" t="s">
        <v>3934</v>
      </c>
      <c r="L231" s="655" t="s">
        <v>4083</v>
      </c>
      <c r="M231" s="660">
        <v>202586.21</v>
      </c>
      <c r="N231" s="660">
        <v>0</v>
      </c>
      <c r="O231" s="660">
        <v>32413.79</v>
      </c>
      <c r="P231" s="660">
        <v>235000</v>
      </c>
      <c r="Q231" s="548"/>
      <c r="R231" s="660">
        <v>189655.17</v>
      </c>
      <c r="S231" s="549">
        <f t="shared" si="41"/>
        <v>45344.829999999987</v>
      </c>
      <c r="T231" s="267" t="s">
        <v>263</v>
      </c>
      <c r="U231" s="360"/>
      <c r="V231" s="360"/>
      <c r="W231" s="358"/>
      <c r="X231" s="331"/>
      <c r="Y231" s="360"/>
      <c r="Z231" s="334"/>
      <c r="AA231" s="334"/>
      <c r="AB231" s="672"/>
      <c r="AC231" s="349"/>
      <c r="AD231" s="335"/>
      <c r="AE231" s="349"/>
      <c r="AF231" s="349"/>
      <c r="AG231" s="349"/>
      <c r="AH231" s="272"/>
      <c r="AI231" s="313"/>
      <c r="AJ231" s="331"/>
      <c r="AK231" s="374"/>
      <c r="AL231" s="374"/>
      <c r="AM231" s="374"/>
    </row>
    <row r="232" spans="1:39" s="291" customFormat="1" hidden="1" x14ac:dyDescent="0.2">
      <c r="A232" s="423">
        <f t="shared" si="42"/>
        <v>227</v>
      </c>
      <c r="B232" s="683" t="s">
        <v>3647</v>
      </c>
      <c r="C232" s="655">
        <v>730302</v>
      </c>
      <c r="D232" s="658" t="s">
        <v>721</v>
      </c>
      <c r="E232" s="655" t="s">
        <v>3692</v>
      </c>
      <c r="F232" s="546">
        <v>2017</v>
      </c>
      <c r="G232" s="659">
        <v>42867</v>
      </c>
      <c r="H232" s="655" t="s">
        <v>1211</v>
      </c>
      <c r="I232" s="655" t="s">
        <v>3825</v>
      </c>
      <c r="J232" s="655" t="s">
        <v>724</v>
      </c>
      <c r="K232" s="655" t="s">
        <v>3935</v>
      </c>
      <c r="L232" s="655" t="s">
        <v>4084</v>
      </c>
      <c r="M232" s="660">
        <v>228448.28</v>
      </c>
      <c r="N232" s="660">
        <v>0</v>
      </c>
      <c r="O232" s="660">
        <v>4551.72</v>
      </c>
      <c r="P232" s="660">
        <v>233000</v>
      </c>
      <c r="Q232" s="548"/>
      <c r="R232" s="660">
        <v>200000</v>
      </c>
      <c r="S232" s="549">
        <f t="shared" si="41"/>
        <v>33000</v>
      </c>
      <c r="T232" s="267" t="s">
        <v>263</v>
      </c>
      <c r="U232" s="360"/>
      <c r="V232" s="360"/>
      <c r="W232" s="358"/>
      <c r="X232" s="331"/>
      <c r="Y232" s="360"/>
      <c r="Z232" s="334"/>
      <c r="AA232" s="334"/>
      <c r="AB232" s="672"/>
      <c r="AC232" s="349"/>
      <c r="AD232" s="335"/>
      <c r="AE232" s="349"/>
      <c r="AF232" s="349"/>
      <c r="AG232" s="349"/>
      <c r="AH232" s="350"/>
      <c r="AI232" s="365"/>
      <c r="AJ232" s="330"/>
      <c r="AK232" s="374"/>
      <c r="AL232" s="374"/>
      <c r="AM232" s="374"/>
    </row>
    <row r="233" spans="1:39" s="291" customFormat="1" hidden="1" x14ac:dyDescent="0.2">
      <c r="A233" s="423">
        <f t="shared" si="42"/>
        <v>228</v>
      </c>
      <c r="B233" s="683" t="s">
        <v>3648</v>
      </c>
      <c r="C233" s="655">
        <v>38112</v>
      </c>
      <c r="D233" s="658" t="s">
        <v>721</v>
      </c>
      <c r="E233" s="655" t="s">
        <v>3692</v>
      </c>
      <c r="F233" s="546">
        <v>2017</v>
      </c>
      <c r="G233" s="659">
        <v>42867</v>
      </c>
      <c r="H233" s="655" t="s">
        <v>3693</v>
      </c>
      <c r="I233" s="655" t="s">
        <v>3826</v>
      </c>
      <c r="J233" s="655" t="s">
        <v>729</v>
      </c>
      <c r="K233" s="655" t="s">
        <v>3936</v>
      </c>
      <c r="L233" s="655" t="s">
        <v>4085</v>
      </c>
      <c r="M233" s="660">
        <v>125172.41</v>
      </c>
      <c r="N233" s="660">
        <v>0</v>
      </c>
      <c r="O233" s="660">
        <v>4827.59</v>
      </c>
      <c r="P233" s="660">
        <v>130000</v>
      </c>
      <c r="Q233" s="548"/>
      <c r="R233" s="660">
        <v>95000</v>
      </c>
      <c r="S233" s="549">
        <f t="shared" si="41"/>
        <v>35000</v>
      </c>
      <c r="T233" s="113" t="s">
        <v>263</v>
      </c>
      <c r="U233" s="370"/>
      <c r="V233" s="370"/>
      <c r="W233" s="375"/>
      <c r="X233" s="374"/>
      <c r="Y233" s="370"/>
      <c r="Z233" s="371"/>
      <c r="AA233" s="371"/>
      <c r="AB233" s="673"/>
      <c r="AC233" s="270"/>
      <c r="AD233" s="372"/>
      <c r="AE233" s="270"/>
      <c r="AF233" s="270"/>
      <c r="AG233" s="270"/>
      <c r="AH233" s="350"/>
      <c r="AI233" s="365"/>
      <c r="AJ233" s="374"/>
      <c r="AK233" s="374"/>
      <c r="AL233" s="374"/>
      <c r="AM233" s="374"/>
    </row>
    <row r="234" spans="1:39" s="348" customFormat="1" hidden="1" x14ac:dyDescent="0.2">
      <c r="A234" s="423">
        <f t="shared" si="42"/>
        <v>229</v>
      </c>
      <c r="B234" s="683" t="s">
        <v>3649</v>
      </c>
      <c r="C234" s="655">
        <v>38109</v>
      </c>
      <c r="D234" s="658" t="s">
        <v>721</v>
      </c>
      <c r="E234" s="655" t="s">
        <v>3692</v>
      </c>
      <c r="F234" s="546">
        <v>2016</v>
      </c>
      <c r="G234" s="659">
        <v>42867</v>
      </c>
      <c r="H234" s="655" t="s">
        <v>792</v>
      </c>
      <c r="I234" s="655" t="s">
        <v>3827</v>
      </c>
      <c r="J234" s="655" t="s">
        <v>729</v>
      </c>
      <c r="K234" s="655" t="s">
        <v>3937</v>
      </c>
      <c r="L234" s="655" t="s">
        <v>4086</v>
      </c>
      <c r="M234" s="660">
        <v>103448.28</v>
      </c>
      <c r="N234" s="660">
        <v>0</v>
      </c>
      <c r="O234" s="660">
        <v>16551.72</v>
      </c>
      <c r="P234" s="660">
        <v>120000</v>
      </c>
      <c r="Q234" s="548"/>
      <c r="R234" s="660">
        <v>81034.48</v>
      </c>
      <c r="S234" s="549">
        <f t="shared" si="41"/>
        <v>38965.520000000004</v>
      </c>
      <c r="T234" s="267" t="s">
        <v>263</v>
      </c>
      <c r="U234" s="360"/>
      <c r="V234" s="360"/>
      <c r="W234" s="358"/>
      <c r="X234" s="331"/>
      <c r="Y234" s="360"/>
      <c r="Z234" s="334"/>
      <c r="AA234" s="334"/>
      <c r="AB234" s="672"/>
      <c r="AC234" s="349"/>
      <c r="AD234" s="335"/>
      <c r="AE234" s="349"/>
      <c r="AF234" s="349"/>
      <c r="AG234" s="349"/>
      <c r="AH234" s="272"/>
      <c r="AI234" s="313"/>
      <c r="AJ234" s="374"/>
      <c r="AK234" s="330"/>
      <c r="AL234" s="330"/>
      <c r="AM234" s="330"/>
    </row>
    <row r="235" spans="1:39" s="291" customFormat="1" hidden="1" x14ac:dyDescent="0.2">
      <c r="A235" s="423">
        <f t="shared" si="42"/>
        <v>230</v>
      </c>
      <c r="B235" s="683" t="s">
        <v>3650</v>
      </c>
      <c r="C235" s="655">
        <v>496101</v>
      </c>
      <c r="D235" s="658" t="s">
        <v>721</v>
      </c>
      <c r="E235" s="655" t="s">
        <v>3692</v>
      </c>
      <c r="F235" s="546">
        <v>2017</v>
      </c>
      <c r="G235" s="659">
        <v>42868</v>
      </c>
      <c r="H235" s="655" t="s">
        <v>1207</v>
      </c>
      <c r="I235" s="655" t="s">
        <v>3828</v>
      </c>
      <c r="J235" s="655" t="s">
        <v>729</v>
      </c>
      <c r="K235" s="655" t="s">
        <v>3938</v>
      </c>
      <c r="L235" s="655" t="s">
        <v>4087</v>
      </c>
      <c r="M235" s="660">
        <v>126137.93</v>
      </c>
      <c r="N235" s="660">
        <v>0</v>
      </c>
      <c r="O235" s="660">
        <v>3862.07</v>
      </c>
      <c r="P235" s="660">
        <v>130000</v>
      </c>
      <c r="Q235" s="548"/>
      <c r="R235" s="660">
        <v>102000</v>
      </c>
      <c r="S235" s="549">
        <f t="shared" si="41"/>
        <v>28000</v>
      </c>
      <c r="T235" s="113" t="s">
        <v>263</v>
      </c>
      <c r="U235" s="360"/>
      <c r="V235" s="360"/>
      <c r="W235" s="358"/>
      <c r="X235" s="331"/>
      <c r="Y235" s="360"/>
      <c r="Z235" s="334"/>
      <c r="AA235" s="334"/>
      <c r="AB235" s="672"/>
      <c r="AC235" s="349"/>
      <c r="AD235" s="335"/>
      <c r="AE235" s="349"/>
      <c r="AF235" s="349"/>
      <c r="AG235" s="349"/>
      <c r="AH235" s="350"/>
      <c r="AI235" s="365"/>
      <c r="AJ235" s="374"/>
      <c r="AK235" s="374"/>
      <c r="AL235" s="374"/>
      <c r="AM235" s="374"/>
    </row>
    <row r="236" spans="1:39" s="291" customFormat="1" hidden="1" x14ac:dyDescent="0.2">
      <c r="A236" s="423">
        <f t="shared" si="42"/>
        <v>231</v>
      </c>
      <c r="B236" s="683" t="s">
        <v>3651</v>
      </c>
      <c r="C236" s="655">
        <v>38109</v>
      </c>
      <c r="D236" s="658" t="s">
        <v>721</v>
      </c>
      <c r="E236" s="655" t="s">
        <v>3692</v>
      </c>
      <c r="F236" s="546">
        <v>2016</v>
      </c>
      <c r="G236" s="659">
        <v>42868</v>
      </c>
      <c r="H236" s="655" t="s">
        <v>792</v>
      </c>
      <c r="I236" s="655" t="s">
        <v>3827</v>
      </c>
      <c r="J236" s="655" t="s">
        <v>729</v>
      </c>
      <c r="K236" s="655" t="s">
        <v>3937</v>
      </c>
      <c r="L236" s="655" t="s">
        <v>4086</v>
      </c>
      <c r="M236" s="660">
        <v>-103448.28</v>
      </c>
      <c r="N236" s="660">
        <v>0</v>
      </c>
      <c r="O236" s="660">
        <v>-16551.72</v>
      </c>
      <c r="P236" s="660">
        <v>-120000</v>
      </c>
      <c r="Q236" s="548"/>
      <c r="R236" s="660">
        <v>-81034.48</v>
      </c>
      <c r="S236" s="549">
        <f t="shared" si="41"/>
        <v>-38965.520000000004</v>
      </c>
      <c r="T236" s="267" t="s">
        <v>263</v>
      </c>
      <c r="U236" s="354"/>
      <c r="V236" s="354"/>
      <c r="W236" s="355"/>
      <c r="X236" s="330"/>
      <c r="Y236" s="354"/>
      <c r="Z236" s="328"/>
      <c r="AA236" s="328"/>
      <c r="AB236" s="674"/>
      <c r="AC236" s="346"/>
      <c r="AD236" s="333"/>
      <c r="AE236" s="346"/>
      <c r="AF236" s="346"/>
      <c r="AG236" s="346"/>
      <c r="AH236" s="350"/>
      <c r="AI236" s="365"/>
      <c r="AJ236" s="374"/>
      <c r="AK236" s="374"/>
      <c r="AL236" s="374"/>
      <c r="AM236" s="374"/>
    </row>
    <row r="237" spans="1:39" s="296" customFormat="1" hidden="1" x14ac:dyDescent="0.2">
      <c r="A237" s="423">
        <f t="shared" si="42"/>
        <v>232</v>
      </c>
      <c r="B237" s="683" t="s">
        <v>3652</v>
      </c>
      <c r="C237" s="655">
        <v>38109</v>
      </c>
      <c r="D237" s="658" t="s">
        <v>721</v>
      </c>
      <c r="E237" s="655" t="s">
        <v>3692</v>
      </c>
      <c r="F237" s="546">
        <v>2016</v>
      </c>
      <c r="G237" s="659">
        <v>42868</v>
      </c>
      <c r="H237" s="655" t="s">
        <v>792</v>
      </c>
      <c r="I237" s="655" t="s">
        <v>3827</v>
      </c>
      <c r="J237" s="655" t="s">
        <v>729</v>
      </c>
      <c r="K237" s="655" t="s">
        <v>3939</v>
      </c>
      <c r="L237" s="655" t="s">
        <v>4086</v>
      </c>
      <c r="M237" s="660">
        <v>103448.28</v>
      </c>
      <c r="N237" s="660">
        <v>0</v>
      </c>
      <c r="O237" s="660">
        <v>16551.72</v>
      </c>
      <c r="P237" s="660">
        <v>120000</v>
      </c>
      <c r="Q237" s="548"/>
      <c r="R237" s="660">
        <v>81034.48</v>
      </c>
      <c r="S237" s="549">
        <f t="shared" si="41"/>
        <v>38965.520000000004</v>
      </c>
      <c r="T237" s="267" t="s">
        <v>263</v>
      </c>
      <c r="U237" s="369"/>
      <c r="V237" s="370"/>
      <c r="W237" s="375"/>
      <c r="X237" s="375"/>
      <c r="Y237" s="375"/>
      <c r="Z237" s="371"/>
      <c r="AA237" s="371"/>
      <c r="AB237" s="673"/>
      <c r="AC237" s="371"/>
      <c r="AD237" s="372"/>
      <c r="AE237" s="371"/>
      <c r="AF237" s="371"/>
      <c r="AG237" s="270"/>
      <c r="AH237" s="350"/>
      <c r="AI237" s="365"/>
      <c r="AJ237" s="374"/>
      <c r="AK237" s="374"/>
      <c r="AL237" s="374"/>
      <c r="AM237" s="374"/>
    </row>
    <row r="238" spans="1:39" s="291" customFormat="1" hidden="1" x14ac:dyDescent="0.2">
      <c r="A238" s="423">
        <f t="shared" si="42"/>
        <v>233</v>
      </c>
      <c r="B238" s="683" t="s">
        <v>3653</v>
      </c>
      <c r="C238" s="655">
        <v>520513</v>
      </c>
      <c r="D238" s="658" t="s">
        <v>721</v>
      </c>
      <c r="E238" s="655" t="s">
        <v>3692</v>
      </c>
      <c r="F238" s="546">
        <v>2017</v>
      </c>
      <c r="G238" s="659">
        <v>42870</v>
      </c>
      <c r="H238" s="655" t="s">
        <v>735</v>
      </c>
      <c r="I238" s="655" t="s">
        <v>3818</v>
      </c>
      <c r="J238" s="655" t="s">
        <v>724</v>
      </c>
      <c r="K238" s="655" t="s">
        <v>3929</v>
      </c>
      <c r="L238" s="655" t="s">
        <v>4077</v>
      </c>
      <c r="M238" s="660">
        <v>-252068.97</v>
      </c>
      <c r="N238" s="660">
        <v>0</v>
      </c>
      <c r="O238" s="660">
        <v>-5931.03</v>
      </c>
      <c r="P238" s="660">
        <v>-258000</v>
      </c>
      <c r="Q238" s="548"/>
      <c r="R238" s="660">
        <v>-215000</v>
      </c>
      <c r="S238" s="549">
        <f t="shared" si="41"/>
        <v>-43000</v>
      </c>
      <c r="T238" s="113" t="s">
        <v>263</v>
      </c>
      <c r="U238" s="369"/>
      <c r="V238" s="370"/>
      <c r="W238" s="375"/>
      <c r="X238" s="375"/>
      <c r="Y238" s="375"/>
      <c r="Z238" s="371"/>
      <c r="AA238" s="371"/>
      <c r="AB238" s="673"/>
      <c r="AC238" s="371"/>
      <c r="AD238" s="372"/>
      <c r="AE238" s="371"/>
      <c r="AF238" s="371"/>
      <c r="AG238" s="270"/>
      <c r="AH238" s="350"/>
      <c r="AI238" s="365"/>
      <c r="AJ238" s="374"/>
      <c r="AK238" s="374"/>
      <c r="AL238" s="374"/>
      <c r="AM238" s="374"/>
    </row>
    <row r="239" spans="1:39" s="348" customFormat="1" hidden="1" x14ac:dyDescent="0.2">
      <c r="A239" s="423">
        <f t="shared" si="42"/>
        <v>234</v>
      </c>
      <c r="B239" s="683" t="s">
        <v>3654</v>
      </c>
      <c r="C239" s="655">
        <v>520513</v>
      </c>
      <c r="D239" s="658" t="s">
        <v>721</v>
      </c>
      <c r="E239" s="655" t="s">
        <v>3692</v>
      </c>
      <c r="F239" s="546">
        <v>2017</v>
      </c>
      <c r="G239" s="659">
        <v>42870</v>
      </c>
      <c r="H239" s="655" t="s">
        <v>735</v>
      </c>
      <c r="I239" s="655" t="s">
        <v>3818</v>
      </c>
      <c r="J239" s="655" t="s">
        <v>724</v>
      </c>
      <c r="K239" s="655" t="s">
        <v>3929</v>
      </c>
      <c r="L239" s="655" t="s">
        <v>4077</v>
      </c>
      <c r="M239" s="660">
        <v>252068.97</v>
      </c>
      <c r="N239" s="660">
        <v>0</v>
      </c>
      <c r="O239" s="660">
        <v>5931.03</v>
      </c>
      <c r="P239" s="660">
        <v>258000</v>
      </c>
      <c r="Q239" s="548"/>
      <c r="R239" s="660">
        <v>215000</v>
      </c>
      <c r="S239" s="549">
        <f t="shared" si="41"/>
        <v>43000</v>
      </c>
      <c r="T239" s="113" t="s">
        <v>263</v>
      </c>
      <c r="U239" s="369"/>
      <c r="V239" s="370"/>
      <c r="W239" s="375"/>
      <c r="X239" s="375"/>
      <c r="Y239" s="375"/>
      <c r="Z239" s="371"/>
      <c r="AA239" s="371"/>
      <c r="AB239" s="673"/>
      <c r="AC239" s="371"/>
      <c r="AD239" s="372"/>
      <c r="AE239" s="371"/>
      <c r="AF239" s="371"/>
      <c r="AG239" s="270"/>
      <c r="AH239" s="350"/>
      <c r="AI239" s="365"/>
      <c r="AJ239" s="374"/>
      <c r="AK239" s="330"/>
      <c r="AL239" s="330"/>
      <c r="AM239" s="330"/>
    </row>
    <row r="240" spans="1:39" s="291" customFormat="1" hidden="1" x14ac:dyDescent="0.2">
      <c r="A240" s="423">
        <f t="shared" si="42"/>
        <v>235</v>
      </c>
      <c r="B240" s="683" t="s">
        <v>3655</v>
      </c>
      <c r="C240" s="655">
        <v>41169</v>
      </c>
      <c r="D240" s="658" t="s">
        <v>721</v>
      </c>
      <c r="E240" s="655" t="s">
        <v>3692</v>
      </c>
      <c r="F240" s="546">
        <v>2017</v>
      </c>
      <c r="G240" s="659">
        <v>42870</v>
      </c>
      <c r="H240" s="655" t="s">
        <v>2218</v>
      </c>
      <c r="I240" s="655" t="s">
        <v>3829</v>
      </c>
      <c r="J240" s="655" t="s">
        <v>729</v>
      </c>
      <c r="K240" s="655" t="s">
        <v>3940</v>
      </c>
      <c r="L240" s="655" t="s">
        <v>4088</v>
      </c>
      <c r="M240" s="660">
        <v>-210172.41</v>
      </c>
      <c r="N240" s="660">
        <v>0</v>
      </c>
      <c r="O240" s="660">
        <v>-4827.59</v>
      </c>
      <c r="P240" s="660">
        <v>-215000</v>
      </c>
      <c r="Q240" s="548"/>
      <c r="R240" s="660">
        <v>-180000</v>
      </c>
      <c r="S240" s="549">
        <f t="shared" si="41"/>
        <v>-35000</v>
      </c>
      <c r="T240" s="113" t="s">
        <v>263</v>
      </c>
      <c r="U240" s="369"/>
      <c r="V240" s="370"/>
      <c r="W240" s="375"/>
      <c r="X240" s="375"/>
      <c r="Y240" s="375"/>
      <c r="Z240" s="371"/>
      <c r="AA240" s="371"/>
      <c r="AB240" s="673"/>
      <c r="AC240" s="371"/>
      <c r="AD240" s="372"/>
      <c r="AE240" s="371"/>
      <c r="AF240" s="371"/>
      <c r="AG240" s="270"/>
      <c r="AH240" s="350"/>
      <c r="AI240" s="365"/>
      <c r="AJ240" s="374"/>
      <c r="AK240" s="374"/>
      <c r="AL240" s="374"/>
      <c r="AM240" s="374"/>
    </row>
    <row r="241" spans="1:39" s="348" customFormat="1" hidden="1" x14ac:dyDescent="0.2">
      <c r="A241" s="423">
        <f t="shared" si="42"/>
        <v>236</v>
      </c>
      <c r="B241" s="683" t="s">
        <v>3656</v>
      </c>
      <c r="C241" s="655">
        <v>41169</v>
      </c>
      <c r="D241" s="658" t="s">
        <v>721</v>
      </c>
      <c r="E241" s="655" t="s">
        <v>3692</v>
      </c>
      <c r="F241" s="546">
        <v>2017</v>
      </c>
      <c r="G241" s="659">
        <v>42870</v>
      </c>
      <c r="H241" s="655" t="s">
        <v>2218</v>
      </c>
      <c r="I241" s="655" t="s">
        <v>3829</v>
      </c>
      <c r="J241" s="655" t="s">
        <v>729</v>
      </c>
      <c r="K241" s="655" t="s">
        <v>3940</v>
      </c>
      <c r="L241" s="655" t="s">
        <v>4088</v>
      </c>
      <c r="M241" s="660">
        <v>210172.41</v>
      </c>
      <c r="N241" s="660">
        <v>0</v>
      </c>
      <c r="O241" s="660">
        <v>4827.59</v>
      </c>
      <c r="P241" s="660">
        <v>215000</v>
      </c>
      <c r="Q241" s="548"/>
      <c r="R241" s="660">
        <v>180000</v>
      </c>
      <c r="S241" s="549">
        <f t="shared" si="41"/>
        <v>35000</v>
      </c>
      <c r="T241" s="113" t="s">
        <v>263</v>
      </c>
      <c r="U241" s="369"/>
      <c r="V241" s="370"/>
      <c r="W241" s="375"/>
      <c r="X241" s="375"/>
      <c r="Y241" s="375"/>
      <c r="Z241" s="371"/>
      <c r="AA241" s="371"/>
      <c r="AB241" s="673"/>
      <c r="AC241" s="371"/>
      <c r="AD241" s="372"/>
      <c r="AE241" s="371"/>
      <c r="AF241" s="371"/>
      <c r="AG241" s="270"/>
      <c r="AH241" s="350"/>
      <c r="AI241" s="365"/>
      <c r="AJ241" s="330"/>
      <c r="AK241" s="330"/>
      <c r="AL241" s="330"/>
      <c r="AM241" s="330"/>
    </row>
    <row r="242" spans="1:39" s="291" customFormat="1" hidden="1" x14ac:dyDescent="0.2">
      <c r="A242" s="423">
        <f t="shared" si="42"/>
        <v>237</v>
      </c>
      <c r="B242" s="683" t="s">
        <v>3657</v>
      </c>
      <c r="C242" s="655">
        <v>41169</v>
      </c>
      <c r="D242" s="658" t="s">
        <v>721</v>
      </c>
      <c r="E242" s="655" t="s">
        <v>3692</v>
      </c>
      <c r="F242" s="546">
        <v>2017</v>
      </c>
      <c r="G242" s="659">
        <v>42870</v>
      </c>
      <c r="H242" s="655" t="s">
        <v>2218</v>
      </c>
      <c r="I242" s="655" t="s">
        <v>3829</v>
      </c>
      <c r="J242" s="655" t="s">
        <v>729</v>
      </c>
      <c r="K242" s="655" t="s">
        <v>3940</v>
      </c>
      <c r="L242" s="655" t="s">
        <v>4088</v>
      </c>
      <c r="M242" s="660">
        <v>205862.07</v>
      </c>
      <c r="N242" s="660">
        <v>0</v>
      </c>
      <c r="O242" s="660">
        <v>4137.93</v>
      </c>
      <c r="P242" s="660">
        <v>210000</v>
      </c>
      <c r="Q242" s="548"/>
      <c r="R242" s="660">
        <v>180000</v>
      </c>
      <c r="S242" s="549">
        <f t="shared" si="41"/>
        <v>30000</v>
      </c>
      <c r="T242" s="267" t="s">
        <v>263</v>
      </c>
      <c r="U242" s="369"/>
      <c r="V242" s="370"/>
      <c r="W242" s="375"/>
      <c r="X242" s="375"/>
      <c r="Y242" s="375"/>
      <c r="Z242" s="371"/>
      <c r="AA242" s="371"/>
      <c r="AB242" s="673"/>
      <c r="AC242" s="371"/>
      <c r="AD242" s="372"/>
      <c r="AE242" s="371"/>
      <c r="AF242" s="371"/>
      <c r="AG242" s="270"/>
      <c r="AH242" s="350"/>
      <c r="AI242" s="365"/>
      <c r="AJ242" s="374"/>
      <c r="AK242" s="374"/>
      <c r="AL242" s="374"/>
      <c r="AM242" s="374"/>
    </row>
    <row r="243" spans="1:39" s="291" customFormat="1" hidden="1" x14ac:dyDescent="0.2">
      <c r="A243" s="423">
        <f t="shared" si="42"/>
        <v>238</v>
      </c>
      <c r="B243" s="683" t="s">
        <v>3658</v>
      </c>
      <c r="C243" s="655">
        <v>521906</v>
      </c>
      <c r="D243" s="658" t="s">
        <v>721</v>
      </c>
      <c r="E243" s="655" t="s">
        <v>3692</v>
      </c>
      <c r="F243" s="546">
        <v>2017</v>
      </c>
      <c r="G243" s="659">
        <v>42870</v>
      </c>
      <c r="H243" s="655" t="s">
        <v>751</v>
      </c>
      <c r="I243" s="655" t="s">
        <v>3824</v>
      </c>
      <c r="J243" s="655" t="s">
        <v>724</v>
      </c>
      <c r="K243" s="655" t="s">
        <v>3934</v>
      </c>
      <c r="L243" s="655" t="s">
        <v>4083</v>
      </c>
      <c r="M243" s="660">
        <v>-202586.21</v>
      </c>
      <c r="N243" s="660">
        <v>0</v>
      </c>
      <c r="O243" s="660">
        <v>-32413.79</v>
      </c>
      <c r="P243" s="660">
        <v>-235000</v>
      </c>
      <c r="Q243" s="548"/>
      <c r="R243" s="660">
        <v>-189655.17</v>
      </c>
      <c r="S243" s="549">
        <f t="shared" si="41"/>
        <v>-45344.829999999987</v>
      </c>
      <c r="T243" s="267" t="s">
        <v>263</v>
      </c>
      <c r="U243" s="369"/>
      <c r="V243" s="370"/>
      <c r="W243" s="375"/>
      <c r="X243" s="375"/>
      <c r="Y243" s="375"/>
      <c r="Z243" s="371"/>
      <c r="AA243" s="371"/>
      <c r="AB243" s="673"/>
      <c r="AC243" s="371"/>
      <c r="AD243" s="372"/>
      <c r="AE243" s="371"/>
      <c r="AF243" s="371"/>
      <c r="AG243" s="270"/>
      <c r="AH243" s="350"/>
      <c r="AI243" s="365"/>
      <c r="AJ243" s="374"/>
      <c r="AK243" s="374"/>
      <c r="AL243" s="374"/>
      <c r="AM243" s="374"/>
    </row>
    <row r="244" spans="1:39" s="291" customFormat="1" hidden="1" x14ac:dyDescent="0.2">
      <c r="A244" s="423">
        <f t="shared" si="42"/>
        <v>239</v>
      </c>
      <c r="B244" s="683" t="s">
        <v>3659</v>
      </c>
      <c r="C244" s="655">
        <v>521906</v>
      </c>
      <c r="D244" s="658" t="s">
        <v>721</v>
      </c>
      <c r="E244" s="655" t="s">
        <v>3692</v>
      </c>
      <c r="F244" s="546">
        <v>2017</v>
      </c>
      <c r="G244" s="659">
        <v>42870</v>
      </c>
      <c r="H244" s="655" t="s">
        <v>751</v>
      </c>
      <c r="I244" s="655" t="s">
        <v>3824</v>
      </c>
      <c r="J244" s="655" t="s">
        <v>724</v>
      </c>
      <c r="K244" s="655" t="s">
        <v>3934</v>
      </c>
      <c r="L244" s="655" t="s">
        <v>4083</v>
      </c>
      <c r="M244" s="660">
        <v>202586.21</v>
      </c>
      <c r="N244" s="660">
        <v>0</v>
      </c>
      <c r="O244" s="660">
        <v>32413.79</v>
      </c>
      <c r="P244" s="660">
        <v>235000</v>
      </c>
      <c r="Q244" s="548"/>
      <c r="R244" s="660">
        <v>189655.17</v>
      </c>
      <c r="S244" s="549">
        <f t="shared" si="41"/>
        <v>45344.829999999987</v>
      </c>
      <c r="T244" s="113" t="s">
        <v>263</v>
      </c>
      <c r="U244" s="369"/>
      <c r="V244" s="370"/>
      <c r="W244" s="375"/>
      <c r="X244" s="375"/>
      <c r="Y244" s="375"/>
      <c r="Z244" s="371"/>
      <c r="AA244" s="371"/>
      <c r="AB244" s="673"/>
      <c r="AC244" s="371"/>
      <c r="AD244" s="372"/>
      <c r="AE244" s="371"/>
      <c r="AF244" s="371"/>
      <c r="AG244" s="270"/>
      <c r="AH244" s="350"/>
      <c r="AI244" s="365"/>
      <c r="AJ244" s="374"/>
      <c r="AK244" s="374"/>
      <c r="AL244" s="374"/>
      <c r="AM244" s="374"/>
    </row>
    <row r="245" spans="1:39" s="291" customFormat="1" hidden="1" x14ac:dyDescent="0.2">
      <c r="A245" s="423">
        <f t="shared" si="42"/>
        <v>240</v>
      </c>
      <c r="B245" s="683" t="s">
        <v>3660</v>
      </c>
      <c r="C245" s="655">
        <v>520505</v>
      </c>
      <c r="D245" s="658" t="s">
        <v>721</v>
      </c>
      <c r="E245" s="655" t="s">
        <v>3692</v>
      </c>
      <c r="F245" s="546">
        <v>2017</v>
      </c>
      <c r="G245" s="659">
        <v>42870</v>
      </c>
      <c r="H245" s="655" t="s">
        <v>2954</v>
      </c>
      <c r="I245" s="655" t="s">
        <v>3830</v>
      </c>
      <c r="J245" s="655" t="s">
        <v>724</v>
      </c>
      <c r="K245" s="655" t="s">
        <v>3941</v>
      </c>
      <c r="L245" s="655" t="s">
        <v>4089</v>
      </c>
      <c r="M245" s="660">
        <v>315241.38</v>
      </c>
      <c r="N245" s="660">
        <v>0</v>
      </c>
      <c r="O245" s="660">
        <v>6758.62</v>
      </c>
      <c r="P245" s="660">
        <v>322000</v>
      </c>
      <c r="Q245" s="548"/>
      <c r="R245" s="660">
        <v>273000</v>
      </c>
      <c r="S245" s="549">
        <f t="shared" si="41"/>
        <v>49000</v>
      </c>
      <c r="T245" s="267" t="s">
        <v>263</v>
      </c>
      <c r="U245" s="369"/>
      <c r="V245" s="370"/>
      <c r="W245" s="375"/>
      <c r="X245" s="375"/>
      <c r="Y245" s="375"/>
      <c r="Z245" s="371"/>
      <c r="AA245" s="371"/>
      <c r="AB245" s="673"/>
      <c r="AC245" s="371"/>
      <c r="AD245" s="372"/>
      <c r="AE245" s="371"/>
      <c r="AF245" s="371"/>
      <c r="AG245" s="270"/>
      <c r="AH245" s="350"/>
      <c r="AI245" s="365"/>
      <c r="AJ245" s="374"/>
      <c r="AK245" s="374"/>
      <c r="AL245" s="374"/>
      <c r="AM245" s="374"/>
    </row>
    <row r="246" spans="1:39" s="291" customFormat="1" hidden="1" x14ac:dyDescent="0.2">
      <c r="A246" s="423">
        <f t="shared" si="42"/>
        <v>241</v>
      </c>
      <c r="B246" s="683" t="s">
        <v>3661</v>
      </c>
      <c r="C246" s="655" t="s">
        <v>3691</v>
      </c>
      <c r="D246" s="658" t="s">
        <v>721</v>
      </c>
      <c r="E246" s="655" t="s">
        <v>3692</v>
      </c>
      <c r="F246" s="546">
        <v>2016</v>
      </c>
      <c r="G246" s="659">
        <v>42870</v>
      </c>
      <c r="H246" s="655" t="s">
        <v>1211</v>
      </c>
      <c r="I246" s="655" t="s">
        <v>3820</v>
      </c>
      <c r="J246" s="655" t="s">
        <v>724</v>
      </c>
      <c r="K246" s="655" t="s">
        <v>3930</v>
      </c>
      <c r="L246" s="655" t="s">
        <v>4079</v>
      </c>
      <c r="M246" s="660">
        <v>-215517.24</v>
      </c>
      <c r="N246" s="660">
        <v>0</v>
      </c>
      <c r="O246" s="660">
        <v>-34482.76</v>
      </c>
      <c r="P246" s="660">
        <v>-250000</v>
      </c>
      <c r="Q246" s="548"/>
      <c r="R246" s="660">
        <v>-200000</v>
      </c>
      <c r="S246" s="549">
        <f t="shared" si="41"/>
        <v>-50000</v>
      </c>
      <c r="T246" s="267" t="s">
        <v>263</v>
      </c>
      <c r="U246" s="369"/>
      <c r="V246" s="370"/>
      <c r="W246" s="375"/>
      <c r="X246" s="375"/>
      <c r="Y246" s="375"/>
      <c r="Z246" s="371"/>
      <c r="AA246" s="371"/>
      <c r="AB246" s="673"/>
      <c r="AC246" s="371"/>
      <c r="AD246" s="372"/>
      <c r="AE246" s="371"/>
      <c r="AF246" s="371"/>
      <c r="AG246" s="270"/>
      <c r="AH246" s="350"/>
      <c r="AI246" s="365"/>
      <c r="AJ246" s="374"/>
      <c r="AK246" s="374"/>
      <c r="AL246" s="374"/>
      <c r="AM246" s="374"/>
    </row>
    <row r="247" spans="1:39" s="291" customFormat="1" hidden="1" x14ac:dyDescent="0.2">
      <c r="A247" s="423">
        <f t="shared" si="42"/>
        <v>242</v>
      </c>
      <c r="B247" s="683" t="s">
        <v>3662</v>
      </c>
      <c r="C247" s="655" t="s">
        <v>3691</v>
      </c>
      <c r="D247" s="658" t="s">
        <v>721</v>
      </c>
      <c r="E247" s="655" t="s">
        <v>3692</v>
      </c>
      <c r="F247" s="546">
        <v>2016</v>
      </c>
      <c r="G247" s="659">
        <v>42870</v>
      </c>
      <c r="H247" s="655" t="s">
        <v>1211</v>
      </c>
      <c r="I247" s="655" t="s">
        <v>3820</v>
      </c>
      <c r="J247" s="655" t="s">
        <v>724</v>
      </c>
      <c r="K247" s="655" t="s">
        <v>3930</v>
      </c>
      <c r="L247" s="655" t="s">
        <v>4079</v>
      </c>
      <c r="M247" s="660">
        <v>215517.24</v>
      </c>
      <c r="N247" s="660">
        <v>0</v>
      </c>
      <c r="O247" s="660">
        <v>34482.76</v>
      </c>
      <c r="P247" s="660">
        <v>250000</v>
      </c>
      <c r="Q247" s="548"/>
      <c r="R247" s="660">
        <v>200000</v>
      </c>
      <c r="S247" s="549">
        <f t="shared" si="41"/>
        <v>50000</v>
      </c>
      <c r="T247" s="113" t="s">
        <v>263</v>
      </c>
      <c r="U247" s="369"/>
      <c r="V247" s="370"/>
      <c r="W247" s="375"/>
      <c r="X247" s="375"/>
      <c r="Y247" s="375"/>
      <c r="Z247" s="371"/>
      <c r="AA247" s="371"/>
      <c r="AB247" s="673"/>
      <c r="AC247" s="371"/>
      <c r="AD247" s="372"/>
      <c r="AE247" s="371"/>
      <c r="AF247" s="371"/>
      <c r="AG247" s="270"/>
      <c r="AH247" s="350"/>
      <c r="AI247" s="365"/>
      <c r="AJ247" s="374"/>
      <c r="AK247" s="374"/>
      <c r="AL247" s="374"/>
      <c r="AM247" s="374"/>
    </row>
    <row r="248" spans="1:39" s="291" customFormat="1" hidden="1" x14ac:dyDescent="0.2">
      <c r="A248" s="423">
        <f t="shared" si="42"/>
        <v>243</v>
      </c>
      <c r="B248" s="683" t="s">
        <v>3663</v>
      </c>
      <c r="C248" s="655">
        <v>72504</v>
      </c>
      <c r="D248" s="658" t="s">
        <v>721</v>
      </c>
      <c r="E248" s="655" t="s">
        <v>3692</v>
      </c>
      <c r="F248" s="546">
        <v>2017</v>
      </c>
      <c r="G248" s="659">
        <v>42871</v>
      </c>
      <c r="H248" s="655" t="s">
        <v>3695</v>
      </c>
      <c r="I248" s="655" t="s">
        <v>3831</v>
      </c>
      <c r="J248" s="655" t="s">
        <v>724</v>
      </c>
      <c r="K248" s="655" t="s">
        <v>3942</v>
      </c>
      <c r="L248" s="655" t="s">
        <v>4090</v>
      </c>
      <c r="M248" s="660">
        <v>148034.48000000001</v>
      </c>
      <c r="N248" s="660">
        <v>0</v>
      </c>
      <c r="O248" s="660">
        <v>4965.5200000000004</v>
      </c>
      <c r="P248" s="660">
        <v>153000</v>
      </c>
      <c r="Q248" s="548"/>
      <c r="R248" s="660">
        <v>117000</v>
      </c>
      <c r="S248" s="549">
        <f t="shared" si="41"/>
        <v>36000</v>
      </c>
      <c r="T248" s="267" t="s">
        <v>263</v>
      </c>
      <c r="U248" s="369"/>
      <c r="V248" s="370"/>
      <c r="W248" s="375"/>
      <c r="X248" s="375"/>
      <c r="Y248" s="375"/>
      <c r="Z248" s="371"/>
      <c r="AA248" s="371"/>
      <c r="AB248" s="673"/>
      <c r="AC248" s="371"/>
      <c r="AD248" s="372"/>
      <c r="AE248" s="371"/>
      <c r="AF248" s="371"/>
      <c r="AG248" s="270"/>
      <c r="AH248" s="350"/>
      <c r="AI248" s="365"/>
      <c r="AJ248" s="374"/>
      <c r="AK248" s="374"/>
      <c r="AL248" s="374"/>
      <c r="AM248" s="374"/>
    </row>
    <row r="249" spans="1:39" s="348" customFormat="1" hidden="1" x14ac:dyDescent="0.2">
      <c r="A249" s="423">
        <f t="shared" si="42"/>
        <v>244</v>
      </c>
      <c r="B249" s="683" t="s">
        <v>3664</v>
      </c>
      <c r="C249" s="655">
        <v>72504</v>
      </c>
      <c r="D249" s="658" t="s">
        <v>721</v>
      </c>
      <c r="E249" s="655" t="s">
        <v>3692</v>
      </c>
      <c r="F249" s="546">
        <v>2017</v>
      </c>
      <c r="G249" s="659">
        <v>42872</v>
      </c>
      <c r="H249" s="655" t="s">
        <v>3695</v>
      </c>
      <c r="I249" s="655" t="s">
        <v>3831</v>
      </c>
      <c r="J249" s="655" t="s">
        <v>724</v>
      </c>
      <c r="K249" s="655" t="s">
        <v>3942</v>
      </c>
      <c r="L249" s="655" t="s">
        <v>4090</v>
      </c>
      <c r="M249" s="660">
        <v>-148034.48000000001</v>
      </c>
      <c r="N249" s="660">
        <v>0</v>
      </c>
      <c r="O249" s="660">
        <v>-4965.5200000000004</v>
      </c>
      <c r="P249" s="660">
        <v>-153000</v>
      </c>
      <c r="Q249" s="548"/>
      <c r="R249" s="660">
        <v>-117000</v>
      </c>
      <c r="S249" s="549">
        <f t="shared" si="41"/>
        <v>-36000</v>
      </c>
      <c r="T249" s="267" t="s">
        <v>263</v>
      </c>
      <c r="U249" s="369"/>
      <c r="V249" s="370"/>
      <c r="W249" s="375"/>
      <c r="X249" s="375"/>
      <c r="Y249" s="375"/>
      <c r="Z249" s="371"/>
      <c r="AA249" s="371"/>
      <c r="AB249" s="673"/>
      <c r="AC249" s="371"/>
      <c r="AD249" s="372"/>
      <c r="AE249" s="371"/>
      <c r="AF249" s="371"/>
      <c r="AG249" s="270"/>
      <c r="AH249" s="350"/>
      <c r="AI249" s="365"/>
      <c r="AJ249" s="374"/>
      <c r="AK249" s="330"/>
      <c r="AL249" s="330"/>
      <c r="AM249" s="330"/>
    </row>
    <row r="250" spans="1:39" s="348" customFormat="1" hidden="1" x14ac:dyDescent="0.2">
      <c r="A250" s="423">
        <f t="shared" si="42"/>
        <v>245</v>
      </c>
      <c r="B250" s="683" t="s">
        <v>3665</v>
      </c>
      <c r="C250" s="655">
        <v>72504</v>
      </c>
      <c r="D250" s="658" t="s">
        <v>721</v>
      </c>
      <c r="E250" s="655" t="s">
        <v>3692</v>
      </c>
      <c r="F250" s="546">
        <v>2017</v>
      </c>
      <c r="G250" s="659">
        <v>42872</v>
      </c>
      <c r="H250" s="655" t="s">
        <v>3695</v>
      </c>
      <c r="I250" s="655" t="s">
        <v>3831</v>
      </c>
      <c r="J250" s="655" t="s">
        <v>724</v>
      </c>
      <c r="K250" s="655" t="s">
        <v>3942</v>
      </c>
      <c r="L250" s="655" t="s">
        <v>4090</v>
      </c>
      <c r="M250" s="660">
        <v>-148034.48000000001</v>
      </c>
      <c r="N250" s="660">
        <v>0</v>
      </c>
      <c r="O250" s="660">
        <v>-4965.5200000000004</v>
      </c>
      <c r="P250" s="660">
        <v>-153000</v>
      </c>
      <c r="Q250" s="548"/>
      <c r="R250" s="660">
        <v>-117000</v>
      </c>
      <c r="S250" s="549">
        <f t="shared" si="41"/>
        <v>-36000</v>
      </c>
      <c r="T250" s="113" t="s">
        <v>263</v>
      </c>
      <c r="U250" s="369"/>
      <c r="V250" s="370"/>
      <c r="W250" s="375"/>
      <c r="X250" s="375"/>
      <c r="Y250" s="375"/>
      <c r="Z250" s="371"/>
      <c r="AA250" s="371"/>
      <c r="AB250" s="673"/>
      <c r="AC250" s="371"/>
      <c r="AD250" s="372"/>
      <c r="AE250" s="371"/>
      <c r="AF250" s="371"/>
      <c r="AG250" s="270"/>
      <c r="AH250" s="350"/>
      <c r="AI250" s="365"/>
      <c r="AJ250" s="330"/>
      <c r="AK250" s="330"/>
      <c r="AL250" s="330"/>
      <c r="AM250" s="330"/>
    </row>
    <row r="251" spans="1:39" s="291" customFormat="1" hidden="1" x14ac:dyDescent="0.2">
      <c r="A251" s="423">
        <f t="shared" si="42"/>
        <v>246</v>
      </c>
      <c r="B251" s="683" t="s">
        <v>3666</v>
      </c>
      <c r="C251" s="655">
        <v>72504</v>
      </c>
      <c r="D251" s="658" t="s">
        <v>721</v>
      </c>
      <c r="E251" s="655" t="s">
        <v>3692</v>
      </c>
      <c r="F251" s="546">
        <v>2017</v>
      </c>
      <c r="G251" s="659">
        <v>42872</v>
      </c>
      <c r="H251" s="655" t="s">
        <v>3695</v>
      </c>
      <c r="I251" s="655" t="s">
        <v>3831</v>
      </c>
      <c r="J251" s="655" t="s">
        <v>724</v>
      </c>
      <c r="K251" s="655" t="s">
        <v>3942</v>
      </c>
      <c r="L251" s="655" t="s">
        <v>4090</v>
      </c>
      <c r="M251" s="660">
        <v>148034.48000000001</v>
      </c>
      <c r="N251" s="660">
        <v>0</v>
      </c>
      <c r="O251" s="660">
        <v>4965.5200000000004</v>
      </c>
      <c r="P251" s="660">
        <v>153000</v>
      </c>
      <c r="Q251" s="548"/>
      <c r="R251" s="660">
        <v>117000</v>
      </c>
      <c r="S251" s="549">
        <f t="shared" si="41"/>
        <v>36000</v>
      </c>
      <c r="T251" s="267" t="s">
        <v>263</v>
      </c>
      <c r="U251" s="369"/>
      <c r="V251" s="370"/>
      <c r="W251" s="375"/>
      <c r="X251" s="375"/>
      <c r="Y251" s="375"/>
      <c r="Z251" s="371"/>
      <c r="AA251" s="371"/>
      <c r="AB251" s="673"/>
      <c r="AC251" s="371"/>
      <c r="AD251" s="372"/>
      <c r="AE251" s="371"/>
      <c r="AF251" s="371"/>
      <c r="AG251" s="270"/>
      <c r="AH251" s="350"/>
      <c r="AI251" s="365"/>
      <c r="AJ251" s="374"/>
      <c r="AK251" s="374"/>
      <c r="AL251" s="374"/>
      <c r="AM251" s="374"/>
    </row>
    <row r="252" spans="1:39" s="291" customFormat="1" hidden="1" x14ac:dyDescent="0.2">
      <c r="A252" s="423">
        <f t="shared" si="42"/>
        <v>247</v>
      </c>
      <c r="B252" s="683" t="s">
        <v>3667</v>
      </c>
      <c r="C252" s="655">
        <v>72504</v>
      </c>
      <c r="D252" s="658" t="s">
        <v>721</v>
      </c>
      <c r="E252" s="655" t="s">
        <v>3692</v>
      </c>
      <c r="F252" s="546">
        <v>2017</v>
      </c>
      <c r="G252" s="659">
        <v>42872</v>
      </c>
      <c r="H252" s="655" t="s">
        <v>3693</v>
      </c>
      <c r="I252" s="655" t="s">
        <v>3831</v>
      </c>
      <c r="J252" s="655" t="s">
        <v>724</v>
      </c>
      <c r="K252" s="655" t="s">
        <v>3942</v>
      </c>
      <c r="L252" s="655" t="s">
        <v>4090</v>
      </c>
      <c r="M252" s="660">
        <v>148034.48000000001</v>
      </c>
      <c r="N252" s="660">
        <v>0</v>
      </c>
      <c r="O252" s="660">
        <v>4965.5200000000004</v>
      </c>
      <c r="P252" s="660">
        <v>153000</v>
      </c>
      <c r="Q252" s="548"/>
      <c r="R252" s="660">
        <v>117000</v>
      </c>
      <c r="S252" s="549">
        <f t="shared" si="41"/>
        <v>36000</v>
      </c>
      <c r="T252" s="267" t="s">
        <v>263</v>
      </c>
      <c r="U252" s="369"/>
      <c r="V252" s="370"/>
      <c r="W252" s="375"/>
      <c r="X252" s="375"/>
      <c r="Y252" s="375"/>
      <c r="Z252" s="371"/>
      <c r="AA252" s="371"/>
      <c r="AB252" s="673"/>
      <c r="AC252" s="371"/>
      <c r="AD252" s="372"/>
      <c r="AE252" s="371"/>
      <c r="AF252" s="371"/>
      <c r="AG252" s="270"/>
      <c r="AH252" s="350"/>
      <c r="AI252" s="365"/>
      <c r="AJ252" s="330"/>
      <c r="AK252" s="374"/>
      <c r="AL252" s="374"/>
      <c r="AM252" s="374"/>
    </row>
    <row r="253" spans="1:39" s="291" customFormat="1" hidden="1" x14ac:dyDescent="0.2">
      <c r="A253" s="423">
        <f t="shared" si="42"/>
        <v>248</v>
      </c>
      <c r="B253" s="683" t="s">
        <v>3668</v>
      </c>
      <c r="C253" s="655">
        <v>39404</v>
      </c>
      <c r="D253" s="658" t="s">
        <v>721</v>
      </c>
      <c r="E253" s="655" t="s">
        <v>3692</v>
      </c>
      <c r="F253" s="546">
        <v>2017</v>
      </c>
      <c r="G253" s="659">
        <v>42873</v>
      </c>
      <c r="H253" s="655" t="s">
        <v>1207</v>
      </c>
      <c r="I253" s="655" t="s">
        <v>3107</v>
      </c>
      <c r="J253" s="655" t="s">
        <v>729</v>
      </c>
      <c r="K253" s="655" t="s">
        <v>3214</v>
      </c>
      <c r="L253" s="655" t="s">
        <v>3372</v>
      </c>
      <c r="M253" s="660">
        <v>-176275.86</v>
      </c>
      <c r="N253" s="660">
        <v>0</v>
      </c>
      <c r="O253" s="660">
        <v>-3724.14</v>
      </c>
      <c r="P253" s="660">
        <v>-180000</v>
      </c>
      <c r="Q253" s="548"/>
      <c r="R253" s="660">
        <v>-153000</v>
      </c>
      <c r="S253" s="549">
        <f t="shared" si="41"/>
        <v>-27000</v>
      </c>
      <c r="T253" s="267" t="s">
        <v>263</v>
      </c>
      <c r="U253" s="369"/>
      <c r="V253" s="370"/>
      <c r="W253" s="375"/>
      <c r="X253" s="375"/>
      <c r="Y253" s="375"/>
      <c r="Z253" s="371"/>
      <c r="AA253" s="371"/>
      <c r="AB253" s="673"/>
      <c r="AC253" s="371"/>
      <c r="AD253" s="372"/>
      <c r="AE253" s="371"/>
      <c r="AF253" s="371"/>
      <c r="AG253" s="270"/>
      <c r="AH253" s="350"/>
      <c r="AI253" s="365"/>
      <c r="AJ253" s="374"/>
      <c r="AK253" s="374"/>
      <c r="AL253" s="374"/>
      <c r="AM253" s="374"/>
    </row>
    <row r="254" spans="1:39" s="348" customFormat="1" hidden="1" x14ac:dyDescent="0.2">
      <c r="A254" s="423">
        <f t="shared" si="42"/>
        <v>249</v>
      </c>
      <c r="B254" s="683" t="s">
        <v>3669</v>
      </c>
      <c r="C254" s="655">
        <v>39404</v>
      </c>
      <c r="D254" s="658" t="s">
        <v>721</v>
      </c>
      <c r="E254" s="655" t="s">
        <v>3692</v>
      </c>
      <c r="F254" s="546">
        <v>2017</v>
      </c>
      <c r="G254" s="659">
        <v>42873</v>
      </c>
      <c r="H254" s="655" t="s">
        <v>1207</v>
      </c>
      <c r="I254" s="655" t="s">
        <v>3107</v>
      </c>
      <c r="J254" s="655" t="s">
        <v>729</v>
      </c>
      <c r="K254" s="655" t="s">
        <v>3214</v>
      </c>
      <c r="L254" s="655" t="s">
        <v>3372</v>
      </c>
      <c r="M254" s="660">
        <v>173689.66</v>
      </c>
      <c r="N254" s="660">
        <v>0</v>
      </c>
      <c r="O254" s="660">
        <v>3310.34</v>
      </c>
      <c r="P254" s="660">
        <v>177000</v>
      </c>
      <c r="Q254" s="548"/>
      <c r="R254" s="660">
        <v>153000</v>
      </c>
      <c r="S254" s="549">
        <f t="shared" si="41"/>
        <v>24000</v>
      </c>
      <c r="T254" s="113" t="s">
        <v>263</v>
      </c>
      <c r="U254" s="369"/>
      <c r="V254" s="370"/>
      <c r="W254" s="375"/>
      <c r="X254" s="375"/>
      <c r="Y254" s="375"/>
      <c r="Z254" s="371"/>
      <c r="AA254" s="371"/>
      <c r="AB254" s="673"/>
      <c r="AC254" s="371"/>
      <c r="AD254" s="372"/>
      <c r="AE254" s="371"/>
      <c r="AF254" s="371"/>
      <c r="AG254" s="270"/>
      <c r="AH254" s="350"/>
      <c r="AI254" s="365"/>
      <c r="AJ254" s="330"/>
      <c r="AK254" s="330"/>
      <c r="AL254" s="330"/>
      <c r="AM254" s="330"/>
    </row>
    <row r="255" spans="1:39" s="291" customFormat="1" hidden="1" x14ac:dyDescent="0.2">
      <c r="A255" s="423">
        <f t="shared" si="42"/>
        <v>250</v>
      </c>
      <c r="B255" s="683" t="s">
        <v>3670</v>
      </c>
      <c r="C255" s="655">
        <v>72504</v>
      </c>
      <c r="D255" s="658" t="s">
        <v>721</v>
      </c>
      <c r="E255" s="655" t="s">
        <v>3692</v>
      </c>
      <c r="F255" s="546">
        <v>2017</v>
      </c>
      <c r="G255" s="659">
        <v>42873</v>
      </c>
      <c r="H255" s="655" t="s">
        <v>3693</v>
      </c>
      <c r="I255" s="655" t="s">
        <v>3831</v>
      </c>
      <c r="J255" s="655" t="s">
        <v>724</v>
      </c>
      <c r="K255" s="655" t="s">
        <v>3942</v>
      </c>
      <c r="L255" s="655" t="s">
        <v>4090</v>
      </c>
      <c r="M255" s="660">
        <v>-148034.48000000001</v>
      </c>
      <c r="N255" s="660">
        <v>0</v>
      </c>
      <c r="O255" s="660">
        <v>-4965.5200000000004</v>
      </c>
      <c r="P255" s="660">
        <v>-153000</v>
      </c>
      <c r="Q255" s="548"/>
      <c r="R255" s="660">
        <v>-117000</v>
      </c>
      <c r="S255" s="549">
        <f t="shared" si="41"/>
        <v>-36000</v>
      </c>
      <c r="T255" s="267" t="s">
        <v>263</v>
      </c>
      <c r="U255" s="369"/>
      <c r="V255" s="370"/>
      <c r="W255" s="375"/>
      <c r="X255" s="375"/>
      <c r="Y255" s="375"/>
      <c r="Z255" s="371"/>
      <c r="AA255" s="371"/>
      <c r="AB255" s="673"/>
      <c r="AC255" s="371"/>
      <c r="AD255" s="372"/>
      <c r="AE255" s="371"/>
      <c r="AF255" s="371"/>
      <c r="AG255" s="270"/>
      <c r="AH255" s="350"/>
      <c r="AI255" s="365"/>
      <c r="AJ255" s="374"/>
      <c r="AK255" s="374"/>
      <c r="AL255" s="374"/>
      <c r="AM255" s="374"/>
    </row>
    <row r="256" spans="1:39" s="291" customFormat="1" hidden="1" x14ac:dyDescent="0.2">
      <c r="A256" s="423">
        <f t="shared" si="42"/>
        <v>251</v>
      </c>
      <c r="B256" s="683" t="s">
        <v>3671</v>
      </c>
      <c r="C256" s="655">
        <v>72504</v>
      </c>
      <c r="D256" s="658" t="s">
        <v>721</v>
      </c>
      <c r="E256" s="655" t="s">
        <v>3692</v>
      </c>
      <c r="F256" s="546">
        <v>2017</v>
      </c>
      <c r="G256" s="659">
        <v>42873</v>
      </c>
      <c r="H256" s="655" t="s">
        <v>3693</v>
      </c>
      <c r="I256" s="655" t="s">
        <v>3831</v>
      </c>
      <c r="J256" s="655" t="s">
        <v>724</v>
      </c>
      <c r="K256" s="655" t="s">
        <v>3943</v>
      </c>
      <c r="L256" s="655" t="s">
        <v>4090</v>
      </c>
      <c r="M256" s="660">
        <v>148034.48000000001</v>
      </c>
      <c r="N256" s="660">
        <v>0</v>
      </c>
      <c r="O256" s="660">
        <v>4965.5200000000004</v>
      </c>
      <c r="P256" s="660">
        <v>153000</v>
      </c>
      <c r="Q256" s="548"/>
      <c r="R256" s="660">
        <v>117000</v>
      </c>
      <c r="S256" s="549">
        <f t="shared" si="41"/>
        <v>36000</v>
      </c>
      <c r="T256" s="113" t="s">
        <v>263</v>
      </c>
      <c r="U256" s="369"/>
      <c r="V256" s="370"/>
      <c r="W256" s="375"/>
      <c r="X256" s="375"/>
      <c r="Y256" s="375"/>
      <c r="Z256" s="371"/>
      <c r="AA256" s="371"/>
      <c r="AB256" s="673"/>
      <c r="AC256" s="371"/>
      <c r="AD256" s="372"/>
      <c r="AE256" s="371"/>
      <c r="AF256" s="371"/>
      <c r="AG256" s="270"/>
      <c r="AH256" s="350"/>
      <c r="AI256" s="365"/>
      <c r="AJ256" s="374"/>
      <c r="AK256" s="374"/>
      <c r="AL256" s="374"/>
      <c r="AM256" s="374"/>
    </row>
    <row r="257" spans="1:39" s="291" customFormat="1" hidden="1" x14ac:dyDescent="0.2">
      <c r="A257" s="423">
        <f t="shared" si="42"/>
        <v>252</v>
      </c>
      <c r="B257" s="683" t="s">
        <v>3672</v>
      </c>
      <c r="C257" s="655">
        <v>31918</v>
      </c>
      <c r="D257" s="658" t="s">
        <v>721</v>
      </c>
      <c r="E257" s="655" t="s">
        <v>3692</v>
      </c>
      <c r="F257" s="546">
        <v>2016</v>
      </c>
      <c r="G257" s="659">
        <v>42874</v>
      </c>
      <c r="H257" s="655" t="s">
        <v>2218</v>
      </c>
      <c r="I257" s="655" t="s">
        <v>3109</v>
      </c>
      <c r="J257" s="655" t="s">
        <v>724</v>
      </c>
      <c r="K257" s="655" t="s">
        <v>3944</v>
      </c>
      <c r="L257" s="655" t="s">
        <v>3374</v>
      </c>
      <c r="M257" s="660">
        <v>250344.83</v>
      </c>
      <c r="N257" s="660">
        <v>0</v>
      </c>
      <c r="O257" s="660">
        <v>1655.17</v>
      </c>
      <c r="P257" s="660">
        <v>252000</v>
      </c>
      <c r="Q257" s="548"/>
      <c r="R257" s="660">
        <v>240000</v>
      </c>
      <c r="S257" s="549">
        <f t="shared" si="41"/>
        <v>12000</v>
      </c>
      <c r="T257" s="267" t="s">
        <v>263</v>
      </c>
      <c r="U257" s="369"/>
      <c r="V257" s="370"/>
      <c r="W257" s="375"/>
      <c r="X257" s="375"/>
      <c r="Y257" s="375"/>
      <c r="Z257" s="371"/>
      <c r="AA257" s="371"/>
      <c r="AB257" s="673"/>
      <c r="AC257" s="371"/>
      <c r="AD257" s="372"/>
      <c r="AE257" s="371"/>
      <c r="AF257" s="371"/>
      <c r="AG257" s="270"/>
      <c r="AH257" s="350"/>
      <c r="AI257" s="365"/>
      <c r="AJ257" s="330"/>
      <c r="AK257" s="374"/>
      <c r="AL257" s="374"/>
      <c r="AM257" s="374"/>
    </row>
    <row r="258" spans="1:39" s="348" customFormat="1" hidden="1" x14ac:dyDescent="0.2">
      <c r="A258" s="423">
        <f t="shared" si="42"/>
        <v>253</v>
      </c>
      <c r="B258" s="683" t="s">
        <v>3673</v>
      </c>
      <c r="C258" s="655">
        <v>521101</v>
      </c>
      <c r="D258" s="658" t="s">
        <v>721</v>
      </c>
      <c r="E258" s="655" t="s">
        <v>3692</v>
      </c>
      <c r="F258" s="546">
        <v>2017</v>
      </c>
      <c r="G258" s="659">
        <v>42877</v>
      </c>
      <c r="H258" s="655" t="s">
        <v>1207</v>
      </c>
      <c r="I258" s="655" t="s">
        <v>3832</v>
      </c>
      <c r="J258" s="655" t="s">
        <v>724</v>
      </c>
      <c r="K258" s="655" t="s">
        <v>3945</v>
      </c>
      <c r="L258" s="655" t="s">
        <v>4091</v>
      </c>
      <c r="M258" s="660">
        <v>175862.07</v>
      </c>
      <c r="N258" s="660">
        <v>0</v>
      </c>
      <c r="O258" s="660">
        <v>4137.93</v>
      </c>
      <c r="P258" s="660">
        <v>180000</v>
      </c>
      <c r="Q258" s="548"/>
      <c r="R258" s="660">
        <v>150000</v>
      </c>
      <c r="S258" s="549">
        <f t="shared" si="41"/>
        <v>30000</v>
      </c>
      <c r="T258" s="113" t="s">
        <v>263</v>
      </c>
      <c r="U258" s="369"/>
      <c r="V258" s="370"/>
      <c r="W258" s="375"/>
      <c r="X258" s="375"/>
      <c r="Y258" s="375"/>
      <c r="Z258" s="371"/>
      <c r="AA258" s="371"/>
      <c r="AB258" s="673"/>
      <c r="AC258" s="371"/>
      <c r="AD258" s="372"/>
      <c r="AE258" s="371"/>
      <c r="AF258" s="371"/>
      <c r="AG258" s="270"/>
      <c r="AH258" s="350"/>
      <c r="AI258" s="365"/>
      <c r="AJ258" s="374"/>
      <c r="AK258" s="330"/>
      <c r="AL258" s="330"/>
      <c r="AM258" s="330"/>
    </row>
    <row r="259" spans="1:39" s="291" customFormat="1" hidden="1" x14ac:dyDescent="0.2">
      <c r="A259" s="423">
        <f t="shared" si="42"/>
        <v>254</v>
      </c>
      <c r="B259" s="683" t="s">
        <v>3674</v>
      </c>
      <c r="C259" s="655">
        <v>520505</v>
      </c>
      <c r="D259" s="658" t="s">
        <v>721</v>
      </c>
      <c r="E259" s="655" t="s">
        <v>3692</v>
      </c>
      <c r="F259" s="546">
        <v>2017</v>
      </c>
      <c r="G259" s="659">
        <v>42878</v>
      </c>
      <c r="H259" s="655" t="s">
        <v>2954</v>
      </c>
      <c r="I259" s="655" t="s">
        <v>3830</v>
      </c>
      <c r="J259" s="655" t="s">
        <v>724</v>
      </c>
      <c r="K259" s="655" t="s">
        <v>3941</v>
      </c>
      <c r="L259" s="655" t="s">
        <v>4089</v>
      </c>
      <c r="M259" s="660">
        <v>-315241.38</v>
      </c>
      <c r="N259" s="660">
        <v>0</v>
      </c>
      <c r="O259" s="660">
        <v>-6758.62</v>
      </c>
      <c r="P259" s="660">
        <v>-322000</v>
      </c>
      <c r="Q259" s="548"/>
      <c r="R259" s="660">
        <v>-273000</v>
      </c>
      <c r="S259" s="549">
        <f t="shared" si="41"/>
        <v>-49000</v>
      </c>
      <c r="T259" s="113" t="s">
        <v>263</v>
      </c>
      <c r="U259" s="369"/>
      <c r="V259" s="370"/>
      <c r="W259" s="375"/>
      <c r="X259" s="375"/>
      <c r="Y259" s="375"/>
      <c r="Z259" s="371"/>
      <c r="AA259" s="371"/>
      <c r="AB259" s="673"/>
      <c r="AC259" s="371"/>
      <c r="AD259" s="372"/>
      <c r="AE259" s="371"/>
      <c r="AF259" s="371"/>
      <c r="AG259" s="270"/>
      <c r="AH259" s="350"/>
      <c r="AI259" s="365"/>
      <c r="AJ259" s="374"/>
      <c r="AK259" s="374"/>
      <c r="AL259" s="374"/>
      <c r="AM259" s="374"/>
    </row>
    <row r="260" spans="1:39" s="291" customFormat="1" hidden="1" x14ac:dyDescent="0.2">
      <c r="A260" s="423">
        <f t="shared" si="42"/>
        <v>255</v>
      </c>
      <c r="B260" s="683" t="s">
        <v>3675</v>
      </c>
      <c r="C260" s="655">
        <v>520505</v>
      </c>
      <c r="D260" s="658" t="s">
        <v>721</v>
      </c>
      <c r="E260" s="655" t="s">
        <v>3692</v>
      </c>
      <c r="F260" s="546">
        <v>2017</v>
      </c>
      <c r="G260" s="659">
        <v>42878</v>
      </c>
      <c r="H260" s="655" t="s">
        <v>735</v>
      </c>
      <c r="I260" s="655" t="s">
        <v>3830</v>
      </c>
      <c r="J260" s="655" t="s">
        <v>724</v>
      </c>
      <c r="K260" s="655" t="s">
        <v>3946</v>
      </c>
      <c r="L260" s="655" t="s">
        <v>4089</v>
      </c>
      <c r="M260" s="660">
        <v>319551.71999999997</v>
      </c>
      <c r="N260" s="660">
        <v>0</v>
      </c>
      <c r="O260" s="660">
        <v>7448.28</v>
      </c>
      <c r="P260" s="660">
        <v>327000</v>
      </c>
      <c r="Q260" s="548"/>
      <c r="R260" s="660">
        <v>273000</v>
      </c>
      <c r="S260" s="549">
        <f t="shared" si="41"/>
        <v>54000</v>
      </c>
      <c r="T260" s="267" t="s">
        <v>263</v>
      </c>
      <c r="U260" s="369"/>
      <c r="V260" s="370"/>
      <c r="W260" s="375"/>
      <c r="X260" s="375"/>
      <c r="Y260" s="375"/>
      <c r="Z260" s="371"/>
      <c r="AA260" s="371"/>
      <c r="AB260" s="673"/>
      <c r="AC260" s="371"/>
      <c r="AD260" s="372"/>
      <c r="AE260" s="371"/>
      <c r="AF260" s="371"/>
      <c r="AG260" s="270"/>
      <c r="AH260" s="350"/>
      <c r="AI260" s="365"/>
      <c r="AJ260" s="374"/>
      <c r="AK260" s="374"/>
      <c r="AL260" s="374"/>
      <c r="AM260" s="374"/>
    </row>
    <row r="261" spans="1:39" s="291" customFormat="1" hidden="1" x14ac:dyDescent="0.2">
      <c r="A261" s="423">
        <f t="shared" si="42"/>
        <v>256</v>
      </c>
      <c r="B261" s="683" t="s">
        <v>3676</v>
      </c>
      <c r="C261" s="655">
        <v>1051108</v>
      </c>
      <c r="D261" s="658" t="s">
        <v>721</v>
      </c>
      <c r="E261" s="655" t="s">
        <v>3692</v>
      </c>
      <c r="F261" s="546">
        <v>2017</v>
      </c>
      <c r="G261" s="659">
        <v>42881</v>
      </c>
      <c r="H261" s="655" t="s">
        <v>912</v>
      </c>
      <c r="I261" s="655" t="s">
        <v>3833</v>
      </c>
      <c r="J261" s="655" t="s">
        <v>724</v>
      </c>
      <c r="K261" s="655" t="s">
        <v>3947</v>
      </c>
      <c r="L261" s="655" t="s">
        <v>4092</v>
      </c>
      <c r="M261" s="660">
        <v>228448.28</v>
      </c>
      <c r="N261" s="660">
        <v>0</v>
      </c>
      <c r="O261" s="660">
        <v>36551.72</v>
      </c>
      <c r="P261" s="660">
        <v>265000</v>
      </c>
      <c r="Q261" s="548"/>
      <c r="R261" s="660">
        <v>178879.31</v>
      </c>
      <c r="S261" s="549">
        <f t="shared" si="41"/>
        <v>86120.69</v>
      </c>
      <c r="T261" s="267" t="s">
        <v>263</v>
      </c>
      <c r="U261" s="369"/>
      <c r="V261" s="370"/>
      <c r="W261" s="375"/>
      <c r="X261" s="375"/>
      <c r="Y261" s="375"/>
      <c r="Z261" s="371"/>
      <c r="AA261" s="371"/>
      <c r="AB261" s="673"/>
      <c r="AC261" s="371"/>
      <c r="AD261" s="372"/>
      <c r="AE261" s="371"/>
      <c r="AF261" s="371"/>
      <c r="AG261" s="270"/>
      <c r="AH261" s="350"/>
      <c r="AI261" s="365"/>
      <c r="AJ261" s="374"/>
      <c r="AK261" s="374"/>
      <c r="AL261" s="374"/>
      <c r="AM261" s="374"/>
    </row>
    <row r="262" spans="1:39" s="291" customFormat="1" hidden="1" x14ac:dyDescent="0.2">
      <c r="A262" s="423">
        <f t="shared" si="42"/>
        <v>257</v>
      </c>
      <c r="B262" s="683" t="s">
        <v>3677</v>
      </c>
      <c r="C262" s="655">
        <v>31918</v>
      </c>
      <c r="D262" s="658" t="s">
        <v>721</v>
      </c>
      <c r="E262" s="655" t="s">
        <v>3692</v>
      </c>
      <c r="F262" s="546">
        <v>2016</v>
      </c>
      <c r="G262" s="659">
        <v>42884</v>
      </c>
      <c r="H262" s="655" t="s">
        <v>2218</v>
      </c>
      <c r="I262" s="655" t="s">
        <v>3109</v>
      </c>
      <c r="J262" s="655" t="s">
        <v>724</v>
      </c>
      <c r="K262" s="655" t="s">
        <v>3944</v>
      </c>
      <c r="L262" s="655" t="s">
        <v>3374</v>
      </c>
      <c r="M262" s="660">
        <v>-250344.83</v>
      </c>
      <c r="N262" s="660">
        <v>0</v>
      </c>
      <c r="O262" s="660">
        <v>-1655.17</v>
      </c>
      <c r="P262" s="660">
        <v>-252000</v>
      </c>
      <c r="Q262" s="548"/>
      <c r="R262" s="660">
        <v>-240000</v>
      </c>
      <c r="S262" s="549">
        <f t="shared" ref="S262:S274" si="43">+P262-R262</f>
        <v>-12000</v>
      </c>
      <c r="T262" s="267" t="s">
        <v>263</v>
      </c>
      <c r="U262" s="369"/>
      <c r="V262" s="370"/>
      <c r="W262" s="375"/>
      <c r="X262" s="375"/>
      <c r="Y262" s="375"/>
      <c r="Z262" s="371"/>
      <c r="AA262" s="371"/>
      <c r="AB262" s="673"/>
      <c r="AC262" s="371"/>
      <c r="AD262" s="372"/>
      <c r="AE262" s="371"/>
      <c r="AF262" s="371"/>
      <c r="AG262" s="270"/>
      <c r="AH262" s="350"/>
      <c r="AI262" s="365"/>
      <c r="AJ262" s="374"/>
      <c r="AK262" s="374"/>
      <c r="AL262" s="374"/>
      <c r="AM262" s="374"/>
    </row>
    <row r="263" spans="1:39" s="291" customFormat="1" hidden="1" x14ac:dyDescent="0.2">
      <c r="A263" s="423">
        <f t="shared" si="42"/>
        <v>258</v>
      </c>
      <c r="B263" s="683" t="s">
        <v>3678</v>
      </c>
      <c r="C263" s="655">
        <v>31918</v>
      </c>
      <c r="D263" s="658" t="s">
        <v>721</v>
      </c>
      <c r="E263" s="655" t="s">
        <v>3692</v>
      </c>
      <c r="F263" s="546">
        <v>2016</v>
      </c>
      <c r="G263" s="659">
        <v>42884</v>
      </c>
      <c r="H263" s="655" t="s">
        <v>2218</v>
      </c>
      <c r="I263" s="655" t="s">
        <v>3109</v>
      </c>
      <c r="J263" s="655" t="s">
        <v>724</v>
      </c>
      <c r="K263" s="655" t="s">
        <v>3944</v>
      </c>
      <c r="L263" s="655" t="s">
        <v>3374</v>
      </c>
      <c r="M263" s="660">
        <v>250344.83</v>
      </c>
      <c r="N263" s="660">
        <v>0</v>
      </c>
      <c r="O263" s="660">
        <v>1655.17</v>
      </c>
      <c r="P263" s="660">
        <v>252000</v>
      </c>
      <c r="Q263" s="548"/>
      <c r="R263" s="660">
        <v>240000</v>
      </c>
      <c r="S263" s="549">
        <f t="shared" si="43"/>
        <v>12000</v>
      </c>
      <c r="T263" s="267" t="s">
        <v>263</v>
      </c>
      <c r="U263" s="369"/>
      <c r="V263" s="370"/>
      <c r="W263" s="375"/>
      <c r="X263" s="375"/>
      <c r="Y263" s="375"/>
      <c r="Z263" s="371"/>
      <c r="AA263" s="371"/>
      <c r="AB263" s="673"/>
      <c r="AC263" s="371"/>
      <c r="AD263" s="372"/>
      <c r="AE263" s="371"/>
      <c r="AF263" s="371"/>
      <c r="AG263" s="270"/>
      <c r="AH263" s="350"/>
      <c r="AI263" s="365"/>
      <c r="AJ263" s="374"/>
      <c r="AK263" s="374"/>
      <c r="AL263" s="374"/>
      <c r="AM263" s="374"/>
    </row>
    <row r="264" spans="1:39" s="291" customFormat="1" hidden="1" x14ac:dyDescent="0.2">
      <c r="A264" s="423">
        <f t="shared" ref="A264:A274" si="44">+A263+1</f>
        <v>259</v>
      </c>
      <c r="B264" s="683" t="s">
        <v>3679</v>
      </c>
      <c r="C264" s="655">
        <v>37702</v>
      </c>
      <c r="D264" s="658" t="s">
        <v>721</v>
      </c>
      <c r="E264" s="655" t="s">
        <v>3692</v>
      </c>
      <c r="F264" s="546">
        <v>2017</v>
      </c>
      <c r="G264" s="659">
        <v>42886</v>
      </c>
      <c r="H264" s="655" t="s">
        <v>2954</v>
      </c>
      <c r="I264" s="655" t="s">
        <v>3834</v>
      </c>
      <c r="J264" s="655" t="s">
        <v>729</v>
      </c>
      <c r="K264" s="655" t="s">
        <v>3948</v>
      </c>
      <c r="L264" s="655" t="s">
        <v>4093</v>
      </c>
      <c r="M264" s="660">
        <v>202586.21</v>
      </c>
      <c r="N264" s="660">
        <v>0</v>
      </c>
      <c r="O264" s="660">
        <v>32413.79</v>
      </c>
      <c r="P264" s="660">
        <v>235000</v>
      </c>
      <c r="Q264" s="548"/>
      <c r="R264" s="660">
        <v>174568.95999999999</v>
      </c>
      <c r="S264" s="549">
        <f t="shared" si="43"/>
        <v>60431.040000000008</v>
      </c>
      <c r="T264" s="267" t="s">
        <v>263</v>
      </c>
      <c r="U264" s="369"/>
      <c r="V264" s="370"/>
      <c r="W264" s="375"/>
      <c r="X264" s="375"/>
      <c r="Y264" s="375"/>
      <c r="Z264" s="371"/>
      <c r="AA264" s="371"/>
      <c r="AB264" s="673"/>
      <c r="AC264" s="371"/>
      <c r="AD264" s="372"/>
      <c r="AE264" s="371"/>
      <c r="AF264" s="371"/>
      <c r="AG264" s="270"/>
      <c r="AH264" s="350"/>
      <c r="AI264" s="365"/>
      <c r="AJ264" s="374"/>
      <c r="AK264" s="374"/>
      <c r="AL264" s="374"/>
      <c r="AM264" s="374"/>
    </row>
    <row r="265" spans="1:39" s="291" customFormat="1" hidden="1" x14ac:dyDescent="0.2">
      <c r="A265" s="423">
        <f t="shared" si="44"/>
        <v>260</v>
      </c>
      <c r="B265" s="683" t="s">
        <v>3680</v>
      </c>
      <c r="C265" s="655">
        <v>24901</v>
      </c>
      <c r="D265" s="658" t="s">
        <v>721</v>
      </c>
      <c r="E265" s="655" t="s">
        <v>3692</v>
      </c>
      <c r="F265" s="546">
        <v>2017</v>
      </c>
      <c r="G265" s="659">
        <v>42886</v>
      </c>
      <c r="H265" s="655" t="s">
        <v>2954</v>
      </c>
      <c r="I265" s="655" t="s">
        <v>3823</v>
      </c>
      <c r="J265" s="655" t="s">
        <v>729</v>
      </c>
      <c r="K265" s="655" t="s">
        <v>3933</v>
      </c>
      <c r="L265" s="655" t="s">
        <v>4082</v>
      </c>
      <c r="M265" s="660">
        <v>-141827.59</v>
      </c>
      <c r="N265" s="660">
        <v>0</v>
      </c>
      <c r="O265" s="660">
        <v>-3172.41</v>
      </c>
      <c r="P265" s="660">
        <v>-145000</v>
      </c>
      <c r="Q265" s="548"/>
      <c r="R265" s="660">
        <v>-122000</v>
      </c>
      <c r="S265" s="549">
        <f t="shared" si="43"/>
        <v>-23000</v>
      </c>
      <c r="T265" s="267" t="s">
        <v>263</v>
      </c>
      <c r="U265" s="369"/>
      <c r="V265" s="370"/>
      <c r="W265" s="375"/>
      <c r="X265" s="375"/>
      <c r="Y265" s="375"/>
      <c r="Z265" s="371"/>
      <c r="AA265" s="371"/>
      <c r="AB265" s="673"/>
      <c r="AC265" s="371"/>
      <c r="AD265" s="372"/>
      <c r="AE265" s="371"/>
      <c r="AF265" s="371"/>
      <c r="AG265" s="270"/>
      <c r="AH265" s="350"/>
      <c r="AI265" s="365"/>
      <c r="AJ265" s="374"/>
      <c r="AK265" s="374"/>
      <c r="AL265" s="374"/>
      <c r="AM265" s="374"/>
    </row>
    <row r="266" spans="1:39" s="291" customFormat="1" hidden="1" x14ac:dyDescent="0.2">
      <c r="A266" s="423">
        <f t="shared" si="44"/>
        <v>261</v>
      </c>
      <c r="B266" s="683" t="s">
        <v>3681</v>
      </c>
      <c r="C266" s="655">
        <v>24901</v>
      </c>
      <c r="D266" s="658" t="s">
        <v>721</v>
      </c>
      <c r="E266" s="655" t="s">
        <v>3692</v>
      </c>
      <c r="F266" s="546">
        <v>2017</v>
      </c>
      <c r="G266" s="659">
        <v>42886</v>
      </c>
      <c r="H266" s="655" t="s">
        <v>2954</v>
      </c>
      <c r="I266" s="655" t="s">
        <v>3823</v>
      </c>
      <c r="J266" s="655" t="s">
        <v>729</v>
      </c>
      <c r="K266" s="655" t="s">
        <v>3933</v>
      </c>
      <c r="L266" s="655" t="s">
        <v>4082</v>
      </c>
      <c r="M266" s="660">
        <v>137517.24</v>
      </c>
      <c r="N266" s="660">
        <v>0</v>
      </c>
      <c r="O266" s="660">
        <v>2482.7600000000002</v>
      </c>
      <c r="P266" s="660">
        <v>140000</v>
      </c>
      <c r="Q266" s="548"/>
      <c r="R266" s="660">
        <v>122000</v>
      </c>
      <c r="S266" s="549">
        <f t="shared" si="43"/>
        <v>18000</v>
      </c>
      <c r="T266" s="267" t="s">
        <v>263</v>
      </c>
      <c r="U266" s="369"/>
      <c r="V266" s="370"/>
      <c r="W266" s="375"/>
      <c r="X266" s="375"/>
      <c r="Y266" s="375"/>
      <c r="Z266" s="371"/>
      <c r="AA266" s="371"/>
      <c r="AB266" s="673"/>
      <c r="AC266" s="371"/>
      <c r="AD266" s="372"/>
      <c r="AE266" s="371"/>
      <c r="AF266" s="371"/>
      <c r="AG266" s="270"/>
      <c r="AH266" s="350"/>
      <c r="AI266" s="365"/>
      <c r="AJ266" s="374"/>
      <c r="AK266" s="374"/>
      <c r="AL266" s="374"/>
      <c r="AM266" s="374"/>
    </row>
    <row r="267" spans="1:39" s="291" customFormat="1" hidden="1" x14ac:dyDescent="0.2">
      <c r="A267" s="423">
        <f t="shared" si="44"/>
        <v>262</v>
      </c>
      <c r="B267" s="683" t="s">
        <v>3682</v>
      </c>
      <c r="C267" s="655">
        <v>50549</v>
      </c>
      <c r="D267" s="658" t="s">
        <v>721</v>
      </c>
      <c r="E267" s="655" t="s">
        <v>3692</v>
      </c>
      <c r="F267" s="546">
        <v>2017</v>
      </c>
      <c r="G267" s="659">
        <v>42886</v>
      </c>
      <c r="H267" s="655" t="s">
        <v>751</v>
      </c>
      <c r="I267" s="655" t="s">
        <v>3835</v>
      </c>
      <c r="J267" s="655" t="s">
        <v>729</v>
      </c>
      <c r="K267" s="655" t="s">
        <v>3949</v>
      </c>
      <c r="L267" s="655" t="s">
        <v>4094</v>
      </c>
      <c r="M267" s="660">
        <v>89051.72</v>
      </c>
      <c r="N267" s="660">
        <v>0</v>
      </c>
      <c r="O267" s="660">
        <v>1448.28</v>
      </c>
      <c r="P267" s="660">
        <v>90500</v>
      </c>
      <c r="Q267" s="548"/>
      <c r="R267" s="660">
        <v>80000</v>
      </c>
      <c r="S267" s="549">
        <f t="shared" si="43"/>
        <v>10500</v>
      </c>
      <c r="T267" s="267" t="s">
        <v>263</v>
      </c>
      <c r="U267" s="369"/>
      <c r="V267" s="370"/>
      <c r="W267" s="375"/>
      <c r="X267" s="375"/>
      <c r="Y267" s="375"/>
      <c r="Z267" s="371"/>
      <c r="AA267" s="371"/>
      <c r="AB267" s="673"/>
      <c r="AC267" s="371"/>
      <c r="AD267" s="372"/>
      <c r="AE267" s="371"/>
      <c r="AF267" s="371"/>
      <c r="AG267" s="270"/>
      <c r="AH267" s="350"/>
      <c r="AI267" s="365"/>
      <c r="AJ267" s="374"/>
      <c r="AK267" s="374"/>
      <c r="AL267" s="374"/>
      <c r="AM267" s="374"/>
    </row>
    <row r="268" spans="1:39" s="291" customFormat="1" hidden="1" x14ac:dyDescent="0.2">
      <c r="A268" s="423">
        <f t="shared" si="44"/>
        <v>263</v>
      </c>
      <c r="B268" s="683" t="s">
        <v>3683</v>
      </c>
      <c r="C268" s="655">
        <v>56605</v>
      </c>
      <c r="D268" s="658" t="s">
        <v>721</v>
      </c>
      <c r="E268" s="655" t="s">
        <v>3692</v>
      </c>
      <c r="F268" s="546">
        <v>2017</v>
      </c>
      <c r="G268" s="659">
        <v>42886</v>
      </c>
      <c r="H268" s="655" t="s">
        <v>1207</v>
      </c>
      <c r="I268" s="655" t="s">
        <v>3836</v>
      </c>
      <c r="J268" s="655" t="s">
        <v>729</v>
      </c>
      <c r="K268" s="655" t="s">
        <v>3950</v>
      </c>
      <c r="L268" s="655" t="s">
        <v>4095</v>
      </c>
      <c r="M268" s="660">
        <v>121551.72</v>
      </c>
      <c r="N268" s="660">
        <v>0</v>
      </c>
      <c r="O268" s="660">
        <v>3448.28</v>
      </c>
      <c r="P268" s="660">
        <v>125000</v>
      </c>
      <c r="Q268" s="548"/>
      <c r="R268" s="660">
        <v>100000</v>
      </c>
      <c r="S268" s="549">
        <f t="shared" si="43"/>
        <v>25000</v>
      </c>
      <c r="T268" s="267" t="s">
        <v>263</v>
      </c>
      <c r="U268" s="369"/>
      <c r="V268" s="370"/>
      <c r="W268" s="375"/>
      <c r="X268" s="375"/>
      <c r="Y268" s="375"/>
      <c r="Z268" s="371"/>
      <c r="AA268" s="371"/>
      <c r="AB268" s="673"/>
      <c r="AC268" s="371"/>
      <c r="AD268" s="372"/>
      <c r="AE268" s="371"/>
      <c r="AF268" s="371"/>
      <c r="AG268" s="270"/>
      <c r="AH268" s="350"/>
      <c r="AI268" s="365"/>
      <c r="AJ268" s="374"/>
      <c r="AK268" s="374"/>
      <c r="AL268" s="374"/>
      <c r="AM268" s="374"/>
    </row>
    <row r="269" spans="1:39" s="291" customFormat="1" hidden="1" x14ac:dyDescent="0.2">
      <c r="A269" s="423">
        <f t="shared" si="44"/>
        <v>264</v>
      </c>
      <c r="B269" s="683" t="s">
        <v>3684</v>
      </c>
      <c r="C269" s="655">
        <v>520816</v>
      </c>
      <c r="D269" s="658" t="s">
        <v>721</v>
      </c>
      <c r="E269" s="655" t="s">
        <v>3692</v>
      </c>
      <c r="F269" s="546">
        <v>2017</v>
      </c>
      <c r="G269" s="659">
        <v>42886</v>
      </c>
      <c r="H269" s="655" t="s">
        <v>751</v>
      </c>
      <c r="I269" s="655" t="s">
        <v>3837</v>
      </c>
      <c r="J269" s="655" t="s">
        <v>724</v>
      </c>
      <c r="K269" s="655" t="s">
        <v>3934</v>
      </c>
      <c r="L269" s="655" t="s">
        <v>4096</v>
      </c>
      <c r="M269" s="660">
        <v>187068.97</v>
      </c>
      <c r="N269" s="660">
        <v>0</v>
      </c>
      <c r="O269" s="660">
        <v>29931.03</v>
      </c>
      <c r="P269" s="660">
        <v>217000</v>
      </c>
      <c r="Q269" s="548"/>
      <c r="R269" s="660">
        <v>161206.9</v>
      </c>
      <c r="S269" s="549">
        <f t="shared" si="43"/>
        <v>55793.100000000006</v>
      </c>
      <c r="T269" s="267" t="s">
        <v>263</v>
      </c>
      <c r="U269" s="369"/>
      <c r="V269" s="370"/>
      <c r="W269" s="375"/>
      <c r="X269" s="375"/>
      <c r="Y269" s="375"/>
      <c r="Z269" s="371"/>
      <c r="AA269" s="371"/>
      <c r="AB269" s="673"/>
      <c r="AC269" s="371"/>
      <c r="AD269" s="372"/>
      <c r="AE269" s="371"/>
      <c r="AF269" s="371"/>
      <c r="AG269" s="270"/>
      <c r="AH269" s="350"/>
      <c r="AI269" s="365"/>
      <c r="AJ269" s="374"/>
      <c r="AK269" s="374"/>
      <c r="AL269" s="374"/>
      <c r="AM269" s="374"/>
    </row>
    <row r="270" spans="1:39" s="291" customFormat="1" hidden="1" x14ac:dyDescent="0.2">
      <c r="A270" s="423">
        <f t="shared" si="44"/>
        <v>265</v>
      </c>
      <c r="B270" s="683" t="s">
        <v>3686</v>
      </c>
      <c r="C270" s="655">
        <v>520814</v>
      </c>
      <c r="D270" s="658" t="s">
        <v>686</v>
      </c>
      <c r="E270" s="655" t="s">
        <v>30</v>
      </c>
      <c r="F270" s="546">
        <v>2017</v>
      </c>
      <c r="G270" s="659">
        <v>42872</v>
      </c>
      <c r="H270" s="655" t="s">
        <v>1207</v>
      </c>
      <c r="I270" s="655" t="s">
        <v>3839</v>
      </c>
      <c r="J270" s="655" t="s">
        <v>724</v>
      </c>
      <c r="K270" s="655" t="s">
        <v>3952</v>
      </c>
      <c r="L270" s="655" t="s">
        <v>4098</v>
      </c>
      <c r="M270" s="660">
        <v>253103.45</v>
      </c>
      <c r="N270" s="660">
        <v>0</v>
      </c>
      <c r="O270" s="660">
        <v>6896.55</v>
      </c>
      <c r="P270" s="660">
        <v>260000</v>
      </c>
      <c r="Q270" s="548"/>
      <c r="R270" s="660">
        <v>210000</v>
      </c>
      <c r="S270" s="549">
        <f t="shared" si="43"/>
        <v>50000</v>
      </c>
      <c r="T270" s="267" t="s">
        <v>263</v>
      </c>
      <c r="U270" s="369"/>
      <c r="V270" s="370"/>
      <c r="W270" s="375"/>
      <c r="X270" s="375"/>
      <c r="Y270" s="375"/>
      <c r="Z270" s="371"/>
      <c r="AA270" s="371"/>
      <c r="AB270" s="673"/>
      <c r="AC270" s="371"/>
      <c r="AD270" s="372"/>
      <c r="AE270" s="371"/>
      <c r="AF270" s="371"/>
      <c r="AG270" s="270"/>
      <c r="AH270" s="350"/>
      <c r="AI270" s="365"/>
      <c r="AJ270" s="374"/>
      <c r="AK270" s="374"/>
      <c r="AL270" s="374"/>
      <c r="AM270" s="374"/>
    </row>
    <row r="271" spans="1:39" s="291" customFormat="1" hidden="1" x14ac:dyDescent="0.2">
      <c r="A271" s="423">
        <f t="shared" si="44"/>
        <v>266</v>
      </c>
      <c r="B271" s="683" t="s">
        <v>3687</v>
      </c>
      <c r="C271" s="655">
        <v>520224</v>
      </c>
      <c r="D271" s="658" t="s">
        <v>686</v>
      </c>
      <c r="E271" s="655" t="s">
        <v>30</v>
      </c>
      <c r="F271" s="546">
        <v>2017</v>
      </c>
      <c r="G271" s="659">
        <v>42877</v>
      </c>
      <c r="H271" s="655" t="s">
        <v>2954</v>
      </c>
      <c r="I271" s="655" t="s">
        <v>3840</v>
      </c>
      <c r="J271" s="655" t="s">
        <v>724</v>
      </c>
      <c r="K271" s="655" t="s">
        <v>3953</v>
      </c>
      <c r="L271" s="655" t="s">
        <v>4099</v>
      </c>
      <c r="M271" s="660">
        <v>265862.07</v>
      </c>
      <c r="N271" s="660">
        <v>0</v>
      </c>
      <c r="O271" s="660">
        <v>4137.93</v>
      </c>
      <c r="P271" s="660">
        <v>270000</v>
      </c>
      <c r="Q271" s="548"/>
      <c r="R271" s="660">
        <v>240000</v>
      </c>
      <c r="S271" s="549">
        <f t="shared" si="43"/>
        <v>30000</v>
      </c>
      <c r="T271" s="267" t="s">
        <v>263</v>
      </c>
      <c r="U271" s="369"/>
      <c r="V271" s="370"/>
      <c r="W271" s="375"/>
      <c r="X271" s="375"/>
      <c r="Y271" s="375"/>
      <c r="Z271" s="371"/>
      <c r="AA271" s="371"/>
      <c r="AB271" s="673"/>
      <c r="AC271" s="371"/>
      <c r="AD271" s="372"/>
      <c r="AE271" s="371"/>
      <c r="AF271" s="371"/>
      <c r="AG271" s="270"/>
      <c r="AH271" s="350"/>
      <c r="AI271" s="365"/>
      <c r="AJ271" s="374"/>
      <c r="AK271" s="374"/>
      <c r="AL271" s="374"/>
      <c r="AM271" s="374"/>
    </row>
    <row r="272" spans="1:39" s="291" customFormat="1" hidden="1" x14ac:dyDescent="0.2">
      <c r="A272" s="423">
        <f t="shared" si="44"/>
        <v>267</v>
      </c>
      <c r="B272" s="683" t="s">
        <v>3688</v>
      </c>
      <c r="C272" s="655">
        <v>520220</v>
      </c>
      <c r="D272" s="658" t="s">
        <v>686</v>
      </c>
      <c r="E272" s="655" t="s">
        <v>30</v>
      </c>
      <c r="F272" s="546">
        <v>2017</v>
      </c>
      <c r="G272" s="659">
        <v>42881</v>
      </c>
      <c r="H272" s="655" t="s">
        <v>1211</v>
      </c>
      <c r="I272" s="655" t="s">
        <v>3841</v>
      </c>
      <c r="J272" s="655" t="s">
        <v>724</v>
      </c>
      <c r="K272" s="655" t="s">
        <v>3954</v>
      </c>
      <c r="L272" s="655" t="s">
        <v>4100</v>
      </c>
      <c r="M272" s="660">
        <v>208655.17</v>
      </c>
      <c r="N272" s="660">
        <v>0</v>
      </c>
      <c r="O272" s="660">
        <v>6344.83</v>
      </c>
      <c r="P272" s="660">
        <v>215000</v>
      </c>
      <c r="Q272" s="548"/>
      <c r="R272" s="660">
        <v>169000</v>
      </c>
      <c r="S272" s="549">
        <f t="shared" si="43"/>
        <v>46000</v>
      </c>
      <c r="T272" s="267" t="s">
        <v>263</v>
      </c>
      <c r="U272" s="369"/>
      <c r="V272" s="370"/>
      <c r="W272" s="375"/>
      <c r="X272" s="375"/>
      <c r="Y272" s="375"/>
      <c r="Z272" s="371"/>
      <c r="AA272" s="371"/>
      <c r="AB272" s="673"/>
      <c r="AC272" s="371"/>
      <c r="AD272" s="372"/>
      <c r="AE272" s="371"/>
      <c r="AF272" s="371"/>
      <c r="AG272" s="270"/>
      <c r="AH272" s="350"/>
      <c r="AI272" s="365"/>
      <c r="AJ272" s="374"/>
      <c r="AK272" s="374"/>
      <c r="AL272" s="374"/>
      <c r="AM272" s="374"/>
    </row>
    <row r="273" spans="1:41" s="291" customFormat="1" hidden="1" x14ac:dyDescent="0.2">
      <c r="A273" s="423">
        <f t="shared" si="44"/>
        <v>268</v>
      </c>
      <c r="B273" s="683" t="s">
        <v>3689</v>
      </c>
      <c r="C273" s="655">
        <v>520224</v>
      </c>
      <c r="D273" s="658" t="s">
        <v>686</v>
      </c>
      <c r="E273" s="655" t="s">
        <v>30</v>
      </c>
      <c r="F273" s="546">
        <v>2017</v>
      </c>
      <c r="G273" s="659">
        <v>42886</v>
      </c>
      <c r="H273" s="655" t="s">
        <v>2954</v>
      </c>
      <c r="I273" s="655" t="s">
        <v>3840</v>
      </c>
      <c r="J273" s="655" t="s">
        <v>724</v>
      </c>
      <c r="K273" s="655" t="s">
        <v>3953</v>
      </c>
      <c r="L273" s="655" t="s">
        <v>4099</v>
      </c>
      <c r="M273" s="660">
        <v>-265862.07</v>
      </c>
      <c r="N273" s="660">
        <v>0</v>
      </c>
      <c r="O273" s="660">
        <v>-4137.93</v>
      </c>
      <c r="P273" s="660">
        <v>-270000</v>
      </c>
      <c r="Q273" s="548"/>
      <c r="R273" s="660">
        <v>-240000</v>
      </c>
      <c r="S273" s="549">
        <f t="shared" si="43"/>
        <v>-30000</v>
      </c>
      <c r="T273" s="267" t="s">
        <v>263</v>
      </c>
      <c r="U273" s="369"/>
      <c r="V273" s="370"/>
      <c r="W273" s="375"/>
      <c r="X273" s="375"/>
      <c r="Y273" s="375"/>
      <c r="Z273" s="371"/>
      <c r="AA273" s="371"/>
      <c r="AB273" s="673"/>
      <c r="AC273" s="371"/>
      <c r="AD273" s="372"/>
      <c r="AE273" s="371"/>
      <c r="AF273" s="371"/>
      <c r="AG273" s="270"/>
      <c r="AH273" s="350"/>
      <c r="AI273" s="365"/>
      <c r="AJ273" s="374"/>
      <c r="AK273" s="374"/>
      <c r="AL273" s="374"/>
      <c r="AM273" s="374"/>
    </row>
    <row r="274" spans="1:41" s="291" customFormat="1" hidden="1" x14ac:dyDescent="0.2">
      <c r="A274" s="423">
        <f t="shared" si="44"/>
        <v>269</v>
      </c>
      <c r="B274" s="683" t="s">
        <v>3690</v>
      </c>
      <c r="C274" s="655">
        <v>520224</v>
      </c>
      <c r="D274" s="658" t="s">
        <v>686</v>
      </c>
      <c r="E274" s="655" t="s">
        <v>30</v>
      </c>
      <c r="F274" s="546">
        <v>2017</v>
      </c>
      <c r="G274" s="659">
        <v>42886</v>
      </c>
      <c r="H274" s="655" t="s">
        <v>2954</v>
      </c>
      <c r="I274" s="655" t="s">
        <v>3840</v>
      </c>
      <c r="J274" s="655" t="s">
        <v>724</v>
      </c>
      <c r="K274" s="655" t="s">
        <v>3953</v>
      </c>
      <c r="L274" s="655" t="s">
        <v>4099</v>
      </c>
      <c r="M274" s="660">
        <v>265862.07</v>
      </c>
      <c r="N274" s="660">
        <v>0</v>
      </c>
      <c r="O274" s="660">
        <v>4137.93</v>
      </c>
      <c r="P274" s="660">
        <v>270000</v>
      </c>
      <c r="Q274" s="548"/>
      <c r="R274" s="660">
        <v>240000</v>
      </c>
      <c r="S274" s="549">
        <f t="shared" si="43"/>
        <v>30000</v>
      </c>
      <c r="T274" s="267" t="s">
        <v>263</v>
      </c>
      <c r="U274" s="369"/>
      <c r="V274" s="370"/>
      <c r="W274" s="375"/>
      <c r="X274" s="375"/>
      <c r="Y274" s="375"/>
      <c r="Z274" s="371"/>
      <c r="AA274" s="371"/>
      <c r="AB274" s="673"/>
      <c r="AC274" s="371"/>
      <c r="AD274" s="372"/>
      <c r="AE274" s="371"/>
      <c r="AF274" s="371"/>
      <c r="AG274" s="270"/>
      <c r="AH274" s="350"/>
      <c r="AI274" s="365"/>
      <c r="AJ274" s="374"/>
      <c r="AK274" s="374"/>
      <c r="AL274" s="374"/>
      <c r="AM274" s="374"/>
    </row>
    <row r="275" spans="1:41" s="291" customFormat="1" ht="13.5" thickBot="1" x14ac:dyDescent="0.25">
      <c r="A275" s="423"/>
      <c r="B275" s="543"/>
      <c r="C275" s="544"/>
      <c r="D275" s="545"/>
      <c r="E275" s="544"/>
      <c r="F275" s="546"/>
      <c r="G275" s="547"/>
      <c r="H275" s="544"/>
      <c r="I275" s="544"/>
      <c r="J275" s="544"/>
      <c r="K275" s="544"/>
      <c r="L275" s="544"/>
      <c r="M275" s="548"/>
      <c r="N275" s="548"/>
      <c r="O275" s="548"/>
      <c r="P275" s="548"/>
      <c r="Q275" s="548"/>
      <c r="R275" s="548"/>
      <c r="S275" s="549"/>
      <c r="T275" s="267"/>
      <c r="U275" s="369"/>
      <c r="V275" s="370"/>
      <c r="W275" s="375"/>
      <c r="X275" s="375"/>
      <c r="Y275" s="375"/>
      <c r="Z275" s="371"/>
      <c r="AA275" s="371"/>
      <c r="AB275" s="673"/>
      <c r="AC275" s="371"/>
      <c r="AD275" s="372"/>
      <c r="AE275" s="371"/>
      <c r="AF275" s="371"/>
      <c r="AG275" s="270"/>
      <c r="AH275" s="350"/>
      <c r="AI275" s="365"/>
      <c r="AJ275" s="374"/>
      <c r="AK275" s="374"/>
      <c r="AL275" s="374"/>
      <c r="AM275" s="374"/>
    </row>
    <row r="276" spans="1:41" s="291" customFormat="1" ht="13.5" thickBot="1" x14ac:dyDescent="0.25">
      <c r="A276" s="423"/>
      <c r="B276" s="543"/>
      <c r="C276" s="544"/>
      <c r="D276" s="545"/>
      <c r="E276" s="544"/>
      <c r="F276" s="546"/>
      <c r="G276" s="547"/>
      <c r="H276" s="544"/>
      <c r="I276" s="544"/>
      <c r="J276" s="544"/>
      <c r="K276" s="544"/>
      <c r="L276" s="544"/>
      <c r="M276" s="548"/>
      <c r="N276" s="548"/>
      <c r="O276" s="548"/>
      <c r="P276" s="548"/>
      <c r="Q276" s="548"/>
      <c r="R276" s="548"/>
      <c r="S276" s="549"/>
      <c r="T276" s="267"/>
      <c r="V276" s="423"/>
      <c r="W276" s="362"/>
      <c r="X276" s="362"/>
      <c r="Y276" s="619"/>
      <c r="Z276" s="620">
        <f>+SUM(Z6:Z120)</f>
        <v>66832578.239999987</v>
      </c>
      <c r="AA276" s="620">
        <f>+SUM(AA6:AA89)</f>
        <v>22299948.02</v>
      </c>
      <c r="AB276" s="643">
        <f>+SUM(AB6:AB120)</f>
        <v>77</v>
      </c>
      <c r="AC276" s="620"/>
      <c r="AD276" s="620"/>
      <c r="AE276" s="620"/>
      <c r="AF276" s="620">
        <f>+SUM(AF6:AF120)</f>
        <v>819707.15999999968</v>
      </c>
      <c r="AG276" s="620">
        <f>+SUM(AG6:AG120)</f>
        <v>6.0850000042592001E-2</v>
      </c>
      <c r="AH276" s="270"/>
      <c r="AI276" s="365"/>
      <c r="AJ276" s="374"/>
      <c r="AK276" s="374"/>
      <c r="AL276" s="374"/>
      <c r="AM276" s="374"/>
    </row>
    <row r="277" spans="1:41" s="53" customFormat="1" ht="13.5" thickTop="1" x14ac:dyDescent="0.2">
      <c r="A277" s="48"/>
      <c r="B277" s="550"/>
      <c r="C277" s="551"/>
      <c r="D277" s="551"/>
      <c r="E277" s="552"/>
      <c r="F277" s="553"/>
      <c r="G277" s="554"/>
      <c r="H277" s="552"/>
      <c r="I277" s="552"/>
      <c r="J277" s="552"/>
      <c r="K277" s="552"/>
      <c r="L277" s="552"/>
      <c r="M277" s="555"/>
      <c r="N277" s="555"/>
      <c r="O277" s="555"/>
      <c r="P277" s="555"/>
      <c r="Q277" s="555"/>
      <c r="R277" s="555"/>
      <c r="S277" s="549"/>
      <c r="T277" s="398"/>
      <c r="V277" s="427"/>
      <c r="W277" s="428"/>
      <c r="X277" s="428"/>
      <c r="Y277" s="93"/>
      <c r="Z277" s="260"/>
      <c r="AA277" s="431"/>
      <c r="AB277" s="668"/>
      <c r="AC277" s="431"/>
      <c r="AD277" s="436"/>
      <c r="AE277" s="431"/>
      <c r="AF277" s="431">
        <f>+M448</f>
        <v>0</v>
      </c>
      <c r="AG277" s="440"/>
      <c r="AH277" s="346"/>
      <c r="AI277" s="313"/>
      <c r="AJ277" s="21"/>
      <c r="AK277" s="21"/>
      <c r="AL277" s="21"/>
      <c r="AM277" s="21"/>
      <c r="AN277" s="21"/>
      <c r="AO277" s="21"/>
    </row>
    <row r="278" spans="1:41" s="53" customFormat="1" x14ac:dyDescent="0.2">
      <c r="A278" s="48"/>
      <c r="B278" s="550"/>
      <c r="C278" s="551"/>
      <c r="D278" s="551"/>
      <c r="E278" s="552"/>
      <c r="F278" s="553"/>
      <c r="G278" s="556"/>
      <c r="H278" s="552"/>
      <c r="I278" s="552"/>
      <c r="J278" s="552"/>
      <c r="K278" s="552"/>
      <c r="L278" s="552"/>
      <c r="M278" s="555"/>
      <c r="N278" s="555"/>
      <c r="O278" s="555"/>
      <c r="P278" s="555"/>
      <c r="Q278" s="555"/>
      <c r="R278" s="555"/>
      <c r="S278" s="549"/>
      <c r="T278" s="13"/>
      <c r="V278" s="93"/>
      <c r="W278" s="267"/>
      <c r="X278" s="271"/>
      <c r="Y278" s="469"/>
      <c r="Z278" s="470"/>
      <c r="AA278" s="431"/>
      <c r="AB278" s="668"/>
      <c r="AC278" s="396"/>
      <c r="AD278" s="425"/>
      <c r="AE278" s="395"/>
      <c r="AF278" s="379"/>
      <c r="AG278" s="395"/>
      <c r="AH278" s="270"/>
      <c r="AI278" s="313"/>
      <c r="AJ278" s="21"/>
      <c r="AK278" s="21"/>
      <c r="AL278" s="21"/>
      <c r="AM278" s="21"/>
      <c r="AN278" s="21"/>
      <c r="AO278" s="21"/>
    </row>
    <row r="279" spans="1:41" s="53" customFormat="1" ht="13.5" thickBot="1" x14ac:dyDescent="0.25">
      <c r="A279" s="48"/>
      <c r="B279" s="557"/>
      <c r="C279" s="558"/>
      <c r="D279" s="558"/>
      <c r="E279" s="559"/>
      <c r="F279" s="559"/>
      <c r="G279" s="560"/>
      <c r="H279" s="559"/>
      <c r="I279" s="559"/>
      <c r="J279" s="559"/>
      <c r="K279" s="559"/>
      <c r="L279" s="559"/>
      <c r="M279" s="561"/>
      <c r="N279" s="561"/>
      <c r="O279" s="561"/>
      <c r="P279" s="561"/>
      <c r="Q279" s="561"/>
      <c r="R279" s="561"/>
      <c r="S279" s="562"/>
      <c r="T279" s="13"/>
      <c r="V279" s="298" t="s">
        <v>250</v>
      </c>
      <c r="W279" s="437" t="s">
        <v>3554</v>
      </c>
      <c r="X279" s="382"/>
      <c r="Y279" s="441"/>
      <c r="Z279" s="438"/>
      <c r="AA279" s="439"/>
      <c r="AB279" s="669"/>
      <c r="AC279" s="396"/>
      <c r="AD279" s="425"/>
      <c r="AE279" s="440"/>
      <c r="AF279" s="439"/>
      <c r="AG279" s="396"/>
      <c r="AH279" s="346"/>
      <c r="AI279" s="313"/>
      <c r="AJ279" s="21"/>
      <c r="AK279" s="21"/>
      <c r="AL279" s="21"/>
      <c r="AM279" s="21"/>
      <c r="AN279" s="21"/>
      <c r="AO279" s="21"/>
    </row>
    <row r="280" spans="1:41" s="53" customFormat="1" x14ac:dyDescent="0.2">
      <c r="A280" s="48"/>
      <c r="B280" s="592"/>
      <c r="C280" s="593"/>
      <c r="D280" s="593"/>
      <c r="E280" s="593"/>
      <c r="F280" s="594"/>
      <c r="G280" s="595"/>
      <c r="H280" s="596"/>
      <c r="I280" s="597"/>
      <c r="J280" s="598"/>
      <c r="K280" s="598"/>
      <c r="L280" s="594"/>
      <c r="M280" s="599"/>
      <c r="N280" s="600"/>
      <c r="O280" s="601"/>
      <c r="P280" s="601"/>
      <c r="Q280" s="601"/>
      <c r="R280" s="602"/>
      <c r="S280" s="603"/>
      <c r="T280" s="13"/>
      <c r="V280" s="298" t="s">
        <v>251</v>
      </c>
      <c r="W280" s="437" t="s">
        <v>3681</v>
      </c>
      <c r="X280" s="271"/>
      <c r="Y280" s="441"/>
      <c r="Z280" s="471">
        <f>+AB89+AB85+AB80+AB79+AB74+AB69</f>
        <v>20</v>
      </c>
      <c r="AA280" s="472">
        <f>+AA89+AA85+AA80+AA79+AA74+AA69</f>
        <v>5782922.8499999996</v>
      </c>
      <c r="AB280" s="646"/>
      <c r="AC280" s="474" t="s">
        <v>1269</v>
      </c>
      <c r="AD280" s="436"/>
      <c r="AE280" s="431"/>
      <c r="AF280" s="431"/>
      <c r="AG280" s="440"/>
      <c r="AH280" s="270"/>
      <c r="AI280" s="313"/>
      <c r="AJ280" s="21"/>
      <c r="AK280" s="21"/>
      <c r="AL280" s="21"/>
      <c r="AM280" s="21"/>
      <c r="AN280" s="21"/>
      <c r="AO280" s="21"/>
    </row>
    <row r="281" spans="1:41" s="53" customFormat="1" x14ac:dyDescent="0.2">
      <c r="A281" s="48"/>
      <c r="B281" s="604"/>
      <c r="C281" s="262"/>
      <c r="D281" s="262"/>
      <c r="E281" s="129"/>
      <c r="F281" s="40"/>
      <c r="G281" s="81"/>
      <c r="H281" s="254"/>
      <c r="I281" s="90"/>
      <c r="J281" s="90"/>
      <c r="K281" s="90"/>
      <c r="L281" s="40"/>
      <c r="M281" s="209">
        <f>SUM(M6:M279)</f>
        <v>38748081.679999992</v>
      </c>
      <c r="N281" s="209">
        <f>SUM(N6:N279)</f>
        <v>819707.15999999968</v>
      </c>
      <c r="O281" s="209">
        <f>SUM(O6:O279)</f>
        <v>5788766.1300000018</v>
      </c>
      <c r="P281" s="209">
        <f>SUM(P6:P279)</f>
        <v>45356554.969999991</v>
      </c>
      <c r="Q281" s="209">
        <f t="shared" ref="Q281" si="45">SUM(Q6:Q279)</f>
        <v>0</v>
      </c>
      <c r="R281" s="209">
        <f>SUM(R6:R279)</f>
        <v>35268500.780000016</v>
      </c>
      <c r="S281" s="605">
        <f>SUM(S6:S279)</f>
        <v>10088054.190000001</v>
      </c>
      <c r="T281" s="13"/>
      <c r="V281" s="93"/>
      <c r="W281" s="267"/>
      <c r="X281" s="271"/>
      <c r="Y281" s="94"/>
      <c r="Z281" s="475">
        <f>+AB65+AB64+AB62+AB57+AB54+AB47+AB33</f>
        <v>26</v>
      </c>
      <c r="AA281" s="472">
        <f>+AA65+AA64+AA62+AA57+AA54+AA47+AA33</f>
        <v>5197786.8</v>
      </c>
      <c r="AB281" s="646"/>
      <c r="AC281" s="474" t="s">
        <v>1270</v>
      </c>
      <c r="AD281" s="425"/>
      <c r="AE281" s="424"/>
      <c r="AF281" s="424"/>
      <c r="AG281" s="346"/>
      <c r="AH281" s="270"/>
      <c r="AI281" s="313"/>
      <c r="AJ281" s="21"/>
      <c r="AK281" s="21"/>
      <c r="AL281" s="21"/>
      <c r="AM281" s="21"/>
      <c r="AN281" s="21"/>
      <c r="AO281" s="21"/>
    </row>
    <row r="282" spans="1:41" s="53" customFormat="1" ht="13.5" thickBot="1" x14ac:dyDescent="0.25">
      <c r="A282" s="48"/>
      <c r="B282" s="606"/>
      <c r="C282" s="607"/>
      <c r="D282" s="607"/>
      <c r="E282" s="607"/>
      <c r="F282" s="608"/>
      <c r="G282" s="609"/>
      <c r="H282" s="610"/>
      <c r="I282" s="611"/>
      <c r="J282" s="612"/>
      <c r="K282" s="612"/>
      <c r="L282" s="608"/>
      <c r="M282" s="613"/>
      <c r="N282" s="614"/>
      <c r="O282" s="615"/>
      <c r="P282" s="615"/>
      <c r="Q282" s="615"/>
      <c r="R282" s="616"/>
      <c r="S282" s="617"/>
      <c r="T282" s="13"/>
      <c r="V282" s="429"/>
      <c r="W282" s="426"/>
      <c r="X282" s="382"/>
      <c r="Y282" s="442"/>
      <c r="Z282" s="476">
        <f>+AB63+AB40+AB31+AB29+AB28+AB27+AB22+AB19+AB17+AB13+AB12+AB11+AB10+AB9+AB8+AB6</f>
        <v>29</v>
      </c>
      <c r="AA282" s="472">
        <f>+AA63+AA40+AA31+AA29+AA28+AA27+AA22+AA19+AA17+AA13+AA12+AA11+AA10+AA9+AA8+AA6</f>
        <v>10638548.719999997</v>
      </c>
      <c r="AB282" s="646"/>
      <c r="AC282" s="474" t="s">
        <v>1271</v>
      </c>
      <c r="AD282" s="443"/>
      <c r="AE282" s="439"/>
      <c r="AF282" s="439"/>
      <c r="AG282" s="291"/>
      <c r="AH282" s="270"/>
      <c r="AI282" s="313"/>
      <c r="AJ282" s="21"/>
      <c r="AK282" s="21"/>
      <c r="AL282" s="21"/>
      <c r="AM282" s="21"/>
      <c r="AN282" s="21"/>
      <c r="AO282" s="21"/>
    </row>
    <row r="283" spans="1:41" s="53" customFormat="1" ht="13.5" thickBot="1" x14ac:dyDescent="0.25">
      <c r="A283" s="48"/>
      <c r="B283" s="305"/>
      <c r="C283" s="233"/>
      <c r="D283" s="233"/>
      <c r="E283" s="113"/>
      <c r="F283" s="48"/>
      <c r="G283" s="49"/>
      <c r="H283" s="256"/>
      <c r="I283" s="133" t="s">
        <v>37</v>
      </c>
      <c r="J283" s="117"/>
      <c r="K283" s="133" t="s">
        <v>37</v>
      </c>
      <c r="L283" s="8" t="s">
        <v>75</v>
      </c>
      <c r="M283" s="410">
        <v>22299948.02</v>
      </c>
      <c r="N283" s="326">
        <f>+N281</f>
        <v>819707.15999999968</v>
      </c>
      <c r="O283" s="201"/>
      <c r="P283" s="279"/>
      <c r="Q283" s="201"/>
      <c r="R283" s="326">
        <v>27364079.710000001</v>
      </c>
      <c r="S283" s="201">
        <f>SUM(R6:R208)+SUM(Q294:Q295)-R284+Q1</f>
        <v>22591704.020000007</v>
      </c>
      <c r="T283" s="13"/>
      <c r="V283" s="351"/>
      <c r="W283" s="351"/>
      <c r="X283" s="351"/>
      <c r="Y283" s="352"/>
      <c r="Z283" s="477">
        <f>+AB35</f>
        <v>2</v>
      </c>
      <c r="AA283" s="478">
        <f>+AA35</f>
        <v>680689.64999999991</v>
      </c>
      <c r="AB283" s="646"/>
      <c r="AC283" s="474" t="s">
        <v>1272</v>
      </c>
      <c r="AD283" s="351"/>
      <c r="AE283" s="351"/>
      <c r="AF283" s="351"/>
      <c r="AG283" s="351"/>
      <c r="AH283" s="270"/>
      <c r="AI283" s="313"/>
      <c r="AJ283" s="21"/>
      <c r="AK283" s="21"/>
      <c r="AL283" s="21"/>
      <c r="AM283" s="21"/>
      <c r="AN283" s="21"/>
      <c r="AO283" s="21"/>
    </row>
    <row r="284" spans="1:41" s="53" customFormat="1" ht="13.5" thickTop="1" x14ac:dyDescent="0.2">
      <c r="A284" s="48"/>
      <c r="B284" s="305"/>
      <c r="C284" s="233"/>
      <c r="D284" s="233"/>
      <c r="E284" s="113"/>
      <c r="F284" s="48"/>
      <c r="G284" s="49"/>
      <c r="H284" s="256"/>
      <c r="I284" s="133" t="s">
        <v>404</v>
      </c>
      <c r="J284" s="117"/>
      <c r="K284" s="133" t="s">
        <v>74</v>
      </c>
      <c r="L284" s="8" t="s">
        <v>75</v>
      </c>
      <c r="M284" s="410">
        <v>10990737</v>
      </c>
      <c r="N284" s="326"/>
      <c r="O284" s="201"/>
      <c r="P284" s="279"/>
      <c r="Q284" s="201"/>
      <c r="R284" s="326">
        <v>7522946.3200000003</v>
      </c>
      <c r="S284" s="285"/>
      <c r="T284" s="13"/>
      <c r="V284" s="348"/>
      <c r="W284" s="348"/>
      <c r="X284" s="348"/>
      <c r="Y284" s="348"/>
      <c r="Z284" s="479">
        <f>+SUM(Z280:Z283)</f>
        <v>77</v>
      </c>
      <c r="AA284" s="480">
        <f>SUM(AA280:AA283)</f>
        <v>22299948.019999996</v>
      </c>
      <c r="AB284" s="646"/>
      <c r="AC284" s="472"/>
      <c r="AD284" s="348"/>
      <c r="AE284" s="348"/>
      <c r="AF284" s="348"/>
      <c r="AG284" s="348"/>
      <c r="AH284" s="346"/>
      <c r="AI284" s="363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6"/>
      <c r="C285" s="233"/>
      <c r="D285" s="233"/>
      <c r="E285" s="113"/>
      <c r="F285" s="48"/>
      <c r="G285" s="49"/>
      <c r="H285" s="256"/>
      <c r="I285" s="133" t="s">
        <v>74</v>
      </c>
      <c r="J285" s="117"/>
      <c r="K285" s="133" t="s">
        <v>38</v>
      </c>
      <c r="L285" s="8" t="s">
        <v>75</v>
      </c>
      <c r="M285" s="410">
        <f>12802735.07-7345338.41</f>
        <v>5457396.6600000001</v>
      </c>
      <c r="N285" s="201"/>
      <c r="O285" s="201"/>
      <c r="P285" s="279"/>
      <c r="Q285" s="332">
        <f>72*360</f>
        <v>25920</v>
      </c>
      <c r="R285" s="326">
        <v>5857317.5899999999</v>
      </c>
      <c r="S285" s="201">
        <f>SUM(R237:R259)</f>
        <v>768034.48</v>
      </c>
      <c r="T285" s="13"/>
      <c r="U285" s="369"/>
      <c r="V285" s="370"/>
      <c r="W285" s="375"/>
      <c r="X285" s="375"/>
      <c r="Y285" s="375"/>
      <c r="Z285" s="376"/>
      <c r="AA285" s="371"/>
      <c r="AB285" s="673"/>
      <c r="AC285" s="371"/>
      <c r="AD285" s="372"/>
      <c r="AE285" s="371"/>
      <c r="AF285" s="371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6"/>
      <c r="C286" s="233"/>
      <c r="D286" s="233"/>
      <c r="E286" s="113"/>
      <c r="F286" s="48"/>
      <c r="G286" s="49"/>
      <c r="H286" s="256"/>
      <c r="I286" s="133" t="s">
        <v>38</v>
      </c>
      <c r="J286" s="117"/>
      <c r="K286" s="117"/>
      <c r="L286" s="8"/>
      <c r="M286" s="326"/>
      <c r="N286" s="326"/>
      <c r="O286" s="326"/>
      <c r="P286" s="327"/>
      <c r="Q286" s="327"/>
      <c r="R286" s="400">
        <v>8200735.7800000003</v>
      </c>
      <c r="S286" s="401"/>
      <c r="T286" s="380"/>
      <c r="U286" s="369"/>
      <c r="V286" s="370"/>
      <c r="W286" s="375"/>
      <c r="X286" s="375"/>
      <c r="Y286" s="375"/>
      <c r="Z286" s="376"/>
      <c r="AA286" s="371"/>
      <c r="AB286" s="673"/>
      <c r="AC286" s="371"/>
      <c r="AD286" s="372"/>
      <c r="AE286" s="371"/>
      <c r="AF286" s="371"/>
      <c r="AG286" s="270"/>
      <c r="AH286" s="272"/>
      <c r="AI286" s="313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49"/>
      <c r="H287" s="256"/>
      <c r="I287" s="133" t="s">
        <v>405</v>
      </c>
      <c r="J287" s="117"/>
      <c r="K287" s="117"/>
      <c r="L287" s="8"/>
      <c r="M287" s="258">
        <v>0</v>
      </c>
      <c r="N287" s="258"/>
      <c r="O287" s="258"/>
      <c r="P287" s="280"/>
      <c r="Q287" s="280"/>
      <c r="R287" s="400">
        <v>604</v>
      </c>
      <c r="S287" s="401"/>
      <c r="T287" s="13"/>
      <c r="U287" s="320"/>
      <c r="V287" s="354"/>
      <c r="W287" s="355"/>
      <c r="X287" s="355"/>
      <c r="Y287" s="355"/>
      <c r="Z287" s="356"/>
      <c r="AA287" s="328"/>
      <c r="AB287" s="674"/>
      <c r="AC287" s="328"/>
      <c r="AD287" s="333"/>
      <c r="AE287" s="328"/>
      <c r="AF287" s="328"/>
      <c r="AG287" s="346"/>
      <c r="AH287" s="347"/>
      <c r="AI287" s="363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06"/>
      <c r="C288" s="233"/>
      <c r="D288" s="233"/>
      <c r="E288" s="113"/>
      <c r="F288" s="48"/>
      <c r="G288" s="51"/>
      <c r="H288" s="257"/>
      <c r="I288" s="133" t="s">
        <v>39</v>
      </c>
      <c r="J288" s="117"/>
      <c r="K288" s="117"/>
      <c r="L288" s="8"/>
      <c r="M288" s="204">
        <f>SUM(M283:M287)</f>
        <v>38748081.68</v>
      </c>
      <c r="N288" s="204">
        <f>SUM(N283:N287)</f>
        <v>819707.15999999968</v>
      </c>
      <c r="O288" s="204"/>
      <c r="P288" s="204"/>
      <c r="Q288" s="204">
        <f>+Q281-Q283</f>
        <v>0</v>
      </c>
      <c r="R288" s="402">
        <f>+SUM(R283:R287)</f>
        <v>48945683.400000006</v>
      </c>
      <c r="S288" s="285"/>
      <c r="T288" s="13"/>
      <c r="U288" s="369"/>
      <c r="V288" s="370"/>
      <c r="W288" s="375"/>
      <c r="X288" s="375"/>
      <c r="Y288" s="375"/>
      <c r="Z288" s="376"/>
      <c r="AA288" s="371"/>
      <c r="AB288" s="673"/>
      <c r="AC288" s="371"/>
      <c r="AD288" s="372"/>
      <c r="AE288" s="371"/>
      <c r="AF288" s="371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06"/>
      <c r="C289" s="233"/>
      <c r="D289" s="233"/>
      <c r="E289" s="113"/>
      <c r="F289" s="48"/>
      <c r="G289" s="49"/>
      <c r="H289" s="256"/>
      <c r="I289" s="116"/>
      <c r="J289" s="117"/>
      <c r="K289" s="117"/>
      <c r="L289" s="8"/>
      <c r="M289" s="403"/>
      <c r="N289" s="201"/>
      <c r="O289" s="202"/>
      <c r="P289" s="200"/>
      <c r="Q289" s="200"/>
      <c r="R289" s="52"/>
      <c r="S289" s="285"/>
      <c r="T289" s="13"/>
      <c r="U289" s="369"/>
      <c r="V289" s="370"/>
      <c r="W289" s="375"/>
      <c r="X289" s="375"/>
      <c r="Y289" s="375"/>
      <c r="Z289" s="376"/>
      <c r="AA289" s="371"/>
      <c r="AB289" s="673"/>
      <c r="AC289" s="371"/>
      <c r="AD289" s="372"/>
      <c r="AE289" s="371"/>
      <c r="AF289" s="371"/>
      <c r="AG289" s="270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06"/>
      <c r="C290" s="233"/>
      <c r="D290" s="233"/>
      <c r="E290" s="113"/>
      <c r="F290" s="48"/>
      <c r="G290" s="49"/>
      <c r="H290" s="256"/>
      <c r="I290" s="116"/>
      <c r="J290" s="117"/>
      <c r="K290" s="117"/>
      <c r="L290" s="8" t="s">
        <v>40</v>
      </c>
      <c r="M290" s="404">
        <f>+M281-M288</f>
        <v>0</v>
      </c>
      <c r="N290" s="404"/>
      <c r="O290" s="202"/>
      <c r="P290" s="200"/>
      <c r="Q290" s="200"/>
      <c r="R290" s="52"/>
      <c r="S290" s="285"/>
      <c r="T290" s="13"/>
      <c r="U290" s="369"/>
      <c r="V290" s="370"/>
      <c r="W290" s="375"/>
      <c r="X290" s="375"/>
      <c r="Y290" s="375"/>
      <c r="Z290" s="376"/>
      <c r="AA290" s="371"/>
      <c r="AB290" s="673"/>
      <c r="AC290" s="371"/>
      <c r="AD290" s="372"/>
      <c r="AE290" s="371"/>
      <c r="AF290" s="371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69"/>
      <c r="C291" s="375"/>
      <c r="D291" s="374"/>
      <c r="E291" s="374"/>
      <c r="F291" s="374"/>
      <c r="G291" s="414"/>
      <c r="H291" s="415"/>
      <c r="I291" s="374"/>
      <c r="J291" s="374"/>
      <c r="K291" s="374"/>
      <c r="L291" s="374"/>
      <c r="M291" s="396"/>
      <c r="N291" s="396"/>
      <c r="O291" s="396"/>
      <c r="P291" s="396"/>
      <c r="Q291" s="401"/>
      <c r="R291" s="405"/>
      <c r="S291" s="406"/>
      <c r="T291" s="13"/>
      <c r="U291" s="369"/>
      <c r="V291" s="370"/>
      <c r="W291" s="375"/>
      <c r="X291" s="375"/>
      <c r="Y291" s="375"/>
      <c r="Z291" s="376"/>
      <c r="AA291" s="371"/>
      <c r="AB291" s="673"/>
      <c r="AC291" s="371"/>
      <c r="AD291" s="372"/>
      <c r="AE291" s="371"/>
      <c r="AF291" s="371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69"/>
      <c r="C292" s="375"/>
      <c r="D292" s="374"/>
      <c r="E292" s="374"/>
      <c r="F292" s="374"/>
      <c r="G292" s="414"/>
      <c r="H292" s="318"/>
      <c r="I292" s="374"/>
      <c r="J292" s="374"/>
      <c r="K292" s="374"/>
      <c r="L292" s="374"/>
      <c r="M292" s="396"/>
      <c r="N292" s="396"/>
      <c r="O292" s="396"/>
      <c r="P292" s="396"/>
      <c r="Q292" s="97"/>
      <c r="R292" s="407"/>
      <c r="S292" s="94"/>
      <c r="T292" s="13"/>
      <c r="U292" s="320"/>
      <c r="V292" s="354"/>
      <c r="W292" s="355"/>
      <c r="X292" s="355"/>
      <c r="Y292" s="355"/>
      <c r="Z292" s="356"/>
      <c r="AA292" s="328"/>
      <c r="AB292" s="674"/>
      <c r="AC292" s="328"/>
      <c r="AD292" s="333"/>
      <c r="AE292" s="328"/>
      <c r="AF292" s="328"/>
      <c r="AG292" s="346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x14ac:dyDescent="0.2">
      <c r="A293" s="48"/>
      <c r="B293" s="369"/>
      <c r="C293" s="375"/>
      <c r="D293" s="374"/>
      <c r="E293" s="374"/>
      <c r="F293" s="374"/>
      <c r="G293" s="414"/>
      <c r="H293" s="318"/>
      <c r="I293" s="374"/>
      <c r="J293" s="374"/>
      <c r="K293" s="374"/>
      <c r="L293" s="297"/>
      <c r="M293" s="396"/>
      <c r="N293" s="396"/>
      <c r="O293" s="396"/>
      <c r="P293" s="396"/>
      <c r="Q293" s="21"/>
      <c r="R293" s="408"/>
      <c r="S293" s="94"/>
      <c r="T293" s="13"/>
      <c r="U293" s="320"/>
      <c r="V293" s="354"/>
      <c r="W293" s="355"/>
      <c r="X293" s="355"/>
      <c r="Y293" s="355"/>
      <c r="Z293" s="356"/>
      <c r="AA293" s="328"/>
      <c r="AB293" s="674"/>
      <c r="AC293" s="328"/>
      <c r="AD293" s="333"/>
      <c r="AE293" s="328"/>
      <c r="AF293" s="328"/>
      <c r="AG293" s="346"/>
      <c r="AH293" s="347"/>
      <c r="AI293" s="363"/>
      <c r="AJ293" s="21"/>
      <c r="AK293" s="21"/>
      <c r="AL293" s="21"/>
      <c r="AM293" s="21"/>
      <c r="AN293" s="21"/>
      <c r="AO293" s="21"/>
    </row>
    <row r="294" spans="1:41" s="53" customFormat="1" x14ac:dyDescent="0.2">
      <c r="A294" s="48"/>
      <c r="B294" s="369"/>
      <c r="C294" s="375"/>
      <c r="D294" s="374"/>
      <c r="E294" s="374"/>
      <c r="F294" s="374"/>
      <c r="G294" s="414"/>
      <c r="H294" s="415"/>
      <c r="I294" s="291"/>
      <c r="J294" s="291"/>
      <c r="K294" s="374"/>
      <c r="L294" s="416"/>
      <c r="M294" s="403"/>
      <c r="N294" s="396"/>
      <c r="O294" s="396"/>
      <c r="P294" s="409"/>
      <c r="Q294" s="50"/>
      <c r="R294" s="407"/>
      <c r="S294" s="97"/>
      <c r="T294" s="13"/>
      <c r="U294" s="369"/>
      <c r="V294" s="370"/>
      <c r="W294" s="375"/>
      <c r="X294" s="375"/>
      <c r="Y294" s="375"/>
      <c r="Z294" s="376"/>
      <c r="AA294" s="371"/>
      <c r="AB294" s="673"/>
      <c r="AC294" s="371"/>
      <c r="AD294" s="372"/>
      <c r="AE294" s="371"/>
      <c r="AF294" s="371"/>
      <c r="AG294" s="270"/>
      <c r="AH294" s="347"/>
      <c r="AI294" s="363"/>
      <c r="AJ294" s="21"/>
      <c r="AK294" s="21"/>
      <c r="AL294" s="21"/>
      <c r="AM294" s="21"/>
      <c r="AN294" s="21"/>
      <c r="AO294" s="21"/>
    </row>
    <row r="295" spans="1:41" s="53" customFormat="1" x14ac:dyDescent="0.2">
      <c r="A295" s="48"/>
      <c r="B295" s="369"/>
      <c r="C295" s="375"/>
      <c r="D295" s="374"/>
      <c r="E295" s="374"/>
      <c r="F295" s="374"/>
      <c r="G295" s="414"/>
      <c r="H295" s="415"/>
      <c r="I295" s="291"/>
      <c r="J295" s="291"/>
      <c r="K295" s="374"/>
      <c r="L295" s="377"/>
      <c r="M295" s="416"/>
      <c r="N295" s="270"/>
      <c r="O295" s="270"/>
      <c r="P295" s="296"/>
      <c r="Q295" s="78"/>
      <c r="S295" s="319"/>
      <c r="T295" s="13"/>
      <c r="U295" s="369"/>
      <c r="V295" s="370"/>
      <c r="W295" s="375"/>
      <c r="X295" s="375"/>
      <c r="Y295" s="375"/>
      <c r="Z295" s="376"/>
      <c r="AA295" s="371"/>
      <c r="AB295" s="673"/>
      <c r="AC295" s="371"/>
      <c r="AD295" s="372"/>
      <c r="AE295" s="371"/>
      <c r="AF295" s="371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69"/>
      <c r="C296" s="375"/>
      <c r="D296" s="374"/>
      <c r="E296" s="374"/>
      <c r="F296" s="374"/>
      <c r="G296" s="414"/>
      <c r="H296" s="415"/>
      <c r="I296" s="291"/>
      <c r="J296" s="291"/>
      <c r="K296" s="374"/>
      <c r="L296" s="291"/>
      <c r="M296" s="291"/>
      <c r="N296" s="270"/>
      <c r="O296" s="270"/>
      <c r="P296" s="387"/>
      <c r="Q296" s="417"/>
      <c r="T296" s="13"/>
      <c r="U296" s="369"/>
      <c r="V296" s="370"/>
      <c r="W296" s="375"/>
      <c r="X296" s="375"/>
      <c r="Y296" s="375"/>
      <c r="Z296" s="376"/>
      <c r="AA296" s="371"/>
      <c r="AB296" s="673"/>
      <c r="AC296" s="371"/>
      <c r="AD296" s="372"/>
      <c r="AE296" s="371"/>
      <c r="AF296" s="371"/>
      <c r="AG296" s="270"/>
      <c r="AH296" s="272"/>
      <c r="AI296" s="313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69"/>
      <c r="C297" s="375"/>
      <c r="D297" s="374"/>
      <c r="E297" s="374"/>
      <c r="F297" s="374"/>
      <c r="G297" s="414"/>
      <c r="H297" s="415"/>
      <c r="I297" s="291"/>
      <c r="J297" s="291"/>
      <c r="L297" s="374"/>
      <c r="M297" s="296"/>
      <c r="N297" s="316"/>
      <c r="O297" s="367"/>
      <c r="P297" s="387"/>
      <c r="Q297" s="417"/>
      <c r="T297" s="13"/>
      <c r="U297" s="369"/>
      <c r="V297" s="370"/>
      <c r="W297" s="375"/>
      <c r="X297" s="375"/>
      <c r="Y297" s="375"/>
      <c r="Z297" s="376"/>
      <c r="AA297" s="371"/>
      <c r="AB297" s="673"/>
      <c r="AC297" s="371"/>
      <c r="AD297" s="372"/>
      <c r="AE297" s="371"/>
      <c r="AF297" s="371"/>
      <c r="AG297" s="270"/>
      <c r="AH297" s="347"/>
      <c r="AI297" s="36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9"/>
      <c r="C298" s="375"/>
      <c r="D298" s="374"/>
      <c r="E298" s="374"/>
      <c r="F298" s="374"/>
      <c r="G298" s="414"/>
      <c r="H298" s="415"/>
      <c r="I298" s="291"/>
      <c r="J298" s="291"/>
      <c r="L298" s="384"/>
      <c r="M298" s="296"/>
      <c r="N298" s="316"/>
      <c r="O298" s="270"/>
      <c r="P298" s="387"/>
      <c r="Q298" s="417"/>
      <c r="T298" s="13"/>
      <c r="U298" s="369"/>
      <c r="V298" s="370"/>
      <c r="W298" s="375"/>
      <c r="X298" s="375"/>
      <c r="Y298" s="375"/>
      <c r="Z298" s="376"/>
      <c r="AA298" s="371"/>
      <c r="AB298" s="673"/>
      <c r="AC298" s="371"/>
      <c r="AD298" s="372"/>
      <c r="AE298" s="371"/>
      <c r="AF298" s="371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9"/>
      <c r="C299" s="375"/>
      <c r="D299" s="374"/>
      <c r="E299" s="374"/>
      <c r="F299" s="374"/>
      <c r="G299" s="414"/>
      <c r="H299" s="415"/>
      <c r="I299" s="291"/>
      <c r="J299" s="291"/>
      <c r="L299" s="374"/>
      <c r="M299" s="296"/>
      <c r="N299" s="316"/>
      <c r="O299" s="270"/>
      <c r="P299" s="387"/>
      <c r="Q299" s="417"/>
      <c r="T299" s="13"/>
      <c r="U299" s="369"/>
      <c r="V299" s="370"/>
      <c r="W299" s="375"/>
      <c r="X299" s="375"/>
      <c r="Y299" s="375"/>
      <c r="Z299" s="376"/>
      <c r="AA299" s="371"/>
      <c r="AB299" s="673"/>
      <c r="AC299" s="371"/>
      <c r="AD299" s="372"/>
      <c r="AE299" s="371"/>
      <c r="AF299" s="371"/>
      <c r="AG299" s="270"/>
      <c r="AH299" s="347"/>
      <c r="AI299" s="36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9"/>
      <c r="C300" s="375"/>
      <c r="D300" s="374"/>
      <c r="E300" s="374"/>
      <c r="F300" s="374"/>
      <c r="G300" s="414"/>
      <c r="H300" s="415"/>
      <c r="I300" s="291"/>
      <c r="J300" s="291"/>
      <c r="L300" s="374"/>
      <c r="M300" s="296"/>
      <c r="N300" s="316"/>
      <c r="O300" s="270"/>
      <c r="P300" s="387"/>
      <c r="Q300" s="417"/>
      <c r="T300" s="13"/>
      <c r="U300" s="369"/>
      <c r="V300" s="370"/>
      <c r="W300" s="375"/>
      <c r="X300" s="375"/>
      <c r="Y300" s="375"/>
      <c r="Z300" s="376"/>
      <c r="AA300" s="371"/>
      <c r="AB300" s="673"/>
      <c r="AC300" s="371"/>
      <c r="AD300" s="372"/>
      <c r="AE300" s="371"/>
      <c r="AF300" s="371"/>
      <c r="AG300" s="270"/>
      <c r="AH300" s="347"/>
      <c r="AI300" s="36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9"/>
      <c r="C301" s="375"/>
      <c r="D301" s="374"/>
      <c r="E301" s="374"/>
      <c r="F301" s="374"/>
      <c r="G301" s="414"/>
      <c r="H301" s="415"/>
      <c r="I301" s="78"/>
      <c r="J301" s="291"/>
      <c r="L301" s="374"/>
      <c r="M301" s="296"/>
      <c r="N301" s="316"/>
      <c r="O301" s="270"/>
      <c r="P301" s="418"/>
      <c r="Q301" s="417"/>
      <c r="T301" s="13"/>
      <c r="U301" s="366"/>
      <c r="V301" s="354"/>
      <c r="W301" s="355"/>
      <c r="X301" s="355"/>
      <c r="Y301" s="355"/>
      <c r="Z301" s="356"/>
      <c r="AA301" s="328"/>
      <c r="AB301" s="674"/>
      <c r="AC301" s="328"/>
      <c r="AD301" s="333"/>
      <c r="AE301" s="328"/>
      <c r="AF301" s="328"/>
      <c r="AG301" s="346"/>
      <c r="AH301" s="347"/>
      <c r="AI301" s="36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69"/>
      <c r="C302" s="375"/>
      <c r="D302" s="374"/>
      <c r="E302" s="374"/>
      <c r="F302" s="374"/>
      <c r="G302" s="414"/>
      <c r="H302" s="415"/>
      <c r="I302" s="78"/>
      <c r="J302" s="291"/>
      <c r="L302" s="374"/>
      <c r="M302" s="296"/>
      <c r="N302" s="316"/>
      <c r="O302" s="270"/>
      <c r="P302" s="387"/>
      <c r="Q302" s="417"/>
      <c r="T302" s="13"/>
      <c r="U302" s="320"/>
      <c r="V302" s="354"/>
      <c r="W302" s="355"/>
      <c r="X302" s="355"/>
      <c r="Y302" s="355"/>
      <c r="Z302" s="356"/>
      <c r="AA302" s="328"/>
      <c r="AB302" s="674"/>
      <c r="AC302" s="328"/>
      <c r="AD302" s="333"/>
      <c r="AE302" s="328"/>
      <c r="AF302" s="328"/>
      <c r="AG302" s="346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69"/>
      <c r="C303" s="375"/>
      <c r="D303" s="374"/>
      <c r="E303" s="374"/>
      <c r="F303" s="374"/>
      <c r="G303" s="414"/>
      <c r="H303" s="415"/>
      <c r="I303" s="78"/>
      <c r="J303" s="291"/>
      <c r="L303" s="374"/>
      <c r="M303" s="296"/>
      <c r="N303" s="316"/>
      <c r="O303" s="270"/>
      <c r="P303" s="387"/>
      <c r="Q303" s="417"/>
      <c r="T303" s="13"/>
      <c r="U303" s="320"/>
      <c r="V303" s="354"/>
      <c r="W303" s="355"/>
      <c r="X303" s="355"/>
      <c r="Y303" s="355"/>
      <c r="Z303" s="356"/>
      <c r="AA303" s="328"/>
      <c r="AB303" s="674"/>
      <c r="AC303" s="328"/>
      <c r="AD303" s="333"/>
      <c r="AE303" s="328"/>
      <c r="AF303" s="328"/>
      <c r="AG303" s="346"/>
      <c r="AH303" s="347"/>
      <c r="AI303" s="36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69"/>
      <c r="C304" s="375"/>
      <c r="D304" s="374"/>
      <c r="E304" s="374"/>
      <c r="F304" s="374"/>
      <c r="G304" s="414"/>
      <c r="H304" s="415"/>
      <c r="I304" s="78"/>
      <c r="J304" s="291"/>
      <c r="L304" s="374"/>
      <c r="M304" s="296"/>
      <c r="N304" s="316"/>
      <c r="O304" s="377"/>
      <c r="P304" s="388"/>
      <c r="Q304" s="417"/>
      <c r="T304" s="13"/>
      <c r="U304" s="366"/>
      <c r="V304" s="354"/>
      <c r="W304" s="359"/>
      <c r="X304" s="355"/>
      <c r="Y304" s="355"/>
      <c r="Z304" s="356"/>
      <c r="AA304" s="328"/>
      <c r="AB304" s="674"/>
      <c r="AC304" s="328"/>
      <c r="AD304" s="333"/>
      <c r="AE304" s="328"/>
      <c r="AF304" s="328"/>
      <c r="AG304" s="346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7"/>
      <c r="C305" s="375"/>
      <c r="D305" s="266"/>
      <c r="E305" s="267"/>
      <c r="F305" s="93"/>
      <c r="G305" s="268"/>
      <c r="H305" s="269"/>
      <c r="I305" s="78"/>
      <c r="J305" s="271"/>
      <c r="L305" s="382"/>
      <c r="M305" s="296"/>
      <c r="N305" s="316"/>
      <c r="O305" s="419"/>
      <c r="P305" s="387"/>
      <c r="Q305" s="417"/>
      <c r="T305" s="13"/>
      <c r="U305" s="366"/>
      <c r="V305" s="354"/>
      <c r="W305" s="355"/>
      <c r="X305" s="355"/>
      <c r="Y305" s="355"/>
      <c r="Z305" s="356"/>
      <c r="AA305" s="328"/>
      <c r="AB305" s="674"/>
      <c r="AC305" s="328"/>
      <c r="AD305" s="333"/>
      <c r="AE305" s="328"/>
      <c r="AF305" s="328"/>
      <c r="AG305" s="346"/>
      <c r="AH305" s="272"/>
      <c r="AI305" s="31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7"/>
      <c r="C306" s="375"/>
      <c r="D306" s="266"/>
      <c r="E306" s="267"/>
      <c r="F306" s="93"/>
      <c r="G306" s="268"/>
      <c r="H306" s="269"/>
      <c r="I306" s="78"/>
      <c r="J306" s="271"/>
      <c r="L306" s="271"/>
      <c r="M306" s="296"/>
      <c r="N306" s="316"/>
      <c r="O306" s="419"/>
      <c r="P306" s="387"/>
      <c r="Q306" s="417"/>
      <c r="T306" s="13"/>
      <c r="U306" s="320"/>
      <c r="V306" s="354"/>
      <c r="W306" s="355"/>
      <c r="X306" s="355"/>
      <c r="Y306" s="355"/>
      <c r="Z306" s="356"/>
      <c r="AA306" s="328"/>
      <c r="AB306" s="674"/>
      <c r="AC306" s="328"/>
      <c r="AD306" s="333"/>
      <c r="AE306" s="328"/>
      <c r="AF306" s="328"/>
      <c r="AG306" s="346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7"/>
      <c r="C307" s="375"/>
      <c r="D307" s="266"/>
      <c r="E307" s="267"/>
      <c r="F307" s="93"/>
      <c r="G307" s="268"/>
      <c r="H307" s="269"/>
      <c r="I307" s="78"/>
      <c r="J307" s="271"/>
      <c r="L307" s="271"/>
      <c r="M307" s="296"/>
      <c r="N307" s="316"/>
      <c r="O307" s="419"/>
      <c r="P307" s="387"/>
      <c r="Q307" s="417"/>
      <c r="T307" s="13"/>
      <c r="U307" s="357"/>
      <c r="V307" s="354"/>
      <c r="W307" s="355"/>
      <c r="X307" s="330"/>
      <c r="Y307" s="354"/>
      <c r="Z307" s="356"/>
      <c r="AA307" s="328"/>
      <c r="AB307" s="674"/>
      <c r="AC307" s="346"/>
      <c r="AD307" s="333"/>
      <c r="AE307" s="346"/>
      <c r="AF307" s="346"/>
      <c r="AG307" s="346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7"/>
      <c r="C308" s="375"/>
      <c r="D308" s="266"/>
      <c r="E308" s="267"/>
      <c r="F308" s="93"/>
      <c r="G308" s="268"/>
      <c r="H308" s="269"/>
      <c r="I308" s="78"/>
      <c r="J308" s="271"/>
      <c r="L308" s="382"/>
      <c r="M308" s="296"/>
      <c r="N308" s="316"/>
      <c r="O308" s="377"/>
      <c r="P308" s="387"/>
      <c r="Q308" s="417"/>
      <c r="T308" s="13"/>
      <c r="U308" s="370"/>
      <c r="V308" s="370"/>
      <c r="W308" s="375"/>
      <c r="X308" s="374"/>
      <c r="Y308" s="370"/>
      <c r="Z308" s="376"/>
      <c r="AA308" s="371"/>
      <c r="AB308" s="673"/>
      <c r="AC308" s="270"/>
      <c r="AD308" s="372"/>
      <c r="AE308" s="270"/>
      <c r="AF308" s="270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69"/>
      <c r="C309" s="375"/>
      <c r="D309" s="374"/>
      <c r="E309" s="374"/>
      <c r="F309" s="374"/>
      <c r="G309" s="414"/>
      <c r="H309" s="415"/>
      <c r="I309" s="78"/>
      <c r="J309" s="291"/>
      <c r="L309" s="271"/>
      <c r="M309" s="296"/>
      <c r="N309" s="316"/>
      <c r="O309" s="377"/>
      <c r="P309" s="388"/>
      <c r="Q309" s="417"/>
      <c r="T309" s="13"/>
      <c r="U309" s="370"/>
      <c r="V309" s="370"/>
      <c r="W309" s="375"/>
      <c r="X309" s="374"/>
      <c r="Y309" s="370"/>
      <c r="Z309" s="376"/>
      <c r="AA309" s="371"/>
      <c r="AB309" s="673"/>
      <c r="AC309" s="270"/>
      <c r="AD309" s="372"/>
      <c r="AE309" s="270"/>
      <c r="AF309" s="270"/>
      <c r="AG309" s="270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L310" s="94"/>
      <c r="M310" s="296"/>
      <c r="N310" s="316"/>
      <c r="O310" s="377"/>
      <c r="P310" s="388"/>
      <c r="Q310" s="417"/>
      <c r="T310" s="13"/>
      <c r="U310" s="370"/>
      <c r="V310" s="370"/>
      <c r="W310" s="375"/>
      <c r="X310" s="374"/>
      <c r="Y310" s="370"/>
      <c r="Z310" s="376"/>
      <c r="AA310" s="371"/>
      <c r="AB310" s="673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L311" s="94"/>
      <c r="M311" s="296"/>
      <c r="N311" s="316"/>
      <c r="O311" s="377"/>
      <c r="P311" s="387"/>
      <c r="Q311" s="417"/>
      <c r="T311" s="13"/>
      <c r="U311" s="370"/>
      <c r="V311" s="370"/>
      <c r="W311" s="375"/>
      <c r="X311" s="374"/>
      <c r="Y311" s="370"/>
      <c r="Z311" s="376"/>
      <c r="AA311" s="371"/>
      <c r="AB311" s="673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117"/>
      <c r="M312" s="296"/>
      <c r="N312" s="316"/>
      <c r="O312" s="377"/>
      <c r="P312" s="387"/>
      <c r="Q312" s="417"/>
      <c r="T312" s="13"/>
      <c r="U312" s="370"/>
      <c r="V312" s="370"/>
      <c r="W312" s="375"/>
      <c r="X312" s="374"/>
      <c r="Y312" s="370"/>
      <c r="Z312" s="376"/>
      <c r="AA312" s="371"/>
      <c r="AB312" s="673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6"/>
      <c r="O313" s="377"/>
      <c r="P313" s="388"/>
      <c r="Q313" s="417"/>
      <c r="T313" s="13"/>
      <c r="U313" s="370"/>
      <c r="V313" s="370"/>
      <c r="W313" s="375"/>
      <c r="X313" s="374"/>
      <c r="Y313" s="370"/>
      <c r="Z313" s="376"/>
      <c r="AA313" s="371"/>
      <c r="AB313" s="673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94"/>
      <c r="M314" s="296"/>
      <c r="N314" s="316"/>
      <c r="O314" s="296"/>
      <c r="P314" s="387"/>
      <c r="Q314" s="417"/>
      <c r="T314" s="13"/>
      <c r="U314" s="370"/>
      <c r="V314" s="370"/>
      <c r="W314" s="375"/>
      <c r="X314" s="374"/>
      <c r="Y314" s="370"/>
      <c r="Z314" s="376"/>
      <c r="AA314" s="371"/>
      <c r="AB314" s="673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6"/>
      <c r="O315" s="296"/>
      <c r="P315" s="388"/>
      <c r="Q315" s="417"/>
      <c r="T315" s="13"/>
      <c r="U315" s="370"/>
      <c r="V315" s="370"/>
      <c r="W315" s="375"/>
      <c r="X315" s="374"/>
      <c r="Y315" s="370"/>
      <c r="Z315" s="376"/>
      <c r="AA315" s="371"/>
      <c r="AB315" s="673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6"/>
      <c r="O316" s="377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673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385"/>
      <c r="M317" s="296"/>
      <c r="N317" s="316"/>
      <c r="O317" s="377"/>
      <c r="P317" s="387"/>
      <c r="Q317" s="417"/>
      <c r="T317" s="13"/>
      <c r="U317" s="370"/>
      <c r="V317" s="370"/>
      <c r="W317" s="375"/>
      <c r="X317" s="374"/>
      <c r="Y317" s="370"/>
      <c r="Z317" s="376"/>
      <c r="AA317" s="371"/>
      <c r="AB317" s="673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L318" s="94"/>
      <c r="M318" s="296"/>
      <c r="N318" s="316"/>
      <c r="O318" s="377"/>
      <c r="P318" s="387"/>
      <c r="Q318" s="417"/>
      <c r="T318" s="13"/>
      <c r="U318" s="370"/>
      <c r="V318" s="370"/>
      <c r="W318" s="375"/>
      <c r="X318" s="374"/>
      <c r="Y318" s="370"/>
      <c r="Z318" s="376"/>
      <c r="AA318" s="371"/>
      <c r="AB318" s="673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L319" s="94"/>
      <c r="M319" s="296"/>
      <c r="N319" s="316"/>
      <c r="O319" s="377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673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L320" s="94"/>
      <c r="M320" s="296"/>
      <c r="N320" s="316"/>
      <c r="O320" s="377"/>
      <c r="P320" s="387"/>
      <c r="Q320" s="417"/>
      <c r="T320" s="13"/>
      <c r="U320" s="370"/>
      <c r="V320" s="370"/>
      <c r="W320" s="375"/>
      <c r="X320" s="374"/>
      <c r="Y320" s="370"/>
      <c r="Z320" s="376"/>
      <c r="AA320" s="371"/>
      <c r="AB320" s="673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O321" s="296"/>
      <c r="P321" s="387"/>
      <c r="Q321" s="417"/>
      <c r="T321" s="13"/>
      <c r="U321" s="370"/>
      <c r="V321" s="370"/>
      <c r="W321" s="375"/>
      <c r="X321" s="374"/>
      <c r="Y321" s="370"/>
      <c r="Z321" s="376"/>
      <c r="AA321" s="371"/>
      <c r="AB321" s="673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O322" s="296"/>
      <c r="P322" s="387"/>
      <c r="Q322" s="417"/>
      <c r="T322" s="13"/>
      <c r="U322" s="370"/>
      <c r="V322" s="370"/>
      <c r="W322" s="375"/>
      <c r="X322" s="374"/>
      <c r="Y322" s="370"/>
      <c r="Z322" s="376"/>
      <c r="AA322" s="371"/>
      <c r="AB322" s="673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O323" s="296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673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296"/>
      <c r="P324" s="387"/>
      <c r="Q324" s="417"/>
      <c r="T324" s="13"/>
      <c r="U324" s="370"/>
      <c r="V324" s="370"/>
      <c r="W324" s="375"/>
      <c r="X324" s="374"/>
      <c r="Y324" s="370"/>
      <c r="Z324" s="376"/>
      <c r="AA324" s="371"/>
      <c r="AB324" s="673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362"/>
      <c r="P325" s="387"/>
      <c r="Q325" s="417"/>
      <c r="T325" s="13"/>
      <c r="U325" s="370"/>
      <c r="V325" s="370"/>
      <c r="W325" s="375"/>
      <c r="X325" s="374"/>
      <c r="Y325" s="370"/>
      <c r="Z325" s="376"/>
      <c r="AA325" s="371"/>
      <c r="AB325" s="673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7"/>
      <c r="Q326" s="417"/>
      <c r="T326" s="13"/>
      <c r="U326" s="370"/>
      <c r="V326" s="370"/>
      <c r="W326" s="375"/>
      <c r="X326" s="374"/>
      <c r="Y326" s="370"/>
      <c r="Z326" s="376"/>
      <c r="AA326" s="371"/>
      <c r="AB326" s="673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296"/>
      <c r="P327" s="387"/>
      <c r="Q327" s="417"/>
      <c r="T327" s="13"/>
      <c r="U327" s="370"/>
      <c r="V327" s="370"/>
      <c r="W327" s="375"/>
      <c r="X327" s="374"/>
      <c r="Y327" s="370"/>
      <c r="Z327" s="376"/>
      <c r="AA327" s="371"/>
      <c r="AB327" s="673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7"/>
      <c r="Q328" s="417"/>
      <c r="T328" s="13"/>
      <c r="U328" s="370"/>
      <c r="V328" s="370"/>
      <c r="W328" s="375"/>
      <c r="X328" s="374"/>
      <c r="Y328" s="370"/>
      <c r="Z328" s="376"/>
      <c r="AA328" s="371"/>
      <c r="AB328" s="673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8"/>
      <c r="Q329" s="417"/>
      <c r="T329" s="13"/>
      <c r="U329" s="370"/>
      <c r="V329" s="370"/>
      <c r="W329" s="375"/>
      <c r="X329" s="374"/>
      <c r="Y329" s="370"/>
      <c r="Z329" s="376"/>
      <c r="AA329" s="371"/>
      <c r="AB329" s="673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6"/>
      <c r="Q330" s="420"/>
      <c r="T330" s="13"/>
      <c r="U330" s="370"/>
      <c r="V330" s="370"/>
      <c r="W330" s="375"/>
      <c r="X330" s="374"/>
      <c r="Y330" s="370"/>
      <c r="Z330" s="376"/>
      <c r="AA330" s="371"/>
      <c r="AB330" s="673"/>
      <c r="AC330" s="270"/>
      <c r="AD330" s="372"/>
      <c r="AE330" s="270"/>
      <c r="AF330" s="270"/>
      <c r="AG330" s="270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7"/>
      <c r="Q331" s="417"/>
      <c r="T331" s="13"/>
      <c r="U331" s="370"/>
      <c r="V331" s="370"/>
      <c r="W331" s="375"/>
      <c r="X331" s="374"/>
      <c r="Y331" s="370"/>
      <c r="Z331" s="376"/>
      <c r="AA331" s="371"/>
      <c r="AB331" s="673"/>
      <c r="AC331" s="270"/>
      <c r="AD331" s="372"/>
      <c r="AE331" s="270"/>
      <c r="AF331" s="270"/>
      <c r="AG331" s="270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7"/>
      <c r="Q332" s="417"/>
      <c r="T332" s="13"/>
      <c r="U332" s="370"/>
      <c r="V332" s="370"/>
      <c r="W332" s="375"/>
      <c r="X332" s="374"/>
      <c r="Y332" s="370"/>
      <c r="Z332" s="376"/>
      <c r="AA332" s="371"/>
      <c r="AB332" s="673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7"/>
      <c r="Q333" s="417"/>
      <c r="T333" s="13"/>
      <c r="U333" s="370"/>
      <c r="V333" s="370"/>
      <c r="W333" s="375"/>
      <c r="X333" s="374"/>
      <c r="Y333" s="370"/>
      <c r="Z333" s="376"/>
      <c r="AA333" s="371"/>
      <c r="AB333" s="673"/>
      <c r="AC333" s="270"/>
      <c r="AD333" s="372"/>
      <c r="AE333" s="270"/>
      <c r="AF333" s="270"/>
      <c r="AG333" s="270"/>
      <c r="AH333" s="272"/>
      <c r="AI333" s="313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7"/>
      <c r="Q334" s="417"/>
      <c r="T334" s="13"/>
      <c r="U334" s="370"/>
      <c r="V334" s="370"/>
      <c r="W334" s="375"/>
      <c r="X334" s="374"/>
      <c r="Y334" s="370"/>
      <c r="Z334" s="376"/>
      <c r="AA334" s="371"/>
      <c r="AB334" s="673"/>
      <c r="AC334" s="270"/>
      <c r="AD334" s="372"/>
      <c r="AE334" s="270"/>
      <c r="AF334" s="270"/>
      <c r="AG334" s="270"/>
      <c r="AH334" s="272"/>
      <c r="AI334" s="313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7"/>
      <c r="Q335" s="417"/>
      <c r="T335" s="13"/>
      <c r="U335" s="370"/>
      <c r="V335" s="370"/>
      <c r="W335" s="375"/>
      <c r="X335" s="374"/>
      <c r="Y335" s="370"/>
      <c r="Z335" s="376"/>
      <c r="AA335" s="371"/>
      <c r="AB335" s="673"/>
      <c r="AC335" s="270"/>
      <c r="AD335" s="372"/>
      <c r="AE335" s="270"/>
      <c r="AF335" s="270"/>
      <c r="AG335" s="270"/>
      <c r="AH335" s="272"/>
      <c r="AI335" s="313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8"/>
      <c r="Q336" s="417"/>
      <c r="T336" s="13"/>
      <c r="U336" s="370"/>
      <c r="V336" s="370"/>
      <c r="W336" s="375"/>
      <c r="X336" s="374"/>
      <c r="Y336" s="370"/>
      <c r="Z336" s="376"/>
      <c r="AA336" s="371"/>
      <c r="AB336" s="673"/>
      <c r="AC336" s="270"/>
      <c r="AD336" s="372"/>
      <c r="AE336" s="270"/>
      <c r="AF336" s="270"/>
      <c r="AG336" s="270"/>
      <c r="AH336" s="272"/>
      <c r="AI336" s="313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7"/>
      <c r="Q337" s="417"/>
      <c r="T337" s="13"/>
      <c r="U337" s="370"/>
      <c r="V337" s="370"/>
      <c r="W337" s="375"/>
      <c r="X337" s="374"/>
      <c r="Y337" s="370"/>
      <c r="Z337" s="376"/>
      <c r="AA337" s="371"/>
      <c r="AB337" s="673"/>
      <c r="AC337" s="270"/>
      <c r="AD337" s="372"/>
      <c r="AE337" s="270"/>
      <c r="AF337" s="270"/>
      <c r="AG337" s="270"/>
      <c r="AH337" s="272"/>
      <c r="AI337" s="313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296"/>
      <c r="P338" s="387"/>
      <c r="Q338" s="417"/>
      <c r="T338" s="13"/>
      <c r="U338" s="370"/>
      <c r="V338" s="370"/>
      <c r="W338" s="375"/>
      <c r="X338" s="374"/>
      <c r="Y338" s="370"/>
      <c r="Z338" s="376"/>
      <c r="AA338" s="371"/>
      <c r="AB338" s="673"/>
      <c r="AC338" s="270"/>
      <c r="AD338" s="372"/>
      <c r="AE338" s="270"/>
      <c r="AF338" s="270"/>
      <c r="AG338" s="270"/>
      <c r="AH338" s="272"/>
      <c r="AI338" s="313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296"/>
      <c r="P339" s="387"/>
      <c r="Q339" s="417"/>
      <c r="T339" s="13"/>
      <c r="U339" s="370"/>
      <c r="V339" s="370"/>
      <c r="W339" s="375"/>
      <c r="X339" s="374"/>
      <c r="Y339" s="370"/>
      <c r="Z339" s="376"/>
      <c r="AA339" s="371"/>
      <c r="AB339" s="673"/>
      <c r="AC339" s="270"/>
      <c r="AD339" s="372"/>
      <c r="AE339" s="270"/>
      <c r="AF339" s="270"/>
      <c r="AG339" s="270"/>
      <c r="AH339" s="272"/>
      <c r="AI339" s="313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296"/>
      <c r="P340" s="387"/>
      <c r="Q340" s="417"/>
      <c r="T340" s="13"/>
      <c r="U340" s="370"/>
      <c r="V340" s="370"/>
      <c r="W340" s="375"/>
      <c r="X340" s="374"/>
      <c r="Y340" s="370"/>
      <c r="Z340" s="376"/>
      <c r="AA340" s="371"/>
      <c r="AB340" s="673"/>
      <c r="AC340" s="270"/>
      <c r="AD340" s="372"/>
      <c r="AE340" s="270"/>
      <c r="AF340" s="270"/>
      <c r="AG340" s="270"/>
      <c r="AH340" s="272"/>
      <c r="AI340" s="313"/>
      <c r="AJ340" s="21"/>
      <c r="AK340" s="21"/>
      <c r="AL340" s="21"/>
      <c r="AM340" s="21"/>
      <c r="AN340" s="21"/>
      <c r="AO340" s="21"/>
    </row>
    <row r="341" spans="1:41" s="53" customFormat="1" ht="14.25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387"/>
      <c r="Q341" s="417"/>
      <c r="T341" s="13"/>
      <c r="U341" s="370"/>
      <c r="V341" s="370"/>
      <c r="W341" s="375"/>
      <c r="X341" s="374"/>
      <c r="Y341" s="370"/>
      <c r="Z341" s="376"/>
      <c r="AA341" s="371"/>
      <c r="AB341" s="673"/>
      <c r="AC341" s="270"/>
      <c r="AD341" s="372"/>
      <c r="AE341" s="270"/>
      <c r="AF341" s="270"/>
      <c r="AG341" s="270"/>
      <c r="AH341" s="272"/>
      <c r="AI341" s="313"/>
      <c r="AJ341" s="21"/>
      <c r="AK341" s="21"/>
      <c r="AL341" s="21"/>
      <c r="AM341" s="21"/>
      <c r="AN341" s="21"/>
      <c r="AO341" s="21"/>
    </row>
    <row r="342" spans="1:41" s="53" customFormat="1" ht="14.25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387"/>
      <c r="Q342" s="417"/>
      <c r="T342" s="13"/>
      <c r="U342" s="370"/>
      <c r="V342" s="370"/>
      <c r="W342" s="375"/>
      <c r="X342" s="374"/>
      <c r="Y342" s="370"/>
      <c r="Z342" s="376"/>
      <c r="AA342" s="371"/>
      <c r="AB342" s="673"/>
      <c r="AC342" s="270"/>
      <c r="AD342" s="372"/>
      <c r="AE342" s="270"/>
      <c r="AF342" s="270"/>
      <c r="AG342" s="270"/>
      <c r="AH342" s="272"/>
      <c r="AI342" s="313"/>
      <c r="AJ342" s="21"/>
      <c r="AK342" s="21"/>
      <c r="AL342" s="21"/>
      <c r="AM342" s="21"/>
      <c r="AN342" s="21"/>
      <c r="AO342" s="21"/>
    </row>
    <row r="343" spans="1:41" s="53" customFormat="1" ht="14.25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388"/>
      <c r="Q343" s="417"/>
      <c r="T343" s="13"/>
      <c r="U343" s="370"/>
      <c r="V343" s="370"/>
      <c r="W343" s="375"/>
      <c r="X343" s="374"/>
      <c r="Y343" s="370"/>
      <c r="Z343" s="376"/>
      <c r="AA343" s="371"/>
      <c r="AB343" s="673"/>
      <c r="AC343" s="270"/>
      <c r="AD343" s="372"/>
      <c r="AE343" s="270"/>
      <c r="AF343" s="270"/>
      <c r="AG343" s="270"/>
      <c r="AH343" s="272"/>
      <c r="AI343" s="313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316"/>
      <c r="R344" s="362"/>
      <c r="S344" s="291"/>
      <c r="T344" s="13"/>
      <c r="U344" s="370"/>
      <c r="V344" s="370"/>
      <c r="W344" s="375"/>
      <c r="X344" s="374"/>
      <c r="Y344" s="370"/>
      <c r="Z344" s="376"/>
      <c r="AA344" s="371"/>
      <c r="AB344" s="673"/>
      <c r="AC344" s="270"/>
      <c r="AD344" s="372"/>
      <c r="AE344" s="270"/>
      <c r="AF344" s="270"/>
      <c r="AG344" s="270"/>
      <c r="AH344" s="272"/>
      <c r="AI344" s="313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21"/>
      <c r="R345" s="362"/>
      <c r="S345" s="291"/>
      <c r="T345" s="13"/>
      <c r="U345" s="370"/>
      <c r="V345" s="370"/>
      <c r="W345" s="375"/>
      <c r="X345" s="374"/>
      <c r="Y345" s="370"/>
      <c r="Z345" s="376"/>
      <c r="AA345" s="371"/>
      <c r="AB345" s="673"/>
      <c r="AC345" s="270"/>
      <c r="AD345" s="372"/>
      <c r="AE345" s="270"/>
      <c r="AF345" s="270"/>
      <c r="AG345" s="270"/>
      <c r="AH345" s="272"/>
      <c r="AI345" s="313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21"/>
      <c r="R346" s="362"/>
      <c r="S346" s="291"/>
      <c r="T346" s="13"/>
      <c r="U346" s="370"/>
      <c r="V346" s="370"/>
      <c r="W346" s="375"/>
      <c r="X346" s="374"/>
      <c r="Y346" s="370"/>
      <c r="Z346" s="376"/>
      <c r="AA346" s="371"/>
      <c r="AB346" s="673"/>
      <c r="AC346" s="270"/>
      <c r="AD346" s="372"/>
      <c r="AE346" s="270"/>
      <c r="AF346" s="270"/>
      <c r="AG346" s="270"/>
      <c r="AH346" s="272"/>
      <c r="AI346" s="313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21"/>
      <c r="R347" s="362"/>
      <c r="S347" s="291"/>
      <c r="T347" s="13"/>
      <c r="U347" s="370"/>
      <c r="V347" s="370"/>
      <c r="W347" s="375"/>
      <c r="X347" s="374"/>
      <c r="Y347" s="370"/>
      <c r="Z347" s="376"/>
      <c r="AA347" s="371"/>
      <c r="AB347" s="673"/>
      <c r="AC347" s="270"/>
      <c r="AD347" s="372"/>
      <c r="AE347" s="270"/>
      <c r="AF347" s="270"/>
      <c r="AG347" s="270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21"/>
      <c r="R348" s="383"/>
      <c r="S348" s="21"/>
      <c r="T348" s="13"/>
      <c r="U348" s="370"/>
      <c r="V348" s="370"/>
      <c r="W348" s="375"/>
      <c r="X348" s="374"/>
      <c r="Y348" s="370"/>
      <c r="Z348" s="376"/>
      <c r="AA348" s="371"/>
      <c r="AB348" s="673"/>
      <c r="AC348" s="270"/>
      <c r="AD348" s="372"/>
      <c r="AE348" s="270"/>
      <c r="AF348" s="270"/>
      <c r="AG348" s="270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21"/>
      <c r="R349" s="383"/>
      <c r="S349" s="21"/>
      <c r="T349" s="13"/>
      <c r="U349" s="354"/>
      <c r="V349" s="354"/>
      <c r="W349" s="355"/>
      <c r="X349" s="330"/>
      <c r="Y349" s="354"/>
      <c r="Z349" s="356"/>
      <c r="AA349" s="328"/>
      <c r="AB349" s="674"/>
      <c r="AC349" s="346"/>
      <c r="AD349" s="333"/>
      <c r="AE349" s="346"/>
      <c r="AF349" s="346"/>
      <c r="AG349" s="346"/>
      <c r="AH349" s="272"/>
      <c r="AI349" s="313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O350" s="97"/>
      <c r="P350" s="296"/>
      <c r="Q350" s="421"/>
      <c r="R350" s="383"/>
      <c r="S350" s="21"/>
      <c r="T350" s="13"/>
      <c r="U350" s="354"/>
      <c r="V350" s="354"/>
      <c r="W350" s="355"/>
      <c r="X350" s="330"/>
      <c r="Y350" s="354"/>
      <c r="Z350" s="356"/>
      <c r="AA350" s="328"/>
      <c r="AB350" s="674"/>
      <c r="AC350" s="346"/>
      <c r="AD350" s="333"/>
      <c r="AE350" s="346"/>
      <c r="AF350" s="346"/>
      <c r="AG350" s="346"/>
      <c r="AH350" s="272"/>
      <c r="AI350" s="313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O351" s="97"/>
      <c r="P351" s="296"/>
      <c r="Q351" s="421"/>
      <c r="R351" s="383"/>
      <c r="S351" s="21"/>
      <c r="T351" s="13"/>
      <c r="U351" s="381"/>
      <c r="V351" s="381"/>
      <c r="W351" s="375"/>
      <c r="X351" s="374"/>
      <c r="Y351" s="370"/>
      <c r="Z351" s="376"/>
      <c r="AA351" s="371"/>
      <c r="AB351" s="673"/>
      <c r="AC351" s="270"/>
      <c r="AD351" s="372"/>
      <c r="AE351" s="270"/>
      <c r="AF351" s="270"/>
      <c r="AG351" s="270"/>
      <c r="AH351" s="272"/>
      <c r="AI351" s="313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21"/>
      <c r="R352" s="383"/>
      <c r="S352" s="21"/>
      <c r="T352" s="13"/>
      <c r="U352" s="381"/>
      <c r="V352" s="381"/>
      <c r="W352" s="375"/>
      <c r="X352" s="374"/>
      <c r="Y352" s="370"/>
      <c r="Z352" s="376"/>
      <c r="AA352" s="371"/>
      <c r="AB352" s="673"/>
      <c r="AC352" s="270"/>
      <c r="AD352" s="372"/>
      <c r="AE352" s="270"/>
      <c r="AF352" s="270"/>
      <c r="AG352" s="270"/>
      <c r="AH352" s="272"/>
      <c r="AI352" s="389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673"/>
      <c r="AC353" s="270"/>
      <c r="AD353" s="372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673"/>
      <c r="AC354" s="270"/>
      <c r="AD354" s="372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673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O356" s="97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673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673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673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673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673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21"/>
      <c r="R361" s="383"/>
      <c r="S361" s="1"/>
      <c r="T361" s="13"/>
      <c r="U361" s="381"/>
      <c r="V361" s="381"/>
      <c r="W361" s="375"/>
      <c r="X361" s="374"/>
      <c r="Y361" s="370"/>
      <c r="Z361" s="376"/>
      <c r="AA361" s="371"/>
      <c r="AB361" s="673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673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673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673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673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673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673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673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673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673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673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21"/>
      <c r="R372" s="383"/>
      <c r="S372" s="21"/>
      <c r="T372" s="13"/>
      <c r="U372" s="381"/>
      <c r="V372" s="381"/>
      <c r="W372" s="375"/>
      <c r="X372" s="374"/>
      <c r="Y372" s="370"/>
      <c r="Z372" s="376"/>
      <c r="AA372" s="371"/>
      <c r="AB372" s="673"/>
      <c r="AC372" s="270"/>
      <c r="AD372" s="372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21"/>
      <c r="R373" s="383"/>
      <c r="S373" s="21"/>
      <c r="T373" s="13"/>
      <c r="U373" s="381"/>
      <c r="V373" s="381"/>
      <c r="W373" s="375"/>
      <c r="X373" s="374"/>
      <c r="Y373" s="370"/>
      <c r="Z373" s="376"/>
      <c r="AA373" s="371"/>
      <c r="AB373" s="673"/>
      <c r="AC373" s="270"/>
      <c r="AD373" s="372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97"/>
      <c r="P374" s="296"/>
      <c r="Q374" s="421"/>
      <c r="R374" s="383"/>
      <c r="S374" s="21"/>
      <c r="T374" s="13"/>
      <c r="U374" s="381"/>
      <c r="V374" s="381"/>
      <c r="W374" s="375"/>
      <c r="X374" s="374"/>
      <c r="Y374" s="370"/>
      <c r="Z374" s="376"/>
      <c r="AA374" s="371"/>
      <c r="AB374" s="673"/>
      <c r="AC374" s="270"/>
      <c r="AD374" s="372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97"/>
      <c r="P375" s="296"/>
      <c r="Q375" s="421"/>
      <c r="R375" s="383"/>
      <c r="S375" s="21"/>
      <c r="T375" s="13"/>
      <c r="U375" s="381"/>
      <c r="V375" s="381"/>
      <c r="W375" s="375"/>
      <c r="X375" s="374"/>
      <c r="Y375" s="370"/>
      <c r="Z375" s="376"/>
      <c r="AA375" s="371"/>
      <c r="AB375" s="673"/>
      <c r="AC375" s="270"/>
      <c r="AD375" s="372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97"/>
      <c r="P376" s="296"/>
      <c r="Q376" s="421"/>
      <c r="R376" s="383"/>
      <c r="S376" s="21"/>
      <c r="T376" s="13"/>
      <c r="U376" s="381"/>
      <c r="V376" s="381"/>
      <c r="W376" s="375"/>
      <c r="X376" s="374"/>
      <c r="Y376" s="370"/>
      <c r="Z376" s="376"/>
      <c r="AA376" s="371"/>
      <c r="AB376" s="673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21"/>
      <c r="R377" s="383"/>
      <c r="S377" s="21"/>
      <c r="T377" s="13"/>
      <c r="U377" s="381"/>
      <c r="V377" s="381"/>
      <c r="W377" s="375"/>
      <c r="X377" s="374"/>
      <c r="Y377" s="370"/>
      <c r="Z377" s="376"/>
      <c r="AA377" s="371"/>
      <c r="AB377" s="673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21"/>
      <c r="R378" s="383"/>
      <c r="S378" s="21"/>
      <c r="T378" s="13"/>
      <c r="U378" s="381"/>
      <c r="V378" s="381"/>
      <c r="W378" s="375"/>
      <c r="X378" s="374"/>
      <c r="Y378" s="370"/>
      <c r="Z378" s="376"/>
      <c r="AA378" s="371"/>
      <c r="AB378" s="673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21"/>
      <c r="R379" s="383"/>
      <c r="S379" s="21"/>
      <c r="T379" s="13"/>
      <c r="U379" s="381"/>
      <c r="V379" s="381"/>
      <c r="W379" s="375"/>
      <c r="X379" s="374"/>
      <c r="Y379" s="370"/>
      <c r="Z379" s="376"/>
      <c r="AA379" s="371"/>
      <c r="AB379" s="673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21"/>
      <c r="R380" s="383"/>
      <c r="S380" s="21"/>
      <c r="T380" s="13"/>
      <c r="U380" s="381"/>
      <c r="V380" s="381"/>
      <c r="W380" s="375"/>
      <c r="X380" s="374"/>
      <c r="Y380" s="370"/>
      <c r="Z380" s="376"/>
      <c r="AA380" s="371"/>
      <c r="AB380" s="673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21"/>
      <c r="R381" s="383"/>
      <c r="S381" s="21"/>
      <c r="T381" s="13"/>
      <c r="U381" s="381"/>
      <c r="V381" s="381"/>
      <c r="W381" s="375"/>
      <c r="X381" s="374"/>
      <c r="Y381" s="370"/>
      <c r="Z381" s="376"/>
      <c r="AA381" s="371"/>
      <c r="AB381" s="673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81"/>
      <c r="W382" s="375"/>
      <c r="X382" s="374"/>
      <c r="Y382" s="370"/>
      <c r="Z382" s="376"/>
      <c r="AA382" s="371"/>
      <c r="AB382" s="673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81"/>
      <c r="W383" s="375"/>
      <c r="X383" s="374"/>
      <c r="Y383" s="370"/>
      <c r="Z383" s="376"/>
      <c r="AA383" s="371"/>
      <c r="AB383" s="673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81"/>
      <c r="W384" s="375"/>
      <c r="X384" s="374"/>
      <c r="Y384" s="370"/>
      <c r="Z384" s="376"/>
      <c r="AA384" s="371"/>
      <c r="AB384" s="673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81"/>
      <c r="W385" s="375"/>
      <c r="X385" s="374"/>
      <c r="Y385" s="370"/>
      <c r="Z385" s="376"/>
      <c r="AA385" s="371"/>
      <c r="AB385" s="673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81"/>
      <c r="W386" s="375"/>
      <c r="X386" s="374"/>
      <c r="Y386" s="370"/>
      <c r="Z386" s="376"/>
      <c r="AA386" s="371"/>
      <c r="AB386" s="673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81"/>
      <c r="W387" s="375"/>
      <c r="X387" s="374"/>
      <c r="Y387" s="370"/>
      <c r="Z387" s="376"/>
      <c r="AA387" s="371"/>
      <c r="AB387" s="673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81"/>
      <c r="W388" s="375"/>
      <c r="X388" s="374"/>
      <c r="Y388" s="370"/>
      <c r="Z388" s="376"/>
      <c r="AA388" s="371"/>
      <c r="AB388" s="673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81"/>
      <c r="W389" s="375"/>
      <c r="X389" s="374"/>
      <c r="Y389" s="370"/>
      <c r="Z389" s="376"/>
      <c r="AA389" s="371"/>
      <c r="AB389" s="673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81"/>
      <c r="W390" s="375"/>
      <c r="X390" s="374"/>
      <c r="Y390" s="370"/>
      <c r="Z390" s="376"/>
      <c r="AA390" s="371"/>
      <c r="AB390" s="673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4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21"/>
      <c r="W391" s="322"/>
      <c r="X391" s="322"/>
      <c r="Y391" s="322"/>
      <c r="Z391" s="323"/>
      <c r="AA391" s="371"/>
      <c r="AB391" s="673"/>
      <c r="AC391" s="371"/>
      <c r="AD391" s="372"/>
      <c r="AE391" s="371"/>
      <c r="AF391" s="371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4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21"/>
      <c r="W392" s="322"/>
      <c r="X392" s="322"/>
      <c r="Y392" s="322"/>
      <c r="Z392" s="323"/>
      <c r="AA392" s="371"/>
      <c r="AB392" s="673"/>
      <c r="AC392" s="371"/>
      <c r="AD392" s="372"/>
      <c r="AE392" s="371"/>
      <c r="AF392" s="371"/>
      <c r="AG392" s="270"/>
      <c r="AH392" s="272"/>
      <c r="AI392" s="1"/>
      <c r="AJ392" s="21"/>
      <c r="AK392" s="21"/>
      <c r="AL392" s="21"/>
      <c r="AM392" s="21"/>
      <c r="AN392" s="21"/>
      <c r="AO392" s="21"/>
      <c r="AQ392" s="21"/>
      <c r="AR392" s="21"/>
    </row>
    <row r="393" spans="1:44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21"/>
      <c r="R393" s="383"/>
      <c r="S393" s="21"/>
      <c r="T393" s="13"/>
      <c r="U393" s="381"/>
      <c r="V393" s="321"/>
      <c r="W393" s="322"/>
      <c r="X393" s="322"/>
      <c r="Y393" s="322"/>
      <c r="Z393" s="323"/>
      <c r="AA393" s="371"/>
      <c r="AB393" s="673"/>
      <c r="AC393" s="371"/>
      <c r="AD393" s="372"/>
      <c r="AE393" s="371"/>
      <c r="AF393" s="371"/>
      <c r="AG393" s="270"/>
      <c r="AH393" s="272"/>
      <c r="AI393" s="1"/>
      <c r="AJ393" s="21"/>
      <c r="AK393" s="21"/>
      <c r="AL393" s="21"/>
      <c r="AM393" s="21"/>
      <c r="AN393" s="21"/>
      <c r="AO393" s="21"/>
      <c r="AQ393" s="21"/>
      <c r="AR393" s="21"/>
    </row>
    <row r="394" spans="1:44" x14ac:dyDescent="0.2">
      <c r="A394" s="48"/>
      <c r="B394" s="306"/>
      <c r="C394" s="233"/>
      <c r="D394" s="233"/>
      <c r="P394" s="296"/>
      <c r="Q394" s="421"/>
      <c r="R394" s="383"/>
      <c r="U394" s="381"/>
      <c r="V394" s="321"/>
      <c r="W394" s="322"/>
      <c r="X394" s="322"/>
      <c r="Y394" s="322"/>
      <c r="Z394" s="323"/>
      <c r="AA394" s="371"/>
      <c r="AB394" s="673"/>
      <c r="AC394" s="371"/>
      <c r="AD394" s="372"/>
      <c r="AE394" s="371"/>
      <c r="AF394" s="371"/>
      <c r="AG394" s="270"/>
      <c r="AH394" s="272"/>
      <c r="AP394" s="53"/>
    </row>
    <row r="395" spans="1:44" x14ac:dyDescent="0.2">
      <c r="A395" s="48"/>
      <c r="B395" s="306"/>
      <c r="C395" s="233"/>
      <c r="D395" s="233"/>
      <c r="P395" s="296"/>
      <c r="Q395" s="421"/>
      <c r="R395" s="383"/>
      <c r="U395" s="381"/>
      <c r="V395" s="321"/>
      <c r="W395" s="322"/>
      <c r="X395" s="322"/>
      <c r="Y395" s="322"/>
      <c r="Z395" s="323"/>
      <c r="AA395" s="371"/>
      <c r="AB395" s="673"/>
      <c r="AC395" s="371"/>
      <c r="AD395" s="372"/>
      <c r="AE395" s="371"/>
      <c r="AF395" s="371"/>
      <c r="AG395" s="270"/>
      <c r="AH395" s="272"/>
      <c r="AP395" s="53"/>
    </row>
    <row r="396" spans="1:44" x14ac:dyDescent="0.2">
      <c r="A396" s="48"/>
      <c r="B396" s="306"/>
      <c r="C396" s="233"/>
      <c r="D396" s="233"/>
      <c r="P396" s="296"/>
      <c r="Q396" s="421"/>
      <c r="R396" s="383"/>
      <c r="U396" s="381"/>
      <c r="V396" s="370"/>
      <c r="W396" s="375"/>
      <c r="X396" s="375"/>
      <c r="Y396" s="375"/>
      <c r="Z396" s="376"/>
      <c r="AA396" s="371"/>
      <c r="AB396" s="673"/>
      <c r="AC396" s="371"/>
      <c r="AD396" s="372"/>
      <c r="AE396" s="371"/>
      <c r="AF396" s="371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21"/>
      <c r="R397" s="383"/>
      <c r="U397" s="381"/>
      <c r="V397" s="370"/>
      <c r="W397" s="375"/>
      <c r="X397" s="374"/>
      <c r="Y397" s="370"/>
      <c r="Z397" s="376"/>
      <c r="AA397" s="371"/>
      <c r="AB397" s="673"/>
      <c r="AC397" s="270"/>
      <c r="AD397" s="372"/>
      <c r="AE397" s="270"/>
      <c r="AF397" s="270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21"/>
      <c r="R398" s="383"/>
      <c r="U398" s="381"/>
      <c r="V398" s="370"/>
      <c r="W398" s="375"/>
      <c r="X398" s="374"/>
      <c r="Y398" s="370"/>
      <c r="Z398" s="376"/>
      <c r="AA398" s="371"/>
      <c r="AB398" s="673"/>
      <c r="AC398" s="270"/>
      <c r="AD398" s="372"/>
      <c r="AE398" s="270"/>
      <c r="AF398" s="270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21"/>
      <c r="R399" s="383"/>
      <c r="U399" s="381"/>
      <c r="V399" s="370"/>
      <c r="W399" s="375"/>
      <c r="X399" s="374"/>
      <c r="Y399" s="370"/>
      <c r="Z399" s="376"/>
      <c r="AA399" s="371"/>
      <c r="AB399" s="673"/>
      <c r="AC399" s="270"/>
      <c r="AD399" s="372"/>
      <c r="AE399" s="270"/>
      <c r="AF399" s="270"/>
      <c r="AG399" s="270"/>
      <c r="AH399" s="272"/>
      <c r="AP399" s="53"/>
    </row>
    <row r="400" spans="1:44" x14ac:dyDescent="0.2">
      <c r="A400" s="48"/>
      <c r="B400" s="306"/>
      <c r="C400" s="233"/>
      <c r="D400" s="233"/>
      <c r="P400" s="296"/>
      <c r="Q400" s="421"/>
      <c r="R400" s="383"/>
      <c r="U400" s="381"/>
      <c r="V400" s="370"/>
      <c r="W400" s="375"/>
      <c r="X400" s="374"/>
      <c r="Y400" s="370"/>
      <c r="Z400" s="376"/>
      <c r="AA400" s="371"/>
      <c r="AB400" s="673"/>
      <c r="AC400" s="270"/>
      <c r="AD400" s="372"/>
      <c r="AE400" s="270"/>
      <c r="AF400" s="270"/>
      <c r="AG400" s="270"/>
      <c r="AH400" s="272"/>
      <c r="AP400" s="53"/>
    </row>
    <row r="401" spans="1:44" x14ac:dyDescent="0.2">
      <c r="A401" s="48"/>
      <c r="B401" s="306"/>
      <c r="C401" s="233"/>
      <c r="D401" s="233"/>
      <c r="P401" s="296"/>
      <c r="Q401" s="421"/>
      <c r="R401" s="383"/>
      <c r="U401" s="381"/>
      <c r="V401" s="370"/>
      <c r="W401" s="375"/>
      <c r="X401" s="374"/>
      <c r="Y401" s="370"/>
      <c r="Z401" s="376"/>
      <c r="AA401" s="371"/>
      <c r="AB401" s="673"/>
      <c r="AC401" s="270"/>
      <c r="AD401" s="372"/>
      <c r="AE401" s="270"/>
      <c r="AF401" s="270"/>
      <c r="AG401" s="270"/>
      <c r="AH401" s="272"/>
      <c r="AP401" s="53"/>
    </row>
    <row r="402" spans="1:44" x14ac:dyDescent="0.2">
      <c r="A402" s="48"/>
      <c r="B402" s="306"/>
      <c r="C402" s="233"/>
      <c r="D402" s="233"/>
      <c r="P402" s="296"/>
      <c r="Q402" s="421"/>
      <c r="R402" s="383"/>
      <c r="U402" s="381"/>
      <c r="V402" s="370"/>
      <c r="W402" s="375"/>
      <c r="X402" s="374"/>
      <c r="Y402" s="370"/>
      <c r="Z402" s="376"/>
      <c r="AA402" s="371"/>
      <c r="AB402" s="673"/>
      <c r="AC402" s="270"/>
      <c r="AD402" s="372"/>
      <c r="AE402" s="270"/>
      <c r="AF402" s="270"/>
      <c r="AG402" s="270"/>
      <c r="AH402" s="272"/>
      <c r="AP402" s="53"/>
      <c r="AQ402" s="53"/>
      <c r="AR402" s="53"/>
    </row>
    <row r="403" spans="1:44" x14ac:dyDescent="0.2">
      <c r="A403" s="48"/>
      <c r="B403" s="306"/>
      <c r="C403" s="233"/>
      <c r="D403" s="233"/>
      <c r="P403" s="296"/>
      <c r="Q403" s="421"/>
      <c r="R403" s="383"/>
      <c r="U403" s="381"/>
      <c r="V403" s="370"/>
      <c r="W403" s="375"/>
      <c r="X403" s="374"/>
      <c r="Y403" s="370"/>
      <c r="Z403" s="376"/>
      <c r="AA403" s="371"/>
      <c r="AB403" s="673"/>
      <c r="AC403" s="270"/>
      <c r="AD403" s="372"/>
      <c r="AE403" s="270"/>
      <c r="AF403" s="270"/>
      <c r="AG403" s="270"/>
      <c r="AH403" s="272"/>
      <c r="AP403" s="53"/>
      <c r="AQ403" s="53"/>
      <c r="AR403" s="53"/>
    </row>
    <row r="404" spans="1:44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21"/>
      <c r="R404" s="383"/>
      <c r="S404" s="21"/>
      <c r="T404" s="13"/>
      <c r="U404" s="381"/>
      <c r="V404" s="370"/>
      <c r="W404" s="375"/>
      <c r="X404" s="374"/>
      <c r="Y404" s="370"/>
      <c r="Z404" s="376"/>
      <c r="AA404" s="371"/>
      <c r="AB404" s="673"/>
      <c r="AC404" s="270"/>
      <c r="AD404" s="372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4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21"/>
      <c r="R405" s="383"/>
      <c r="S405" s="21"/>
      <c r="T405" s="13"/>
      <c r="U405" s="381"/>
      <c r="V405" s="370"/>
      <c r="W405" s="375"/>
      <c r="X405" s="374"/>
      <c r="Y405" s="370"/>
      <c r="Z405" s="376"/>
      <c r="AA405" s="371"/>
      <c r="AB405" s="673"/>
      <c r="AC405" s="270"/>
      <c r="AD405" s="372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4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21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673"/>
      <c r="AC406" s="270"/>
      <c r="AD406" s="372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4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21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673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4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21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673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4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21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673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4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21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673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4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21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673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4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21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673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4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21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673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4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21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673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4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21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673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4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21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673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421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673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421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673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421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673"/>
      <c r="AC419" s="270"/>
      <c r="AD419" s="372"/>
      <c r="AE419" s="270"/>
      <c r="AF419" s="270"/>
      <c r="AG419" s="270"/>
      <c r="AH419" s="315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316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673"/>
      <c r="AC420" s="270"/>
      <c r="AD420" s="372"/>
      <c r="AE420" s="270"/>
      <c r="AF420" s="270"/>
      <c r="AG420" s="270"/>
      <c r="AH420" s="315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296"/>
      <c r="Q421" s="316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673"/>
      <c r="AC421" s="270"/>
      <c r="AD421" s="372"/>
      <c r="AE421" s="270"/>
      <c r="AF421" s="270"/>
      <c r="AG421" s="270"/>
      <c r="AH421" s="315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296"/>
      <c r="Q422" s="316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673"/>
      <c r="AC422" s="270"/>
      <c r="AD422" s="372"/>
      <c r="AE422" s="270"/>
      <c r="AF422" s="270"/>
      <c r="AG422" s="270"/>
      <c r="AH422" s="315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296"/>
      <c r="Q423" s="316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673"/>
      <c r="AC423" s="270"/>
      <c r="AD423" s="372"/>
      <c r="AE423" s="270"/>
      <c r="AF423" s="270"/>
      <c r="AG423" s="270"/>
      <c r="AH423" s="315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6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673"/>
      <c r="AC424" s="270"/>
      <c r="AD424" s="372"/>
      <c r="AE424" s="270"/>
      <c r="AF424" s="270"/>
      <c r="AG424" s="270"/>
      <c r="AH424" s="315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6"/>
      <c r="R425" s="383"/>
      <c r="S425" s="21"/>
      <c r="T425" s="13"/>
      <c r="U425" s="381"/>
      <c r="V425" s="370"/>
      <c r="W425" s="375"/>
      <c r="X425" s="374"/>
      <c r="Y425" s="370"/>
      <c r="Z425" s="376"/>
      <c r="AA425" s="371"/>
      <c r="AB425" s="673"/>
      <c r="AC425" s="270"/>
      <c r="AD425" s="372"/>
      <c r="AE425" s="270"/>
      <c r="AF425" s="270"/>
      <c r="AG425" s="270"/>
      <c r="AH425" s="315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6"/>
      <c r="R426" s="383"/>
      <c r="S426" s="21"/>
      <c r="T426" s="13"/>
      <c r="U426" s="381"/>
      <c r="V426" s="370"/>
      <c r="W426" s="375"/>
      <c r="X426" s="374"/>
      <c r="Y426" s="370"/>
      <c r="Z426" s="376"/>
      <c r="AA426" s="371"/>
      <c r="AB426" s="673"/>
      <c r="AC426" s="270"/>
      <c r="AD426" s="372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6"/>
      <c r="R427" s="383"/>
      <c r="S427" s="21"/>
      <c r="T427" s="13"/>
      <c r="U427" s="381"/>
      <c r="V427" s="370"/>
      <c r="W427" s="375"/>
      <c r="X427" s="374"/>
      <c r="Y427" s="370"/>
      <c r="Z427" s="376"/>
      <c r="AA427" s="371"/>
      <c r="AB427" s="673"/>
      <c r="AC427" s="270"/>
      <c r="AD427" s="372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6"/>
      <c r="R428" s="383"/>
      <c r="S428" s="21"/>
      <c r="T428" s="13"/>
      <c r="U428" s="381"/>
      <c r="V428" s="370"/>
      <c r="W428" s="375"/>
      <c r="X428" s="374"/>
      <c r="Y428" s="370"/>
      <c r="Z428" s="376"/>
      <c r="AA428" s="371"/>
      <c r="AB428" s="673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6"/>
      <c r="R429" s="383"/>
      <c r="S429" s="21"/>
      <c r="T429" s="13"/>
      <c r="U429" s="381"/>
      <c r="V429" s="370"/>
      <c r="W429" s="375"/>
      <c r="X429" s="374"/>
      <c r="Y429" s="370"/>
      <c r="Z429" s="376"/>
      <c r="AA429" s="371"/>
      <c r="AB429" s="673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6"/>
      <c r="R430" s="383"/>
      <c r="S430" s="21"/>
      <c r="T430" s="13"/>
      <c r="U430" s="381"/>
      <c r="V430" s="370"/>
      <c r="W430" s="375"/>
      <c r="X430" s="374"/>
      <c r="Y430" s="370"/>
      <c r="Z430" s="376"/>
      <c r="AA430" s="371"/>
      <c r="AB430" s="673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6"/>
      <c r="R431" s="383"/>
      <c r="S431" s="21"/>
      <c r="T431" s="13"/>
      <c r="U431" s="381"/>
      <c r="V431" s="370"/>
      <c r="W431" s="375"/>
      <c r="X431" s="374"/>
      <c r="Y431" s="370"/>
      <c r="Z431" s="376"/>
      <c r="AA431" s="371"/>
      <c r="AB431" s="673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6"/>
      <c r="R432" s="383"/>
      <c r="S432" s="21"/>
      <c r="T432" s="13"/>
      <c r="U432" s="381"/>
      <c r="V432" s="370"/>
      <c r="W432" s="375"/>
      <c r="X432" s="374"/>
      <c r="Y432" s="370"/>
      <c r="Z432" s="376"/>
      <c r="AA432" s="371"/>
      <c r="AB432" s="673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6"/>
      <c r="R433" s="383"/>
      <c r="S433" s="21"/>
      <c r="T433" s="13"/>
      <c r="U433" s="381"/>
      <c r="V433" s="370"/>
      <c r="W433" s="375"/>
      <c r="X433" s="374"/>
      <c r="Y433" s="370"/>
      <c r="Z433" s="376"/>
      <c r="AA433" s="371"/>
      <c r="AB433" s="673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6"/>
      <c r="R434" s="383"/>
      <c r="S434" s="21"/>
      <c r="T434" s="13"/>
      <c r="U434" s="381"/>
      <c r="V434" s="370"/>
      <c r="W434" s="375"/>
      <c r="X434" s="374"/>
      <c r="Y434" s="370"/>
      <c r="Z434" s="376"/>
      <c r="AA434" s="371"/>
      <c r="AB434" s="673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6"/>
      <c r="R435" s="383"/>
      <c r="S435" s="21"/>
      <c r="T435" s="13"/>
      <c r="U435" s="381"/>
      <c r="V435" s="370"/>
      <c r="W435" s="375"/>
      <c r="X435" s="374"/>
      <c r="Y435" s="370"/>
      <c r="Z435" s="376"/>
      <c r="AA435" s="371"/>
      <c r="AB435" s="673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6"/>
      <c r="R436" s="383"/>
      <c r="S436" s="21"/>
      <c r="T436" s="13"/>
      <c r="U436" s="381"/>
      <c r="V436" s="370"/>
      <c r="W436" s="375"/>
      <c r="X436" s="374"/>
      <c r="Y436" s="370"/>
      <c r="Z436" s="376"/>
      <c r="AA436" s="371"/>
      <c r="AB436" s="673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6"/>
      <c r="R437" s="383"/>
      <c r="S437" s="21"/>
      <c r="T437" s="13"/>
      <c r="U437" s="381"/>
      <c r="V437" s="370"/>
      <c r="W437" s="375"/>
      <c r="X437" s="374"/>
      <c r="Y437" s="370"/>
      <c r="Z437" s="376"/>
      <c r="AA437" s="371"/>
      <c r="AB437" s="673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6"/>
      <c r="R438" s="383"/>
      <c r="S438" s="21"/>
      <c r="T438" s="13"/>
      <c r="U438" s="381"/>
      <c r="V438" s="370"/>
      <c r="W438" s="375"/>
      <c r="X438" s="374"/>
      <c r="Y438" s="370"/>
      <c r="Z438" s="376"/>
      <c r="AA438" s="371"/>
      <c r="AB438" s="673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6"/>
      <c r="R439" s="383"/>
      <c r="S439" s="21"/>
      <c r="T439" s="13"/>
      <c r="U439" s="381"/>
      <c r="V439" s="370"/>
      <c r="W439" s="375"/>
      <c r="X439" s="374"/>
      <c r="Y439" s="370"/>
      <c r="Z439" s="376"/>
      <c r="AA439" s="371"/>
      <c r="AB439" s="673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6"/>
      <c r="R440" s="383"/>
      <c r="S440" s="21"/>
      <c r="T440" s="13"/>
      <c r="U440" s="381"/>
      <c r="V440" s="370"/>
      <c r="W440" s="375"/>
      <c r="X440" s="374"/>
      <c r="Y440" s="370"/>
      <c r="Z440" s="376"/>
      <c r="AA440" s="371"/>
      <c r="AB440" s="673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  <c r="AP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6"/>
      <c r="R441" s="383"/>
      <c r="S441" s="21"/>
      <c r="T441" s="13"/>
      <c r="U441" s="381"/>
      <c r="V441" s="370"/>
      <c r="W441" s="375"/>
      <c r="X441" s="374"/>
      <c r="Y441" s="370"/>
      <c r="Z441" s="376"/>
      <c r="AA441" s="371"/>
      <c r="AB441" s="673"/>
      <c r="AC441" s="270"/>
      <c r="AD441" s="372"/>
      <c r="AE441" s="270"/>
      <c r="AF441" s="270"/>
      <c r="AG441" s="270"/>
      <c r="AH441" s="272"/>
      <c r="AI441" s="1"/>
      <c r="AJ441" s="21"/>
      <c r="AK441" s="21"/>
      <c r="AL441" s="21"/>
      <c r="AM441" s="21"/>
      <c r="AN441" s="21"/>
      <c r="AO441" s="21"/>
      <c r="AP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6"/>
      <c r="R442" s="383"/>
      <c r="S442" s="21"/>
      <c r="T442" s="13"/>
      <c r="U442" s="381"/>
      <c r="V442" s="370"/>
      <c r="W442" s="375"/>
      <c r="X442" s="374"/>
      <c r="Y442" s="370"/>
      <c r="Z442" s="376"/>
      <c r="AA442" s="371"/>
      <c r="AB442" s="673"/>
      <c r="AC442" s="270"/>
      <c r="AD442" s="372"/>
      <c r="AE442" s="270"/>
      <c r="AF442" s="270"/>
      <c r="AG442" s="270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6"/>
      <c r="R443" s="383"/>
      <c r="S443" s="21"/>
      <c r="T443" s="13"/>
      <c r="U443" s="381"/>
      <c r="V443" s="370"/>
      <c r="W443" s="375"/>
      <c r="X443" s="374"/>
      <c r="Y443" s="370"/>
      <c r="Z443" s="376"/>
      <c r="AA443" s="371"/>
      <c r="AB443" s="673"/>
      <c r="AC443" s="270"/>
      <c r="AD443" s="372"/>
      <c r="AE443" s="270"/>
      <c r="AF443" s="270"/>
      <c r="AG443" s="270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6"/>
      <c r="R444" s="383"/>
      <c r="S444" s="21"/>
      <c r="T444" s="13"/>
      <c r="U444" s="381"/>
      <c r="V444" s="375"/>
      <c r="W444" s="374"/>
      <c r="X444" s="370"/>
      <c r="Y444" s="376"/>
      <c r="Z444" s="371"/>
      <c r="AA444" s="371"/>
      <c r="AB444" s="675"/>
      <c r="AC444" s="372"/>
      <c r="AD444" s="270"/>
      <c r="AE444" s="270"/>
      <c r="AF444" s="270"/>
      <c r="AG444" s="376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6"/>
      <c r="R445" s="383"/>
      <c r="S445" s="21"/>
      <c r="T445" s="13"/>
      <c r="U445" s="381"/>
      <c r="V445" s="375"/>
      <c r="W445" s="374"/>
      <c r="X445" s="370"/>
      <c r="Y445" s="376"/>
      <c r="Z445" s="371"/>
      <c r="AA445" s="371"/>
      <c r="AB445" s="675"/>
      <c r="AC445" s="372"/>
      <c r="AD445" s="270"/>
      <c r="AE445" s="270"/>
      <c r="AF445" s="270"/>
      <c r="AG445" s="376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6"/>
      <c r="R446" s="383"/>
      <c r="S446" s="21"/>
      <c r="T446" s="13"/>
      <c r="U446" s="381"/>
      <c r="V446" s="375"/>
      <c r="W446" s="374"/>
      <c r="X446" s="370"/>
      <c r="Y446" s="376"/>
      <c r="Z446" s="371"/>
      <c r="AA446" s="371"/>
      <c r="AB446" s="675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16"/>
      <c r="R447" s="383"/>
      <c r="S447" s="21"/>
      <c r="T447" s="13"/>
      <c r="U447" s="381"/>
      <c r="V447" s="375"/>
      <c r="W447" s="374"/>
      <c r="X447" s="370"/>
      <c r="Y447" s="376"/>
      <c r="Z447" s="371"/>
      <c r="AA447" s="371"/>
      <c r="AB447" s="675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  <c r="AP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Q448" s="316"/>
      <c r="R448" s="383"/>
      <c r="S448" s="21"/>
      <c r="T448" s="13"/>
      <c r="U448" s="381"/>
      <c r="V448" s="375"/>
      <c r="W448" s="374"/>
      <c r="X448" s="370"/>
      <c r="Y448" s="376"/>
      <c r="Z448" s="371"/>
      <c r="AA448" s="371"/>
      <c r="AB448" s="675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  <c r="AP448" s="21"/>
    </row>
    <row r="449" spans="1:42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Q449" s="316"/>
      <c r="R449" s="383"/>
      <c r="S449" s="21"/>
      <c r="T449" s="13"/>
      <c r="U449" s="381"/>
      <c r="V449" s="375"/>
      <c r="W449" s="374"/>
      <c r="X449" s="370"/>
      <c r="Y449" s="376"/>
      <c r="Z449" s="371"/>
      <c r="AA449" s="371"/>
      <c r="AB449" s="675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  <c r="AP449" s="21"/>
    </row>
    <row r="450" spans="1:42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Q450" s="362"/>
      <c r="R450" s="383"/>
      <c r="S450" s="21"/>
      <c r="T450" s="13"/>
      <c r="U450" s="381"/>
      <c r="V450" s="375"/>
      <c r="W450" s="374"/>
      <c r="X450" s="370"/>
      <c r="Y450" s="376"/>
      <c r="Z450" s="371"/>
      <c r="AA450" s="371"/>
      <c r="AB450" s="675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</row>
    <row r="451" spans="1:42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R451" s="285"/>
      <c r="S451" s="21"/>
      <c r="T451" s="13"/>
      <c r="U451" s="381"/>
      <c r="V451" s="375"/>
      <c r="W451" s="374"/>
      <c r="X451" s="370"/>
      <c r="Y451" s="376"/>
      <c r="Z451" s="371"/>
      <c r="AA451" s="371"/>
      <c r="AB451" s="675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</row>
    <row r="452" spans="1:42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R452" s="285"/>
      <c r="S452" s="21"/>
      <c r="T452" s="13"/>
      <c r="U452" s="381"/>
      <c r="V452" s="375"/>
      <c r="W452" s="374"/>
      <c r="X452" s="370"/>
      <c r="Y452" s="376"/>
      <c r="Z452" s="371"/>
      <c r="AA452" s="371"/>
      <c r="AB452" s="675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2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1"/>
      <c r="V453" s="375"/>
      <c r="W453" s="374"/>
      <c r="X453" s="370"/>
      <c r="Y453" s="376"/>
      <c r="Z453" s="371"/>
      <c r="AA453" s="371"/>
      <c r="AB453" s="675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2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1"/>
      <c r="V454" s="375"/>
      <c r="W454" s="374"/>
      <c r="X454" s="370"/>
      <c r="Y454" s="376"/>
      <c r="Z454" s="371"/>
      <c r="AA454" s="371"/>
      <c r="AB454" s="675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</row>
    <row r="455" spans="1:42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97"/>
      <c r="R455" s="285"/>
      <c r="S455" s="21"/>
      <c r="T455" s="13"/>
      <c r="U455" s="381"/>
      <c r="V455" s="375"/>
      <c r="W455" s="374"/>
      <c r="X455" s="370"/>
      <c r="Y455" s="376"/>
      <c r="Z455" s="371"/>
      <c r="AA455" s="371"/>
      <c r="AB455" s="675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2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97"/>
      <c r="R456" s="285"/>
      <c r="S456" s="21"/>
      <c r="T456" s="13"/>
      <c r="U456" s="381"/>
      <c r="V456" s="375"/>
      <c r="W456" s="374"/>
      <c r="X456" s="370"/>
      <c r="Y456" s="376"/>
      <c r="Z456" s="371"/>
      <c r="AA456" s="371"/>
      <c r="AB456" s="675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2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97"/>
      <c r="R457" s="285"/>
      <c r="S457" s="21"/>
      <c r="T457" s="13"/>
      <c r="U457" s="381"/>
      <c r="V457" s="375"/>
      <c r="W457" s="374"/>
      <c r="X457" s="370"/>
      <c r="Y457" s="376"/>
      <c r="Z457" s="371"/>
      <c r="AA457" s="371"/>
      <c r="AB457" s="675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2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381"/>
      <c r="V458" s="375"/>
      <c r="W458" s="374"/>
      <c r="X458" s="370"/>
      <c r="Y458" s="376"/>
      <c r="Z458" s="371"/>
      <c r="AA458" s="371"/>
      <c r="AB458" s="675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2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381"/>
      <c r="V459" s="375"/>
      <c r="W459" s="374"/>
      <c r="X459" s="370"/>
      <c r="Y459" s="376"/>
      <c r="Z459" s="371"/>
      <c r="AA459" s="371"/>
      <c r="AB459" s="675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</row>
    <row r="460" spans="1:42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381"/>
      <c r="V460" s="375"/>
      <c r="W460" s="374"/>
      <c r="X460" s="370"/>
      <c r="Y460" s="376"/>
      <c r="Z460" s="371"/>
      <c r="AA460" s="371"/>
      <c r="AB460" s="675"/>
      <c r="AC460" s="372"/>
      <c r="AD460" s="270"/>
      <c r="AE460" s="270"/>
      <c r="AF460" s="270"/>
      <c r="AG460" s="376"/>
      <c r="AH460" s="272"/>
      <c r="AI460" s="1"/>
      <c r="AJ460" s="21"/>
      <c r="AK460" s="21"/>
      <c r="AL460" s="21"/>
      <c r="AM460" s="21"/>
      <c r="AN460" s="21"/>
      <c r="AO460" s="21"/>
    </row>
    <row r="461" spans="1:42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381"/>
      <c r="V461" s="375"/>
      <c r="W461" s="374"/>
      <c r="X461" s="370"/>
      <c r="Y461" s="376"/>
      <c r="Z461" s="371"/>
      <c r="AA461" s="371"/>
      <c r="AB461" s="675"/>
      <c r="AC461" s="372"/>
      <c r="AD461" s="270"/>
      <c r="AE461" s="270"/>
      <c r="AF461" s="270"/>
      <c r="AG461" s="376"/>
      <c r="AH461" s="272"/>
      <c r="AI461" s="1"/>
      <c r="AJ461" s="21"/>
      <c r="AK461" s="21"/>
      <c r="AL461" s="21"/>
      <c r="AM461" s="21"/>
      <c r="AN461" s="21"/>
      <c r="AO461" s="21"/>
    </row>
    <row r="462" spans="1:42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381"/>
      <c r="V462" s="375"/>
      <c r="W462" s="374"/>
      <c r="X462" s="370"/>
      <c r="Y462" s="376"/>
      <c r="Z462" s="371"/>
      <c r="AA462" s="371"/>
      <c r="AB462" s="675"/>
      <c r="AC462" s="372"/>
      <c r="AD462" s="270"/>
      <c r="AE462" s="270"/>
      <c r="AF462" s="270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2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370"/>
      <c r="V463" s="375"/>
      <c r="W463" s="374"/>
      <c r="X463" s="370"/>
      <c r="Y463" s="376"/>
      <c r="Z463" s="371"/>
      <c r="AA463" s="371"/>
      <c r="AB463" s="675"/>
      <c r="AC463" s="372"/>
      <c r="AD463" s="270"/>
      <c r="AE463" s="270"/>
      <c r="AF463" s="270"/>
      <c r="AG463" s="376"/>
      <c r="AH463" s="272"/>
      <c r="AI463" s="1"/>
      <c r="AJ463" s="21"/>
      <c r="AK463" s="21"/>
      <c r="AL463" s="21"/>
      <c r="AM463" s="21"/>
      <c r="AN463" s="21"/>
      <c r="AO463" s="21"/>
    </row>
    <row r="464" spans="1:42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370"/>
      <c r="V464" s="375"/>
      <c r="W464" s="374"/>
      <c r="X464" s="370"/>
      <c r="Y464" s="376"/>
      <c r="Z464" s="371"/>
      <c r="AA464" s="371"/>
      <c r="AB464" s="675"/>
      <c r="AC464" s="372"/>
      <c r="AD464" s="270"/>
      <c r="AE464" s="270"/>
      <c r="AF464" s="270"/>
      <c r="AG464" s="376"/>
      <c r="AH464" s="272"/>
      <c r="AI464" s="1"/>
      <c r="AJ464" s="21"/>
      <c r="AK464" s="21"/>
      <c r="AL464" s="21"/>
      <c r="AM464" s="21"/>
      <c r="AN464" s="21"/>
      <c r="AO464" s="21"/>
    </row>
    <row r="465" spans="1:41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370"/>
      <c r="V465" s="375"/>
      <c r="W465" s="374"/>
      <c r="X465" s="370"/>
      <c r="Y465" s="376"/>
      <c r="Z465" s="371"/>
      <c r="AA465" s="371"/>
      <c r="AB465" s="675"/>
      <c r="AC465" s="372"/>
      <c r="AD465" s="270"/>
      <c r="AE465" s="270"/>
      <c r="AF465" s="270"/>
      <c r="AG465" s="376"/>
      <c r="AH465" s="272"/>
      <c r="AI465" s="1"/>
      <c r="AJ465" s="21"/>
      <c r="AK465" s="21"/>
      <c r="AL465" s="21"/>
      <c r="AM465" s="21"/>
      <c r="AN465" s="21"/>
      <c r="AO465" s="21"/>
    </row>
    <row r="466" spans="1:41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370"/>
      <c r="V466" s="375"/>
      <c r="W466" s="374"/>
      <c r="X466" s="370"/>
      <c r="Y466" s="376"/>
      <c r="Z466" s="371"/>
      <c r="AA466" s="371"/>
      <c r="AB466" s="675"/>
      <c r="AC466" s="372"/>
      <c r="AD466" s="270"/>
      <c r="AE466" s="270"/>
      <c r="AF466" s="270"/>
      <c r="AG466" s="376"/>
      <c r="AH466" s="272"/>
      <c r="AI466" s="1"/>
      <c r="AJ466" s="21"/>
      <c r="AK466" s="21"/>
      <c r="AL466" s="21"/>
      <c r="AM466" s="21"/>
      <c r="AN466" s="21"/>
      <c r="AO466" s="21"/>
    </row>
    <row r="467" spans="1:41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370"/>
      <c r="V467" s="375"/>
      <c r="W467" s="374"/>
      <c r="X467" s="370"/>
      <c r="Y467" s="376"/>
      <c r="Z467" s="371"/>
      <c r="AA467" s="371"/>
      <c r="AB467" s="675"/>
      <c r="AC467" s="372"/>
      <c r="AD467" s="270"/>
      <c r="AE467" s="270"/>
      <c r="AF467" s="270"/>
      <c r="AG467" s="376"/>
      <c r="AH467" s="272"/>
      <c r="AI467" s="1"/>
      <c r="AJ467" s="21"/>
      <c r="AK467" s="21"/>
      <c r="AL467" s="21"/>
      <c r="AM467" s="21"/>
      <c r="AN467" s="21"/>
      <c r="AO467" s="21"/>
    </row>
    <row r="468" spans="1:41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370"/>
      <c r="V468" s="375"/>
      <c r="W468" s="374"/>
      <c r="X468" s="370"/>
      <c r="Y468" s="376"/>
      <c r="Z468" s="371"/>
      <c r="AA468" s="371"/>
      <c r="AB468" s="675"/>
      <c r="AC468" s="372"/>
      <c r="AD468" s="270"/>
      <c r="AE468" s="270"/>
      <c r="AF468" s="270"/>
      <c r="AG468" s="376"/>
      <c r="AH468" s="272"/>
      <c r="AI468" s="1"/>
      <c r="AJ468" s="21"/>
      <c r="AK468" s="21"/>
      <c r="AL468" s="21"/>
      <c r="AM468" s="21"/>
      <c r="AN468" s="21"/>
      <c r="AO468" s="21"/>
    </row>
    <row r="469" spans="1:41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422"/>
      <c r="V469" s="375"/>
      <c r="W469" s="374"/>
      <c r="X469" s="370"/>
      <c r="Y469" s="376"/>
      <c r="Z469" s="371"/>
      <c r="AA469" s="371"/>
      <c r="AB469" s="675"/>
      <c r="AC469" s="372"/>
      <c r="AD469" s="270"/>
      <c r="AE469" s="270"/>
      <c r="AF469" s="270"/>
      <c r="AG469" s="376"/>
      <c r="AH469" s="272"/>
      <c r="AI469" s="1"/>
      <c r="AJ469" s="21"/>
      <c r="AK469" s="21"/>
      <c r="AL469" s="21"/>
      <c r="AM469" s="21"/>
      <c r="AN469" s="21"/>
      <c r="AO469" s="21"/>
    </row>
    <row r="470" spans="1:41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422"/>
      <c r="V470" s="375"/>
      <c r="W470" s="374"/>
      <c r="X470" s="370"/>
      <c r="Y470" s="376"/>
      <c r="Z470" s="371"/>
      <c r="AA470" s="371"/>
      <c r="AB470" s="675"/>
      <c r="AC470" s="372"/>
      <c r="AD470" s="270"/>
      <c r="AE470" s="270"/>
      <c r="AF470" s="270"/>
      <c r="AG470" s="376"/>
      <c r="AH470" s="272"/>
      <c r="AI470" s="1"/>
      <c r="AJ470" s="21"/>
      <c r="AK470" s="21"/>
      <c r="AL470" s="21"/>
      <c r="AM470" s="21"/>
      <c r="AN470" s="21"/>
      <c r="AO470" s="21"/>
    </row>
    <row r="471" spans="1:41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422"/>
      <c r="V471" s="375"/>
      <c r="W471" s="374"/>
      <c r="X471" s="370"/>
      <c r="Y471" s="376"/>
      <c r="Z471" s="371"/>
      <c r="AA471" s="371"/>
      <c r="AB471" s="675"/>
      <c r="AC471" s="372"/>
      <c r="AD471" s="270"/>
      <c r="AE471" s="270"/>
      <c r="AF471" s="270"/>
      <c r="AG471" s="376"/>
      <c r="AH471" s="272"/>
      <c r="AI471" s="1"/>
      <c r="AJ471" s="21"/>
      <c r="AK471" s="21"/>
      <c r="AL471" s="21"/>
      <c r="AM471" s="21"/>
      <c r="AN471" s="21"/>
      <c r="AO471" s="21"/>
    </row>
    <row r="472" spans="1:41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422"/>
      <c r="V472" s="375"/>
      <c r="W472" s="374"/>
      <c r="X472" s="370"/>
      <c r="Y472" s="376"/>
      <c r="Z472" s="371"/>
      <c r="AA472" s="371"/>
      <c r="AB472" s="675"/>
      <c r="AC472" s="372"/>
      <c r="AD472" s="270"/>
      <c r="AE472" s="270"/>
      <c r="AF472" s="270"/>
      <c r="AG472" s="376"/>
      <c r="AH472" s="272"/>
      <c r="AI472" s="1"/>
      <c r="AJ472" s="21"/>
      <c r="AK472" s="21"/>
      <c r="AL472" s="21"/>
      <c r="AM472" s="21"/>
      <c r="AN472" s="21"/>
      <c r="AO472" s="21"/>
    </row>
    <row r="473" spans="1:41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422"/>
      <c r="V473" s="375"/>
      <c r="W473" s="374"/>
      <c r="X473" s="370"/>
      <c r="Y473" s="376"/>
      <c r="Z473" s="371"/>
      <c r="AA473" s="371"/>
      <c r="AB473" s="675"/>
      <c r="AC473" s="372"/>
      <c r="AD473" s="270"/>
      <c r="AE473" s="270"/>
      <c r="AF473" s="270"/>
      <c r="AG473" s="376"/>
      <c r="AH473" s="272"/>
      <c r="AI473" s="1"/>
      <c r="AJ473" s="21"/>
      <c r="AK473" s="21"/>
      <c r="AL473" s="21"/>
      <c r="AM473" s="21"/>
      <c r="AN473" s="21"/>
      <c r="AO473" s="21"/>
    </row>
    <row r="474" spans="1:41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422"/>
      <c r="V474" s="375"/>
      <c r="W474" s="374"/>
      <c r="X474" s="370"/>
      <c r="Y474" s="376"/>
      <c r="Z474" s="371"/>
      <c r="AA474" s="371"/>
      <c r="AB474" s="675"/>
      <c r="AC474" s="372"/>
      <c r="AD474" s="270"/>
      <c r="AE474" s="270"/>
      <c r="AF474" s="270"/>
      <c r="AG474" s="376"/>
      <c r="AH474" s="272"/>
      <c r="AI474" s="1"/>
      <c r="AJ474" s="21"/>
      <c r="AK474" s="21"/>
      <c r="AL474" s="21"/>
      <c r="AM474" s="21"/>
      <c r="AN474" s="21"/>
      <c r="AO474" s="21"/>
    </row>
    <row r="475" spans="1:41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422"/>
      <c r="V475" s="375"/>
      <c r="W475" s="374"/>
      <c r="X475" s="370"/>
      <c r="Y475" s="376"/>
      <c r="Z475" s="371"/>
      <c r="AA475" s="371"/>
      <c r="AB475" s="675"/>
      <c r="AC475" s="372"/>
      <c r="AD475" s="270"/>
      <c r="AE475" s="270"/>
      <c r="AF475" s="270"/>
      <c r="AG475" s="376"/>
      <c r="AH475" s="272"/>
      <c r="AI475" s="1"/>
      <c r="AJ475" s="21"/>
      <c r="AK475" s="21"/>
      <c r="AL475" s="21"/>
      <c r="AM475" s="21"/>
      <c r="AN475" s="21"/>
      <c r="AO475" s="21"/>
    </row>
    <row r="476" spans="1:41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422"/>
      <c r="V476" s="375"/>
      <c r="W476" s="374"/>
      <c r="X476" s="370"/>
      <c r="Y476" s="376"/>
      <c r="Z476" s="371"/>
      <c r="AA476" s="371"/>
      <c r="AB476" s="675"/>
      <c r="AC476" s="372"/>
      <c r="AD476" s="270"/>
      <c r="AE476" s="270"/>
      <c r="AF476" s="270"/>
      <c r="AG476" s="376"/>
      <c r="AH476" s="272"/>
      <c r="AI476" s="1"/>
      <c r="AJ476" s="21"/>
      <c r="AK476" s="21"/>
      <c r="AL476" s="21"/>
      <c r="AM476" s="21"/>
      <c r="AN476" s="21"/>
      <c r="AO476" s="21"/>
    </row>
    <row r="477" spans="1:41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422"/>
      <c r="V477" s="375"/>
      <c r="W477" s="374"/>
      <c r="X477" s="370"/>
      <c r="Y477" s="376"/>
      <c r="Z477" s="371"/>
      <c r="AA477" s="371"/>
      <c r="AB477" s="675"/>
      <c r="AC477" s="372"/>
      <c r="AD477" s="270"/>
      <c r="AE477" s="270"/>
      <c r="AF477" s="270"/>
      <c r="AG477" s="376"/>
      <c r="AH477" s="272"/>
      <c r="AI477" s="1"/>
      <c r="AJ477" s="21"/>
      <c r="AK477" s="21"/>
      <c r="AL477" s="21"/>
      <c r="AM477" s="21"/>
      <c r="AN477" s="21"/>
      <c r="AO477" s="21"/>
    </row>
    <row r="478" spans="1:41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422"/>
      <c r="V478" s="375"/>
      <c r="W478" s="374"/>
      <c r="X478" s="370"/>
      <c r="Y478" s="376"/>
      <c r="Z478" s="371"/>
      <c r="AA478" s="371"/>
      <c r="AB478" s="675"/>
      <c r="AC478" s="372"/>
      <c r="AD478" s="270"/>
      <c r="AE478" s="270"/>
      <c r="AF478" s="270"/>
      <c r="AG478" s="376"/>
      <c r="AH478" s="272"/>
      <c r="AI478" s="1"/>
      <c r="AJ478" s="21"/>
      <c r="AK478" s="21"/>
      <c r="AL478" s="21"/>
      <c r="AM478" s="21"/>
      <c r="AN478" s="21"/>
      <c r="AO478" s="21"/>
    </row>
    <row r="479" spans="1:41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76"/>
      <c r="AC479" s="64"/>
      <c r="AD479" s="50"/>
      <c r="AE479" s="50"/>
      <c r="AF479" s="19"/>
      <c r="AG479" s="376"/>
      <c r="AH479" s="272"/>
      <c r="AI479" s="1"/>
      <c r="AJ479" s="21"/>
      <c r="AK479" s="21"/>
      <c r="AL479" s="21"/>
      <c r="AM479" s="21"/>
      <c r="AN479" s="21"/>
      <c r="AO479" s="21"/>
    </row>
    <row r="480" spans="1:41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76"/>
      <c r="AC480" s="64"/>
      <c r="AD480" s="50"/>
      <c r="AE480" s="50"/>
      <c r="AF480" s="19"/>
      <c r="AG480" s="376"/>
      <c r="AH480" s="272"/>
      <c r="AI480" s="1"/>
      <c r="AJ480" s="21"/>
      <c r="AK480" s="21"/>
      <c r="AL480" s="21"/>
      <c r="AM480" s="21"/>
      <c r="AN480" s="21"/>
      <c r="AO480" s="21"/>
    </row>
    <row r="481" spans="1:44" s="53" customFormat="1" x14ac:dyDescent="0.2">
      <c r="A481" s="48"/>
      <c r="B481" s="306"/>
      <c r="C481" s="233"/>
      <c r="D481" s="233"/>
      <c r="F481" s="13"/>
      <c r="G481" s="1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76"/>
      <c r="AC481" s="64"/>
      <c r="AD481" s="50"/>
      <c r="AE481" s="50"/>
      <c r="AF481" s="19"/>
      <c r="AG481" s="376"/>
      <c r="AH481" s="272"/>
      <c r="AI481" s="1"/>
      <c r="AJ481" s="21"/>
      <c r="AK481" s="21"/>
      <c r="AL481" s="21"/>
      <c r="AM481" s="21"/>
      <c r="AN481" s="21"/>
      <c r="AO481" s="21"/>
    </row>
    <row r="482" spans="1:44" s="53" customFormat="1" x14ac:dyDescent="0.2">
      <c r="A482" s="48"/>
      <c r="B482" s="306"/>
      <c r="C482" s="233"/>
      <c r="D482" s="233"/>
      <c r="F482" s="13"/>
      <c r="G482" s="1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76"/>
      <c r="AC482" s="64"/>
      <c r="AD482" s="50"/>
      <c r="AE482" s="50"/>
      <c r="AF482" s="19"/>
      <c r="AG482" s="376"/>
      <c r="AH482" s="272"/>
      <c r="AI482" s="1"/>
      <c r="AJ482" s="21"/>
      <c r="AK482" s="21"/>
      <c r="AL482" s="21"/>
      <c r="AM482" s="21"/>
      <c r="AN482" s="21"/>
      <c r="AO482" s="21"/>
      <c r="AQ482" s="308"/>
      <c r="AR482" s="308"/>
    </row>
    <row r="483" spans="1:44" s="53" customFormat="1" x14ac:dyDescent="0.2">
      <c r="A483" s="48"/>
      <c r="B483" s="306"/>
      <c r="C483" s="233"/>
      <c r="D483" s="233"/>
      <c r="F483" s="13"/>
      <c r="G483" s="1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76"/>
      <c r="AC483" s="64"/>
      <c r="AD483" s="50"/>
      <c r="AE483" s="50"/>
      <c r="AF483" s="19"/>
      <c r="AG483" s="376"/>
      <c r="AH483" s="272"/>
      <c r="AI483" s="1"/>
      <c r="AJ483" s="21"/>
      <c r="AK483" s="21"/>
      <c r="AL483" s="21"/>
      <c r="AM483" s="21"/>
      <c r="AN483" s="21"/>
      <c r="AO483" s="21"/>
      <c r="AQ483" s="308"/>
      <c r="AR483" s="308"/>
    </row>
    <row r="484" spans="1:44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76"/>
      <c r="AC484" s="64"/>
      <c r="AD484" s="50"/>
      <c r="AE484" s="50"/>
      <c r="AF484" s="19"/>
      <c r="AG484" s="376"/>
      <c r="AH484" s="272"/>
      <c r="AI484" s="1"/>
      <c r="AJ484" s="21"/>
      <c r="AK484" s="21"/>
      <c r="AL484" s="21"/>
      <c r="AM484" s="21"/>
      <c r="AN484" s="21"/>
      <c r="AO484" s="21"/>
      <c r="AP484" s="53"/>
    </row>
    <row r="485" spans="1:44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76"/>
      <c r="AC485" s="64"/>
      <c r="AD485" s="50"/>
      <c r="AE485" s="50"/>
      <c r="AF485" s="19"/>
      <c r="AG485" s="376"/>
      <c r="AH485" s="272"/>
      <c r="AI485" s="1"/>
      <c r="AJ485" s="21"/>
      <c r="AK485" s="21"/>
      <c r="AL485" s="21"/>
      <c r="AM485" s="21"/>
      <c r="AN485" s="21"/>
      <c r="AO485" s="21"/>
      <c r="AP485" s="53"/>
    </row>
    <row r="486" spans="1:44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76"/>
      <c r="AC486" s="64"/>
      <c r="AD486" s="50"/>
      <c r="AE486" s="50"/>
      <c r="AF486" s="19"/>
      <c r="AG486" s="120"/>
      <c r="AH486" s="272"/>
      <c r="AI486" s="1"/>
      <c r="AJ486" s="21"/>
      <c r="AK486" s="21"/>
      <c r="AL486" s="21"/>
      <c r="AM486" s="21"/>
      <c r="AN486" s="21"/>
      <c r="AO486" s="21"/>
      <c r="AP486" s="53"/>
    </row>
    <row r="487" spans="1:44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76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4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76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4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76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4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76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4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76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4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76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4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76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4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76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4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76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4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76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76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76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76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76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76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76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76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76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76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76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76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76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76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76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76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76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76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76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76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76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76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76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76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76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76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76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76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76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76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76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76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  <c r="AP527" s="53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76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  <c r="AP528" s="53"/>
    </row>
    <row r="529" spans="1:42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76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  <c r="AP529" s="53"/>
    </row>
    <row r="530" spans="1:42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76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2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76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2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76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2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76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2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76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2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76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2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76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2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76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2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76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2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76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2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76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2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76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2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76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2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76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2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76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76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76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76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76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76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76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76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76"/>
      <c r="AC552" s="64"/>
      <c r="AD552" s="50"/>
      <c r="AE552" s="50"/>
      <c r="AF552" s="19"/>
      <c r="AG552" s="123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76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76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76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76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76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76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76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76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76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76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76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76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76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76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76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76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76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76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76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76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76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76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76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76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76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76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76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76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76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76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76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76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76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76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76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76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76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76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76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76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76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76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76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76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76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76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76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76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76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76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76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76"/>
      <c r="AC604" s="64"/>
      <c r="AD604" s="50"/>
      <c r="AE604" s="50"/>
      <c r="AF604" s="19"/>
      <c r="AG604" s="120"/>
      <c r="AH604" s="123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76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76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76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76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76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76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76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76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76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76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76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76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76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76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76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76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76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76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76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76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B625" s="306"/>
      <c r="C625" s="233"/>
      <c r="D625" s="23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76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B626" s="306"/>
      <c r="C626" s="233"/>
      <c r="D626" s="23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76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B627" s="306"/>
      <c r="C627" s="233"/>
      <c r="D627" s="23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76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76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76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76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76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76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76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76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76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76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76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76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76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76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76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76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76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76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76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76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76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76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76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76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76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76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76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76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76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76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76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76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76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76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76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76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76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76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76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76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76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4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76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4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76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  <c r="AQ669" s="21"/>
      <c r="AR669" s="21"/>
    </row>
    <row r="670" spans="1:44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76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  <c r="AQ670" s="21"/>
      <c r="AR670" s="21"/>
    </row>
    <row r="671" spans="1:44" x14ac:dyDescent="0.2">
      <c r="A671" s="48"/>
      <c r="AP671" s="308"/>
    </row>
    <row r="672" spans="1:44" x14ac:dyDescent="0.2">
      <c r="A672" s="48"/>
      <c r="AP672" s="308"/>
    </row>
    <row r="673" spans="1:44" x14ac:dyDescent="0.2">
      <c r="A673" s="48"/>
      <c r="AP673" s="308"/>
    </row>
    <row r="674" spans="1:44" x14ac:dyDescent="0.2">
      <c r="A674" s="48"/>
      <c r="AP674" s="308"/>
    </row>
    <row r="675" spans="1:44" x14ac:dyDescent="0.2">
      <c r="A675" s="48"/>
      <c r="AP675" s="308"/>
    </row>
    <row r="676" spans="1:44" x14ac:dyDescent="0.2">
      <c r="A676" s="48"/>
      <c r="AP676" s="308"/>
    </row>
    <row r="677" spans="1:44" x14ac:dyDescent="0.2">
      <c r="A677" s="48"/>
      <c r="AP677" s="308"/>
      <c r="AQ677" s="308"/>
      <c r="AR677" s="308"/>
    </row>
    <row r="678" spans="1:44" x14ac:dyDescent="0.2">
      <c r="A678" s="48"/>
      <c r="AP678" s="308"/>
      <c r="AQ678" s="308"/>
      <c r="AR678" s="308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76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76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76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76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76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76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76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76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76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76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4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76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4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76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76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76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76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76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76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76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76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76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76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76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76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76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</row>
    <row r="703" spans="1:44" s="308" customFormat="1" x14ac:dyDescent="0.2">
      <c r="A703" s="48"/>
      <c r="C703" s="263"/>
      <c r="D703" s="263"/>
      <c r="E703" s="53"/>
      <c r="F703" s="13"/>
      <c r="G703" s="13"/>
      <c r="H703" s="53"/>
      <c r="I703" s="298"/>
      <c r="J703" s="21"/>
      <c r="K703" s="21"/>
      <c r="L703" s="13"/>
      <c r="M703" s="50"/>
      <c r="N703" s="97"/>
      <c r="O703" s="50"/>
      <c r="P703" s="50"/>
      <c r="Q703" s="316"/>
      <c r="R703" s="285"/>
      <c r="S703" s="21"/>
      <c r="T703" s="13"/>
      <c r="U703" s="13"/>
      <c r="V703" s="21"/>
      <c r="W703" s="21"/>
      <c r="X703" s="21"/>
      <c r="Y703" s="260"/>
      <c r="Z703" s="177"/>
      <c r="AA703" s="177"/>
      <c r="AB703" s="676"/>
      <c r="AC703" s="64"/>
      <c r="AD703" s="50"/>
      <c r="AE703" s="50"/>
      <c r="AF703" s="19"/>
      <c r="AG703" s="120"/>
      <c r="AH703" s="119"/>
      <c r="AI703" s="1"/>
      <c r="AJ703" s="21"/>
      <c r="AK703" s="21"/>
      <c r="AL703" s="21"/>
      <c r="AM703" s="21"/>
      <c r="AN703" s="21"/>
      <c r="AO703" s="21"/>
    </row>
    <row r="704" spans="1:44" s="308" customFormat="1" x14ac:dyDescent="0.2">
      <c r="A704" s="48"/>
      <c r="C704" s="263"/>
      <c r="D704" s="263"/>
      <c r="E704" s="53"/>
      <c r="F704" s="13"/>
      <c r="G704" s="13"/>
      <c r="H704" s="53"/>
      <c r="I704" s="298"/>
      <c r="J704" s="21"/>
      <c r="K704" s="21"/>
      <c r="L704" s="13"/>
      <c r="M704" s="50"/>
      <c r="N704" s="97"/>
      <c r="O704" s="50"/>
      <c r="P704" s="50"/>
      <c r="Q704" s="316"/>
      <c r="R704" s="285"/>
      <c r="S704" s="21"/>
      <c r="T704" s="13"/>
      <c r="U704" s="13"/>
      <c r="V704" s="21"/>
      <c r="W704" s="21"/>
      <c r="X704" s="21"/>
      <c r="Y704" s="260"/>
      <c r="Z704" s="177"/>
      <c r="AA704" s="177"/>
      <c r="AB704" s="676"/>
      <c r="AC704" s="64"/>
      <c r="AD704" s="50"/>
      <c r="AE704" s="50"/>
      <c r="AF704" s="19"/>
      <c r="AG704" s="120"/>
      <c r="AH704" s="119"/>
      <c r="AI704" s="1"/>
      <c r="AJ704" s="21"/>
      <c r="AK704" s="21"/>
      <c r="AL704" s="21"/>
      <c r="AM704" s="21"/>
      <c r="AN704" s="21"/>
      <c r="AO704" s="21"/>
      <c r="AQ704" s="21"/>
      <c r="AR704" s="21"/>
    </row>
    <row r="705" spans="1:44" s="308" customFormat="1" x14ac:dyDescent="0.2">
      <c r="A705" s="48"/>
      <c r="C705" s="263"/>
      <c r="D705" s="263"/>
      <c r="E705" s="53"/>
      <c r="F705" s="13"/>
      <c r="G705" s="13"/>
      <c r="H705" s="53"/>
      <c r="I705" s="298"/>
      <c r="J705" s="21"/>
      <c r="K705" s="21"/>
      <c r="L705" s="13"/>
      <c r="M705" s="50"/>
      <c r="N705" s="97"/>
      <c r="O705" s="50"/>
      <c r="P705" s="50"/>
      <c r="Q705" s="316"/>
      <c r="R705" s="285"/>
      <c r="S705" s="21"/>
      <c r="T705" s="13"/>
      <c r="U705" s="13"/>
      <c r="V705" s="21"/>
      <c r="W705" s="21"/>
      <c r="X705" s="21"/>
      <c r="Y705" s="260"/>
      <c r="Z705" s="177"/>
      <c r="AA705" s="177"/>
      <c r="AB705" s="676"/>
      <c r="AC705" s="64"/>
      <c r="AD705" s="50"/>
      <c r="AE705" s="50"/>
      <c r="AF705" s="19"/>
      <c r="AG705" s="120"/>
      <c r="AH705" s="119"/>
      <c r="AI705" s="1"/>
      <c r="AJ705" s="21"/>
      <c r="AK705" s="21"/>
      <c r="AL705" s="21"/>
      <c r="AM705" s="21"/>
      <c r="AN705" s="21"/>
      <c r="AO705" s="21"/>
      <c r="AQ705" s="21"/>
      <c r="AR705" s="21"/>
    </row>
    <row r="706" spans="1:44" x14ac:dyDescent="0.2">
      <c r="A706" s="48"/>
      <c r="AP706" s="308"/>
    </row>
    <row r="707" spans="1:44" x14ac:dyDescent="0.2">
      <c r="A707" s="48"/>
      <c r="AP707" s="308"/>
    </row>
    <row r="708" spans="1:44" x14ac:dyDescent="0.2">
      <c r="A708" s="48"/>
      <c r="AP708" s="308"/>
    </row>
    <row r="709" spans="1:44" x14ac:dyDescent="0.2">
      <c r="A709" s="48"/>
      <c r="AP709" s="308"/>
    </row>
    <row r="710" spans="1:44" x14ac:dyDescent="0.2">
      <c r="A710" s="48"/>
      <c r="AP710" s="308"/>
    </row>
    <row r="711" spans="1:44" x14ac:dyDescent="0.2">
      <c r="A711" s="48"/>
      <c r="AP711" s="308"/>
    </row>
    <row r="712" spans="1:44" x14ac:dyDescent="0.2">
      <c r="A712" s="48"/>
      <c r="AP712" s="308"/>
    </row>
    <row r="713" spans="1:44" x14ac:dyDescent="0.2">
      <c r="A713" s="48"/>
      <c r="AP713" s="308"/>
    </row>
    <row r="714" spans="1:44" x14ac:dyDescent="0.2">
      <c r="A714" s="48"/>
      <c r="AP714" s="308"/>
    </row>
    <row r="715" spans="1:44" x14ac:dyDescent="0.2">
      <c r="A715" s="48"/>
      <c r="AP715" s="308"/>
    </row>
    <row r="716" spans="1:44" x14ac:dyDescent="0.2">
      <c r="A716" s="48"/>
      <c r="AP716" s="308"/>
    </row>
    <row r="717" spans="1:44" x14ac:dyDescent="0.2">
      <c r="A717" s="48"/>
    </row>
    <row r="718" spans="1:44" x14ac:dyDescent="0.2">
      <c r="A718" s="48"/>
    </row>
    <row r="719" spans="1:44" x14ac:dyDescent="0.2">
      <c r="A719" s="48"/>
    </row>
    <row r="720" spans="1:44" x14ac:dyDescent="0.2">
      <c r="A720" s="48"/>
    </row>
    <row r="721" spans="1:42" x14ac:dyDescent="0.2">
      <c r="A721" s="48"/>
    </row>
    <row r="722" spans="1:42" x14ac:dyDescent="0.2">
      <c r="A722" s="48"/>
    </row>
    <row r="723" spans="1:42" x14ac:dyDescent="0.2">
      <c r="A723" s="48"/>
    </row>
    <row r="724" spans="1:42" x14ac:dyDescent="0.2">
      <c r="A724" s="4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2" x14ac:dyDescent="0.2">
      <c r="A737" s="48"/>
      <c r="AP737" s="308"/>
    </row>
    <row r="738" spans="1:42" x14ac:dyDescent="0.2">
      <c r="A738" s="48"/>
      <c r="AP738" s="308"/>
    </row>
    <row r="739" spans="1:42" x14ac:dyDescent="0.2">
      <c r="A739" s="48"/>
      <c r="AP739" s="308"/>
    </row>
    <row r="740" spans="1:42" x14ac:dyDescent="0.2">
      <c r="A740" s="48"/>
      <c r="AP740" s="308"/>
    </row>
    <row r="741" spans="1:42" x14ac:dyDescent="0.2">
      <c r="A741" s="48"/>
      <c r="AP741" s="308"/>
    </row>
    <row r="742" spans="1:42" x14ac:dyDescent="0.2">
      <c r="A742" s="48"/>
      <c r="AP742" s="308"/>
    </row>
    <row r="743" spans="1:42" x14ac:dyDescent="0.2">
      <c r="A743" s="48"/>
      <c r="AP743" s="308"/>
    </row>
    <row r="744" spans="1:42" x14ac:dyDescent="0.2">
      <c r="A744" s="48"/>
      <c r="AP744" s="308"/>
    </row>
    <row r="745" spans="1:42" x14ac:dyDescent="0.2">
      <c r="A745" s="48"/>
      <c r="AP745" s="308"/>
    </row>
    <row r="746" spans="1:42" x14ac:dyDescent="0.2">
      <c r="A746" s="48"/>
      <c r="AP746" s="308"/>
    </row>
    <row r="747" spans="1:42" x14ac:dyDescent="0.2">
      <c r="A747" s="48"/>
      <c r="AP747" s="308"/>
    </row>
    <row r="748" spans="1:42" x14ac:dyDescent="0.2">
      <c r="A748" s="48"/>
      <c r="AP748" s="308"/>
    </row>
    <row r="749" spans="1:42" x14ac:dyDescent="0.2">
      <c r="A749" s="48"/>
      <c r="AP749" s="308"/>
    </row>
    <row r="750" spans="1:42" x14ac:dyDescent="0.2">
      <c r="A750" s="48"/>
      <c r="AP750" s="308"/>
    </row>
    <row r="751" spans="1:42" x14ac:dyDescent="0.2">
      <c r="A751" s="48"/>
      <c r="AP751" s="308"/>
    </row>
    <row r="752" spans="1:42" x14ac:dyDescent="0.2">
      <c r="A752" s="48"/>
    </row>
    <row r="753" spans="1:45" x14ac:dyDescent="0.2">
      <c r="A753" s="48"/>
    </row>
    <row r="754" spans="1:45" x14ac:dyDescent="0.2">
      <c r="A754" s="48"/>
    </row>
    <row r="755" spans="1:45" s="308" customFormat="1" x14ac:dyDescent="0.2">
      <c r="A755" s="48"/>
      <c r="C755" s="263"/>
      <c r="D755" s="263"/>
      <c r="E755" s="53"/>
      <c r="F755" s="13"/>
      <c r="G755" s="13"/>
      <c r="H755" s="53"/>
      <c r="I755" s="298"/>
      <c r="J755" s="21"/>
      <c r="K755" s="21"/>
      <c r="L755" s="13"/>
      <c r="M755" s="50"/>
      <c r="N755" s="97"/>
      <c r="O755" s="50"/>
      <c r="P755" s="50"/>
      <c r="Q755" s="316"/>
      <c r="R755" s="285"/>
      <c r="S755" s="21"/>
      <c r="T755" s="13"/>
      <c r="U755" s="13"/>
      <c r="V755" s="21"/>
      <c r="W755" s="21"/>
      <c r="X755" s="21"/>
      <c r="Y755" s="260"/>
      <c r="Z755" s="177"/>
      <c r="AA755" s="177"/>
      <c r="AB755" s="676"/>
      <c r="AC755" s="64"/>
      <c r="AD755" s="50"/>
      <c r="AE755" s="50"/>
      <c r="AF755" s="19"/>
      <c r="AG755" s="120"/>
      <c r="AH755" s="119"/>
      <c r="AI755" s="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1:45" s="308" customFormat="1" x14ac:dyDescent="0.2">
      <c r="A756" s="48"/>
      <c r="C756" s="263"/>
      <c r="D756" s="263"/>
      <c r="E756" s="53"/>
      <c r="F756" s="13"/>
      <c r="G756" s="13"/>
      <c r="H756" s="53"/>
      <c r="I756" s="298"/>
      <c r="J756" s="21"/>
      <c r="K756" s="21"/>
      <c r="L756" s="13"/>
      <c r="M756" s="50"/>
      <c r="N756" s="97"/>
      <c r="O756" s="50"/>
      <c r="P756" s="50"/>
      <c r="Q756" s="316"/>
      <c r="R756" s="285"/>
      <c r="S756" s="21"/>
      <c r="T756" s="13"/>
      <c r="U756" s="13"/>
      <c r="V756" s="21"/>
      <c r="W756" s="21"/>
      <c r="X756" s="21"/>
      <c r="Y756" s="260"/>
      <c r="Z756" s="177"/>
      <c r="AA756" s="177"/>
      <c r="AB756" s="676"/>
      <c r="AC756" s="64"/>
      <c r="AD756" s="50"/>
      <c r="AE756" s="50"/>
      <c r="AF756" s="19"/>
      <c r="AG756" s="120"/>
      <c r="AH756" s="119"/>
      <c r="AI756" s="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</sheetData>
  <autoFilter ref="A5:T274">
    <filterColumn colId="3" showButton="0"/>
    <filterColumn colId="19">
      <filters>
        <filter val="A BAJA DEL MES ANTERIOR"/>
        <filter val="ALTA"/>
      </filters>
    </filterColumn>
  </autoFilter>
  <sortState ref="B6:T89">
    <sortCondition ref="C6:C89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3"/>
  <sheetViews>
    <sheetView topLeftCell="U91" workbookViewId="0">
      <selection activeCell="AJ100" sqref="AJ100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3" width="9.5703125" style="21" bestFit="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9.85546875" style="177" bestFit="1" customWidth="1" outlineLevel="1"/>
    <col min="28" max="28" width="3.85546875" style="676" bestFit="1" customWidth="1"/>
    <col min="29" max="29" width="11.7109375" style="64" bestFit="1" customWidth="1" outlineLevel="1"/>
    <col min="30" max="30" width="7.5703125" style="50" bestFit="1" customWidth="1" outlineLevel="1"/>
    <col min="31" max="31" width="10.5703125" style="50" bestFit="1" customWidth="1"/>
    <col min="32" max="32" width="9.570312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4103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4104</v>
      </c>
      <c r="V4" s="67"/>
      <c r="W4" s="67"/>
      <c r="Y4" s="21"/>
      <c r="Z4" s="260"/>
      <c r="AB4" s="63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720" t="s">
        <v>4105</v>
      </c>
      <c r="C6" s="655">
        <v>520111</v>
      </c>
      <c r="D6" s="658">
        <v>2592</v>
      </c>
      <c r="E6" s="655" t="s">
        <v>684</v>
      </c>
      <c r="F6" s="539">
        <v>2017</v>
      </c>
      <c r="G6" s="659">
        <v>42913</v>
      </c>
      <c r="H6" s="655" t="s">
        <v>2215</v>
      </c>
      <c r="I6" s="658" t="s">
        <v>4106</v>
      </c>
      <c r="J6" s="712"/>
      <c r="K6" s="655" t="s">
        <v>4107</v>
      </c>
      <c r="L6" s="655" t="s">
        <v>4108</v>
      </c>
      <c r="M6" s="660">
        <v>302293.57</v>
      </c>
      <c r="N6" s="660">
        <v>8051.26</v>
      </c>
      <c r="O6" s="660">
        <v>49655.17</v>
      </c>
      <c r="P6" s="660">
        <v>360000</v>
      </c>
      <c r="Q6" s="541"/>
      <c r="R6" s="660">
        <v>272072.46999999997</v>
      </c>
      <c r="S6" s="542">
        <f t="shared" ref="S6:S37" si="0">+P6-R6</f>
        <v>87927.530000000028</v>
      </c>
      <c r="T6" s="267" t="s">
        <v>131</v>
      </c>
      <c r="U6" s="621" t="str">
        <f>+B6</f>
        <v>AA11367</v>
      </c>
      <c r="V6" s="622" t="str">
        <f>+I6</f>
        <v>1381-TCN17</v>
      </c>
      <c r="W6" s="621">
        <f>+C6</f>
        <v>520111</v>
      </c>
      <c r="X6" s="621" t="str">
        <f>+E6</f>
        <v>CAMRY LE SEDAN 2.5</v>
      </c>
      <c r="Y6" s="622">
        <f>+F6</f>
        <v>2017</v>
      </c>
      <c r="Z6" s="623">
        <f>+M6</f>
        <v>302293.57</v>
      </c>
      <c r="AA6" s="624">
        <f>+Z6</f>
        <v>302293.57</v>
      </c>
      <c r="AB6" s="728">
        <v>1</v>
      </c>
      <c r="AC6" s="624">
        <f t="shared" ref="AC6:AC69" si="1">VLOOKUP(Z6,TARIFA,1)</f>
        <v>295708.34000000003</v>
      </c>
      <c r="AD6" s="625">
        <f t="shared" ref="AD6:AD69" si="2">VLOOKUP(Z6,TARIFA,4)</f>
        <v>0.1</v>
      </c>
      <c r="AE6" s="624">
        <f t="shared" ref="AE6:AE69" si="3">VLOOKUP(Z6,TARIFA,3)</f>
        <v>7392.74</v>
      </c>
      <c r="AF6" s="624">
        <f t="shared" ref="AF6:AF24" si="4">IF(Z6&lt;281240.78,(((Z6-AC6)*AD6+AE6)/2),(Z6-AC6)*AD6+AE6)</f>
        <v>8051.2629999999981</v>
      </c>
      <c r="AG6" s="632">
        <f>+N6-AF6</f>
        <v>-2.9999999978826963E-3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721" t="s">
        <v>4109</v>
      </c>
      <c r="C7" s="655">
        <v>520220</v>
      </c>
      <c r="D7" s="658">
        <v>1794</v>
      </c>
      <c r="E7" s="655" t="s">
        <v>687</v>
      </c>
      <c r="F7" s="546">
        <v>2017</v>
      </c>
      <c r="G7" s="659">
        <v>42916</v>
      </c>
      <c r="H7" s="655" t="s">
        <v>1207</v>
      </c>
      <c r="I7" s="658" t="s">
        <v>4110</v>
      </c>
      <c r="J7" s="712"/>
      <c r="K7" s="655" t="s">
        <v>4111</v>
      </c>
      <c r="L7" s="655" t="s">
        <v>4112</v>
      </c>
      <c r="M7" s="660">
        <v>254237.02</v>
      </c>
      <c r="N7" s="660">
        <v>2659.53</v>
      </c>
      <c r="O7" s="660">
        <v>41103.449999999997</v>
      </c>
      <c r="P7" s="660">
        <v>298000</v>
      </c>
      <c r="Q7" s="548"/>
      <c r="R7" s="660">
        <v>224798.3</v>
      </c>
      <c r="S7" s="549">
        <f t="shared" si="0"/>
        <v>73201.700000000012</v>
      </c>
      <c r="T7" s="113" t="s">
        <v>131</v>
      </c>
      <c r="U7" s="626" t="str">
        <f t="shared" ref="U7:U70" si="5">+B7</f>
        <v>AA11395</v>
      </c>
      <c r="V7" s="627" t="str">
        <f t="shared" ref="V7:V70" si="6">+I7</f>
        <v>0205-TCN17</v>
      </c>
      <c r="W7" s="626">
        <f t="shared" ref="W7:W70" si="7">+C7</f>
        <v>520220</v>
      </c>
      <c r="X7" s="626" t="str">
        <f t="shared" ref="X7:Y70" si="8">+E7</f>
        <v>COROLLA LE AT</v>
      </c>
      <c r="Y7" s="627">
        <f t="shared" si="8"/>
        <v>2017</v>
      </c>
      <c r="Z7" s="628">
        <f t="shared" ref="Z7:Z70" si="9">+M7</f>
        <v>254237.02</v>
      </c>
      <c r="AA7" s="629"/>
      <c r="AB7" s="729"/>
      <c r="AC7" s="629">
        <v>0</v>
      </c>
      <c r="AD7" s="630">
        <v>0</v>
      </c>
      <c r="AE7" s="629">
        <v>0</v>
      </c>
      <c r="AF7" s="629">
        <f>+N7</f>
        <v>2659.53</v>
      </c>
      <c r="AG7" s="555">
        <f t="shared" ref="AG7:AG70" si="10">+N7-AF7</f>
        <v>0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721" t="s">
        <v>4113</v>
      </c>
      <c r="C8" s="655">
        <v>520220</v>
      </c>
      <c r="D8" s="658">
        <v>1794</v>
      </c>
      <c r="E8" s="655" t="s">
        <v>687</v>
      </c>
      <c r="F8" s="546">
        <v>2017</v>
      </c>
      <c r="G8" s="659">
        <v>42913</v>
      </c>
      <c r="H8" s="655" t="s">
        <v>3694</v>
      </c>
      <c r="I8" s="658" t="s">
        <v>4114</v>
      </c>
      <c r="J8" s="712"/>
      <c r="K8" s="655" t="s">
        <v>4115</v>
      </c>
      <c r="L8" s="655" t="s">
        <v>4116</v>
      </c>
      <c r="M8" s="660">
        <v>272992.27</v>
      </c>
      <c r="N8" s="660">
        <v>3128.42</v>
      </c>
      <c r="O8" s="660">
        <v>44179.31</v>
      </c>
      <c r="P8" s="660">
        <v>320300</v>
      </c>
      <c r="Q8" s="548"/>
      <c r="R8" s="660">
        <v>230484.92</v>
      </c>
      <c r="S8" s="549">
        <f t="shared" si="0"/>
        <v>89815.079999999987</v>
      </c>
      <c r="T8" s="267" t="s">
        <v>131</v>
      </c>
      <c r="U8" s="626" t="str">
        <f t="shared" si="5"/>
        <v>AA11373</v>
      </c>
      <c r="V8" s="627" t="str">
        <f t="shared" si="6"/>
        <v>1163-TCN17</v>
      </c>
      <c r="W8" s="626">
        <f t="shared" si="7"/>
        <v>520220</v>
      </c>
      <c r="X8" s="626" t="str">
        <f t="shared" si="8"/>
        <v>COROLLA LE AT</v>
      </c>
      <c r="Y8" s="627">
        <f t="shared" si="8"/>
        <v>2017</v>
      </c>
      <c r="Z8" s="628">
        <f t="shared" si="9"/>
        <v>272992.27</v>
      </c>
      <c r="AA8" s="629"/>
      <c r="AB8" s="729"/>
      <c r="AC8" s="629">
        <f t="shared" si="1"/>
        <v>246423.66</v>
      </c>
      <c r="AD8" s="630">
        <f t="shared" si="2"/>
        <v>0.05</v>
      </c>
      <c r="AE8" s="629">
        <f t="shared" si="3"/>
        <v>4928.3900000000003</v>
      </c>
      <c r="AF8" s="629">
        <f t="shared" si="4"/>
        <v>3128.4102500000008</v>
      </c>
      <c r="AG8" s="555">
        <f t="shared" si="10"/>
        <v>9.7499999992578523E-3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721" t="s">
        <v>4117</v>
      </c>
      <c r="C9" s="655">
        <v>520220</v>
      </c>
      <c r="D9" s="658">
        <v>1794</v>
      </c>
      <c r="E9" s="655" t="s">
        <v>687</v>
      </c>
      <c r="F9" s="546">
        <v>2017</v>
      </c>
      <c r="G9" s="659">
        <v>42913</v>
      </c>
      <c r="H9" s="655" t="s">
        <v>2216</v>
      </c>
      <c r="I9" s="658" t="s">
        <v>4118</v>
      </c>
      <c r="J9" s="712"/>
      <c r="K9" s="655" t="s">
        <v>4119</v>
      </c>
      <c r="L9" s="655" t="s">
        <v>4120</v>
      </c>
      <c r="M9" s="660">
        <v>272992.27</v>
      </c>
      <c r="N9" s="660">
        <v>3128.42</v>
      </c>
      <c r="O9" s="660">
        <v>44179.31</v>
      </c>
      <c r="P9" s="660">
        <v>320300</v>
      </c>
      <c r="Q9" s="548"/>
      <c r="R9" s="660">
        <v>239904.6</v>
      </c>
      <c r="S9" s="549">
        <f t="shared" si="0"/>
        <v>80395.399999999994</v>
      </c>
      <c r="T9" s="267" t="s">
        <v>131</v>
      </c>
      <c r="U9" s="626" t="str">
        <f t="shared" si="5"/>
        <v>AA11374</v>
      </c>
      <c r="V9" s="627" t="str">
        <f t="shared" si="6"/>
        <v>1292-TCN17</v>
      </c>
      <c r="W9" s="626">
        <f t="shared" si="7"/>
        <v>520220</v>
      </c>
      <c r="X9" s="626" t="str">
        <f t="shared" si="8"/>
        <v>COROLLA LE AT</v>
      </c>
      <c r="Y9" s="627">
        <f t="shared" si="8"/>
        <v>2017</v>
      </c>
      <c r="Z9" s="628">
        <f t="shared" si="9"/>
        <v>272992.27</v>
      </c>
      <c r="AA9" s="629"/>
      <c r="AB9" s="729"/>
      <c r="AC9" s="629">
        <f t="shared" si="1"/>
        <v>246423.66</v>
      </c>
      <c r="AD9" s="630">
        <f t="shared" si="2"/>
        <v>0.05</v>
      </c>
      <c r="AE9" s="629">
        <f t="shared" si="3"/>
        <v>4928.3900000000003</v>
      </c>
      <c r="AF9" s="629">
        <f t="shared" si="4"/>
        <v>3128.4102500000008</v>
      </c>
      <c r="AG9" s="555">
        <f t="shared" si="10"/>
        <v>9.7499999992578523E-3</v>
      </c>
      <c r="AH9" s="361"/>
      <c r="AI9" s="313"/>
    </row>
    <row r="10" spans="1:45" s="291" customFormat="1" x14ac:dyDescent="0.2">
      <c r="A10" s="423">
        <f t="shared" si="11"/>
        <v>5</v>
      </c>
      <c r="B10" s="721" t="s">
        <v>4121</v>
      </c>
      <c r="C10" s="655">
        <v>520220</v>
      </c>
      <c r="D10" s="658">
        <v>1794</v>
      </c>
      <c r="E10" s="655" t="s">
        <v>687</v>
      </c>
      <c r="F10" s="546">
        <v>2017</v>
      </c>
      <c r="G10" s="659">
        <v>42900</v>
      </c>
      <c r="H10" s="655" t="s">
        <v>2216</v>
      </c>
      <c r="I10" s="658" t="s">
        <v>4122</v>
      </c>
      <c r="J10" s="712"/>
      <c r="K10" s="655" t="s">
        <v>4123</v>
      </c>
      <c r="L10" s="655" t="s">
        <v>4124</v>
      </c>
      <c r="M10" s="660">
        <v>272992.27</v>
      </c>
      <c r="N10" s="660">
        <v>3128.42</v>
      </c>
      <c r="O10" s="660">
        <v>44179.31</v>
      </c>
      <c r="P10" s="660">
        <v>320300</v>
      </c>
      <c r="Q10" s="548"/>
      <c r="R10" s="660">
        <v>230484.92</v>
      </c>
      <c r="S10" s="549">
        <f t="shared" si="0"/>
        <v>89815.079999999987</v>
      </c>
      <c r="T10" s="267" t="s">
        <v>131</v>
      </c>
      <c r="U10" s="626" t="str">
        <f t="shared" si="5"/>
        <v>AA11270</v>
      </c>
      <c r="V10" s="627" t="str">
        <f t="shared" si="6"/>
        <v>1042-TCN17</v>
      </c>
      <c r="W10" s="626">
        <f t="shared" si="7"/>
        <v>520220</v>
      </c>
      <c r="X10" s="626" t="str">
        <f t="shared" si="8"/>
        <v>COROLLA LE AT</v>
      </c>
      <c r="Y10" s="627">
        <f t="shared" si="8"/>
        <v>2017</v>
      </c>
      <c r="Z10" s="628">
        <f t="shared" si="9"/>
        <v>272992.27</v>
      </c>
      <c r="AA10" s="629">
        <f>+Z10+Z9+Z8+Z7</f>
        <v>1073213.83</v>
      </c>
      <c r="AB10" s="729">
        <v>4</v>
      </c>
      <c r="AC10" s="629">
        <f t="shared" si="1"/>
        <v>246423.66</v>
      </c>
      <c r="AD10" s="630">
        <f t="shared" si="2"/>
        <v>0.05</v>
      </c>
      <c r="AE10" s="629">
        <f t="shared" si="3"/>
        <v>4928.3900000000003</v>
      </c>
      <c r="AF10" s="629">
        <f t="shared" si="4"/>
        <v>3128.4102500000008</v>
      </c>
      <c r="AG10" s="555">
        <f t="shared" si="10"/>
        <v>9.7499999992578523E-3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721" t="s">
        <v>4125</v>
      </c>
      <c r="C11" s="655">
        <v>520223</v>
      </c>
      <c r="D11" s="658">
        <v>1796</v>
      </c>
      <c r="E11" s="655" t="s">
        <v>689</v>
      </c>
      <c r="F11" s="546">
        <v>2017</v>
      </c>
      <c r="G11" s="659">
        <v>42913</v>
      </c>
      <c r="H11" s="655" t="s">
        <v>792</v>
      </c>
      <c r="I11" s="658" t="s">
        <v>4126</v>
      </c>
      <c r="J11" s="712"/>
      <c r="K11" s="655" t="s">
        <v>4127</v>
      </c>
      <c r="L11" s="655" t="s">
        <v>4128</v>
      </c>
      <c r="M11" s="660">
        <v>250536.43</v>
      </c>
      <c r="N11" s="660">
        <v>2567.02</v>
      </c>
      <c r="O11" s="660">
        <v>40496.550000000003</v>
      </c>
      <c r="P11" s="660">
        <v>293600</v>
      </c>
      <c r="Q11" s="548"/>
      <c r="R11" s="660">
        <v>211571.1</v>
      </c>
      <c r="S11" s="549">
        <f t="shared" si="0"/>
        <v>82028.899999999994</v>
      </c>
      <c r="T11" s="267" t="s">
        <v>131</v>
      </c>
      <c r="U11" s="626" t="str">
        <f t="shared" si="5"/>
        <v>AA11382</v>
      </c>
      <c r="V11" s="627" t="str">
        <f t="shared" si="6"/>
        <v>0833-TCN17</v>
      </c>
      <c r="W11" s="626">
        <f t="shared" si="7"/>
        <v>520223</v>
      </c>
      <c r="X11" s="626" t="str">
        <f t="shared" si="8"/>
        <v>COROLLA BASE AT</v>
      </c>
      <c r="Y11" s="627">
        <f t="shared" si="8"/>
        <v>2017</v>
      </c>
      <c r="Z11" s="628">
        <f t="shared" si="9"/>
        <v>250536.43</v>
      </c>
      <c r="AA11" s="629"/>
      <c r="AB11" s="729"/>
      <c r="AC11" s="629">
        <f t="shared" si="1"/>
        <v>246423.66</v>
      </c>
      <c r="AD11" s="630">
        <f t="shared" si="2"/>
        <v>0.05</v>
      </c>
      <c r="AE11" s="629">
        <f t="shared" si="3"/>
        <v>4928.3900000000003</v>
      </c>
      <c r="AF11" s="629">
        <f t="shared" si="4"/>
        <v>2567.0142499999997</v>
      </c>
      <c r="AG11" s="555">
        <f t="shared" si="10"/>
        <v>5.7500000002619345E-3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721" t="s">
        <v>4129</v>
      </c>
      <c r="C12" s="655">
        <v>520223</v>
      </c>
      <c r="D12" s="658">
        <v>1796</v>
      </c>
      <c r="E12" s="655" t="s">
        <v>689</v>
      </c>
      <c r="F12" s="546">
        <v>2017</v>
      </c>
      <c r="G12" s="659">
        <v>42913</v>
      </c>
      <c r="H12" s="655" t="s">
        <v>2215</v>
      </c>
      <c r="I12" s="658" t="s">
        <v>4130</v>
      </c>
      <c r="J12" s="712"/>
      <c r="K12" s="655" t="s">
        <v>4131</v>
      </c>
      <c r="L12" s="655" t="s">
        <v>4132</v>
      </c>
      <c r="M12" s="660">
        <v>250536.43</v>
      </c>
      <c r="N12" s="660">
        <v>2567.02</v>
      </c>
      <c r="O12" s="660">
        <v>40496.550000000003</v>
      </c>
      <c r="P12" s="660">
        <v>293600</v>
      </c>
      <c r="Q12" s="548"/>
      <c r="R12" s="660">
        <v>220255.74</v>
      </c>
      <c r="S12" s="549">
        <f t="shared" si="0"/>
        <v>73344.260000000009</v>
      </c>
      <c r="T12" s="267" t="s">
        <v>131</v>
      </c>
      <c r="U12" s="626" t="str">
        <f t="shared" si="5"/>
        <v>AA11366</v>
      </c>
      <c r="V12" s="627" t="str">
        <f t="shared" si="6"/>
        <v>1389-TCN17</v>
      </c>
      <c r="W12" s="626">
        <f t="shared" si="7"/>
        <v>520223</v>
      </c>
      <c r="X12" s="626" t="str">
        <f t="shared" si="8"/>
        <v>COROLLA BASE AT</v>
      </c>
      <c r="Y12" s="627">
        <f t="shared" si="8"/>
        <v>2017</v>
      </c>
      <c r="Z12" s="628">
        <f t="shared" si="9"/>
        <v>250536.43</v>
      </c>
      <c r="AA12" s="629">
        <f>+Z11+Z12</f>
        <v>501072.86</v>
      </c>
      <c r="AB12" s="729">
        <v>2</v>
      </c>
      <c r="AC12" s="629">
        <f t="shared" si="1"/>
        <v>246423.66</v>
      </c>
      <c r="AD12" s="630">
        <f t="shared" si="2"/>
        <v>0.05</v>
      </c>
      <c r="AE12" s="629">
        <f t="shared" si="3"/>
        <v>4928.3900000000003</v>
      </c>
      <c r="AF12" s="629">
        <f t="shared" si="4"/>
        <v>2567.0142499999997</v>
      </c>
      <c r="AG12" s="555">
        <f t="shared" si="10"/>
        <v>5.7500000002619345E-3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721" t="s">
        <v>4133</v>
      </c>
      <c r="C13" s="655">
        <v>520224</v>
      </c>
      <c r="D13" s="658">
        <v>1781</v>
      </c>
      <c r="E13" s="655" t="s">
        <v>690</v>
      </c>
      <c r="F13" s="546">
        <v>2017</v>
      </c>
      <c r="G13" s="659">
        <v>42900</v>
      </c>
      <c r="H13" s="655" t="s">
        <v>819</v>
      </c>
      <c r="I13" s="658" t="s">
        <v>4134</v>
      </c>
      <c r="J13" s="712"/>
      <c r="K13" s="655" t="s">
        <v>4135</v>
      </c>
      <c r="L13" s="655" t="s">
        <v>4136</v>
      </c>
      <c r="M13" s="660">
        <v>281991.44</v>
      </c>
      <c r="N13" s="660">
        <v>3353.39</v>
      </c>
      <c r="O13" s="660">
        <v>45655.17</v>
      </c>
      <c r="P13" s="660">
        <v>331000</v>
      </c>
      <c r="Q13" s="548"/>
      <c r="R13" s="660">
        <v>248133.35</v>
      </c>
      <c r="S13" s="549">
        <f t="shared" si="0"/>
        <v>82866.649999999994</v>
      </c>
      <c r="T13" s="267" t="s">
        <v>131</v>
      </c>
      <c r="U13" s="626" t="str">
        <f t="shared" si="5"/>
        <v>AA11273</v>
      </c>
      <c r="V13" s="627" t="str">
        <f t="shared" si="6"/>
        <v>1442-TCN17</v>
      </c>
      <c r="W13" s="626">
        <f t="shared" si="7"/>
        <v>520224</v>
      </c>
      <c r="X13" s="626" t="str">
        <f t="shared" si="8"/>
        <v>COROLLA SE MT</v>
      </c>
      <c r="Y13" s="627">
        <f t="shared" si="8"/>
        <v>2017</v>
      </c>
      <c r="Z13" s="628">
        <f t="shared" si="9"/>
        <v>281991.44</v>
      </c>
      <c r="AA13" s="629"/>
      <c r="AB13" s="729"/>
      <c r="AC13" s="629">
        <f t="shared" ref="AC13:AC17" si="12">VLOOKUP(Z13,TARIFA,1)</f>
        <v>246423.66</v>
      </c>
      <c r="AD13" s="630">
        <f t="shared" ref="AD13:AD17" si="13">VLOOKUP(Z13,TARIFA,4)</f>
        <v>0.05</v>
      </c>
      <c r="AE13" s="629">
        <f t="shared" ref="AE13:AE17" si="14">VLOOKUP(Z13,TARIFA,3)</f>
        <v>4928.3900000000003</v>
      </c>
      <c r="AF13" s="629">
        <f t="shared" si="4"/>
        <v>6706.7790000000005</v>
      </c>
      <c r="AG13" s="555">
        <f t="shared" si="10"/>
        <v>-3353.3890000000006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721" t="s">
        <v>4137</v>
      </c>
      <c r="C14" s="655">
        <v>520224</v>
      </c>
      <c r="D14" s="658">
        <v>1781</v>
      </c>
      <c r="E14" s="655" t="s">
        <v>690</v>
      </c>
      <c r="F14" s="546">
        <v>2017</v>
      </c>
      <c r="G14" s="659">
        <v>42906</v>
      </c>
      <c r="H14" s="655" t="s">
        <v>2216</v>
      </c>
      <c r="I14" s="658" t="s">
        <v>4138</v>
      </c>
      <c r="J14" s="712"/>
      <c r="K14" s="655" t="s">
        <v>4139</v>
      </c>
      <c r="L14" s="655" t="s">
        <v>4140</v>
      </c>
      <c r="M14" s="660">
        <v>281991.44</v>
      </c>
      <c r="N14" s="660">
        <v>3353.39</v>
      </c>
      <c r="O14" s="660">
        <v>45655.17</v>
      </c>
      <c r="P14" s="660">
        <v>331000</v>
      </c>
      <c r="Q14" s="548"/>
      <c r="R14" s="660">
        <v>248133.34</v>
      </c>
      <c r="S14" s="549">
        <f t="shared" si="0"/>
        <v>82866.66</v>
      </c>
      <c r="T14" s="444" t="s">
        <v>131</v>
      </c>
      <c r="U14" s="626" t="str">
        <f t="shared" si="5"/>
        <v>AA11312</v>
      </c>
      <c r="V14" s="627" t="str">
        <f t="shared" si="6"/>
        <v>1452-TCN17</v>
      </c>
      <c r="W14" s="626">
        <f t="shared" si="7"/>
        <v>520224</v>
      </c>
      <c r="X14" s="626" t="str">
        <f t="shared" si="8"/>
        <v>COROLLA SE MT</v>
      </c>
      <c r="Y14" s="627">
        <f t="shared" si="8"/>
        <v>2017</v>
      </c>
      <c r="Z14" s="628">
        <f t="shared" si="9"/>
        <v>281991.44</v>
      </c>
      <c r="AA14" s="629">
        <f>+Z14+Z13</f>
        <v>563982.88</v>
      </c>
      <c r="AB14" s="729">
        <v>2</v>
      </c>
      <c r="AC14" s="629">
        <f t="shared" si="12"/>
        <v>246423.66</v>
      </c>
      <c r="AD14" s="630">
        <f t="shared" si="13"/>
        <v>0.05</v>
      </c>
      <c r="AE14" s="629">
        <f t="shared" si="14"/>
        <v>4928.3900000000003</v>
      </c>
      <c r="AF14" s="629">
        <f t="shared" si="4"/>
        <v>6706.7790000000005</v>
      </c>
      <c r="AG14" s="555">
        <f t="shared" si="10"/>
        <v>-3353.3890000000006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721" t="s">
        <v>4141</v>
      </c>
      <c r="C15" s="655">
        <v>520226</v>
      </c>
      <c r="D15" s="658">
        <v>1783</v>
      </c>
      <c r="E15" s="655" t="s">
        <v>692</v>
      </c>
      <c r="F15" s="546">
        <v>2017</v>
      </c>
      <c r="G15" s="659">
        <v>42912</v>
      </c>
      <c r="H15" s="655" t="s">
        <v>810</v>
      </c>
      <c r="I15" s="658" t="s">
        <v>4142</v>
      </c>
      <c r="J15" s="712"/>
      <c r="K15" s="655" t="s">
        <v>4143</v>
      </c>
      <c r="L15" s="655" t="s">
        <v>4144</v>
      </c>
      <c r="M15" s="660">
        <v>301274.76</v>
      </c>
      <c r="N15" s="660">
        <v>7949.38</v>
      </c>
      <c r="O15" s="660">
        <v>49475.86</v>
      </c>
      <c r="P15" s="660">
        <v>358700</v>
      </c>
      <c r="Q15" s="548"/>
      <c r="R15" s="660">
        <v>274937.82</v>
      </c>
      <c r="S15" s="549">
        <f t="shared" si="0"/>
        <v>83762.179999999993</v>
      </c>
      <c r="T15" s="113" t="s">
        <v>131</v>
      </c>
      <c r="U15" s="626" t="str">
        <f t="shared" si="5"/>
        <v>AA11350</v>
      </c>
      <c r="V15" s="627" t="str">
        <f t="shared" si="6"/>
        <v>1319-TCN17</v>
      </c>
      <c r="W15" s="626">
        <f t="shared" si="7"/>
        <v>520226</v>
      </c>
      <c r="X15" s="626" t="str">
        <f t="shared" si="8"/>
        <v>COROLLA SE  PLUS  AT</v>
      </c>
      <c r="Y15" s="627">
        <f t="shared" si="8"/>
        <v>2017</v>
      </c>
      <c r="Z15" s="628">
        <f t="shared" si="9"/>
        <v>301274.76</v>
      </c>
      <c r="AA15" s="629">
        <f>+Z15</f>
        <v>301274.76</v>
      </c>
      <c r="AB15" s="729">
        <v>1</v>
      </c>
      <c r="AC15" s="629">
        <f t="shared" si="12"/>
        <v>295708.34000000003</v>
      </c>
      <c r="AD15" s="630">
        <f t="shared" si="13"/>
        <v>0.1</v>
      </c>
      <c r="AE15" s="629">
        <f t="shared" si="14"/>
        <v>7392.74</v>
      </c>
      <c r="AF15" s="629">
        <f t="shared" si="4"/>
        <v>7949.3819999999978</v>
      </c>
      <c r="AG15" s="555">
        <f t="shared" si="10"/>
        <v>-1.9999999976789695E-3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721" t="s">
        <v>4145</v>
      </c>
      <c r="C16" s="655">
        <v>520513</v>
      </c>
      <c r="D16" s="658">
        <v>5396</v>
      </c>
      <c r="E16" s="655" t="s">
        <v>132</v>
      </c>
      <c r="F16" s="546">
        <v>2017</v>
      </c>
      <c r="G16" s="659">
        <v>42901</v>
      </c>
      <c r="H16" s="655" t="s">
        <v>2213</v>
      </c>
      <c r="I16" s="658" t="s">
        <v>4146</v>
      </c>
      <c r="J16" s="712"/>
      <c r="K16" s="655" t="s">
        <v>4147</v>
      </c>
      <c r="L16" s="655" t="s">
        <v>4148</v>
      </c>
      <c r="M16" s="660">
        <v>481083.78</v>
      </c>
      <c r="N16" s="660">
        <v>33485.19</v>
      </c>
      <c r="O16" s="660">
        <v>82331.03</v>
      </c>
      <c r="P16" s="660">
        <v>596900</v>
      </c>
      <c r="Q16" s="548"/>
      <c r="R16" s="660">
        <v>425866.63</v>
      </c>
      <c r="S16" s="549">
        <f t="shared" si="0"/>
        <v>171033.37</v>
      </c>
      <c r="T16" s="113" t="s">
        <v>131</v>
      </c>
      <c r="U16" s="626" t="str">
        <f t="shared" si="5"/>
        <v>AA11281</v>
      </c>
      <c r="V16" s="627" t="str">
        <f t="shared" si="6"/>
        <v>1409-TCN17</v>
      </c>
      <c r="W16" s="626">
        <f t="shared" si="7"/>
        <v>520513</v>
      </c>
      <c r="X16" s="626" t="str">
        <f t="shared" si="8"/>
        <v>SIENNA XLE</v>
      </c>
      <c r="Y16" s="627">
        <f t="shared" si="8"/>
        <v>2017</v>
      </c>
      <c r="Z16" s="628">
        <f t="shared" si="9"/>
        <v>481083.78</v>
      </c>
      <c r="AA16" s="629">
        <f>+Z16</f>
        <v>481083.78</v>
      </c>
      <c r="AB16" s="729">
        <v>1</v>
      </c>
      <c r="AC16" s="629">
        <f t="shared" si="12"/>
        <v>443562.4</v>
      </c>
      <c r="AD16" s="630">
        <f t="shared" si="13"/>
        <v>0.17</v>
      </c>
      <c r="AE16" s="629">
        <f t="shared" si="14"/>
        <v>27106.55</v>
      </c>
      <c r="AF16" s="629">
        <f t="shared" si="4"/>
        <v>33485.184600000001</v>
      </c>
      <c r="AG16" s="555">
        <f t="shared" si="10"/>
        <v>5.4000000018277206E-3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721" t="s">
        <v>4149</v>
      </c>
      <c r="C17" s="655">
        <v>520514</v>
      </c>
      <c r="D17" s="658">
        <v>5398</v>
      </c>
      <c r="E17" s="655" t="s">
        <v>117</v>
      </c>
      <c r="F17" s="546">
        <v>2017</v>
      </c>
      <c r="G17" s="659">
        <v>42913</v>
      </c>
      <c r="H17" s="655" t="s">
        <v>727</v>
      </c>
      <c r="I17" s="658" t="s">
        <v>4150</v>
      </c>
      <c r="J17" s="712"/>
      <c r="K17" s="655" t="s">
        <v>4151</v>
      </c>
      <c r="L17" s="655" t="s">
        <v>4152</v>
      </c>
      <c r="M17" s="660">
        <v>516155.99</v>
      </c>
      <c r="N17" s="660">
        <v>39447.46</v>
      </c>
      <c r="O17" s="660">
        <v>88896.55</v>
      </c>
      <c r="P17" s="660">
        <v>644500</v>
      </c>
      <c r="Q17" s="548"/>
      <c r="R17" s="660">
        <v>456016.94</v>
      </c>
      <c r="S17" s="549">
        <f t="shared" si="0"/>
        <v>188483.06</v>
      </c>
      <c r="T17" s="113" t="s">
        <v>131</v>
      </c>
      <c r="U17" s="626" t="str">
        <f t="shared" si="5"/>
        <v>AA11368</v>
      </c>
      <c r="V17" s="627" t="str">
        <f t="shared" si="6"/>
        <v>1223-TCN17</v>
      </c>
      <c r="W17" s="626">
        <f t="shared" si="7"/>
        <v>520514</v>
      </c>
      <c r="X17" s="626" t="str">
        <f t="shared" si="8"/>
        <v>SIENNA XLE PIEL</v>
      </c>
      <c r="Y17" s="627">
        <f t="shared" si="8"/>
        <v>2017</v>
      </c>
      <c r="Z17" s="628">
        <f t="shared" si="9"/>
        <v>516155.99</v>
      </c>
      <c r="AA17" s="629"/>
      <c r="AB17" s="729"/>
      <c r="AC17" s="629">
        <f t="shared" si="12"/>
        <v>443562.4</v>
      </c>
      <c r="AD17" s="630">
        <f t="shared" si="13"/>
        <v>0.17</v>
      </c>
      <c r="AE17" s="629">
        <f t="shared" si="14"/>
        <v>27106.55</v>
      </c>
      <c r="AF17" s="629">
        <f t="shared" si="4"/>
        <v>39447.460299999992</v>
      </c>
      <c r="AG17" s="555">
        <f t="shared" si="10"/>
        <v>-2.9999999242136255E-4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721" t="s">
        <v>4161</v>
      </c>
      <c r="C18" s="655">
        <v>520514</v>
      </c>
      <c r="D18" s="658">
        <v>5398</v>
      </c>
      <c r="E18" s="655" t="s">
        <v>117</v>
      </c>
      <c r="F18" s="546">
        <v>2017</v>
      </c>
      <c r="G18" s="659">
        <v>42906</v>
      </c>
      <c r="H18" s="655" t="s">
        <v>792</v>
      </c>
      <c r="I18" s="658" t="s">
        <v>4162</v>
      </c>
      <c r="J18" s="712"/>
      <c r="K18" s="655" t="s">
        <v>4163</v>
      </c>
      <c r="L18" s="655" t="s">
        <v>4164</v>
      </c>
      <c r="M18" s="660">
        <v>527208.15</v>
      </c>
      <c r="N18" s="660">
        <v>41326.33</v>
      </c>
      <c r="O18" s="660">
        <v>90965.52</v>
      </c>
      <c r="P18" s="660">
        <v>659500</v>
      </c>
      <c r="Q18" s="548"/>
      <c r="R18" s="660">
        <v>456016.94</v>
      </c>
      <c r="S18" s="549">
        <f t="shared" si="0"/>
        <v>203483.06</v>
      </c>
      <c r="T18" s="113" t="s">
        <v>131</v>
      </c>
      <c r="U18" s="626" t="str">
        <f t="shared" si="5"/>
        <v>AA11310</v>
      </c>
      <c r="V18" s="627" t="str">
        <f t="shared" si="6"/>
        <v>1189-TCN17</v>
      </c>
      <c r="W18" s="626">
        <f t="shared" si="7"/>
        <v>520514</v>
      </c>
      <c r="X18" s="626" t="str">
        <f t="shared" si="8"/>
        <v>SIENNA XLE PIEL</v>
      </c>
      <c r="Y18" s="627">
        <f t="shared" si="8"/>
        <v>2017</v>
      </c>
      <c r="Z18" s="628">
        <f t="shared" si="9"/>
        <v>527208.15</v>
      </c>
      <c r="AA18" s="629">
        <f>+Z18+Z17</f>
        <v>1043364.14</v>
      </c>
      <c r="AB18" s="729">
        <v>2</v>
      </c>
      <c r="AC18" s="629">
        <f t="shared" si="1"/>
        <v>443562.4</v>
      </c>
      <c r="AD18" s="630">
        <f t="shared" si="2"/>
        <v>0.17</v>
      </c>
      <c r="AE18" s="629">
        <f t="shared" si="3"/>
        <v>27106.55</v>
      </c>
      <c r="AF18" s="629">
        <f t="shared" si="4"/>
        <v>41326.327499999999</v>
      </c>
      <c r="AG18" s="555">
        <f t="shared" si="10"/>
        <v>2.5000000023283064E-3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721" t="s">
        <v>4153</v>
      </c>
      <c r="C19" s="655">
        <v>520814</v>
      </c>
      <c r="D19" s="658">
        <v>4493</v>
      </c>
      <c r="E19" s="655" t="s">
        <v>693</v>
      </c>
      <c r="F19" s="546">
        <v>2017</v>
      </c>
      <c r="G19" s="659">
        <v>42898</v>
      </c>
      <c r="H19" s="655" t="s">
        <v>747</v>
      </c>
      <c r="I19" s="658" t="s">
        <v>4154</v>
      </c>
      <c r="J19" s="712"/>
      <c r="K19" s="655" t="s">
        <v>4155</v>
      </c>
      <c r="L19" s="655" t="s">
        <v>4156</v>
      </c>
      <c r="M19" s="660">
        <v>315616.45</v>
      </c>
      <c r="N19" s="660">
        <v>9383.5499999999993</v>
      </c>
      <c r="O19" s="660">
        <v>52000</v>
      </c>
      <c r="P19" s="660">
        <v>377000</v>
      </c>
      <c r="Q19" s="548"/>
      <c r="R19" s="660">
        <v>277000.59999999998</v>
      </c>
      <c r="S19" s="549">
        <f t="shared" si="0"/>
        <v>99999.400000000023</v>
      </c>
      <c r="T19" s="113" t="s">
        <v>131</v>
      </c>
      <c r="U19" s="626" t="str">
        <f t="shared" si="5"/>
        <v>AA11256</v>
      </c>
      <c r="V19" s="627" t="str">
        <f t="shared" si="6"/>
        <v>1436-TCN17</v>
      </c>
      <c r="W19" s="626">
        <f t="shared" si="7"/>
        <v>520814</v>
      </c>
      <c r="X19" s="626" t="str">
        <f t="shared" si="8"/>
        <v>RAV4 4X2  SUV  LE</v>
      </c>
      <c r="Y19" s="627">
        <f t="shared" si="8"/>
        <v>2017</v>
      </c>
      <c r="Z19" s="628">
        <f t="shared" si="9"/>
        <v>315616.45</v>
      </c>
      <c r="AA19" s="629"/>
      <c r="AB19" s="729"/>
      <c r="AC19" s="629">
        <f t="shared" si="1"/>
        <v>295708.34000000003</v>
      </c>
      <c r="AD19" s="630">
        <f t="shared" si="2"/>
        <v>0.1</v>
      </c>
      <c r="AE19" s="629">
        <f t="shared" si="3"/>
        <v>7392.74</v>
      </c>
      <c r="AF19" s="629">
        <f t="shared" si="4"/>
        <v>9383.5509999999995</v>
      </c>
      <c r="AG19" s="555">
        <f t="shared" si="10"/>
        <v>-1.0000000002037268E-3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721" t="s">
        <v>4157</v>
      </c>
      <c r="C20" s="655">
        <v>520814</v>
      </c>
      <c r="D20" s="658">
        <v>4493</v>
      </c>
      <c r="E20" s="655" t="s">
        <v>693</v>
      </c>
      <c r="F20" s="546">
        <v>2017</v>
      </c>
      <c r="G20" s="659">
        <v>42900</v>
      </c>
      <c r="H20" s="655" t="s">
        <v>739</v>
      </c>
      <c r="I20" s="658" t="s">
        <v>4158</v>
      </c>
      <c r="J20" s="712"/>
      <c r="K20" s="655" t="s">
        <v>4159</v>
      </c>
      <c r="L20" s="655" t="s">
        <v>4160</v>
      </c>
      <c r="M20" s="660">
        <v>315616.45</v>
      </c>
      <c r="N20" s="660">
        <v>9383.5499999999993</v>
      </c>
      <c r="O20" s="660">
        <v>52000</v>
      </c>
      <c r="P20" s="660">
        <v>377000</v>
      </c>
      <c r="Q20" s="548"/>
      <c r="R20" s="660">
        <v>277001.59999999998</v>
      </c>
      <c r="S20" s="549">
        <f t="shared" si="0"/>
        <v>99998.400000000023</v>
      </c>
      <c r="T20" s="267" t="s">
        <v>131</v>
      </c>
      <c r="U20" s="626" t="str">
        <f t="shared" si="5"/>
        <v>AA11271</v>
      </c>
      <c r="V20" s="627" t="str">
        <f t="shared" si="6"/>
        <v>1284-TCN17</v>
      </c>
      <c r="W20" s="626">
        <f t="shared" si="7"/>
        <v>520814</v>
      </c>
      <c r="X20" s="626" t="str">
        <f t="shared" si="8"/>
        <v>RAV4 4X2  SUV  LE</v>
      </c>
      <c r="Y20" s="627">
        <f t="shared" si="8"/>
        <v>2017</v>
      </c>
      <c r="Z20" s="628">
        <f t="shared" si="9"/>
        <v>315616.45</v>
      </c>
      <c r="AA20" s="629">
        <f>+Z20+Z19</f>
        <v>631232.9</v>
      </c>
      <c r="AB20" s="729">
        <v>2</v>
      </c>
      <c r="AC20" s="629">
        <f t="shared" si="1"/>
        <v>295708.34000000003</v>
      </c>
      <c r="AD20" s="630">
        <f t="shared" si="2"/>
        <v>0.1</v>
      </c>
      <c r="AE20" s="629">
        <f t="shared" si="3"/>
        <v>7392.74</v>
      </c>
      <c r="AF20" s="629">
        <f t="shared" si="4"/>
        <v>9383.5509999999995</v>
      </c>
      <c r="AG20" s="555">
        <f t="shared" si="10"/>
        <v>-1.0000000002037268E-3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721" t="s">
        <v>4165</v>
      </c>
      <c r="C21" s="655">
        <v>520815</v>
      </c>
      <c r="D21" s="658">
        <v>4492</v>
      </c>
      <c r="E21" s="655" t="s">
        <v>694</v>
      </c>
      <c r="F21" s="546">
        <v>2017</v>
      </c>
      <c r="G21" s="659">
        <v>42900</v>
      </c>
      <c r="H21" s="655" t="s">
        <v>2213</v>
      </c>
      <c r="I21" s="658" t="s">
        <v>4166</v>
      </c>
      <c r="J21" s="712"/>
      <c r="K21" s="655" t="s">
        <v>4167</v>
      </c>
      <c r="L21" s="655" t="s">
        <v>4168</v>
      </c>
      <c r="M21" s="660">
        <v>355799.27</v>
      </c>
      <c r="N21" s="660">
        <v>13942.11</v>
      </c>
      <c r="O21" s="660">
        <v>59158.62</v>
      </c>
      <c r="P21" s="660">
        <v>428900</v>
      </c>
      <c r="Q21" s="548"/>
      <c r="R21" s="660">
        <v>311959.65999999997</v>
      </c>
      <c r="S21" s="549">
        <f t="shared" si="0"/>
        <v>116940.34000000003</v>
      </c>
      <c r="T21" s="267" t="s">
        <v>131</v>
      </c>
      <c r="U21" s="626" t="str">
        <f t="shared" si="5"/>
        <v>AA11272</v>
      </c>
      <c r="V21" s="627" t="str">
        <f t="shared" si="6"/>
        <v>1441-TCN17</v>
      </c>
      <c r="W21" s="626">
        <f t="shared" si="7"/>
        <v>520815</v>
      </c>
      <c r="X21" s="626" t="str">
        <f t="shared" si="8"/>
        <v>RAV4 L4 AWD XLE</v>
      </c>
      <c r="Y21" s="627">
        <f t="shared" si="8"/>
        <v>2017</v>
      </c>
      <c r="Z21" s="628">
        <f t="shared" si="9"/>
        <v>355799.27</v>
      </c>
      <c r="AA21" s="629"/>
      <c r="AB21" s="729"/>
      <c r="AC21" s="629">
        <f t="shared" si="1"/>
        <v>344993.21</v>
      </c>
      <c r="AD21" s="630">
        <f t="shared" si="2"/>
        <v>0.15</v>
      </c>
      <c r="AE21" s="629">
        <f t="shared" si="3"/>
        <v>12321.2</v>
      </c>
      <c r="AF21" s="629">
        <f t="shared" si="4"/>
        <v>13942.109</v>
      </c>
      <c r="AG21" s="555">
        <f t="shared" si="10"/>
        <v>1.0000000002037268E-3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721" t="s">
        <v>4169</v>
      </c>
      <c r="C22" s="655">
        <v>520815</v>
      </c>
      <c r="D22" s="658">
        <v>4492</v>
      </c>
      <c r="E22" s="655" t="s">
        <v>694</v>
      </c>
      <c r="F22" s="546">
        <v>2017</v>
      </c>
      <c r="G22" s="659">
        <v>42892</v>
      </c>
      <c r="H22" s="655" t="s">
        <v>774</v>
      </c>
      <c r="I22" s="658" t="s">
        <v>4170</v>
      </c>
      <c r="J22" s="712"/>
      <c r="K22" s="655" t="s">
        <v>4171</v>
      </c>
      <c r="L22" s="655" t="s">
        <v>4172</v>
      </c>
      <c r="M22" s="660">
        <v>355799.27</v>
      </c>
      <c r="N22" s="660">
        <v>13942.11</v>
      </c>
      <c r="O22" s="660">
        <v>59158.62</v>
      </c>
      <c r="P22" s="660">
        <v>428900</v>
      </c>
      <c r="Q22" s="548"/>
      <c r="R22" s="660">
        <v>311959.65999999997</v>
      </c>
      <c r="S22" s="549">
        <f t="shared" si="0"/>
        <v>116940.34000000003</v>
      </c>
      <c r="T22" s="267" t="s">
        <v>131</v>
      </c>
      <c r="U22" s="626" t="str">
        <f t="shared" si="5"/>
        <v>AA11225</v>
      </c>
      <c r="V22" s="627" t="str">
        <f t="shared" si="6"/>
        <v>1432-TCN17</v>
      </c>
      <c r="W22" s="626">
        <f t="shared" si="7"/>
        <v>520815</v>
      </c>
      <c r="X22" s="626" t="str">
        <f t="shared" si="8"/>
        <v>RAV4 L4 AWD XLE</v>
      </c>
      <c r="Y22" s="627">
        <f t="shared" si="8"/>
        <v>2017</v>
      </c>
      <c r="Z22" s="628">
        <f t="shared" si="9"/>
        <v>355799.27</v>
      </c>
      <c r="AA22" s="629">
        <f>+Z21+Z22</f>
        <v>711598.54</v>
      </c>
      <c r="AB22" s="729">
        <v>2</v>
      </c>
      <c r="AC22" s="629">
        <f t="shared" si="1"/>
        <v>344993.21</v>
      </c>
      <c r="AD22" s="630">
        <f t="shared" si="2"/>
        <v>0.15</v>
      </c>
      <c r="AE22" s="629">
        <f t="shared" si="3"/>
        <v>12321.2</v>
      </c>
      <c r="AF22" s="629">
        <f>IF(Z22&lt;281240.78,(((Z22-AC22)*AD22+AE22)/2),(Z22-AC22)*AD22+AE22)</f>
        <v>13942.109</v>
      </c>
      <c r="AG22" s="555">
        <f t="shared" si="10"/>
        <v>1.0000000002037268E-3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721" t="s">
        <v>4173</v>
      </c>
      <c r="C23" s="655">
        <v>520818</v>
      </c>
      <c r="D23" s="658">
        <v>4495</v>
      </c>
      <c r="E23" s="655" t="s">
        <v>1519</v>
      </c>
      <c r="F23" s="546">
        <v>2017</v>
      </c>
      <c r="G23" s="659">
        <v>42910</v>
      </c>
      <c r="H23" s="655" t="s">
        <v>2213</v>
      </c>
      <c r="I23" s="658" t="s">
        <v>4174</v>
      </c>
      <c r="J23" s="712"/>
      <c r="K23" s="655" t="s">
        <v>4175</v>
      </c>
      <c r="L23" s="655" t="s">
        <v>4176</v>
      </c>
      <c r="M23" s="660">
        <v>418767.78</v>
      </c>
      <c r="N23" s="660">
        <v>23387.39</v>
      </c>
      <c r="O23" s="660">
        <v>70744.83</v>
      </c>
      <c r="P23" s="660">
        <v>512900</v>
      </c>
      <c r="Q23" s="548"/>
      <c r="R23" s="660">
        <v>356939.06</v>
      </c>
      <c r="S23" s="549">
        <f t="shared" si="0"/>
        <v>155960.94</v>
      </c>
      <c r="T23" s="113" t="s">
        <v>131</v>
      </c>
      <c r="U23" s="626" t="str">
        <f t="shared" si="5"/>
        <v>AA11347</v>
      </c>
      <c r="V23" s="627" t="str">
        <f t="shared" si="6"/>
        <v>1490-TCN17</v>
      </c>
      <c r="W23" s="626">
        <f t="shared" si="7"/>
        <v>520818</v>
      </c>
      <c r="X23" s="626" t="str">
        <f t="shared" si="8"/>
        <v>RAV4 SE 4WD 2.5L</v>
      </c>
      <c r="Y23" s="627">
        <f t="shared" si="8"/>
        <v>2017</v>
      </c>
      <c r="Z23" s="628">
        <f t="shared" si="9"/>
        <v>418767.78</v>
      </c>
      <c r="AA23" s="629">
        <f>+Z23</f>
        <v>418767.78</v>
      </c>
      <c r="AB23" s="729">
        <v>1</v>
      </c>
      <c r="AC23" s="629">
        <f t="shared" si="1"/>
        <v>344993.21</v>
      </c>
      <c r="AD23" s="630">
        <f t="shared" si="2"/>
        <v>0.15</v>
      </c>
      <c r="AE23" s="629">
        <f t="shared" si="3"/>
        <v>12321.2</v>
      </c>
      <c r="AF23" s="629">
        <f>IF(Z23&lt;281240.78,(((Z23-AC23)*AD23+AE23)/2),(Z23-AC23)*AD23+AE23)</f>
        <v>23387.385500000004</v>
      </c>
      <c r="AG23" s="555">
        <f t="shared" si="10"/>
        <v>4.4999999954598024E-3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721" t="s">
        <v>4177</v>
      </c>
      <c r="C24" s="655">
        <v>520819</v>
      </c>
      <c r="D24" s="658">
        <v>4498</v>
      </c>
      <c r="E24" s="655" t="s">
        <v>696</v>
      </c>
      <c r="F24" s="546">
        <v>2017</v>
      </c>
      <c r="G24" s="659">
        <v>42899</v>
      </c>
      <c r="H24" s="655" t="s">
        <v>778</v>
      </c>
      <c r="I24" s="658" t="s">
        <v>4178</v>
      </c>
      <c r="J24" s="712"/>
      <c r="K24" s="655" t="s">
        <v>4179</v>
      </c>
      <c r="L24" s="655" t="s">
        <v>4180</v>
      </c>
      <c r="M24" s="660">
        <v>383985.18</v>
      </c>
      <c r="N24" s="660">
        <v>18169.990000000002</v>
      </c>
      <c r="O24" s="660">
        <v>64344.83</v>
      </c>
      <c r="P24" s="660">
        <v>466500</v>
      </c>
      <c r="Q24" s="548"/>
      <c r="R24" s="660">
        <v>319849.96999999997</v>
      </c>
      <c r="S24" s="549">
        <f t="shared" si="0"/>
        <v>146650.03000000003</v>
      </c>
      <c r="T24" s="113" t="s">
        <v>131</v>
      </c>
      <c r="U24" s="626" t="str">
        <f t="shared" si="5"/>
        <v>AA11258</v>
      </c>
      <c r="V24" s="627" t="str">
        <f t="shared" si="6"/>
        <v>0617-TCN17</v>
      </c>
      <c r="W24" s="626">
        <f t="shared" si="7"/>
        <v>520819</v>
      </c>
      <c r="X24" s="626" t="str">
        <f t="shared" si="8"/>
        <v>RAV4 XLE PLUS</v>
      </c>
      <c r="Y24" s="627">
        <f t="shared" si="8"/>
        <v>2017</v>
      </c>
      <c r="Z24" s="628">
        <f t="shared" si="9"/>
        <v>383985.18</v>
      </c>
      <c r="AA24" s="629"/>
      <c r="AB24" s="729"/>
      <c r="AC24" s="629">
        <f t="shared" si="1"/>
        <v>344993.21</v>
      </c>
      <c r="AD24" s="630">
        <f t="shared" si="2"/>
        <v>0.15</v>
      </c>
      <c r="AE24" s="629">
        <f t="shared" si="3"/>
        <v>12321.2</v>
      </c>
      <c r="AF24" s="629">
        <f t="shared" si="4"/>
        <v>18169.995499999997</v>
      </c>
      <c r="AG24" s="555">
        <f t="shared" si="10"/>
        <v>-5.4999999956635293E-3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721" t="s">
        <v>4181</v>
      </c>
      <c r="C25" s="655">
        <v>520819</v>
      </c>
      <c r="D25" s="658">
        <v>4498</v>
      </c>
      <c r="E25" s="655" t="s">
        <v>696</v>
      </c>
      <c r="F25" s="546">
        <v>2017</v>
      </c>
      <c r="G25" s="659">
        <v>42901</v>
      </c>
      <c r="H25" s="655" t="s">
        <v>747</v>
      </c>
      <c r="I25" s="658" t="s">
        <v>4182</v>
      </c>
      <c r="J25" s="712"/>
      <c r="K25" s="655" t="s">
        <v>4183</v>
      </c>
      <c r="L25" s="655" t="s">
        <v>4184</v>
      </c>
      <c r="M25" s="660">
        <v>370491.92</v>
      </c>
      <c r="N25" s="660">
        <v>16146.01</v>
      </c>
      <c r="O25" s="660">
        <v>61862.07</v>
      </c>
      <c r="P25" s="660">
        <v>448500</v>
      </c>
      <c r="Q25" s="548"/>
      <c r="R25" s="660">
        <v>327257.34999999998</v>
      </c>
      <c r="S25" s="549">
        <f t="shared" si="0"/>
        <v>121242.65000000002</v>
      </c>
      <c r="T25" s="444" t="s">
        <v>131</v>
      </c>
      <c r="U25" s="626" t="str">
        <f t="shared" si="5"/>
        <v>AA11282</v>
      </c>
      <c r="V25" s="627" t="str">
        <f t="shared" si="6"/>
        <v>1186-TCN17</v>
      </c>
      <c r="W25" s="626">
        <f t="shared" si="7"/>
        <v>520819</v>
      </c>
      <c r="X25" s="626" t="str">
        <f t="shared" si="8"/>
        <v>RAV4 XLE PLUS</v>
      </c>
      <c r="Y25" s="627">
        <f t="shared" si="8"/>
        <v>2017</v>
      </c>
      <c r="Z25" s="628">
        <f t="shared" si="9"/>
        <v>370491.92</v>
      </c>
      <c r="AA25" s="629"/>
      <c r="AB25" s="729"/>
      <c r="AC25" s="629">
        <f>VLOOKUP(Z25,TARIFA,1)</f>
        <v>344993.21</v>
      </c>
      <c r="AD25" s="630">
        <f>VLOOKUP(Z25,TARIFA,4)</f>
        <v>0.15</v>
      </c>
      <c r="AE25" s="629">
        <f>VLOOKUP(Z25,TARIFA,3)</f>
        <v>12321.2</v>
      </c>
      <c r="AF25" s="629">
        <f>IF(Z25&lt;281240.78,(((Z25-AC25)*AD25+AE25)/2),(Z25-AC25)*AD25+AE25)</f>
        <v>16146.006499999996</v>
      </c>
      <c r="AG25" s="555">
        <f>+N25-AF25</f>
        <v>3.5000000043510227E-3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721" t="s">
        <v>4185</v>
      </c>
      <c r="C26" s="655">
        <v>520819</v>
      </c>
      <c r="D26" s="658">
        <v>4498</v>
      </c>
      <c r="E26" s="655" t="s">
        <v>696</v>
      </c>
      <c r="F26" s="546">
        <v>2017</v>
      </c>
      <c r="G26" s="659">
        <v>42916</v>
      </c>
      <c r="H26" s="655" t="s">
        <v>908</v>
      </c>
      <c r="I26" s="658" t="s">
        <v>4186</v>
      </c>
      <c r="J26" s="712"/>
      <c r="K26" s="655" t="s">
        <v>4187</v>
      </c>
      <c r="L26" s="655" t="s">
        <v>4188</v>
      </c>
      <c r="M26" s="660">
        <v>383985.18</v>
      </c>
      <c r="N26" s="660">
        <v>18169.990000000002</v>
      </c>
      <c r="O26" s="660">
        <v>64344.83</v>
      </c>
      <c r="P26" s="660">
        <v>466500</v>
      </c>
      <c r="Q26" s="548"/>
      <c r="R26" s="660">
        <v>327257.34999999998</v>
      </c>
      <c r="S26" s="549">
        <f t="shared" si="0"/>
        <v>139242.65000000002</v>
      </c>
      <c r="T26" s="113" t="s">
        <v>131</v>
      </c>
      <c r="U26" s="626" t="str">
        <f t="shared" si="5"/>
        <v>AA11400</v>
      </c>
      <c r="V26" s="627" t="str">
        <f t="shared" si="6"/>
        <v>1090-TCN17</v>
      </c>
      <c r="W26" s="626">
        <f t="shared" si="7"/>
        <v>520819</v>
      </c>
      <c r="X26" s="626" t="str">
        <f t="shared" si="8"/>
        <v>RAV4 XLE PLUS</v>
      </c>
      <c r="Y26" s="627">
        <f t="shared" si="8"/>
        <v>2017</v>
      </c>
      <c r="Z26" s="628">
        <f t="shared" si="9"/>
        <v>383985.18</v>
      </c>
      <c r="AA26" s="629">
        <f>+Z26+Z25+Z24</f>
        <v>1138462.28</v>
      </c>
      <c r="AB26" s="729">
        <v>3</v>
      </c>
      <c r="AC26" s="629">
        <f t="shared" ref="AC26:AC29" si="15">VLOOKUP(Z26,TARIFA,1)</f>
        <v>344993.21</v>
      </c>
      <c r="AD26" s="630">
        <f t="shared" ref="AD26:AD29" si="16">VLOOKUP(Z26,TARIFA,4)</f>
        <v>0.15</v>
      </c>
      <c r="AE26" s="629">
        <f t="shared" ref="AE26:AE29" si="17">VLOOKUP(Z26,TARIFA,3)</f>
        <v>12321.2</v>
      </c>
      <c r="AF26" s="629">
        <f t="shared" ref="AF26" si="18">IF(Z26&lt;281240.78,(((Z26-AC26)*AD26+AE26)/2),(Z26-AC26)*AD26+AE26)</f>
        <v>18169.995499999997</v>
      </c>
      <c r="AG26" s="555">
        <f t="shared" ref="AG26:AG29" si="19">+N26-AF26</f>
        <v>-5.4999999956635293E-3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721" t="s">
        <v>4189</v>
      </c>
      <c r="C27" s="655">
        <v>520908</v>
      </c>
      <c r="D27" s="658">
        <v>2008</v>
      </c>
      <c r="E27" s="655" t="s">
        <v>697</v>
      </c>
      <c r="F27" s="546">
        <v>2017</v>
      </c>
      <c r="G27" s="659">
        <v>42910</v>
      </c>
      <c r="H27" s="655" t="s">
        <v>722</v>
      </c>
      <c r="I27" s="658" t="s">
        <v>4190</v>
      </c>
      <c r="J27" s="712"/>
      <c r="K27" s="655" t="s">
        <v>4191</v>
      </c>
      <c r="L27" s="655" t="s">
        <v>4192</v>
      </c>
      <c r="M27" s="660">
        <v>208534.48</v>
      </c>
      <c r="N27" s="660">
        <v>0</v>
      </c>
      <c r="O27" s="660">
        <v>33365.519999999997</v>
      </c>
      <c r="P27" s="660">
        <v>241900</v>
      </c>
      <c r="Q27" s="548"/>
      <c r="R27" s="660">
        <v>189108.52</v>
      </c>
      <c r="S27" s="549">
        <f t="shared" si="0"/>
        <v>52791.48000000001</v>
      </c>
      <c r="T27" s="113" t="s">
        <v>131</v>
      </c>
      <c r="U27" s="626" t="str">
        <f t="shared" si="5"/>
        <v>AA11348</v>
      </c>
      <c r="V27" s="627" t="str">
        <f t="shared" si="6"/>
        <v>1386-TCN17</v>
      </c>
      <c r="W27" s="626">
        <f t="shared" si="7"/>
        <v>520908</v>
      </c>
      <c r="X27" s="626" t="str">
        <f t="shared" si="8"/>
        <v>YARIS HB S MT</v>
      </c>
      <c r="Y27" s="627">
        <f t="shared" si="8"/>
        <v>2017</v>
      </c>
      <c r="Z27" s="628">
        <f t="shared" si="9"/>
        <v>208534.48</v>
      </c>
      <c r="AA27" s="629">
        <f>+Z27</f>
        <v>208534.48</v>
      </c>
      <c r="AB27" s="730">
        <v>1</v>
      </c>
      <c r="AC27" s="629">
        <f t="shared" si="15"/>
        <v>0.01</v>
      </c>
      <c r="AD27" s="630">
        <f t="shared" si="16"/>
        <v>0.02</v>
      </c>
      <c r="AE27" s="629">
        <f t="shared" si="17"/>
        <v>0</v>
      </c>
      <c r="AF27" s="629">
        <v>0</v>
      </c>
      <c r="AG27" s="555">
        <f t="shared" si="19"/>
        <v>0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721" t="s">
        <v>4193</v>
      </c>
      <c r="C28" s="655">
        <v>520909</v>
      </c>
      <c r="D28" s="658">
        <v>2009</v>
      </c>
      <c r="E28" s="655" t="s">
        <v>698</v>
      </c>
      <c r="F28" s="546">
        <v>2017</v>
      </c>
      <c r="G28" s="659">
        <v>42915</v>
      </c>
      <c r="H28" s="655" t="s">
        <v>817</v>
      </c>
      <c r="I28" s="658" t="s">
        <v>4194</v>
      </c>
      <c r="J28" s="712"/>
      <c r="K28" s="655" t="s">
        <v>4195</v>
      </c>
      <c r="L28" s="655" t="s">
        <v>4196</v>
      </c>
      <c r="M28" s="660">
        <v>222500</v>
      </c>
      <c r="N28" s="660">
        <v>0</v>
      </c>
      <c r="O28" s="660">
        <v>35600</v>
      </c>
      <c r="P28" s="660">
        <v>258100</v>
      </c>
      <c r="Q28" s="548"/>
      <c r="R28" s="660">
        <v>201676.49</v>
      </c>
      <c r="S28" s="549">
        <f t="shared" si="0"/>
        <v>56423.510000000009</v>
      </c>
      <c r="T28" s="267" t="s">
        <v>131</v>
      </c>
      <c r="U28" s="626" t="str">
        <f t="shared" si="5"/>
        <v>AA11383</v>
      </c>
      <c r="V28" s="627" t="str">
        <f t="shared" si="6"/>
        <v>1527-TCN17</v>
      </c>
      <c r="W28" s="626">
        <f t="shared" si="7"/>
        <v>520909</v>
      </c>
      <c r="X28" s="626" t="str">
        <f t="shared" si="8"/>
        <v>YARIS HB S CVT</v>
      </c>
      <c r="Y28" s="627">
        <f t="shared" si="8"/>
        <v>2017</v>
      </c>
      <c r="Z28" s="628">
        <f t="shared" si="9"/>
        <v>222500</v>
      </c>
      <c r="AA28" s="629">
        <f>+Z28</f>
        <v>222500</v>
      </c>
      <c r="AB28" s="730">
        <v>1</v>
      </c>
      <c r="AC28" s="629">
        <f t="shared" si="15"/>
        <v>0.01</v>
      </c>
      <c r="AD28" s="630">
        <f t="shared" si="16"/>
        <v>0.02</v>
      </c>
      <c r="AE28" s="629">
        <f t="shared" si="17"/>
        <v>0</v>
      </c>
      <c r="AF28" s="629">
        <v>0</v>
      </c>
      <c r="AG28" s="555">
        <f t="shared" si="19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721" t="s">
        <v>4197</v>
      </c>
      <c r="C29" s="655">
        <v>521101</v>
      </c>
      <c r="D29" s="658">
        <v>1251</v>
      </c>
      <c r="E29" s="655" t="s">
        <v>700</v>
      </c>
      <c r="F29" s="546">
        <v>2017</v>
      </c>
      <c r="G29" s="659">
        <v>42895</v>
      </c>
      <c r="H29" s="655" t="s">
        <v>747</v>
      </c>
      <c r="I29" s="658" t="s">
        <v>4198</v>
      </c>
      <c r="J29" s="712"/>
      <c r="K29" s="655" t="s">
        <v>2451</v>
      </c>
      <c r="L29" s="655" t="s">
        <v>4199</v>
      </c>
      <c r="M29" s="660">
        <v>330517.24</v>
      </c>
      <c r="N29" s="660">
        <v>0</v>
      </c>
      <c r="O29" s="660">
        <v>52882.76</v>
      </c>
      <c r="P29" s="660">
        <v>383400</v>
      </c>
      <c r="Q29" s="548"/>
      <c r="R29" s="660">
        <v>300037.53000000003</v>
      </c>
      <c r="S29" s="549">
        <f t="shared" si="0"/>
        <v>83362.469999999972</v>
      </c>
      <c r="T29" s="267" t="s">
        <v>131</v>
      </c>
      <c r="U29" s="626" t="str">
        <f t="shared" si="5"/>
        <v>AA11238</v>
      </c>
      <c r="V29" s="627" t="str">
        <f t="shared" si="6"/>
        <v>1391-TCN17</v>
      </c>
      <c r="W29" s="626">
        <f t="shared" si="7"/>
        <v>521101</v>
      </c>
      <c r="X29" s="626" t="str">
        <f t="shared" si="8"/>
        <v>PRIUS HYBRID BASE</v>
      </c>
      <c r="Y29" s="627">
        <f t="shared" si="8"/>
        <v>2017</v>
      </c>
      <c r="Z29" s="628">
        <f t="shared" si="9"/>
        <v>330517.24</v>
      </c>
      <c r="AA29" s="629"/>
      <c r="AB29" s="729"/>
      <c r="AC29" s="629">
        <f t="shared" si="15"/>
        <v>295708.34000000003</v>
      </c>
      <c r="AD29" s="630">
        <f t="shared" si="16"/>
        <v>0.1</v>
      </c>
      <c r="AE29" s="629">
        <f t="shared" si="17"/>
        <v>7392.74</v>
      </c>
      <c r="AF29" s="629">
        <v>0</v>
      </c>
      <c r="AG29" s="555">
        <f t="shared" si="19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721" t="s">
        <v>4200</v>
      </c>
      <c r="C30" s="655">
        <v>521101</v>
      </c>
      <c r="D30" s="658">
        <v>1253</v>
      </c>
      <c r="E30" s="655" t="s">
        <v>30</v>
      </c>
      <c r="F30" s="546">
        <v>2017</v>
      </c>
      <c r="G30" s="659">
        <v>42888</v>
      </c>
      <c r="H30" s="655" t="s">
        <v>2216</v>
      </c>
      <c r="I30" s="658" t="s">
        <v>1538</v>
      </c>
      <c r="J30" s="712"/>
      <c r="K30" s="655" t="s">
        <v>4201</v>
      </c>
      <c r="L30" s="655" t="s">
        <v>1800</v>
      </c>
      <c r="M30" s="660">
        <v>388793.1</v>
      </c>
      <c r="N30" s="660">
        <v>0</v>
      </c>
      <c r="O30" s="660">
        <v>62206.9</v>
      </c>
      <c r="P30" s="660">
        <v>451000</v>
      </c>
      <c r="Q30" s="548"/>
      <c r="R30" s="660">
        <v>326375.03999999998</v>
      </c>
      <c r="S30" s="549">
        <f t="shared" si="0"/>
        <v>124624.96000000002</v>
      </c>
      <c r="T30" s="267" t="s">
        <v>131</v>
      </c>
      <c r="U30" s="626" t="str">
        <f t="shared" si="5"/>
        <v>AA11210</v>
      </c>
      <c r="V30" s="627" t="str">
        <f t="shared" si="6"/>
        <v>0828-TCN17</v>
      </c>
      <c r="W30" s="626">
        <f t="shared" si="7"/>
        <v>521101</v>
      </c>
      <c r="X30" s="626" t="str">
        <f t="shared" si="8"/>
        <v>PRIUS</v>
      </c>
      <c r="Y30" s="627">
        <f t="shared" si="8"/>
        <v>2017</v>
      </c>
      <c r="Z30" s="628">
        <f t="shared" si="9"/>
        <v>388793.1</v>
      </c>
      <c r="AA30" s="629">
        <f>+Z30+Z29</f>
        <v>719310.34</v>
      </c>
      <c r="AB30" s="731">
        <v>2</v>
      </c>
      <c r="AC30" s="629">
        <f t="shared" si="1"/>
        <v>344993.21</v>
      </c>
      <c r="AD30" s="630">
        <f t="shared" si="2"/>
        <v>0.15</v>
      </c>
      <c r="AE30" s="629">
        <f t="shared" si="3"/>
        <v>12321.2</v>
      </c>
      <c r="AF30" s="629">
        <v>0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721" t="s">
        <v>4202</v>
      </c>
      <c r="C31" s="655">
        <v>521502</v>
      </c>
      <c r="D31" s="658">
        <v>5611</v>
      </c>
      <c r="E31" s="655" t="s">
        <v>225</v>
      </c>
      <c r="F31" s="546">
        <v>2018</v>
      </c>
      <c r="G31" s="659">
        <v>42916</v>
      </c>
      <c r="H31" s="655" t="s">
        <v>747</v>
      </c>
      <c r="I31" s="658" t="s">
        <v>4203</v>
      </c>
      <c r="J31" s="712"/>
      <c r="K31" s="655" t="s">
        <v>2460</v>
      </c>
      <c r="L31" s="655" t="s">
        <v>4204</v>
      </c>
      <c r="M31" s="660">
        <v>390506.91</v>
      </c>
      <c r="N31" s="660">
        <v>19148.259999999998</v>
      </c>
      <c r="O31" s="660">
        <v>65544.83</v>
      </c>
      <c r="P31" s="660">
        <v>475200</v>
      </c>
      <c r="Q31" s="548"/>
      <c r="R31" s="660">
        <v>346196.98</v>
      </c>
      <c r="S31" s="549">
        <f t="shared" si="0"/>
        <v>129003.02000000002</v>
      </c>
      <c r="T31" s="267" t="s">
        <v>131</v>
      </c>
      <c r="U31" s="626" t="str">
        <f t="shared" si="5"/>
        <v>AA11398</v>
      </c>
      <c r="V31" s="627" t="str">
        <f t="shared" si="6"/>
        <v>0016-TCN18</v>
      </c>
      <c r="W31" s="626">
        <f t="shared" si="7"/>
        <v>521502</v>
      </c>
      <c r="X31" s="626" t="str">
        <f t="shared" si="8"/>
        <v>HIACE PANEL 15 PASAJ AC</v>
      </c>
      <c r="Y31" s="627">
        <f t="shared" si="8"/>
        <v>2018</v>
      </c>
      <c r="Z31" s="628">
        <f t="shared" si="9"/>
        <v>390506.91</v>
      </c>
      <c r="AA31" s="629"/>
      <c r="AB31" s="729"/>
      <c r="AC31" s="629">
        <f t="shared" ref="AC31:AC36" si="20">VLOOKUP(Z31,TARIFA,1)</f>
        <v>344993.21</v>
      </c>
      <c r="AD31" s="630">
        <f t="shared" ref="AD31:AD36" si="21">VLOOKUP(Z31,TARIFA,4)</f>
        <v>0.15</v>
      </c>
      <c r="AE31" s="629">
        <f t="shared" ref="AE31:AE36" si="22">VLOOKUP(Z31,TARIFA,3)</f>
        <v>12321.2</v>
      </c>
      <c r="AF31" s="629">
        <f t="shared" ref="AF31:AF36" si="23">IF(Z31&lt;281240.78,(((Z31-AC31)*AD31+AE31)/2),(Z31-AC31)*AD31+AE31)</f>
        <v>19148.254999999994</v>
      </c>
      <c r="AG31" s="555">
        <f>+N31-AF31</f>
        <v>5.0000000046566129E-3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721" t="s">
        <v>4205</v>
      </c>
      <c r="C32" s="655">
        <v>521502</v>
      </c>
      <c r="D32" s="658">
        <v>5611</v>
      </c>
      <c r="E32" s="655" t="s">
        <v>225</v>
      </c>
      <c r="F32" s="546">
        <v>2018</v>
      </c>
      <c r="G32" s="659">
        <v>42909</v>
      </c>
      <c r="H32" s="655" t="s">
        <v>1038</v>
      </c>
      <c r="I32" s="658" t="s">
        <v>4206</v>
      </c>
      <c r="J32" s="712"/>
      <c r="K32" s="655" t="s">
        <v>4207</v>
      </c>
      <c r="L32" s="655" t="s">
        <v>4208</v>
      </c>
      <c r="M32" s="660">
        <v>390506.91</v>
      </c>
      <c r="N32" s="660">
        <v>19148.259999999998</v>
      </c>
      <c r="O32" s="660">
        <v>65544.83</v>
      </c>
      <c r="P32" s="660">
        <v>475200</v>
      </c>
      <c r="Q32" s="548"/>
      <c r="R32" s="660">
        <v>345842.5</v>
      </c>
      <c r="S32" s="549">
        <f t="shared" si="0"/>
        <v>129357.5</v>
      </c>
      <c r="T32" s="267" t="s">
        <v>131</v>
      </c>
      <c r="U32" s="626" t="str">
        <f t="shared" si="5"/>
        <v>AA11337</v>
      </c>
      <c r="V32" s="627" t="str">
        <f t="shared" si="6"/>
        <v>0014-TCN18</v>
      </c>
      <c r="W32" s="626">
        <f t="shared" si="7"/>
        <v>521502</v>
      </c>
      <c r="X32" s="626" t="str">
        <f t="shared" si="8"/>
        <v>HIACE PANEL 15 PASAJ AC</v>
      </c>
      <c r="Y32" s="627">
        <f t="shared" si="8"/>
        <v>2018</v>
      </c>
      <c r="Z32" s="628">
        <f t="shared" si="9"/>
        <v>390506.91</v>
      </c>
      <c r="AA32" s="631"/>
      <c r="AB32" s="729"/>
      <c r="AC32" s="629">
        <f t="shared" si="20"/>
        <v>344993.21</v>
      </c>
      <c r="AD32" s="630">
        <f t="shared" si="21"/>
        <v>0.15</v>
      </c>
      <c r="AE32" s="629">
        <f t="shared" si="22"/>
        <v>12321.2</v>
      </c>
      <c r="AF32" s="629">
        <f t="shared" si="23"/>
        <v>19148.254999999994</v>
      </c>
      <c r="AG32" s="555">
        <f t="shared" si="10"/>
        <v>5.0000000046566129E-3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721" t="s">
        <v>4209</v>
      </c>
      <c r="C33" s="655">
        <v>521502</v>
      </c>
      <c r="D33" s="658">
        <v>5611</v>
      </c>
      <c r="E33" s="655" t="s">
        <v>225</v>
      </c>
      <c r="F33" s="546">
        <v>2018</v>
      </c>
      <c r="G33" s="659">
        <v>42894</v>
      </c>
      <c r="H33" s="655" t="s">
        <v>788</v>
      </c>
      <c r="I33" s="658" t="s">
        <v>4210</v>
      </c>
      <c r="J33" s="712"/>
      <c r="K33" s="655" t="s">
        <v>4211</v>
      </c>
      <c r="L33" s="655" t="s">
        <v>4212</v>
      </c>
      <c r="M33" s="660">
        <v>390506.91</v>
      </c>
      <c r="N33" s="660">
        <v>19148.259999999998</v>
      </c>
      <c r="O33" s="660">
        <v>65544.83</v>
      </c>
      <c r="P33" s="660">
        <v>475200</v>
      </c>
      <c r="Q33" s="548"/>
      <c r="R33" s="660">
        <v>345842.5</v>
      </c>
      <c r="S33" s="549">
        <f t="shared" si="0"/>
        <v>129357.5</v>
      </c>
      <c r="T33" s="267" t="s">
        <v>131</v>
      </c>
      <c r="U33" s="626" t="str">
        <f t="shared" si="5"/>
        <v>AA11234</v>
      </c>
      <c r="V33" s="627" t="str">
        <f t="shared" si="6"/>
        <v>0006-TCN18</v>
      </c>
      <c r="W33" s="626">
        <f t="shared" si="7"/>
        <v>521502</v>
      </c>
      <c r="X33" s="626" t="str">
        <f t="shared" si="8"/>
        <v>HIACE PANEL 15 PASAJ AC</v>
      </c>
      <c r="Y33" s="627">
        <f t="shared" si="8"/>
        <v>2018</v>
      </c>
      <c r="Z33" s="628">
        <f t="shared" si="9"/>
        <v>390506.91</v>
      </c>
      <c r="AA33" s="629"/>
      <c r="AB33" s="729"/>
      <c r="AC33" s="629">
        <f t="shared" si="20"/>
        <v>344993.21</v>
      </c>
      <c r="AD33" s="630">
        <f t="shared" si="21"/>
        <v>0.15</v>
      </c>
      <c r="AE33" s="629">
        <f t="shared" si="22"/>
        <v>12321.2</v>
      </c>
      <c r="AF33" s="629">
        <f t="shared" si="23"/>
        <v>19148.254999999994</v>
      </c>
      <c r="AG33" s="555">
        <f t="shared" si="10"/>
        <v>5.0000000046566129E-3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721" t="s">
        <v>4213</v>
      </c>
      <c r="C34" s="655">
        <v>521502</v>
      </c>
      <c r="D34" s="658">
        <v>5611</v>
      </c>
      <c r="E34" s="655" t="s">
        <v>225</v>
      </c>
      <c r="F34" s="546">
        <v>2018</v>
      </c>
      <c r="G34" s="659">
        <v>42900</v>
      </c>
      <c r="H34" s="655" t="s">
        <v>2216</v>
      </c>
      <c r="I34" s="658" t="s">
        <v>4214</v>
      </c>
      <c r="J34" s="712"/>
      <c r="K34" s="655" t="s">
        <v>783</v>
      </c>
      <c r="L34" s="655" t="s">
        <v>4215</v>
      </c>
      <c r="M34" s="660">
        <v>390506.91</v>
      </c>
      <c r="N34" s="660">
        <v>19148.259999999998</v>
      </c>
      <c r="O34" s="660">
        <v>65544.83</v>
      </c>
      <c r="P34" s="660">
        <v>475200</v>
      </c>
      <c r="Q34" s="548"/>
      <c r="R34" s="660">
        <v>346196.98</v>
      </c>
      <c r="S34" s="549">
        <f t="shared" si="0"/>
        <v>129003.02000000002</v>
      </c>
      <c r="T34" s="267" t="s">
        <v>131</v>
      </c>
      <c r="U34" s="626" t="str">
        <f t="shared" si="5"/>
        <v>AA11267</v>
      </c>
      <c r="V34" s="627" t="str">
        <f t="shared" si="6"/>
        <v>0013-TCN18</v>
      </c>
      <c r="W34" s="626">
        <f t="shared" si="7"/>
        <v>521502</v>
      </c>
      <c r="X34" s="626" t="str">
        <f t="shared" si="8"/>
        <v>HIACE PANEL 15 PASAJ AC</v>
      </c>
      <c r="Y34" s="627">
        <f t="shared" si="8"/>
        <v>2018</v>
      </c>
      <c r="Z34" s="628">
        <f t="shared" si="9"/>
        <v>390506.91</v>
      </c>
      <c r="AA34" s="629"/>
      <c r="AB34" s="729"/>
      <c r="AC34" s="629">
        <f t="shared" si="20"/>
        <v>344993.21</v>
      </c>
      <c r="AD34" s="630">
        <f t="shared" si="21"/>
        <v>0.15</v>
      </c>
      <c r="AE34" s="629">
        <f t="shared" si="22"/>
        <v>12321.2</v>
      </c>
      <c r="AF34" s="629">
        <f t="shared" si="23"/>
        <v>19148.254999999994</v>
      </c>
      <c r="AG34" s="555">
        <f t="shared" si="10"/>
        <v>5.0000000046566129E-3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721" t="s">
        <v>4216</v>
      </c>
      <c r="C35" s="655">
        <v>521502</v>
      </c>
      <c r="D35" s="658">
        <v>5611</v>
      </c>
      <c r="E35" s="655" t="s">
        <v>225</v>
      </c>
      <c r="F35" s="546">
        <v>2018</v>
      </c>
      <c r="G35" s="659">
        <v>42891</v>
      </c>
      <c r="H35" s="655" t="s">
        <v>774</v>
      </c>
      <c r="I35" s="658" t="s">
        <v>4217</v>
      </c>
      <c r="J35" s="712"/>
      <c r="K35" s="655" t="s">
        <v>4218</v>
      </c>
      <c r="L35" s="655" t="s">
        <v>4219</v>
      </c>
      <c r="M35" s="660">
        <v>390506.91</v>
      </c>
      <c r="N35" s="660">
        <v>19148.259999999998</v>
      </c>
      <c r="O35" s="660">
        <v>65544.83</v>
      </c>
      <c r="P35" s="660">
        <v>475200</v>
      </c>
      <c r="Q35" s="548"/>
      <c r="R35" s="660">
        <v>345842.5</v>
      </c>
      <c r="S35" s="549">
        <f t="shared" si="0"/>
        <v>129357.5</v>
      </c>
      <c r="T35" s="113" t="s">
        <v>131</v>
      </c>
      <c r="U35" s="626" t="str">
        <f t="shared" si="5"/>
        <v>AA11220</v>
      </c>
      <c r="V35" s="627" t="str">
        <f t="shared" si="6"/>
        <v>0009-TCN18</v>
      </c>
      <c r="W35" s="626">
        <f t="shared" si="7"/>
        <v>521502</v>
      </c>
      <c r="X35" s="626" t="str">
        <f t="shared" si="8"/>
        <v>HIACE PANEL 15 PASAJ AC</v>
      </c>
      <c r="Y35" s="627">
        <f t="shared" si="8"/>
        <v>2018</v>
      </c>
      <c r="Z35" s="628">
        <f t="shared" si="9"/>
        <v>390506.91</v>
      </c>
      <c r="AA35" s="629"/>
      <c r="AB35" s="729"/>
      <c r="AC35" s="629">
        <f t="shared" si="20"/>
        <v>344993.21</v>
      </c>
      <c r="AD35" s="630">
        <f t="shared" si="21"/>
        <v>0.15</v>
      </c>
      <c r="AE35" s="629">
        <f t="shared" si="22"/>
        <v>12321.2</v>
      </c>
      <c r="AF35" s="629">
        <f t="shared" si="23"/>
        <v>19148.254999999994</v>
      </c>
      <c r="AG35" s="555">
        <f t="shared" si="10"/>
        <v>5.0000000046566129E-3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721" t="s">
        <v>4220</v>
      </c>
      <c r="C36" s="655">
        <v>521502</v>
      </c>
      <c r="D36" s="658">
        <v>5611</v>
      </c>
      <c r="E36" s="655" t="s">
        <v>225</v>
      </c>
      <c r="F36" s="546">
        <v>2018</v>
      </c>
      <c r="G36" s="659">
        <v>42893</v>
      </c>
      <c r="H36" s="655" t="s">
        <v>739</v>
      </c>
      <c r="I36" s="658" t="s">
        <v>4221</v>
      </c>
      <c r="J36" s="712"/>
      <c r="K36" s="655" t="s">
        <v>4222</v>
      </c>
      <c r="L36" s="655" t="s">
        <v>4223</v>
      </c>
      <c r="M36" s="660">
        <v>390506.91</v>
      </c>
      <c r="N36" s="660">
        <v>19148.259999999998</v>
      </c>
      <c r="O36" s="660">
        <v>65544.83</v>
      </c>
      <c r="P36" s="660">
        <v>475200</v>
      </c>
      <c r="Q36" s="548"/>
      <c r="R36" s="660">
        <v>345842.5</v>
      </c>
      <c r="S36" s="549">
        <f t="shared" si="0"/>
        <v>129357.5</v>
      </c>
      <c r="T36" s="267" t="s">
        <v>131</v>
      </c>
      <c r="U36" s="626" t="str">
        <f t="shared" si="5"/>
        <v>AA11232</v>
      </c>
      <c r="V36" s="627" t="str">
        <f t="shared" si="6"/>
        <v>0011-TCN18</v>
      </c>
      <c r="W36" s="626">
        <f t="shared" si="7"/>
        <v>521502</v>
      </c>
      <c r="X36" s="626" t="str">
        <f t="shared" si="8"/>
        <v>HIACE PANEL 15 PASAJ AC</v>
      </c>
      <c r="Y36" s="627">
        <f t="shared" si="8"/>
        <v>2018</v>
      </c>
      <c r="Z36" s="628">
        <f t="shared" si="9"/>
        <v>390506.91</v>
      </c>
      <c r="AA36" s="629">
        <f>+SUM(Z31:Z36)</f>
        <v>2343041.46</v>
      </c>
      <c r="AB36" s="729">
        <v>6</v>
      </c>
      <c r="AC36" s="629">
        <f t="shared" si="20"/>
        <v>344993.21</v>
      </c>
      <c r="AD36" s="630">
        <f t="shared" si="21"/>
        <v>0.15</v>
      </c>
      <c r="AE36" s="629">
        <f t="shared" si="22"/>
        <v>12321.2</v>
      </c>
      <c r="AF36" s="629">
        <f t="shared" si="23"/>
        <v>19148.254999999994</v>
      </c>
      <c r="AG36" s="555">
        <f t="shared" si="10"/>
        <v>5.0000000046566129E-3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721" t="s">
        <v>4224</v>
      </c>
      <c r="C37" s="655">
        <v>521702</v>
      </c>
      <c r="D37" s="658">
        <v>2005</v>
      </c>
      <c r="E37" s="655" t="s">
        <v>701</v>
      </c>
      <c r="F37" s="546">
        <v>2017</v>
      </c>
      <c r="G37" s="659">
        <v>42898</v>
      </c>
      <c r="H37" s="655" t="s">
        <v>2215</v>
      </c>
      <c r="I37" s="658" t="s">
        <v>4225</v>
      </c>
      <c r="J37" s="712"/>
      <c r="K37" s="655" t="s">
        <v>4226</v>
      </c>
      <c r="L37" s="655" t="s">
        <v>4227</v>
      </c>
      <c r="M37" s="660">
        <v>183620.69</v>
      </c>
      <c r="N37" s="660">
        <v>0</v>
      </c>
      <c r="O37" s="660">
        <v>29379.31</v>
      </c>
      <c r="P37" s="660">
        <v>213000</v>
      </c>
      <c r="Q37" s="548"/>
      <c r="R37" s="660">
        <v>166862.51999999999</v>
      </c>
      <c r="S37" s="549">
        <f t="shared" si="0"/>
        <v>46137.48000000001</v>
      </c>
      <c r="T37" s="267" t="s">
        <v>131</v>
      </c>
      <c r="U37" s="626" t="str">
        <f t="shared" si="5"/>
        <v>AA11249</v>
      </c>
      <c r="V37" s="627" t="str">
        <f t="shared" si="6"/>
        <v>1435-TCN17</v>
      </c>
      <c r="W37" s="626">
        <f t="shared" si="7"/>
        <v>521702</v>
      </c>
      <c r="X37" s="626" t="str">
        <f t="shared" si="8"/>
        <v>YARIS CORE MT, SEDAN</v>
      </c>
      <c r="Y37" s="627">
        <f t="shared" si="8"/>
        <v>2017</v>
      </c>
      <c r="Z37" s="628">
        <f t="shared" si="9"/>
        <v>183620.69</v>
      </c>
      <c r="AA37" s="629"/>
      <c r="AB37" s="729"/>
      <c r="AC37" s="629">
        <f t="shared" si="1"/>
        <v>0.01</v>
      </c>
      <c r="AD37" s="630">
        <f t="shared" si="2"/>
        <v>0.02</v>
      </c>
      <c r="AE37" s="629">
        <f t="shared" si="3"/>
        <v>0</v>
      </c>
      <c r="AF37" s="629"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721" t="s">
        <v>4228</v>
      </c>
      <c r="C38" s="655">
        <v>521702</v>
      </c>
      <c r="D38" s="658">
        <v>2005</v>
      </c>
      <c r="E38" s="655" t="s">
        <v>701</v>
      </c>
      <c r="F38" s="546">
        <v>2017</v>
      </c>
      <c r="G38" s="659">
        <v>42896</v>
      </c>
      <c r="H38" s="655" t="s">
        <v>788</v>
      </c>
      <c r="I38" s="658" t="s">
        <v>4229</v>
      </c>
      <c r="J38" s="712"/>
      <c r="K38" s="655" t="s">
        <v>4230</v>
      </c>
      <c r="L38" s="655" t="s">
        <v>4231</v>
      </c>
      <c r="M38" s="660">
        <v>183620.69</v>
      </c>
      <c r="N38" s="660">
        <v>0</v>
      </c>
      <c r="O38" s="660">
        <v>29379.31</v>
      </c>
      <c r="P38" s="660">
        <v>213000</v>
      </c>
      <c r="Q38" s="548"/>
      <c r="R38" s="660">
        <v>166863.53</v>
      </c>
      <c r="S38" s="549">
        <f t="shared" ref="S38:S69" si="24">+P38-R38</f>
        <v>46136.47</v>
      </c>
      <c r="T38" s="113" t="s">
        <v>131</v>
      </c>
      <c r="U38" s="626" t="str">
        <f t="shared" si="5"/>
        <v>AA11247</v>
      </c>
      <c r="V38" s="627" t="str">
        <f t="shared" si="6"/>
        <v>1385-TCN17</v>
      </c>
      <c r="W38" s="626">
        <f t="shared" si="7"/>
        <v>521702</v>
      </c>
      <c r="X38" s="626" t="str">
        <f t="shared" si="8"/>
        <v>YARIS CORE MT, SEDAN</v>
      </c>
      <c r="Y38" s="627">
        <f t="shared" si="8"/>
        <v>2017</v>
      </c>
      <c r="Z38" s="628">
        <f t="shared" si="9"/>
        <v>183620.69</v>
      </c>
      <c r="AA38" s="629"/>
      <c r="AB38" s="729"/>
      <c r="AC38" s="629">
        <f t="shared" si="1"/>
        <v>0.01</v>
      </c>
      <c r="AD38" s="630">
        <f t="shared" si="2"/>
        <v>0.02</v>
      </c>
      <c r="AE38" s="629">
        <f t="shared" si="3"/>
        <v>0</v>
      </c>
      <c r="AF38" s="629"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721" t="s">
        <v>4232</v>
      </c>
      <c r="C39" s="655">
        <v>521702</v>
      </c>
      <c r="D39" s="658">
        <v>2005</v>
      </c>
      <c r="E39" s="655" t="s">
        <v>701</v>
      </c>
      <c r="F39" s="546">
        <v>2017</v>
      </c>
      <c r="G39" s="659">
        <v>42895</v>
      </c>
      <c r="H39" s="655" t="s">
        <v>3694</v>
      </c>
      <c r="I39" s="658" t="s">
        <v>4233</v>
      </c>
      <c r="J39" s="712"/>
      <c r="K39" s="655" t="s">
        <v>4234</v>
      </c>
      <c r="L39" s="655" t="s">
        <v>4235</v>
      </c>
      <c r="M39" s="660">
        <v>183620.69</v>
      </c>
      <c r="N39" s="660">
        <v>0</v>
      </c>
      <c r="O39" s="660">
        <v>29379.31</v>
      </c>
      <c r="P39" s="660">
        <v>213000</v>
      </c>
      <c r="Q39" s="548"/>
      <c r="R39" s="660">
        <v>166863.39000000001</v>
      </c>
      <c r="S39" s="549">
        <f t="shared" si="24"/>
        <v>46136.609999999986</v>
      </c>
      <c r="T39" s="444" t="s">
        <v>131</v>
      </c>
      <c r="U39" s="626" t="str">
        <f t="shared" si="5"/>
        <v>AA11239</v>
      </c>
      <c r="V39" s="627" t="str">
        <f t="shared" si="6"/>
        <v>1379-TCN17</v>
      </c>
      <c r="W39" s="626">
        <f t="shared" si="7"/>
        <v>521702</v>
      </c>
      <c r="X39" s="626" t="str">
        <f t="shared" si="8"/>
        <v>YARIS CORE MT, SEDAN</v>
      </c>
      <c r="Y39" s="627">
        <f t="shared" si="8"/>
        <v>2017</v>
      </c>
      <c r="Z39" s="628">
        <f t="shared" si="9"/>
        <v>183620.69</v>
      </c>
      <c r="AA39" s="629"/>
      <c r="AB39" s="729"/>
      <c r="AC39" s="629">
        <f t="shared" si="1"/>
        <v>0.01</v>
      </c>
      <c r="AD39" s="630">
        <f t="shared" si="2"/>
        <v>0.02</v>
      </c>
      <c r="AE39" s="629">
        <f t="shared" si="3"/>
        <v>0</v>
      </c>
      <c r="AF39" s="629"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721" t="s">
        <v>4236</v>
      </c>
      <c r="C40" s="655">
        <v>521702</v>
      </c>
      <c r="D40" s="658">
        <v>2005</v>
      </c>
      <c r="E40" s="655" t="s">
        <v>701</v>
      </c>
      <c r="F40" s="546">
        <v>2017</v>
      </c>
      <c r="G40" s="659">
        <v>42907</v>
      </c>
      <c r="H40" s="655" t="s">
        <v>2213</v>
      </c>
      <c r="I40" s="658" t="s">
        <v>4237</v>
      </c>
      <c r="J40" s="712"/>
      <c r="K40" s="655" t="s">
        <v>4238</v>
      </c>
      <c r="L40" s="655" t="s">
        <v>4239</v>
      </c>
      <c r="M40" s="660">
        <v>183620.69</v>
      </c>
      <c r="N40" s="660">
        <v>0</v>
      </c>
      <c r="O40" s="660">
        <v>29379.31</v>
      </c>
      <c r="P40" s="660">
        <v>213000</v>
      </c>
      <c r="Q40" s="548"/>
      <c r="R40" s="660">
        <v>166508.04</v>
      </c>
      <c r="S40" s="549">
        <f t="shared" si="24"/>
        <v>46491.959999999992</v>
      </c>
      <c r="T40" s="113" t="s">
        <v>131</v>
      </c>
      <c r="U40" s="626" t="str">
        <f t="shared" si="5"/>
        <v>AA11322</v>
      </c>
      <c r="V40" s="627" t="str">
        <f t="shared" si="6"/>
        <v>1454-TCN17</v>
      </c>
      <c r="W40" s="626">
        <f t="shared" si="7"/>
        <v>521702</v>
      </c>
      <c r="X40" s="626" t="str">
        <f t="shared" si="8"/>
        <v>YARIS CORE MT, SEDAN</v>
      </c>
      <c r="Y40" s="627">
        <f t="shared" si="8"/>
        <v>2017</v>
      </c>
      <c r="Z40" s="628">
        <f t="shared" si="9"/>
        <v>183620.69</v>
      </c>
      <c r="AA40" s="629"/>
      <c r="AB40" s="729"/>
      <c r="AC40" s="629">
        <f t="shared" si="1"/>
        <v>0.01</v>
      </c>
      <c r="AD40" s="630">
        <f t="shared" si="2"/>
        <v>0.02</v>
      </c>
      <c r="AE40" s="629">
        <f t="shared" si="3"/>
        <v>0</v>
      </c>
      <c r="AF40" s="629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721" t="s">
        <v>4240</v>
      </c>
      <c r="C41" s="655">
        <v>521702</v>
      </c>
      <c r="D41" s="658">
        <v>2005</v>
      </c>
      <c r="E41" s="655" t="s">
        <v>701</v>
      </c>
      <c r="F41" s="546">
        <v>2017</v>
      </c>
      <c r="G41" s="659">
        <v>42909</v>
      </c>
      <c r="H41" s="655" t="s">
        <v>4241</v>
      </c>
      <c r="I41" s="658" t="s">
        <v>4242</v>
      </c>
      <c r="J41" s="712"/>
      <c r="K41" s="655" t="s">
        <v>4243</v>
      </c>
      <c r="L41" s="655" t="s">
        <v>4244</v>
      </c>
      <c r="M41" s="660">
        <v>183620.69</v>
      </c>
      <c r="N41" s="660">
        <v>0</v>
      </c>
      <c r="O41" s="660">
        <v>29379.31</v>
      </c>
      <c r="P41" s="660">
        <v>213000</v>
      </c>
      <c r="Q41" s="548"/>
      <c r="R41" s="660">
        <v>166862.53</v>
      </c>
      <c r="S41" s="549">
        <f t="shared" si="24"/>
        <v>46137.47</v>
      </c>
      <c r="T41" s="113" t="s">
        <v>131</v>
      </c>
      <c r="U41" s="626" t="str">
        <f t="shared" si="5"/>
        <v>AA11339</v>
      </c>
      <c r="V41" s="627" t="str">
        <f t="shared" si="6"/>
        <v>1464-TCN17</v>
      </c>
      <c r="W41" s="626">
        <f t="shared" si="7"/>
        <v>521702</v>
      </c>
      <c r="X41" s="626" t="str">
        <f t="shared" si="8"/>
        <v>YARIS CORE MT, SEDAN</v>
      </c>
      <c r="Y41" s="627">
        <f t="shared" si="8"/>
        <v>2017</v>
      </c>
      <c r="Z41" s="628">
        <f t="shared" si="9"/>
        <v>183620.69</v>
      </c>
      <c r="AA41" s="629"/>
      <c r="AB41" s="729"/>
      <c r="AC41" s="629">
        <f t="shared" si="1"/>
        <v>0.01</v>
      </c>
      <c r="AD41" s="630">
        <f t="shared" si="2"/>
        <v>0.02</v>
      </c>
      <c r="AE41" s="629">
        <f t="shared" si="3"/>
        <v>0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721" t="s">
        <v>4245</v>
      </c>
      <c r="C42" s="655">
        <v>521702</v>
      </c>
      <c r="D42" s="658">
        <v>2005</v>
      </c>
      <c r="E42" s="655" t="s">
        <v>701</v>
      </c>
      <c r="F42" s="546">
        <v>2017</v>
      </c>
      <c r="G42" s="659">
        <v>42906</v>
      </c>
      <c r="H42" s="655" t="s">
        <v>817</v>
      </c>
      <c r="I42" s="658" t="s">
        <v>4246</v>
      </c>
      <c r="J42" s="712"/>
      <c r="K42" s="655" t="s">
        <v>4247</v>
      </c>
      <c r="L42" s="655" t="s">
        <v>4248</v>
      </c>
      <c r="M42" s="660">
        <v>183620.69</v>
      </c>
      <c r="N42" s="660">
        <v>0</v>
      </c>
      <c r="O42" s="660">
        <v>29379.31</v>
      </c>
      <c r="P42" s="660">
        <v>213000</v>
      </c>
      <c r="Q42" s="548"/>
      <c r="R42" s="660">
        <v>166508.04</v>
      </c>
      <c r="S42" s="549">
        <f t="shared" si="24"/>
        <v>46491.959999999992</v>
      </c>
      <c r="T42" s="113" t="s">
        <v>131</v>
      </c>
      <c r="U42" s="626" t="str">
        <f t="shared" si="5"/>
        <v>AA11314</v>
      </c>
      <c r="V42" s="627" t="str">
        <f t="shared" si="6"/>
        <v>1312-TCN17</v>
      </c>
      <c r="W42" s="626">
        <f t="shared" si="7"/>
        <v>521702</v>
      </c>
      <c r="X42" s="626" t="str">
        <f t="shared" si="8"/>
        <v>YARIS CORE MT, SEDAN</v>
      </c>
      <c r="Y42" s="627">
        <f t="shared" si="8"/>
        <v>2017</v>
      </c>
      <c r="Z42" s="628">
        <f t="shared" si="9"/>
        <v>183620.69</v>
      </c>
      <c r="AA42" s="629"/>
      <c r="AB42" s="729"/>
      <c r="AC42" s="629">
        <f t="shared" si="1"/>
        <v>0.01</v>
      </c>
      <c r="AD42" s="630">
        <f t="shared" si="2"/>
        <v>0.02</v>
      </c>
      <c r="AE42" s="629">
        <f t="shared" si="3"/>
        <v>0</v>
      </c>
      <c r="AF42" s="629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721" t="s">
        <v>4249</v>
      </c>
      <c r="C43" s="655">
        <v>521702</v>
      </c>
      <c r="D43" s="658">
        <v>2005</v>
      </c>
      <c r="E43" s="655" t="s">
        <v>701</v>
      </c>
      <c r="F43" s="546">
        <v>2017</v>
      </c>
      <c r="G43" s="659">
        <v>42908</v>
      </c>
      <c r="H43" s="655" t="s">
        <v>817</v>
      </c>
      <c r="I43" s="658" t="s">
        <v>4250</v>
      </c>
      <c r="J43" s="712"/>
      <c r="K43" s="655" t="s">
        <v>4251</v>
      </c>
      <c r="L43" s="655" t="s">
        <v>4252</v>
      </c>
      <c r="M43" s="660">
        <v>183620.69</v>
      </c>
      <c r="N43" s="660">
        <v>0</v>
      </c>
      <c r="O43" s="660">
        <v>29379.31</v>
      </c>
      <c r="P43" s="660">
        <v>213000</v>
      </c>
      <c r="Q43" s="548"/>
      <c r="R43" s="660">
        <v>166863.39000000001</v>
      </c>
      <c r="S43" s="549">
        <f t="shared" si="24"/>
        <v>46136.609999999986</v>
      </c>
      <c r="T43" s="113" t="s">
        <v>131</v>
      </c>
      <c r="U43" s="626" t="str">
        <f t="shared" si="5"/>
        <v>AA11331</v>
      </c>
      <c r="V43" s="627" t="str">
        <f t="shared" si="6"/>
        <v>1399-TCN17</v>
      </c>
      <c r="W43" s="626">
        <f t="shared" si="7"/>
        <v>521702</v>
      </c>
      <c r="X43" s="626" t="str">
        <f t="shared" si="8"/>
        <v>YARIS CORE MT, SEDAN</v>
      </c>
      <c r="Y43" s="627">
        <f t="shared" si="8"/>
        <v>2017</v>
      </c>
      <c r="Z43" s="628">
        <f t="shared" si="9"/>
        <v>183620.69</v>
      </c>
      <c r="AA43" s="629">
        <f>+SUM(Z37:Z43)</f>
        <v>1285344.8299999998</v>
      </c>
      <c r="AB43" s="730">
        <v>7</v>
      </c>
      <c r="AC43" s="629">
        <f t="shared" si="1"/>
        <v>0.01</v>
      </c>
      <c r="AD43" s="630">
        <f t="shared" si="2"/>
        <v>0.02</v>
      </c>
      <c r="AE43" s="629">
        <f t="shared" si="3"/>
        <v>0</v>
      </c>
      <c r="AF43" s="629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721" t="s">
        <v>4253</v>
      </c>
      <c r="C44" s="655">
        <v>521707</v>
      </c>
      <c r="D44" s="658">
        <v>2006</v>
      </c>
      <c r="E44" s="655" t="s">
        <v>702</v>
      </c>
      <c r="F44" s="546">
        <v>2017</v>
      </c>
      <c r="G44" s="659">
        <v>42907</v>
      </c>
      <c r="H44" s="655" t="s">
        <v>2216</v>
      </c>
      <c r="I44" s="658" t="s">
        <v>4254</v>
      </c>
      <c r="J44" s="712"/>
      <c r="K44" s="655" t="s">
        <v>4255</v>
      </c>
      <c r="L44" s="655" t="s">
        <v>4256</v>
      </c>
      <c r="M44" s="660">
        <v>201982.76</v>
      </c>
      <c r="N44" s="660">
        <v>0</v>
      </c>
      <c r="O44" s="660">
        <v>32317.24</v>
      </c>
      <c r="P44" s="660">
        <v>234300</v>
      </c>
      <c r="Q44" s="548"/>
      <c r="R44" s="660">
        <v>183052.26</v>
      </c>
      <c r="S44" s="549">
        <f t="shared" si="24"/>
        <v>51247.739999999991</v>
      </c>
      <c r="T44" s="267" t="s">
        <v>131</v>
      </c>
      <c r="U44" s="626" t="str">
        <f t="shared" si="5"/>
        <v>AA11320</v>
      </c>
      <c r="V44" s="627" t="str">
        <f t="shared" si="6"/>
        <v>1336-TCN17</v>
      </c>
      <c r="W44" s="626">
        <f t="shared" si="7"/>
        <v>521707</v>
      </c>
      <c r="X44" s="626" t="str">
        <f t="shared" si="8"/>
        <v>YARIS CORE,SEDAN CVT.</v>
      </c>
      <c r="Y44" s="627">
        <f t="shared" si="8"/>
        <v>2017</v>
      </c>
      <c r="Z44" s="628">
        <f t="shared" si="9"/>
        <v>201982.76</v>
      </c>
      <c r="AA44" s="629"/>
      <c r="AB44" s="729"/>
      <c r="AC44" s="629">
        <f t="shared" si="1"/>
        <v>0.01</v>
      </c>
      <c r="AD44" s="630">
        <f t="shared" si="2"/>
        <v>0.02</v>
      </c>
      <c r="AE44" s="629">
        <f t="shared" si="3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721" t="s">
        <v>4257</v>
      </c>
      <c r="C45" s="655">
        <v>521707</v>
      </c>
      <c r="D45" s="658">
        <v>2006</v>
      </c>
      <c r="E45" s="655" t="s">
        <v>702</v>
      </c>
      <c r="F45" s="546">
        <v>2017</v>
      </c>
      <c r="G45" s="659">
        <v>42914</v>
      </c>
      <c r="H45" s="655" t="s">
        <v>817</v>
      </c>
      <c r="I45" s="658" t="s">
        <v>4258</v>
      </c>
      <c r="J45" s="712"/>
      <c r="K45" s="655" t="s">
        <v>897</v>
      </c>
      <c r="L45" s="655" t="s">
        <v>4259</v>
      </c>
      <c r="M45" s="660">
        <v>201982.76</v>
      </c>
      <c r="N45" s="660">
        <v>0</v>
      </c>
      <c r="O45" s="660">
        <v>32317.24</v>
      </c>
      <c r="P45" s="660">
        <v>234300</v>
      </c>
      <c r="Q45" s="548"/>
      <c r="R45" s="660">
        <v>183052.26</v>
      </c>
      <c r="S45" s="549">
        <f t="shared" si="24"/>
        <v>51247.739999999991</v>
      </c>
      <c r="T45" s="267" t="s">
        <v>131</v>
      </c>
      <c r="U45" s="626" t="str">
        <f t="shared" si="5"/>
        <v>AA11376</v>
      </c>
      <c r="V45" s="627" t="str">
        <f t="shared" si="6"/>
        <v>1469-TCN17</v>
      </c>
      <c r="W45" s="626">
        <f t="shared" si="7"/>
        <v>521707</v>
      </c>
      <c r="X45" s="626" t="str">
        <f t="shared" si="8"/>
        <v>YARIS CORE,SEDAN CVT.</v>
      </c>
      <c r="Y45" s="627">
        <f t="shared" si="8"/>
        <v>2017</v>
      </c>
      <c r="Z45" s="628">
        <f t="shared" si="9"/>
        <v>201982.76</v>
      </c>
      <c r="AA45" s="629"/>
      <c r="AB45" s="729"/>
      <c r="AC45" s="629">
        <f t="shared" si="1"/>
        <v>0.01</v>
      </c>
      <c r="AD45" s="630">
        <f t="shared" si="2"/>
        <v>0.02</v>
      </c>
      <c r="AE45" s="629">
        <f t="shared" si="3"/>
        <v>0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721" t="s">
        <v>4260</v>
      </c>
      <c r="C46" s="655">
        <v>521707</v>
      </c>
      <c r="D46" s="658">
        <v>2006</v>
      </c>
      <c r="E46" s="655" t="s">
        <v>702</v>
      </c>
      <c r="F46" s="546">
        <v>2017</v>
      </c>
      <c r="G46" s="659">
        <v>42909</v>
      </c>
      <c r="H46" s="655" t="s">
        <v>817</v>
      </c>
      <c r="I46" s="658" t="s">
        <v>4261</v>
      </c>
      <c r="J46" s="712"/>
      <c r="K46" s="655" t="s">
        <v>4262</v>
      </c>
      <c r="L46" s="655" t="s">
        <v>4263</v>
      </c>
      <c r="M46" s="660">
        <v>201982.76</v>
      </c>
      <c r="N46" s="660">
        <v>0</v>
      </c>
      <c r="O46" s="660">
        <v>32317.24</v>
      </c>
      <c r="P46" s="660">
        <v>234300</v>
      </c>
      <c r="Q46" s="548"/>
      <c r="R46" s="660">
        <v>183052.26</v>
      </c>
      <c r="S46" s="549">
        <f t="shared" si="24"/>
        <v>51247.739999999991</v>
      </c>
      <c r="T46" s="113" t="s">
        <v>131</v>
      </c>
      <c r="U46" s="626" t="str">
        <f t="shared" si="5"/>
        <v>AA11338</v>
      </c>
      <c r="V46" s="627" t="str">
        <f t="shared" si="6"/>
        <v>1460-TCN17</v>
      </c>
      <c r="W46" s="626">
        <f t="shared" si="7"/>
        <v>521707</v>
      </c>
      <c r="X46" s="626" t="str">
        <f t="shared" si="8"/>
        <v>YARIS CORE,SEDAN CVT.</v>
      </c>
      <c r="Y46" s="627">
        <f t="shared" si="8"/>
        <v>2017</v>
      </c>
      <c r="Z46" s="628">
        <f t="shared" si="9"/>
        <v>201982.76</v>
      </c>
      <c r="AA46" s="629"/>
      <c r="AB46" s="729"/>
      <c r="AC46" s="629">
        <f t="shared" si="1"/>
        <v>0.01</v>
      </c>
      <c r="AD46" s="630">
        <f t="shared" si="2"/>
        <v>0.02</v>
      </c>
      <c r="AE46" s="629">
        <f t="shared" si="3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721" t="s">
        <v>4264</v>
      </c>
      <c r="C47" s="655">
        <v>521707</v>
      </c>
      <c r="D47" s="658">
        <v>2006</v>
      </c>
      <c r="E47" s="655" t="s">
        <v>702</v>
      </c>
      <c r="F47" s="546">
        <v>2017</v>
      </c>
      <c r="G47" s="659">
        <v>42895</v>
      </c>
      <c r="H47" s="655" t="s">
        <v>739</v>
      </c>
      <c r="I47" s="658" t="s">
        <v>4265</v>
      </c>
      <c r="J47" s="712"/>
      <c r="K47" s="655" t="s">
        <v>4266</v>
      </c>
      <c r="L47" s="655" t="s">
        <v>4267</v>
      </c>
      <c r="M47" s="660">
        <v>201982.76</v>
      </c>
      <c r="N47" s="660">
        <v>0</v>
      </c>
      <c r="O47" s="660">
        <v>32317.24</v>
      </c>
      <c r="P47" s="660">
        <v>234300</v>
      </c>
      <c r="Q47" s="548"/>
      <c r="R47" s="660">
        <v>183052.26</v>
      </c>
      <c r="S47" s="549">
        <f t="shared" si="24"/>
        <v>51247.739999999991</v>
      </c>
      <c r="T47" s="113" t="s">
        <v>131</v>
      </c>
      <c r="U47" s="626" t="str">
        <f t="shared" si="5"/>
        <v>AA11243</v>
      </c>
      <c r="V47" s="627" t="str">
        <f t="shared" si="6"/>
        <v>1335-TCN17</v>
      </c>
      <c r="W47" s="626">
        <f t="shared" si="7"/>
        <v>521707</v>
      </c>
      <c r="X47" s="626" t="str">
        <f t="shared" si="8"/>
        <v>YARIS CORE,SEDAN CVT.</v>
      </c>
      <c r="Y47" s="627">
        <f t="shared" si="8"/>
        <v>2017</v>
      </c>
      <c r="Z47" s="628">
        <f t="shared" si="9"/>
        <v>201982.76</v>
      </c>
      <c r="AA47" s="629"/>
      <c r="AB47" s="729"/>
      <c r="AC47" s="629">
        <f t="shared" si="1"/>
        <v>0.01</v>
      </c>
      <c r="AD47" s="630">
        <f t="shared" si="2"/>
        <v>0.02</v>
      </c>
      <c r="AE47" s="629">
        <f t="shared" si="3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721" t="s">
        <v>4268</v>
      </c>
      <c r="C48" s="655">
        <v>521707</v>
      </c>
      <c r="D48" s="658">
        <v>2006</v>
      </c>
      <c r="E48" s="655" t="s">
        <v>702</v>
      </c>
      <c r="F48" s="546">
        <v>2017</v>
      </c>
      <c r="G48" s="659">
        <v>42912</v>
      </c>
      <c r="H48" s="655" t="s">
        <v>819</v>
      </c>
      <c r="I48" s="658" t="s">
        <v>4269</v>
      </c>
      <c r="J48" s="712"/>
      <c r="K48" s="655" t="s">
        <v>4270</v>
      </c>
      <c r="L48" s="655" t="s">
        <v>4271</v>
      </c>
      <c r="M48" s="660">
        <v>201982.76</v>
      </c>
      <c r="N48" s="660">
        <v>0</v>
      </c>
      <c r="O48" s="660">
        <v>32317.24</v>
      </c>
      <c r="P48" s="660">
        <v>234300</v>
      </c>
      <c r="Q48" s="548"/>
      <c r="R48" s="660">
        <v>183052.26</v>
      </c>
      <c r="S48" s="549">
        <f t="shared" si="24"/>
        <v>51247.739999999991</v>
      </c>
      <c r="T48" s="113" t="s">
        <v>131</v>
      </c>
      <c r="U48" s="626" t="str">
        <f t="shared" si="5"/>
        <v>AA11351</v>
      </c>
      <c r="V48" s="627" t="str">
        <f t="shared" si="6"/>
        <v>1472-TCN17</v>
      </c>
      <c r="W48" s="626">
        <f t="shared" si="7"/>
        <v>521707</v>
      </c>
      <c r="X48" s="626" t="str">
        <f t="shared" si="8"/>
        <v>YARIS CORE,SEDAN CVT.</v>
      </c>
      <c r="Y48" s="627">
        <f t="shared" si="8"/>
        <v>2017</v>
      </c>
      <c r="Z48" s="628">
        <f t="shared" si="9"/>
        <v>201982.76</v>
      </c>
      <c r="AA48" s="629"/>
      <c r="AB48" s="729"/>
      <c r="AC48" s="629">
        <f t="shared" si="1"/>
        <v>0.01</v>
      </c>
      <c r="AD48" s="630">
        <f t="shared" si="2"/>
        <v>0.02</v>
      </c>
      <c r="AE48" s="629">
        <f t="shared" si="3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721" t="s">
        <v>4272</v>
      </c>
      <c r="C49" s="655">
        <v>521707</v>
      </c>
      <c r="D49" s="658">
        <v>2006</v>
      </c>
      <c r="E49" s="655" t="s">
        <v>702</v>
      </c>
      <c r="F49" s="546">
        <v>2017</v>
      </c>
      <c r="G49" s="659">
        <v>42907</v>
      </c>
      <c r="H49" s="655" t="s">
        <v>774</v>
      </c>
      <c r="I49" s="658" t="s">
        <v>4273</v>
      </c>
      <c r="J49" s="712"/>
      <c r="K49" s="655" t="s">
        <v>4274</v>
      </c>
      <c r="L49" s="655" t="s">
        <v>4275</v>
      </c>
      <c r="M49" s="660">
        <v>201982.76</v>
      </c>
      <c r="N49" s="660">
        <v>0</v>
      </c>
      <c r="O49" s="660">
        <v>32317.24</v>
      </c>
      <c r="P49" s="660">
        <v>234300</v>
      </c>
      <c r="Q49" s="548"/>
      <c r="R49" s="660">
        <v>183052.26</v>
      </c>
      <c r="S49" s="549">
        <f t="shared" si="24"/>
        <v>51247.739999999991</v>
      </c>
      <c r="T49" s="267" t="s">
        <v>131</v>
      </c>
      <c r="U49" s="626" t="str">
        <f t="shared" si="5"/>
        <v>AA11319</v>
      </c>
      <c r="V49" s="627" t="str">
        <f t="shared" si="6"/>
        <v>1317-TCN17</v>
      </c>
      <c r="W49" s="626">
        <f t="shared" si="7"/>
        <v>521707</v>
      </c>
      <c r="X49" s="626" t="str">
        <f t="shared" si="8"/>
        <v>YARIS CORE,SEDAN CVT.</v>
      </c>
      <c r="Y49" s="627">
        <f t="shared" si="8"/>
        <v>2017</v>
      </c>
      <c r="Z49" s="628">
        <f t="shared" si="9"/>
        <v>201982.76</v>
      </c>
      <c r="AA49" s="629"/>
      <c r="AB49" s="729"/>
      <c r="AC49" s="629">
        <f t="shared" si="1"/>
        <v>0.01</v>
      </c>
      <c r="AD49" s="630">
        <f t="shared" si="2"/>
        <v>0.02</v>
      </c>
      <c r="AE49" s="629">
        <f t="shared" si="3"/>
        <v>0</v>
      </c>
      <c r="AF49" s="629">
        <v>0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721" t="s">
        <v>4276</v>
      </c>
      <c r="C50" s="655">
        <v>521707</v>
      </c>
      <c r="D50" s="658">
        <v>2006</v>
      </c>
      <c r="E50" s="655" t="s">
        <v>702</v>
      </c>
      <c r="F50" s="546">
        <v>2017</v>
      </c>
      <c r="G50" s="659">
        <v>42913</v>
      </c>
      <c r="H50" s="655" t="s">
        <v>908</v>
      </c>
      <c r="I50" s="658" t="s">
        <v>4277</v>
      </c>
      <c r="J50" s="712"/>
      <c r="K50" s="655" t="s">
        <v>4278</v>
      </c>
      <c r="L50" s="655" t="s">
        <v>4279</v>
      </c>
      <c r="M50" s="660">
        <v>201982.76</v>
      </c>
      <c r="N50" s="660">
        <v>0</v>
      </c>
      <c r="O50" s="660">
        <v>32317.24</v>
      </c>
      <c r="P50" s="660">
        <v>234300</v>
      </c>
      <c r="Q50" s="548"/>
      <c r="R50" s="660">
        <v>183052.26</v>
      </c>
      <c r="S50" s="549">
        <f t="shared" si="24"/>
        <v>51247.739999999991</v>
      </c>
      <c r="T50" s="445" t="s">
        <v>131</v>
      </c>
      <c r="U50" s="626" t="str">
        <f t="shared" si="5"/>
        <v>AA11375</v>
      </c>
      <c r="V50" s="627" t="str">
        <f t="shared" si="6"/>
        <v>1507-TCN17</v>
      </c>
      <c r="W50" s="626">
        <f t="shared" si="7"/>
        <v>521707</v>
      </c>
      <c r="X50" s="626" t="str">
        <f t="shared" si="8"/>
        <v>YARIS CORE,SEDAN CVT.</v>
      </c>
      <c r="Y50" s="627">
        <f t="shared" si="8"/>
        <v>2017</v>
      </c>
      <c r="Z50" s="628">
        <f t="shared" si="9"/>
        <v>201982.76</v>
      </c>
      <c r="AA50" s="629"/>
      <c r="AB50" s="729"/>
      <c r="AC50" s="629">
        <f t="shared" si="1"/>
        <v>0.01</v>
      </c>
      <c r="AD50" s="630">
        <f t="shared" si="2"/>
        <v>0.02</v>
      </c>
      <c r="AE50" s="629">
        <f t="shared" si="3"/>
        <v>0</v>
      </c>
      <c r="AF50" s="629"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721" t="s">
        <v>4280</v>
      </c>
      <c r="C51" s="655">
        <v>521707</v>
      </c>
      <c r="D51" s="658">
        <v>2006</v>
      </c>
      <c r="E51" s="655" t="s">
        <v>702</v>
      </c>
      <c r="F51" s="546">
        <v>2017</v>
      </c>
      <c r="G51" s="659">
        <v>42910</v>
      </c>
      <c r="H51" s="655" t="s">
        <v>2213</v>
      </c>
      <c r="I51" s="658" t="s">
        <v>4281</v>
      </c>
      <c r="J51" s="712"/>
      <c r="K51" s="655" t="s">
        <v>4282</v>
      </c>
      <c r="L51" s="655" t="s">
        <v>4283</v>
      </c>
      <c r="M51" s="660">
        <v>201982.76</v>
      </c>
      <c r="N51" s="660">
        <v>0</v>
      </c>
      <c r="O51" s="660">
        <v>32317.24</v>
      </c>
      <c r="P51" s="660">
        <v>234300</v>
      </c>
      <c r="Q51" s="548"/>
      <c r="R51" s="660">
        <v>183052.26</v>
      </c>
      <c r="S51" s="549">
        <f t="shared" si="24"/>
        <v>51247.739999999991</v>
      </c>
      <c r="T51" s="267" t="s">
        <v>131</v>
      </c>
      <c r="U51" s="626" t="str">
        <f t="shared" si="5"/>
        <v>AA11349</v>
      </c>
      <c r="V51" s="627" t="str">
        <f t="shared" si="6"/>
        <v>1342-TCN17</v>
      </c>
      <c r="W51" s="626">
        <f t="shared" si="7"/>
        <v>521707</v>
      </c>
      <c r="X51" s="626" t="str">
        <f t="shared" si="8"/>
        <v>YARIS CORE,SEDAN CVT.</v>
      </c>
      <c r="Y51" s="627">
        <f t="shared" si="8"/>
        <v>2017</v>
      </c>
      <c r="Z51" s="628">
        <f t="shared" si="9"/>
        <v>201982.76</v>
      </c>
      <c r="AA51" s="629"/>
      <c r="AB51" s="729"/>
      <c r="AC51" s="629">
        <f t="shared" si="1"/>
        <v>0.01</v>
      </c>
      <c r="AD51" s="630">
        <f t="shared" si="2"/>
        <v>0.02</v>
      </c>
      <c r="AE51" s="629">
        <f t="shared" si="3"/>
        <v>0</v>
      </c>
      <c r="AF51" s="629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721" t="s">
        <v>4284</v>
      </c>
      <c r="C52" s="655">
        <v>521707</v>
      </c>
      <c r="D52" s="658">
        <v>2006</v>
      </c>
      <c r="E52" s="655" t="s">
        <v>702</v>
      </c>
      <c r="F52" s="546">
        <v>2017</v>
      </c>
      <c r="G52" s="659">
        <v>42915</v>
      </c>
      <c r="H52" s="655" t="s">
        <v>4285</v>
      </c>
      <c r="I52" s="658" t="s">
        <v>4286</v>
      </c>
      <c r="J52" s="712"/>
      <c r="K52" s="655" t="s">
        <v>4287</v>
      </c>
      <c r="L52" s="655" t="s">
        <v>4288</v>
      </c>
      <c r="M52" s="660">
        <v>201982.76</v>
      </c>
      <c r="N52" s="660">
        <v>0</v>
      </c>
      <c r="O52" s="660">
        <v>32317.24</v>
      </c>
      <c r="P52" s="660">
        <v>234300</v>
      </c>
      <c r="Q52" s="548"/>
      <c r="R52" s="660">
        <v>183052.26</v>
      </c>
      <c r="S52" s="549">
        <f t="shared" si="24"/>
        <v>51247.739999999991</v>
      </c>
      <c r="T52" s="113" t="s">
        <v>131</v>
      </c>
      <c r="U52" s="626" t="str">
        <f t="shared" si="5"/>
        <v>AA11388</v>
      </c>
      <c r="V52" s="627" t="str">
        <f t="shared" si="6"/>
        <v>1502-TCN17</v>
      </c>
      <c r="W52" s="626">
        <f t="shared" si="7"/>
        <v>521707</v>
      </c>
      <c r="X52" s="626" t="str">
        <f t="shared" si="8"/>
        <v>YARIS CORE,SEDAN CVT.</v>
      </c>
      <c r="Y52" s="627">
        <f t="shared" si="8"/>
        <v>2017</v>
      </c>
      <c r="Z52" s="628">
        <f t="shared" si="9"/>
        <v>201982.76</v>
      </c>
      <c r="AA52" s="629">
        <f>+Z52+Z51+Z50+Z49+Z48+Z47+Z46+Z45+Z44</f>
        <v>1817844.84</v>
      </c>
      <c r="AB52" s="730">
        <v>9</v>
      </c>
      <c r="AC52" s="629">
        <f t="shared" si="1"/>
        <v>0.01</v>
      </c>
      <c r="AD52" s="630">
        <f t="shared" si="2"/>
        <v>0.02</v>
      </c>
      <c r="AE52" s="629">
        <f t="shared" si="3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721" t="s">
        <v>4289</v>
      </c>
      <c r="C53" s="655">
        <v>521801</v>
      </c>
      <c r="D53" s="658">
        <v>2201</v>
      </c>
      <c r="E53" s="655" t="s">
        <v>704</v>
      </c>
      <c r="F53" s="546">
        <v>2017</v>
      </c>
      <c r="G53" s="659">
        <v>42908</v>
      </c>
      <c r="H53" s="655" t="s">
        <v>722</v>
      </c>
      <c r="I53" s="658" t="s">
        <v>4290</v>
      </c>
      <c r="J53" s="712"/>
      <c r="K53" s="655" t="s">
        <v>4291</v>
      </c>
      <c r="L53" s="655" t="s">
        <v>4292</v>
      </c>
      <c r="M53" s="660">
        <v>202844.83</v>
      </c>
      <c r="N53" s="660">
        <v>0</v>
      </c>
      <c r="O53" s="660">
        <v>32455.17</v>
      </c>
      <c r="P53" s="660">
        <v>235300</v>
      </c>
      <c r="Q53" s="548"/>
      <c r="R53" s="660">
        <v>183632.36</v>
      </c>
      <c r="S53" s="549">
        <f t="shared" si="24"/>
        <v>51667.640000000014</v>
      </c>
      <c r="T53" s="267" t="s">
        <v>131</v>
      </c>
      <c r="U53" s="626" t="str">
        <f t="shared" si="5"/>
        <v>AA11329</v>
      </c>
      <c r="V53" s="627" t="str">
        <f t="shared" si="6"/>
        <v>1453-TCN17</v>
      </c>
      <c r="W53" s="626">
        <f t="shared" si="7"/>
        <v>521801</v>
      </c>
      <c r="X53" s="626" t="str">
        <f t="shared" si="8"/>
        <v>AVANZA HI 5MT</v>
      </c>
      <c r="Y53" s="627">
        <f t="shared" si="8"/>
        <v>2017</v>
      </c>
      <c r="Z53" s="628">
        <f t="shared" si="9"/>
        <v>202844.83</v>
      </c>
      <c r="AA53" s="629"/>
      <c r="AB53" s="729"/>
      <c r="AC53" s="629">
        <f t="shared" si="1"/>
        <v>0.01</v>
      </c>
      <c r="AD53" s="630">
        <f t="shared" si="2"/>
        <v>0.02</v>
      </c>
      <c r="AE53" s="629">
        <f t="shared" si="3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721" t="s">
        <v>4293</v>
      </c>
      <c r="C54" s="655">
        <v>521801</v>
      </c>
      <c r="D54" s="658">
        <v>2201</v>
      </c>
      <c r="E54" s="655" t="s">
        <v>704</v>
      </c>
      <c r="F54" s="546">
        <v>2017</v>
      </c>
      <c r="G54" s="659">
        <v>42892</v>
      </c>
      <c r="H54" s="655" t="s">
        <v>727</v>
      </c>
      <c r="I54" s="658" t="s">
        <v>4294</v>
      </c>
      <c r="J54" s="712"/>
      <c r="K54" s="655" t="s">
        <v>3870</v>
      </c>
      <c r="L54" s="655" t="s">
        <v>4295</v>
      </c>
      <c r="M54" s="660">
        <v>202844.83</v>
      </c>
      <c r="N54" s="660">
        <v>0</v>
      </c>
      <c r="O54" s="660">
        <v>32455.17</v>
      </c>
      <c r="P54" s="660">
        <v>235300</v>
      </c>
      <c r="Q54" s="548"/>
      <c r="R54" s="660">
        <v>183987.84</v>
      </c>
      <c r="S54" s="549">
        <f t="shared" si="24"/>
        <v>51312.160000000003</v>
      </c>
      <c r="T54" s="267" t="s">
        <v>131</v>
      </c>
      <c r="U54" s="626" t="str">
        <f t="shared" si="5"/>
        <v>AA11221</v>
      </c>
      <c r="V54" s="627" t="str">
        <f t="shared" si="6"/>
        <v>1427-TCN17</v>
      </c>
      <c r="W54" s="626">
        <f t="shared" si="7"/>
        <v>521801</v>
      </c>
      <c r="X54" s="626" t="str">
        <f t="shared" si="8"/>
        <v>AVANZA HI 5MT</v>
      </c>
      <c r="Y54" s="627">
        <f t="shared" si="8"/>
        <v>2017</v>
      </c>
      <c r="Z54" s="628">
        <f t="shared" si="9"/>
        <v>202844.83</v>
      </c>
      <c r="AA54" s="629"/>
      <c r="AB54" s="729"/>
      <c r="AC54" s="629">
        <f t="shared" si="1"/>
        <v>0.01</v>
      </c>
      <c r="AD54" s="630">
        <f t="shared" si="2"/>
        <v>0.02</v>
      </c>
      <c r="AE54" s="629">
        <f t="shared" si="3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721" t="s">
        <v>4296</v>
      </c>
      <c r="C55" s="655">
        <v>521801</v>
      </c>
      <c r="D55" s="658">
        <v>2201</v>
      </c>
      <c r="E55" s="655" t="s">
        <v>704</v>
      </c>
      <c r="F55" s="546">
        <v>2017</v>
      </c>
      <c r="G55" s="659">
        <v>42892</v>
      </c>
      <c r="H55" s="655" t="s">
        <v>727</v>
      </c>
      <c r="I55" s="658" t="s">
        <v>3732</v>
      </c>
      <c r="J55" s="712"/>
      <c r="K55" s="655" t="s">
        <v>3870</v>
      </c>
      <c r="L55" s="655" t="s">
        <v>3991</v>
      </c>
      <c r="M55" s="660">
        <v>-202844.83</v>
      </c>
      <c r="N55" s="660">
        <v>0</v>
      </c>
      <c r="O55" s="660">
        <v>-32455.17</v>
      </c>
      <c r="P55" s="660">
        <v>-235300</v>
      </c>
      <c r="Q55" s="548"/>
      <c r="R55" s="660">
        <v>-183987.84</v>
      </c>
      <c r="S55" s="549">
        <f t="shared" si="24"/>
        <v>-51312.160000000003</v>
      </c>
      <c r="T55" s="267" t="s">
        <v>1266</v>
      </c>
      <c r="U55" s="626" t="str">
        <f t="shared" si="5"/>
        <v>ZA04115</v>
      </c>
      <c r="V55" s="627" t="str">
        <f t="shared" si="6"/>
        <v>1387-TCN17</v>
      </c>
      <c r="W55" s="626">
        <f t="shared" si="7"/>
        <v>521801</v>
      </c>
      <c r="X55" s="626" t="str">
        <f t="shared" si="8"/>
        <v>AVANZA HI 5MT</v>
      </c>
      <c r="Y55" s="627">
        <f t="shared" si="8"/>
        <v>2017</v>
      </c>
      <c r="Z55" s="628">
        <f t="shared" si="9"/>
        <v>-202844.83</v>
      </c>
      <c r="AA55" s="629">
        <f>+Z55+Z54+Z53</f>
        <v>202844.83</v>
      </c>
      <c r="AB55" s="730">
        <v>1</v>
      </c>
      <c r="AC55" s="629" t="e">
        <f t="shared" si="1"/>
        <v>#N/A</v>
      </c>
      <c r="AD55" s="630" t="e">
        <f t="shared" si="2"/>
        <v>#N/A</v>
      </c>
      <c r="AE55" s="629" t="e">
        <f t="shared" si="3"/>
        <v>#N/A</v>
      </c>
      <c r="AF55" s="629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721" t="s">
        <v>4297</v>
      </c>
      <c r="C56" s="655">
        <v>521802</v>
      </c>
      <c r="D56" s="658">
        <v>2202</v>
      </c>
      <c r="E56" s="655" t="s">
        <v>703</v>
      </c>
      <c r="F56" s="546">
        <v>2017</v>
      </c>
      <c r="G56" s="659">
        <v>42892</v>
      </c>
      <c r="H56" s="655" t="s">
        <v>2214</v>
      </c>
      <c r="I56" s="658" t="s">
        <v>4298</v>
      </c>
      <c r="J56" s="712"/>
      <c r="K56" s="655" t="s">
        <v>4299</v>
      </c>
      <c r="L56" s="655" t="s">
        <v>4300</v>
      </c>
      <c r="M56" s="660">
        <v>207327.59</v>
      </c>
      <c r="N56" s="660">
        <v>0</v>
      </c>
      <c r="O56" s="660">
        <v>33172.410000000003</v>
      </c>
      <c r="P56" s="660">
        <v>240500</v>
      </c>
      <c r="Q56" s="548"/>
      <c r="R56" s="660">
        <v>188022.32</v>
      </c>
      <c r="S56" s="549">
        <f t="shared" si="24"/>
        <v>52477.679999999993</v>
      </c>
      <c r="T56" s="267" t="s">
        <v>131</v>
      </c>
      <c r="U56" s="626" t="str">
        <f t="shared" si="5"/>
        <v>AA11223</v>
      </c>
      <c r="V56" s="627" t="str">
        <f t="shared" si="6"/>
        <v>1431-TCN17</v>
      </c>
      <c r="W56" s="626">
        <f t="shared" si="7"/>
        <v>521802</v>
      </c>
      <c r="X56" s="626" t="str">
        <f t="shared" si="8"/>
        <v>AVANZA HI 4AT</v>
      </c>
      <c r="Y56" s="627">
        <f t="shared" si="8"/>
        <v>2017</v>
      </c>
      <c r="Z56" s="628">
        <f t="shared" si="9"/>
        <v>207327.59</v>
      </c>
      <c r="AA56" s="629"/>
      <c r="AB56" s="729"/>
      <c r="AC56" s="629">
        <f t="shared" si="1"/>
        <v>0.01</v>
      </c>
      <c r="AD56" s="630">
        <f t="shared" si="2"/>
        <v>0.02</v>
      </c>
      <c r="AE56" s="629">
        <f t="shared" si="3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721" t="s">
        <v>4301</v>
      </c>
      <c r="C57" s="655">
        <v>521802</v>
      </c>
      <c r="D57" s="658">
        <v>2204</v>
      </c>
      <c r="E57" s="655" t="s">
        <v>705</v>
      </c>
      <c r="F57" s="546">
        <v>2017</v>
      </c>
      <c r="G57" s="659">
        <v>42915</v>
      </c>
      <c r="H57" s="655" t="s">
        <v>2218</v>
      </c>
      <c r="I57" s="658" t="s">
        <v>4302</v>
      </c>
      <c r="J57" s="712"/>
      <c r="K57" s="655" t="s">
        <v>4303</v>
      </c>
      <c r="L57" s="655" t="s">
        <v>4304</v>
      </c>
      <c r="M57" s="660">
        <v>229941.96</v>
      </c>
      <c r="N57" s="660">
        <v>2299.42</v>
      </c>
      <c r="O57" s="660">
        <v>37158.620000000003</v>
      </c>
      <c r="P57" s="660">
        <v>269400</v>
      </c>
      <c r="Q57" s="548"/>
      <c r="R57" s="660">
        <v>208019.78</v>
      </c>
      <c r="S57" s="549">
        <f t="shared" si="24"/>
        <v>61380.22</v>
      </c>
      <c r="T57" s="113" t="s">
        <v>131</v>
      </c>
      <c r="U57" s="626" t="str">
        <f t="shared" si="5"/>
        <v>AA11387</v>
      </c>
      <c r="V57" s="627" t="str">
        <f t="shared" si="6"/>
        <v>1478-TCN17</v>
      </c>
      <c r="W57" s="626">
        <f t="shared" si="7"/>
        <v>521802</v>
      </c>
      <c r="X57" s="626" t="str">
        <f t="shared" si="8"/>
        <v>AVANZA LIMITED</v>
      </c>
      <c r="Y57" s="627">
        <f t="shared" si="8"/>
        <v>2017</v>
      </c>
      <c r="Z57" s="628">
        <f t="shared" si="9"/>
        <v>229941.96</v>
      </c>
      <c r="AA57" s="629"/>
      <c r="AB57" s="729"/>
      <c r="AC57" s="629">
        <f>VLOOKUP(Z57,TARIFA,1)</f>
        <v>0.01</v>
      </c>
      <c r="AD57" s="630">
        <f>VLOOKUP(Z57,TARIFA,4)</f>
        <v>0.02</v>
      </c>
      <c r="AE57" s="629">
        <f>VLOOKUP(Z57,TARIFA,3)</f>
        <v>0</v>
      </c>
      <c r="AF57" s="629">
        <f>+N57</f>
        <v>2299.42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721" t="s">
        <v>4305</v>
      </c>
      <c r="C58" s="655">
        <v>521802</v>
      </c>
      <c r="D58" s="658">
        <v>2202</v>
      </c>
      <c r="E58" s="655" t="s">
        <v>703</v>
      </c>
      <c r="F58" s="546">
        <v>2017</v>
      </c>
      <c r="G58" s="659">
        <v>42898</v>
      </c>
      <c r="H58" s="655" t="s">
        <v>2214</v>
      </c>
      <c r="I58" s="658" t="s">
        <v>4306</v>
      </c>
      <c r="J58" s="712"/>
      <c r="K58" s="655" t="s">
        <v>4307</v>
      </c>
      <c r="L58" s="655" t="s">
        <v>4308</v>
      </c>
      <c r="M58" s="660">
        <v>207327.59</v>
      </c>
      <c r="N58" s="660">
        <v>0</v>
      </c>
      <c r="O58" s="660">
        <v>33172.410000000003</v>
      </c>
      <c r="P58" s="660">
        <v>240500</v>
      </c>
      <c r="Q58" s="548"/>
      <c r="R58" s="660">
        <v>188021.32</v>
      </c>
      <c r="S58" s="549">
        <f t="shared" si="24"/>
        <v>52478.679999999993</v>
      </c>
      <c r="T58" s="113" t="s">
        <v>131</v>
      </c>
      <c r="U58" s="626" t="str">
        <f t="shared" si="5"/>
        <v>AA11255</v>
      </c>
      <c r="V58" s="627" t="str">
        <f t="shared" si="6"/>
        <v>1437-TCN17</v>
      </c>
      <c r="W58" s="626">
        <f t="shared" si="7"/>
        <v>521802</v>
      </c>
      <c r="X58" s="626" t="str">
        <f t="shared" si="8"/>
        <v>AVANZA HI 4AT</v>
      </c>
      <c r="Y58" s="627">
        <f t="shared" si="8"/>
        <v>2017</v>
      </c>
      <c r="Z58" s="628">
        <f t="shared" si="9"/>
        <v>207327.59</v>
      </c>
      <c r="AA58" s="629"/>
      <c r="AB58" s="729"/>
      <c r="AC58" s="629">
        <f t="shared" si="1"/>
        <v>0.01</v>
      </c>
      <c r="AD58" s="630">
        <f t="shared" si="2"/>
        <v>0.02</v>
      </c>
      <c r="AE58" s="629">
        <f t="shared" si="3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721" t="s">
        <v>4309</v>
      </c>
      <c r="C59" s="655">
        <v>521802</v>
      </c>
      <c r="D59" s="658">
        <v>2204</v>
      </c>
      <c r="E59" s="655" t="s">
        <v>705</v>
      </c>
      <c r="F59" s="546">
        <v>2017</v>
      </c>
      <c r="G59" s="659">
        <v>42888</v>
      </c>
      <c r="H59" s="655" t="s">
        <v>2218</v>
      </c>
      <c r="I59" s="658" t="s">
        <v>4310</v>
      </c>
      <c r="J59" s="712"/>
      <c r="K59" s="655" t="s">
        <v>4311</v>
      </c>
      <c r="L59" s="655" t="s">
        <v>4312</v>
      </c>
      <c r="M59" s="660">
        <v>229941.96</v>
      </c>
      <c r="N59" s="660">
        <v>2299.42</v>
      </c>
      <c r="O59" s="660">
        <v>37158.620000000003</v>
      </c>
      <c r="P59" s="660">
        <v>269400</v>
      </c>
      <c r="Q59" s="548"/>
      <c r="R59" s="660">
        <v>208019.78</v>
      </c>
      <c r="S59" s="549">
        <f t="shared" si="24"/>
        <v>61380.22</v>
      </c>
      <c r="T59" s="113" t="s">
        <v>131</v>
      </c>
      <c r="U59" s="626" t="str">
        <f t="shared" si="5"/>
        <v>AA11212</v>
      </c>
      <c r="V59" s="627" t="str">
        <f t="shared" si="6"/>
        <v>1396-TCN17</v>
      </c>
      <c r="W59" s="626">
        <f t="shared" si="7"/>
        <v>521802</v>
      </c>
      <c r="X59" s="626" t="str">
        <f t="shared" si="8"/>
        <v>AVANZA LIMITED</v>
      </c>
      <c r="Y59" s="627">
        <f t="shared" si="8"/>
        <v>2017</v>
      </c>
      <c r="Z59" s="628">
        <f t="shared" si="9"/>
        <v>229941.96</v>
      </c>
      <c r="AA59" s="629"/>
      <c r="AB59" s="729"/>
      <c r="AC59" s="629">
        <f>VLOOKUP(Z59,TARIFA,1)</f>
        <v>0.01</v>
      </c>
      <c r="AD59" s="630">
        <f>VLOOKUP(Z59,TARIFA,4)</f>
        <v>0.02</v>
      </c>
      <c r="AE59" s="629">
        <f>VLOOKUP(Z59,TARIFA,3)</f>
        <v>0</v>
      </c>
      <c r="AF59" s="629">
        <f>+N59</f>
        <v>2299.42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721" t="s">
        <v>4313</v>
      </c>
      <c r="C60" s="655">
        <v>521802</v>
      </c>
      <c r="D60" s="658">
        <v>2204</v>
      </c>
      <c r="E60" s="655" t="s">
        <v>705</v>
      </c>
      <c r="F60" s="546">
        <v>2017</v>
      </c>
      <c r="G60" s="659">
        <v>42915</v>
      </c>
      <c r="H60" s="655" t="s">
        <v>727</v>
      </c>
      <c r="I60" s="658" t="s">
        <v>4314</v>
      </c>
      <c r="J60" s="712"/>
      <c r="K60" s="655" t="s">
        <v>4315</v>
      </c>
      <c r="L60" s="655" t="s">
        <v>4316</v>
      </c>
      <c r="M60" s="660">
        <v>229941.96</v>
      </c>
      <c r="N60" s="660">
        <v>2299.42</v>
      </c>
      <c r="O60" s="660">
        <v>37158.620000000003</v>
      </c>
      <c r="P60" s="660">
        <v>269400</v>
      </c>
      <c r="Q60" s="548"/>
      <c r="R60" s="660">
        <v>208374.26</v>
      </c>
      <c r="S60" s="549">
        <f t="shared" si="24"/>
        <v>61025.739999999991</v>
      </c>
      <c r="T60" s="267" t="s">
        <v>131</v>
      </c>
      <c r="U60" s="626" t="str">
        <f t="shared" si="5"/>
        <v>AA11389</v>
      </c>
      <c r="V60" s="627" t="str">
        <f t="shared" si="6"/>
        <v>1448-TCN17</v>
      </c>
      <c r="W60" s="626">
        <f t="shared" si="7"/>
        <v>521802</v>
      </c>
      <c r="X60" s="626" t="str">
        <f t="shared" si="8"/>
        <v>AVANZA LIMITED</v>
      </c>
      <c r="Y60" s="627">
        <f t="shared" si="8"/>
        <v>2017</v>
      </c>
      <c r="Z60" s="628">
        <f t="shared" si="9"/>
        <v>229941.96</v>
      </c>
      <c r="AA60" s="629"/>
      <c r="AB60" s="729"/>
      <c r="AC60" s="629">
        <f>VLOOKUP(Z60,TARIFA,1)</f>
        <v>0.01</v>
      </c>
      <c r="AD60" s="630">
        <f>VLOOKUP(Z60,TARIFA,4)</f>
        <v>0.02</v>
      </c>
      <c r="AE60" s="629">
        <f>VLOOKUP(Z60,TARIFA,3)</f>
        <v>0</v>
      </c>
      <c r="AF60" s="629">
        <f>+N60</f>
        <v>2299.42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721" t="s">
        <v>4317</v>
      </c>
      <c r="C61" s="655">
        <v>521802</v>
      </c>
      <c r="D61" s="658">
        <v>2202</v>
      </c>
      <c r="E61" s="655" t="s">
        <v>703</v>
      </c>
      <c r="F61" s="546">
        <v>2017</v>
      </c>
      <c r="G61" s="659">
        <v>42913</v>
      </c>
      <c r="H61" s="655" t="s">
        <v>817</v>
      </c>
      <c r="I61" s="658" t="s">
        <v>4318</v>
      </c>
      <c r="J61" s="712"/>
      <c r="K61" s="655" t="s">
        <v>4319</v>
      </c>
      <c r="L61" s="655" t="s">
        <v>4320</v>
      </c>
      <c r="M61" s="660">
        <v>207327.59</v>
      </c>
      <c r="N61" s="660">
        <v>0</v>
      </c>
      <c r="O61" s="660">
        <v>33172.410000000003</v>
      </c>
      <c r="P61" s="660">
        <v>240500</v>
      </c>
      <c r="Q61" s="548"/>
      <c r="R61" s="660">
        <v>187666.84</v>
      </c>
      <c r="S61" s="549">
        <f t="shared" si="24"/>
        <v>52833.16</v>
      </c>
      <c r="T61" s="267" t="s">
        <v>131</v>
      </c>
      <c r="U61" s="626" t="str">
        <f t="shared" si="5"/>
        <v>AA11371</v>
      </c>
      <c r="V61" s="627" t="str">
        <f t="shared" si="6"/>
        <v>1433-TCN17</v>
      </c>
      <c r="W61" s="626">
        <f t="shared" si="7"/>
        <v>521802</v>
      </c>
      <c r="X61" s="626" t="str">
        <f t="shared" si="8"/>
        <v>AVANZA HI 4AT</v>
      </c>
      <c r="Y61" s="627">
        <f t="shared" si="8"/>
        <v>2017</v>
      </c>
      <c r="Z61" s="628">
        <f t="shared" si="9"/>
        <v>207327.59</v>
      </c>
      <c r="AA61" s="629"/>
      <c r="AB61" s="729"/>
      <c r="AC61" s="629">
        <f t="shared" si="1"/>
        <v>0.01</v>
      </c>
      <c r="AD61" s="630">
        <f t="shared" si="2"/>
        <v>0.02</v>
      </c>
      <c r="AE61" s="629">
        <f t="shared" si="3"/>
        <v>0</v>
      </c>
      <c r="AF61" s="629"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721" t="s">
        <v>4321</v>
      </c>
      <c r="C62" s="655">
        <v>521802</v>
      </c>
      <c r="D62" s="658">
        <v>2204</v>
      </c>
      <c r="E62" s="655" t="s">
        <v>705</v>
      </c>
      <c r="F62" s="546">
        <v>2017</v>
      </c>
      <c r="G62" s="659">
        <v>42915</v>
      </c>
      <c r="H62" s="655" t="s">
        <v>778</v>
      </c>
      <c r="I62" s="658" t="s">
        <v>4322</v>
      </c>
      <c r="J62" s="712"/>
      <c r="K62" s="655" t="s">
        <v>830</v>
      </c>
      <c r="L62" s="655" t="s">
        <v>4323</v>
      </c>
      <c r="M62" s="660">
        <v>229941.96</v>
      </c>
      <c r="N62" s="660">
        <v>2299.42</v>
      </c>
      <c r="O62" s="660">
        <v>37158.620000000003</v>
      </c>
      <c r="P62" s="660">
        <v>269400</v>
      </c>
      <c r="Q62" s="548"/>
      <c r="R62" s="660">
        <v>208019.78</v>
      </c>
      <c r="S62" s="549">
        <f t="shared" si="24"/>
        <v>61380.22</v>
      </c>
      <c r="T62" s="267" t="s">
        <v>131</v>
      </c>
      <c r="U62" s="626" t="str">
        <f t="shared" si="5"/>
        <v>AA11385</v>
      </c>
      <c r="V62" s="627" t="str">
        <f t="shared" si="6"/>
        <v>1522-TCN17</v>
      </c>
      <c r="W62" s="626">
        <f t="shared" si="7"/>
        <v>521802</v>
      </c>
      <c r="X62" s="626" t="str">
        <f t="shared" si="8"/>
        <v>AVANZA LIMITED</v>
      </c>
      <c r="Y62" s="627">
        <f t="shared" si="8"/>
        <v>2017</v>
      </c>
      <c r="Z62" s="628">
        <f t="shared" si="9"/>
        <v>229941.96</v>
      </c>
      <c r="AA62" s="629"/>
      <c r="AB62" s="729"/>
      <c r="AC62" s="629">
        <f>VLOOKUP(Z62,TARIFA,1)</f>
        <v>0.01</v>
      </c>
      <c r="AD62" s="630">
        <f>VLOOKUP(Z62,TARIFA,4)</f>
        <v>0.02</v>
      </c>
      <c r="AE62" s="629">
        <f>VLOOKUP(Z62,TARIFA,3)</f>
        <v>0</v>
      </c>
      <c r="AF62" s="629">
        <f>+N62</f>
        <v>2299.42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721" t="s">
        <v>4324</v>
      </c>
      <c r="C63" s="655">
        <v>521802</v>
      </c>
      <c r="D63" s="658">
        <v>2202</v>
      </c>
      <c r="E63" s="655" t="s">
        <v>703</v>
      </c>
      <c r="F63" s="546">
        <v>2017</v>
      </c>
      <c r="G63" s="659">
        <v>42912</v>
      </c>
      <c r="H63" s="655" t="s">
        <v>1038</v>
      </c>
      <c r="I63" s="658" t="s">
        <v>4325</v>
      </c>
      <c r="J63" s="712"/>
      <c r="K63" s="655" t="s">
        <v>4326</v>
      </c>
      <c r="L63" s="655" t="s">
        <v>4327</v>
      </c>
      <c r="M63" s="660">
        <v>207327.59</v>
      </c>
      <c r="N63" s="660">
        <v>0</v>
      </c>
      <c r="O63" s="660">
        <v>33172.410000000003</v>
      </c>
      <c r="P63" s="660">
        <v>240500</v>
      </c>
      <c r="Q63" s="548"/>
      <c r="R63" s="660">
        <v>188022.33</v>
      </c>
      <c r="S63" s="549">
        <f t="shared" si="24"/>
        <v>52477.670000000013</v>
      </c>
      <c r="T63" s="267" t="s">
        <v>131</v>
      </c>
      <c r="U63" s="626" t="str">
        <f t="shared" si="5"/>
        <v>AA11354</v>
      </c>
      <c r="V63" s="627" t="str">
        <f t="shared" si="6"/>
        <v>1443-TCN17</v>
      </c>
      <c r="W63" s="626">
        <f t="shared" si="7"/>
        <v>521802</v>
      </c>
      <c r="X63" s="626" t="str">
        <f t="shared" si="8"/>
        <v>AVANZA HI 4AT</v>
      </c>
      <c r="Y63" s="627">
        <f t="shared" si="8"/>
        <v>2017</v>
      </c>
      <c r="Z63" s="628">
        <f t="shared" si="9"/>
        <v>207327.59</v>
      </c>
      <c r="AA63" s="629"/>
      <c r="AB63" s="729"/>
      <c r="AC63" s="629">
        <f t="shared" si="1"/>
        <v>0.01</v>
      </c>
      <c r="AD63" s="630">
        <f t="shared" si="2"/>
        <v>0.02</v>
      </c>
      <c r="AE63" s="629">
        <f t="shared" si="3"/>
        <v>0</v>
      </c>
      <c r="AF63" s="629"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721" t="s">
        <v>4328</v>
      </c>
      <c r="C64" s="655">
        <v>521802</v>
      </c>
      <c r="D64" s="658">
        <v>2202</v>
      </c>
      <c r="E64" s="655" t="s">
        <v>703</v>
      </c>
      <c r="F64" s="546">
        <v>2017</v>
      </c>
      <c r="G64" s="659">
        <v>42889</v>
      </c>
      <c r="H64" s="655" t="s">
        <v>817</v>
      </c>
      <c r="I64" s="658" t="s">
        <v>4329</v>
      </c>
      <c r="J64" s="712"/>
      <c r="K64" s="655" t="s">
        <v>4330</v>
      </c>
      <c r="L64" s="655" t="s">
        <v>4331</v>
      </c>
      <c r="M64" s="660">
        <v>207327.59</v>
      </c>
      <c r="N64" s="660">
        <v>0</v>
      </c>
      <c r="O64" s="660">
        <v>33172.410000000003</v>
      </c>
      <c r="P64" s="660">
        <v>240500</v>
      </c>
      <c r="Q64" s="548"/>
      <c r="R64" s="660">
        <v>187666.84</v>
      </c>
      <c r="S64" s="549">
        <f t="shared" si="24"/>
        <v>52833.16</v>
      </c>
      <c r="T64" s="113" t="s">
        <v>131</v>
      </c>
      <c r="U64" s="626" t="str">
        <f t="shared" si="5"/>
        <v>AA11215</v>
      </c>
      <c r="V64" s="627" t="str">
        <f t="shared" si="6"/>
        <v>1426-TCN17</v>
      </c>
      <c r="W64" s="626">
        <f t="shared" si="7"/>
        <v>521802</v>
      </c>
      <c r="X64" s="626" t="str">
        <f t="shared" si="8"/>
        <v>AVANZA HI 4AT</v>
      </c>
      <c r="Y64" s="627">
        <f t="shared" si="8"/>
        <v>2017</v>
      </c>
      <c r="Z64" s="628">
        <f t="shared" si="9"/>
        <v>207327.59</v>
      </c>
      <c r="AA64" s="629">
        <f>+SUM(Z56:Z64)</f>
        <v>1956405.7900000003</v>
      </c>
      <c r="AB64" s="730">
        <v>9</v>
      </c>
      <c r="AC64" s="629">
        <f t="shared" si="1"/>
        <v>0.01</v>
      </c>
      <c r="AD64" s="630">
        <f t="shared" si="2"/>
        <v>0.02</v>
      </c>
      <c r="AE64" s="629">
        <f t="shared" si="3"/>
        <v>0</v>
      </c>
      <c r="AF64" s="629"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721" t="s">
        <v>4332</v>
      </c>
      <c r="C65" s="655">
        <v>521908</v>
      </c>
      <c r="D65" s="658">
        <v>6980</v>
      </c>
      <c r="E65" s="655" t="s">
        <v>706</v>
      </c>
      <c r="F65" s="546">
        <v>2017</v>
      </c>
      <c r="G65" s="659">
        <v>42908</v>
      </c>
      <c r="H65" s="655" t="s">
        <v>747</v>
      </c>
      <c r="I65" s="658" t="s">
        <v>4333</v>
      </c>
      <c r="J65" s="712"/>
      <c r="K65" s="655" t="s">
        <v>4334</v>
      </c>
      <c r="L65" s="655" t="s">
        <v>4335</v>
      </c>
      <c r="M65" s="660">
        <v>520282.13</v>
      </c>
      <c r="N65" s="660">
        <v>40148.9</v>
      </c>
      <c r="O65" s="660">
        <v>89668.97</v>
      </c>
      <c r="P65" s="660">
        <v>650100</v>
      </c>
      <c r="Q65" s="548"/>
      <c r="R65" s="660">
        <v>460361.18</v>
      </c>
      <c r="S65" s="549">
        <f t="shared" si="24"/>
        <v>189738.82</v>
      </c>
      <c r="T65" s="267" t="s">
        <v>131</v>
      </c>
      <c r="U65" s="626" t="str">
        <f t="shared" si="5"/>
        <v>AA11335</v>
      </c>
      <c r="V65" s="627" t="str">
        <f t="shared" si="6"/>
        <v>1456-TCN17</v>
      </c>
      <c r="W65" s="626">
        <f t="shared" si="7"/>
        <v>521908</v>
      </c>
      <c r="X65" s="626" t="str">
        <f t="shared" si="8"/>
        <v>HIGHLANDER  XLE</v>
      </c>
      <c r="Y65" s="627">
        <f t="shared" si="8"/>
        <v>2017</v>
      </c>
      <c r="Z65" s="628">
        <f t="shared" si="9"/>
        <v>520282.13</v>
      </c>
      <c r="AA65" s="629">
        <f>+Z65</f>
        <v>520282.13</v>
      </c>
      <c r="AB65" s="729">
        <v>1</v>
      </c>
      <c r="AC65" s="629">
        <f t="shared" si="1"/>
        <v>443562.4</v>
      </c>
      <c r="AD65" s="630">
        <f t="shared" si="2"/>
        <v>0.17</v>
      </c>
      <c r="AE65" s="629">
        <f t="shared" si="3"/>
        <v>27106.55</v>
      </c>
      <c r="AF65" s="629">
        <f>+N65</f>
        <v>40148.9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721" t="s">
        <v>4336</v>
      </c>
      <c r="C66" s="655">
        <v>521909</v>
      </c>
      <c r="D66" s="658">
        <v>6986</v>
      </c>
      <c r="E66" s="655" t="s">
        <v>707</v>
      </c>
      <c r="F66" s="546">
        <v>2017</v>
      </c>
      <c r="G66" s="659">
        <v>42893</v>
      </c>
      <c r="H66" s="655" t="s">
        <v>819</v>
      </c>
      <c r="I66" s="658" t="s">
        <v>4337</v>
      </c>
      <c r="J66" s="712"/>
      <c r="K66" s="655" t="s">
        <v>830</v>
      </c>
      <c r="L66" s="655" t="s">
        <v>4338</v>
      </c>
      <c r="M66" s="660">
        <v>583795.25</v>
      </c>
      <c r="N66" s="660">
        <v>50946.13</v>
      </c>
      <c r="O66" s="660">
        <v>101558.62</v>
      </c>
      <c r="P66" s="660">
        <v>736300</v>
      </c>
      <c r="Q66" s="548"/>
      <c r="R66" s="660">
        <v>492651.19</v>
      </c>
      <c r="S66" s="549">
        <f t="shared" si="24"/>
        <v>243648.81</v>
      </c>
      <c r="T66" s="113" t="s">
        <v>131</v>
      </c>
      <c r="U66" s="626" t="str">
        <f t="shared" si="5"/>
        <v>AA11228</v>
      </c>
      <c r="V66" s="627" t="str">
        <f t="shared" si="6"/>
        <v>1238-TCN17</v>
      </c>
      <c r="W66" s="626">
        <f t="shared" si="7"/>
        <v>521909</v>
      </c>
      <c r="X66" s="626" t="str">
        <f t="shared" si="8"/>
        <v>HIGHLANDER LIMITED BLUE- RAY</v>
      </c>
      <c r="Y66" s="627">
        <f t="shared" si="8"/>
        <v>2017</v>
      </c>
      <c r="Z66" s="628">
        <f t="shared" si="9"/>
        <v>583795.25</v>
      </c>
      <c r="AA66" s="629"/>
      <c r="AB66" s="729"/>
      <c r="AC66" s="629">
        <f t="shared" si="1"/>
        <v>443562.4</v>
      </c>
      <c r="AD66" s="630">
        <f t="shared" si="2"/>
        <v>0.17</v>
      </c>
      <c r="AE66" s="629">
        <f t="shared" si="3"/>
        <v>27106.55</v>
      </c>
      <c r="AF66" s="629">
        <f>+N66</f>
        <v>50946.13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721" t="s">
        <v>4339</v>
      </c>
      <c r="C67" s="655">
        <v>521909</v>
      </c>
      <c r="D67" s="658">
        <v>6987</v>
      </c>
      <c r="E67" s="655" t="s">
        <v>708</v>
      </c>
      <c r="F67" s="546">
        <v>2017</v>
      </c>
      <c r="G67" s="659">
        <v>42900</v>
      </c>
      <c r="H67" s="655" t="s">
        <v>727</v>
      </c>
      <c r="I67" s="658" t="s">
        <v>4340</v>
      </c>
      <c r="J67" s="712"/>
      <c r="K67" s="655" t="s">
        <v>4341</v>
      </c>
      <c r="L67" s="655" t="s">
        <v>4342</v>
      </c>
      <c r="M67" s="660">
        <v>566553.87</v>
      </c>
      <c r="N67" s="660">
        <v>48015.1</v>
      </c>
      <c r="O67" s="660">
        <v>98331.03</v>
      </c>
      <c r="P67" s="660">
        <v>712900</v>
      </c>
      <c r="Q67" s="548"/>
      <c r="R67" s="660">
        <v>501434.78</v>
      </c>
      <c r="S67" s="549">
        <f t="shared" si="24"/>
        <v>211465.21999999997</v>
      </c>
      <c r="T67" s="267" t="s">
        <v>131</v>
      </c>
      <c r="U67" s="626" t="str">
        <f t="shared" si="5"/>
        <v>AA11268</v>
      </c>
      <c r="V67" s="627" t="str">
        <f t="shared" si="6"/>
        <v>1438-TCN17</v>
      </c>
      <c r="W67" s="626">
        <f t="shared" si="7"/>
        <v>521909</v>
      </c>
      <c r="X67" s="626" t="str">
        <f t="shared" si="8"/>
        <v>HIGHLANDER LIMITED PANORAMIC ROOF</v>
      </c>
      <c r="Y67" s="627">
        <f t="shared" si="8"/>
        <v>2017</v>
      </c>
      <c r="Z67" s="628">
        <f t="shared" si="9"/>
        <v>566553.87</v>
      </c>
      <c r="AA67" s="629"/>
      <c r="AB67" s="729"/>
      <c r="AC67" s="629">
        <f t="shared" si="1"/>
        <v>443562.4</v>
      </c>
      <c r="AD67" s="630">
        <f t="shared" si="2"/>
        <v>0.17</v>
      </c>
      <c r="AE67" s="629">
        <f t="shared" si="3"/>
        <v>27106.55</v>
      </c>
      <c r="AF67" s="629">
        <f>+N67</f>
        <v>48015.1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721" t="s">
        <v>4343</v>
      </c>
      <c r="C68" s="655">
        <v>521909</v>
      </c>
      <c r="D68" s="658">
        <v>6987</v>
      </c>
      <c r="E68" s="655" t="s">
        <v>708</v>
      </c>
      <c r="F68" s="546">
        <v>2017</v>
      </c>
      <c r="G68" s="659">
        <v>42916</v>
      </c>
      <c r="H68" s="655" t="s">
        <v>2213</v>
      </c>
      <c r="I68" s="658" t="s">
        <v>4344</v>
      </c>
      <c r="J68" s="712"/>
      <c r="K68" s="655" t="s">
        <v>4345</v>
      </c>
      <c r="L68" s="655" t="s">
        <v>4346</v>
      </c>
      <c r="M68" s="660">
        <v>566553.87</v>
      </c>
      <c r="N68" s="660">
        <v>48015.1</v>
      </c>
      <c r="O68" s="660">
        <v>98331.03</v>
      </c>
      <c r="P68" s="660">
        <v>712900</v>
      </c>
      <c r="Q68" s="548"/>
      <c r="R68" s="660">
        <v>501435.79</v>
      </c>
      <c r="S68" s="549">
        <f t="shared" si="24"/>
        <v>211464.21000000002</v>
      </c>
      <c r="T68" s="113" t="s">
        <v>131</v>
      </c>
      <c r="U68" s="626" t="str">
        <f t="shared" si="5"/>
        <v>AA11401</v>
      </c>
      <c r="V68" s="627" t="str">
        <f t="shared" si="6"/>
        <v>1459-TCN17</v>
      </c>
      <c r="W68" s="626">
        <f t="shared" si="7"/>
        <v>521909</v>
      </c>
      <c r="X68" s="626" t="str">
        <f t="shared" si="8"/>
        <v>HIGHLANDER LIMITED PANORAMIC ROOF</v>
      </c>
      <c r="Y68" s="627">
        <f t="shared" si="8"/>
        <v>2017</v>
      </c>
      <c r="Z68" s="628">
        <f t="shared" si="9"/>
        <v>566553.87</v>
      </c>
      <c r="AA68" s="629"/>
      <c r="AB68" s="729"/>
      <c r="AC68" s="629">
        <f t="shared" si="1"/>
        <v>443562.4</v>
      </c>
      <c r="AD68" s="630">
        <f t="shared" si="2"/>
        <v>0.17</v>
      </c>
      <c r="AE68" s="629">
        <f t="shared" si="3"/>
        <v>27106.55</v>
      </c>
      <c r="AF68" s="629">
        <f>+N68</f>
        <v>48015.1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721" t="s">
        <v>4347</v>
      </c>
      <c r="C69" s="655">
        <v>521909</v>
      </c>
      <c r="D69" s="658">
        <v>6986</v>
      </c>
      <c r="E69" s="655" t="s">
        <v>707</v>
      </c>
      <c r="F69" s="546">
        <v>2017</v>
      </c>
      <c r="G69" s="659">
        <v>42908</v>
      </c>
      <c r="H69" s="655" t="s">
        <v>1038</v>
      </c>
      <c r="I69" s="658" t="s">
        <v>4348</v>
      </c>
      <c r="J69" s="712"/>
      <c r="K69" s="655" t="s">
        <v>4349</v>
      </c>
      <c r="L69" s="655" t="s">
        <v>4350</v>
      </c>
      <c r="M69" s="660">
        <v>583795.25</v>
      </c>
      <c r="N69" s="660">
        <v>50946.13</v>
      </c>
      <c r="O69" s="660">
        <v>101558.62</v>
      </c>
      <c r="P69" s="660">
        <v>736300</v>
      </c>
      <c r="Q69" s="548"/>
      <c r="R69" s="660">
        <v>516252.72</v>
      </c>
      <c r="S69" s="549">
        <f t="shared" si="24"/>
        <v>220047.28000000003</v>
      </c>
      <c r="T69" s="267" t="s">
        <v>131</v>
      </c>
      <c r="U69" s="626" t="str">
        <f t="shared" si="5"/>
        <v>AA11334</v>
      </c>
      <c r="V69" s="627" t="str">
        <f t="shared" si="6"/>
        <v>1273-TCN17</v>
      </c>
      <c r="W69" s="626">
        <f t="shared" si="7"/>
        <v>521909</v>
      </c>
      <c r="X69" s="626" t="str">
        <f t="shared" si="8"/>
        <v>HIGHLANDER LIMITED BLUE- RAY</v>
      </c>
      <c r="Y69" s="627">
        <f t="shared" si="8"/>
        <v>2017</v>
      </c>
      <c r="Z69" s="628">
        <f t="shared" si="9"/>
        <v>583795.25</v>
      </c>
      <c r="AA69" s="629">
        <f>+Z69+Z68+Z67+Z66</f>
        <v>2300698.2400000002</v>
      </c>
      <c r="AB69" s="729">
        <v>4</v>
      </c>
      <c r="AC69" s="629">
        <f t="shared" si="1"/>
        <v>443562.4</v>
      </c>
      <c r="AD69" s="630">
        <f t="shared" si="2"/>
        <v>0.17</v>
      </c>
      <c r="AE69" s="629">
        <f t="shared" si="3"/>
        <v>27106.55</v>
      </c>
      <c r="AF69" s="629">
        <f>+N69</f>
        <v>50946.13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721" t="s">
        <v>4351</v>
      </c>
      <c r="C70" s="655">
        <v>522401</v>
      </c>
      <c r="D70" s="658">
        <v>1062</v>
      </c>
      <c r="E70" s="655" t="s">
        <v>709</v>
      </c>
      <c r="F70" s="546">
        <v>2017</v>
      </c>
      <c r="G70" s="659">
        <v>42908</v>
      </c>
      <c r="H70" s="655" t="s">
        <v>908</v>
      </c>
      <c r="I70" s="658" t="s">
        <v>4352</v>
      </c>
      <c r="J70" s="712"/>
      <c r="K70" s="655" t="s">
        <v>4353</v>
      </c>
      <c r="L70" s="655" t="s">
        <v>4354</v>
      </c>
      <c r="M70" s="660">
        <v>230112.66</v>
      </c>
      <c r="N70" s="660">
        <v>2301.13</v>
      </c>
      <c r="O70" s="660">
        <v>37186.21</v>
      </c>
      <c r="P70" s="660">
        <v>269600</v>
      </c>
      <c r="Q70" s="548"/>
      <c r="R70" s="660">
        <v>208035.7</v>
      </c>
      <c r="S70" s="549">
        <f t="shared" ref="S70:S101" si="25">+P70-R70</f>
        <v>61564.299999999988</v>
      </c>
      <c r="T70" s="113" t="s">
        <v>131</v>
      </c>
      <c r="U70" s="626" t="str">
        <f t="shared" si="5"/>
        <v>AA11330</v>
      </c>
      <c r="V70" s="627" t="str">
        <f t="shared" si="6"/>
        <v>1311-TCN17</v>
      </c>
      <c r="W70" s="626">
        <f t="shared" si="7"/>
        <v>522401</v>
      </c>
      <c r="X70" s="626" t="str">
        <f t="shared" si="8"/>
        <v>YARIS XLE R AT</v>
      </c>
      <c r="Y70" s="627">
        <f t="shared" si="8"/>
        <v>2017</v>
      </c>
      <c r="Z70" s="628">
        <f t="shared" si="9"/>
        <v>230112.66</v>
      </c>
      <c r="AA70" s="629">
        <f>+Z70</f>
        <v>230112.66</v>
      </c>
      <c r="AB70" s="730">
        <v>1</v>
      </c>
      <c r="AC70" s="629">
        <f t="shared" ref="AC70:AC75" si="26">VLOOKUP(Z70,TARIFA,1)</f>
        <v>0.01</v>
      </c>
      <c r="AD70" s="630">
        <f t="shared" ref="AD70:AD75" si="27">VLOOKUP(Z70,TARIFA,4)</f>
        <v>0.02</v>
      </c>
      <c r="AE70" s="629">
        <f t="shared" ref="AE70:AE75" si="28">VLOOKUP(Z70,TARIFA,3)</f>
        <v>0</v>
      </c>
      <c r="AF70" s="629">
        <f t="shared" ref="AF70" si="29">IF(Z70&lt;281240.78,(((Z70-AC70)*AD70+AE70)/2),(Z70-AC70)*AD70+AE70)</f>
        <v>2301.1264999999999</v>
      </c>
      <c r="AG70" s="555">
        <f t="shared" si="10"/>
        <v>3.5000000002582965E-3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721" t="s">
        <v>4355</v>
      </c>
      <c r="C71" s="655">
        <v>1520104</v>
      </c>
      <c r="D71" s="658">
        <v>7493</v>
      </c>
      <c r="E71" s="655" t="s">
        <v>711</v>
      </c>
      <c r="F71" s="546">
        <v>2017</v>
      </c>
      <c r="G71" s="659">
        <v>42902</v>
      </c>
      <c r="H71" s="655" t="s">
        <v>908</v>
      </c>
      <c r="I71" s="658" t="s">
        <v>4356</v>
      </c>
      <c r="J71" s="712"/>
      <c r="K71" s="655" t="s">
        <v>4357</v>
      </c>
      <c r="L71" s="655" t="s">
        <v>4358</v>
      </c>
      <c r="M71" s="660">
        <v>250000</v>
      </c>
      <c r="N71" s="660">
        <v>12500</v>
      </c>
      <c r="O71" s="660">
        <v>42000</v>
      </c>
      <c r="P71" s="660">
        <v>304500</v>
      </c>
      <c r="Q71" s="548"/>
      <c r="R71" s="660">
        <v>229061.05</v>
      </c>
      <c r="S71" s="549">
        <f t="shared" si="25"/>
        <v>75438.950000000012</v>
      </c>
      <c r="T71" s="113" t="s">
        <v>131</v>
      </c>
      <c r="U71" s="626" t="str">
        <f t="shared" ref="U71:U103" si="30">+B71</f>
        <v>AA11286</v>
      </c>
      <c r="V71" s="627" t="str">
        <f t="shared" ref="V71:V103" si="31">+I71</f>
        <v>1326-TCN17</v>
      </c>
      <c r="W71" s="626">
        <f t="shared" ref="W71:W103" si="32">+C71</f>
        <v>1520104</v>
      </c>
      <c r="X71" s="626" t="str">
        <f t="shared" ref="X71:Y91" si="33">+E71</f>
        <v>HILUX PICK UP BASIC CAB L4 16V AC</v>
      </c>
      <c r="Y71" s="627">
        <f t="shared" si="33"/>
        <v>2017</v>
      </c>
      <c r="Z71" s="628">
        <f t="shared" ref="Z71:Z103" si="34">+M71</f>
        <v>250000</v>
      </c>
      <c r="AA71" s="629"/>
      <c r="AB71" s="729"/>
      <c r="AC71" s="629">
        <f t="shared" si="26"/>
        <v>246423.66</v>
      </c>
      <c r="AD71" s="630">
        <f t="shared" si="27"/>
        <v>0.05</v>
      </c>
      <c r="AE71" s="629">
        <f t="shared" si="28"/>
        <v>4928.3900000000003</v>
      </c>
      <c r="AF71" s="629">
        <f t="shared" ref="AF71:AF103" si="35">+N71</f>
        <v>12500</v>
      </c>
      <c r="AG71" s="555">
        <f t="shared" ref="AG71:AG103" si="36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37">+A71+1</f>
        <v>67</v>
      </c>
      <c r="B72" s="721" t="s">
        <v>4359</v>
      </c>
      <c r="C72" s="655">
        <v>1520104</v>
      </c>
      <c r="D72" s="658">
        <v>7493</v>
      </c>
      <c r="E72" s="655" t="s">
        <v>711</v>
      </c>
      <c r="F72" s="546">
        <v>2017</v>
      </c>
      <c r="G72" s="659">
        <v>42913</v>
      </c>
      <c r="H72" s="655" t="s">
        <v>788</v>
      </c>
      <c r="I72" s="658" t="s">
        <v>4360</v>
      </c>
      <c r="J72" s="712"/>
      <c r="K72" s="655" t="s">
        <v>4361</v>
      </c>
      <c r="L72" s="655" t="s">
        <v>4362</v>
      </c>
      <c r="M72" s="660">
        <v>250000</v>
      </c>
      <c r="N72" s="660">
        <v>12500</v>
      </c>
      <c r="O72" s="660">
        <v>42000</v>
      </c>
      <c r="P72" s="660">
        <v>304500</v>
      </c>
      <c r="Q72" s="548"/>
      <c r="R72" s="660">
        <v>229061.05</v>
      </c>
      <c r="S72" s="549">
        <f t="shared" si="25"/>
        <v>75438.950000000012</v>
      </c>
      <c r="T72" s="444" t="s">
        <v>131</v>
      </c>
      <c r="U72" s="626" t="str">
        <f t="shared" si="30"/>
        <v>AA11358</v>
      </c>
      <c r="V72" s="627" t="str">
        <f t="shared" si="31"/>
        <v>1328-TCN17</v>
      </c>
      <c r="W72" s="626">
        <f t="shared" si="32"/>
        <v>1520104</v>
      </c>
      <c r="X72" s="626" t="str">
        <f t="shared" si="33"/>
        <v>HILUX PICK UP BASIC CAB L4 16V AC</v>
      </c>
      <c r="Y72" s="627">
        <f t="shared" si="33"/>
        <v>2017</v>
      </c>
      <c r="Z72" s="628">
        <f t="shared" si="34"/>
        <v>250000</v>
      </c>
      <c r="AA72" s="629"/>
      <c r="AB72" s="729"/>
      <c r="AC72" s="629">
        <f t="shared" si="26"/>
        <v>246423.66</v>
      </c>
      <c r="AD72" s="630">
        <f t="shared" si="27"/>
        <v>0.05</v>
      </c>
      <c r="AE72" s="629">
        <f t="shared" si="28"/>
        <v>4928.3900000000003</v>
      </c>
      <c r="AF72" s="629">
        <f t="shared" si="35"/>
        <v>12500</v>
      </c>
      <c r="AG72" s="555">
        <f t="shared" si="36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37"/>
        <v>68</v>
      </c>
      <c r="B73" s="721" t="s">
        <v>4363</v>
      </c>
      <c r="C73" s="655">
        <v>1520104</v>
      </c>
      <c r="D73" s="658">
        <v>7493</v>
      </c>
      <c r="E73" s="655" t="s">
        <v>711</v>
      </c>
      <c r="F73" s="546">
        <v>2017</v>
      </c>
      <c r="G73" s="659">
        <v>42910</v>
      </c>
      <c r="H73" s="655" t="s">
        <v>810</v>
      </c>
      <c r="I73" s="658" t="s">
        <v>4364</v>
      </c>
      <c r="J73" s="712"/>
      <c r="K73" s="655" t="s">
        <v>4365</v>
      </c>
      <c r="L73" s="655" t="s">
        <v>4366</v>
      </c>
      <c r="M73" s="660">
        <v>250000</v>
      </c>
      <c r="N73" s="660">
        <v>12500</v>
      </c>
      <c r="O73" s="660">
        <v>42000</v>
      </c>
      <c r="P73" s="660">
        <v>304500</v>
      </c>
      <c r="Q73" s="548"/>
      <c r="R73" s="660">
        <v>229061.05</v>
      </c>
      <c r="S73" s="549">
        <f t="shared" si="25"/>
        <v>75438.950000000012</v>
      </c>
      <c r="T73" s="267" t="s">
        <v>131</v>
      </c>
      <c r="U73" s="626" t="str">
        <f t="shared" si="30"/>
        <v>AA11344</v>
      </c>
      <c r="V73" s="627" t="str">
        <f t="shared" si="31"/>
        <v>1440-TCN17</v>
      </c>
      <c r="W73" s="626">
        <f t="shared" si="32"/>
        <v>1520104</v>
      </c>
      <c r="X73" s="626" t="str">
        <f t="shared" si="33"/>
        <v>HILUX PICK UP BASIC CAB L4 16V AC</v>
      </c>
      <c r="Y73" s="627">
        <f t="shared" si="33"/>
        <v>2017</v>
      </c>
      <c r="Z73" s="628">
        <f t="shared" si="34"/>
        <v>250000</v>
      </c>
      <c r="AA73" s="629"/>
      <c r="AB73" s="729"/>
      <c r="AC73" s="629">
        <f t="shared" si="26"/>
        <v>246423.66</v>
      </c>
      <c r="AD73" s="630">
        <f t="shared" si="27"/>
        <v>0.05</v>
      </c>
      <c r="AE73" s="629">
        <f t="shared" si="28"/>
        <v>4928.3900000000003</v>
      </c>
      <c r="AF73" s="629">
        <f t="shared" si="35"/>
        <v>12500</v>
      </c>
      <c r="AG73" s="555">
        <f t="shared" si="36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37"/>
        <v>69</v>
      </c>
      <c r="B74" s="721" t="s">
        <v>4367</v>
      </c>
      <c r="C74" s="655">
        <v>1520104</v>
      </c>
      <c r="D74" s="658">
        <v>7493</v>
      </c>
      <c r="E74" s="655" t="s">
        <v>711</v>
      </c>
      <c r="F74" s="546">
        <v>2017</v>
      </c>
      <c r="G74" s="659">
        <v>42895</v>
      </c>
      <c r="H74" s="655" t="s">
        <v>774</v>
      </c>
      <c r="I74" s="658" t="s">
        <v>4368</v>
      </c>
      <c r="J74" s="712"/>
      <c r="K74" s="655" t="s">
        <v>4369</v>
      </c>
      <c r="L74" s="655" t="s">
        <v>4370</v>
      </c>
      <c r="M74" s="660">
        <v>250000</v>
      </c>
      <c r="N74" s="660">
        <v>12500</v>
      </c>
      <c r="O74" s="660">
        <v>42000</v>
      </c>
      <c r="P74" s="660">
        <v>304500</v>
      </c>
      <c r="Q74" s="548"/>
      <c r="R74" s="660">
        <v>229061.05</v>
      </c>
      <c r="S74" s="549">
        <f t="shared" si="25"/>
        <v>75438.950000000012</v>
      </c>
      <c r="T74" s="267" t="s">
        <v>131</v>
      </c>
      <c r="U74" s="626" t="str">
        <f t="shared" si="30"/>
        <v>AA11240</v>
      </c>
      <c r="V74" s="627" t="str">
        <f t="shared" si="31"/>
        <v>1296-TCN17</v>
      </c>
      <c r="W74" s="626">
        <f t="shared" si="32"/>
        <v>1520104</v>
      </c>
      <c r="X74" s="626" t="str">
        <f t="shared" si="33"/>
        <v>HILUX PICK UP BASIC CAB L4 16V AC</v>
      </c>
      <c r="Y74" s="627">
        <f t="shared" si="33"/>
        <v>2017</v>
      </c>
      <c r="Z74" s="628">
        <f t="shared" si="34"/>
        <v>250000</v>
      </c>
      <c r="AA74" s="629"/>
      <c r="AB74" s="729"/>
      <c r="AC74" s="629">
        <f t="shared" si="26"/>
        <v>246423.66</v>
      </c>
      <c r="AD74" s="630">
        <f t="shared" si="27"/>
        <v>0.05</v>
      </c>
      <c r="AE74" s="629">
        <f t="shared" si="28"/>
        <v>4928.3900000000003</v>
      </c>
      <c r="AF74" s="629">
        <f t="shared" si="35"/>
        <v>12500</v>
      </c>
      <c r="AG74" s="555">
        <f t="shared" si="36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37"/>
        <v>70</v>
      </c>
      <c r="B75" s="721" t="s">
        <v>4371</v>
      </c>
      <c r="C75" s="655">
        <v>1520104</v>
      </c>
      <c r="D75" s="658">
        <v>7493</v>
      </c>
      <c r="E75" s="655" t="s">
        <v>711</v>
      </c>
      <c r="F75" s="546">
        <v>2017</v>
      </c>
      <c r="G75" s="659">
        <v>42909</v>
      </c>
      <c r="H75" s="655" t="s">
        <v>2215</v>
      </c>
      <c r="I75" s="658" t="s">
        <v>4372</v>
      </c>
      <c r="J75" s="712"/>
      <c r="K75" s="655" t="s">
        <v>4373</v>
      </c>
      <c r="L75" s="655" t="s">
        <v>4374</v>
      </c>
      <c r="M75" s="660">
        <v>250000</v>
      </c>
      <c r="N75" s="660">
        <v>12500</v>
      </c>
      <c r="O75" s="660">
        <v>42000</v>
      </c>
      <c r="P75" s="660">
        <v>304500</v>
      </c>
      <c r="Q75" s="548"/>
      <c r="R75" s="660">
        <v>229061.04</v>
      </c>
      <c r="S75" s="549">
        <f t="shared" si="25"/>
        <v>75438.959999999992</v>
      </c>
      <c r="T75" s="113" t="s">
        <v>131</v>
      </c>
      <c r="U75" s="626" t="str">
        <f t="shared" si="30"/>
        <v>AA11343</v>
      </c>
      <c r="V75" s="627" t="str">
        <f t="shared" si="31"/>
        <v>1485-TCN17</v>
      </c>
      <c r="W75" s="626">
        <f t="shared" si="32"/>
        <v>1520104</v>
      </c>
      <c r="X75" s="626" t="str">
        <f t="shared" si="33"/>
        <v>HILUX PICK UP BASIC CAB L4 16V AC</v>
      </c>
      <c r="Y75" s="627">
        <f t="shared" si="33"/>
        <v>2017</v>
      </c>
      <c r="Z75" s="628">
        <f t="shared" si="34"/>
        <v>250000</v>
      </c>
      <c r="AA75" s="629">
        <f>+Z75+Z74+Z73+Z72+Z71</f>
        <v>1250000</v>
      </c>
      <c r="AB75" s="732">
        <v>5</v>
      </c>
      <c r="AC75" s="629">
        <f t="shared" si="26"/>
        <v>246423.66</v>
      </c>
      <c r="AD75" s="630">
        <f t="shared" si="27"/>
        <v>0.05</v>
      </c>
      <c r="AE75" s="629">
        <f t="shared" si="28"/>
        <v>4928.3900000000003</v>
      </c>
      <c r="AF75" s="629">
        <f t="shared" si="35"/>
        <v>12500</v>
      </c>
      <c r="AG75" s="555">
        <f t="shared" si="36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37"/>
        <v>71</v>
      </c>
      <c r="B76" s="721" t="s">
        <v>4375</v>
      </c>
      <c r="C76" s="655">
        <v>1520105</v>
      </c>
      <c r="D76" s="658">
        <v>7494</v>
      </c>
      <c r="E76" s="655" t="s">
        <v>712</v>
      </c>
      <c r="F76" s="546">
        <v>2017</v>
      </c>
      <c r="G76" s="659">
        <v>42908</v>
      </c>
      <c r="H76" s="655" t="s">
        <v>819</v>
      </c>
      <c r="I76" s="658" t="s">
        <v>4376</v>
      </c>
      <c r="J76" s="712"/>
      <c r="K76" s="655" t="s">
        <v>4377</v>
      </c>
      <c r="L76" s="655" t="s">
        <v>4378</v>
      </c>
      <c r="M76" s="660">
        <v>235139.57</v>
      </c>
      <c r="N76" s="660">
        <v>11756.98</v>
      </c>
      <c r="O76" s="660">
        <v>39503.449999999997</v>
      </c>
      <c r="P76" s="660">
        <v>286400</v>
      </c>
      <c r="Q76" s="548"/>
      <c r="R76" s="660">
        <v>215512.69</v>
      </c>
      <c r="S76" s="549">
        <f t="shared" si="25"/>
        <v>70887.31</v>
      </c>
      <c r="T76" s="267" t="s">
        <v>131</v>
      </c>
      <c r="U76" s="626" t="str">
        <f t="shared" si="30"/>
        <v>AA11333</v>
      </c>
      <c r="V76" s="627" t="str">
        <f t="shared" si="31"/>
        <v>1461-TCN17</v>
      </c>
      <c r="W76" s="626">
        <f t="shared" si="32"/>
        <v>1520105</v>
      </c>
      <c r="X76" s="626" t="str">
        <f t="shared" si="33"/>
        <v>HILUX PICK UP CHASSIS CAB</v>
      </c>
      <c r="Y76" s="627">
        <f t="shared" si="33"/>
        <v>2017</v>
      </c>
      <c r="Z76" s="628">
        <f t="shared" si="34"/>
        <v>235139.57</v>
      </c>
      <c r="AA76" s="629"/>
      <c r="AB76" s="729"/>
      <c r="AC76" s="629">
        <f t="shared" ref="AC76:AC78" si="38">VLOOKUP(Z76,TARIFA,1)</f>
        <v>0.01</v>
      </c>
      <c r="AD76" s="630">
        <f t="shared" ref="AD76:AD78" si="39">VLOOKUP(Z76,TARIFA,4)</f>
        <v>0.02</v>
      </c>
      <c r="AE76" s="629">
        <f t="shared" ref="AE76:AE78" si="40">VLOOKUP(Z76,TARIFA,3)</f>
        <v>0</v>
      </c>
      <c r="AF76" s="629">
        <f t="shared" si="35"/>
        <v>11756.98</v>
      </c>
      <c r="AG76" s="555">
        <f t="shared" si="36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37"/>
        <v>72</v>
      </c>
      <c r="B77" s="721" t="s">
        <v>4379</v>
      </c>
      <c r="C77" s="655">
        <v>1520105</v>
      </c>
      <c r="D77" s="658">
        <v>7494</v>
      </c>
      <c r="E77" s="655" t="s">
        <v>712</v>
      </c>
      <c r="F77" s="546">
        <v>2017</v>
      </c>
      <c r="G77" s="659">
        <v>42907</v>
      </c>
      <c r="H77" s="655" t="s">
        <v>3694</v>
      </c>
      <c r="I77" s="658" t="s">
        <v>4380</v>
      </c>
      <c r="J77" s="712"/>
      <c r="K77" s="655" t="s">
        <v>4381</v>
      </c>
      <c r="L77" s="655" t="s">
        <v>4382</v>
      </c>
      <c r="M77" s="660">
        <v>235139.57</v>
      </c>
      <c r="N77" s="660">
        <v>11756.98</v>
      </c>
      <c r="O77" s="660">
        <v>39503.449999999997</v>
      </c>
      <c r="P77" s="660">
        <v>286400</v>
      </c>
      <c r="Q77" s="548"/>
      <c r="R77" s="660">
        <v>215512.69</v>
      </c>
      <c r="S77" s="549">
        <f t="shared" si="25"/>
        <v>70887.31</v>
      </c>
      <c r="T77" s="267" t="s">
        <v>131</v>
      </c>
      <c r="U77" s="626" t="str">
        <f t="shared" si="30"/>
        <v>AA11327</v>
      </c>
      <c r="V77" s="627" t="str">
        <f t="shared" si="31"/>
        <v>1377-TCN17</v>
      </c>
      <c r="W77" s="626">
        <f t="shared" si="32"/>
        <v>1520105</v>
      </c>
      <c r="X77" s="626" t="str">
        <f t="shared" si="33"/>
        <v>HILUX PICK UP CHASSIS CAB</v>
      </c>
      <c r="Y77" s="627">
        <f t="shared" si="33"/>
        <v>2017</v>
      </c>
      <c r="Z77" s="628">
        <f t="shared" si="34"/>
        <v>235139.57</v>
      </c>
      <c r="AA77" s="629"/>
      <c r="AB77" s="729"/>
      <c r="AC77" s="629">
        <f t="shared" si="38"/>
        <v>0.01</v>
      </c>
      <c r="AD77" s="630">
        <f t="shared" si="39"/>
        <v>0.02</v>
      </c>
      <c r="AE77" s="629">
        <f t="shared" si="40"/>
        <v>0</v>
      </c>
      <c r="AF77" s="629">
        <f t="shared" si="35"/>
        <v>11756.98</v>
      </c>
      <c r="AG77" s="555">
        <f t="shared" si="36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37"/>
        <v>73</v>
      </c>
      <c r="B78" s="721" t="s">
        <v>4383</v>
      </c>
      <c r="C78" s="655">
        <v>1520105</v>
      </c>
      <c r="D78" s="658">
        <v>7494</v>
      </c>
      <c r="E78" s="655" t="s">
        <v>712</v>
      </c>
      <c r="F78" s="546">
        <v>2017</v>
      </c>
      <c r="G78" s="659">
        <v>42901</v>
      </c>
      <c r="H78" s="655" t="s">
        <v>792</v>
      </c>
      <c r="I78" s="658" t="s">
        <v>4384</v>
      </c>
      <c r="J78" s="712"/>
      <c r="K78" s="655" t="s">
        <v>3188</v>
      </c>
      <c r="L78" s="655" t="s">
        <v>4385</v>
      </c>
      <c r="M78" s="660">
        <v>228078.82</v>
      </c>
      <c r="N78" s="660">
        <v>11403.94</v>
      </c>
      <c r="O78" s="660">
        <v>38317.24</v>
      </c>
      <c r="P78" s="660">
        <v>277800</v>
      </c>
      <c r="Q78" s="548"/>
      <c r="R78" s="660">
        <v>215512.69</v>
      </c>
      <c r="S78" s="549">
        <f t="shared" si="25"/>
        <v>62287.31</v>
      </c>
      <c r="T78" s="267" t="s">
        <v>131</v>
      </c>
      <c r="U78" s="626" t="str">
        <f t="shared" si="30"/>
        <v>AA11283</v>
      </c>
      <c r="V78" s="627" t="str">
        <f t="shared" si="31"/>
        <v>1345-TCN17</v>
      </c>
      <c r="W78" s="626">
        <f t="shared" si="32"/>
        <v>1520105</v>
      </c>
      <c r="X78" s="626" t="str">
        <f t="shared" si="33"/>
        <v>HILUX PICK UP CHASSIS CAB</v>
      </c>
      <c r="Y78" s="627">
        <f t="shared" si="33"/>
        <v>2017</v>
      </c>
      <c r="Z78" s="628">
        <f t="shared" si="34"/>
        <v>228078.82</v>
      </c>
      <c r="AA78" s="629">
        <f>+Z78+Z77+Z76</f>
        <v>698357.96</v>
      </c>
      <c r="AB78" s="732">
        <v>3</v>
      </c>
      <c r="AC78" s="629">
        <f t="shared" si="38"/>
        <v>0.01</v>
      </c>
      <c r="AD78" s="630">
        <f t="shared" si="39"/>
        <v>0.02</v>
      </c>
      <c r="AE78" s="629">
        <f t="shared" si="40"/>
        <v>0</v>
      </c>
      <c r="AF78" s="629">
        <f t="shared" si="35"/>
        <v>11403.94</v>
      </c>
      <c r="AG78" s="555">
        <f t="shared" si="36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37"/>
        <v>74</v>
      </c>
      <c r="B79" s="721" t="s">
        <v>4386</v>
      </c>
      <c r="C79" s="655">
        <v>1520204</v>
      </c>
      <c r="D79" s="658">
        <v>5603</v>
      </c>
      <c r="E79" s="655" t="s">
        <v>713</v>
      </c>
      <c r="F79" s="546">
        <v>2017</v>
      </c>
      <c r="G79" s="659">
        <v>42891</v>
      </c>
      <c r="H79" s="655" t="s">
        <v>1038</v>
      </c>
      <c r="I79" s="658" t="s">
        <v>4387</v>
      </c>
      <c r="J79" s="712"/>
      <c r="K79" s="655" t="s">
        <v>4388</v>
      </c>
      <c r="L79" s="655" t="s">
        <v>4389</v>
      </c>
      <c r="M79" s="660">
        <v>304351.40000000002</v>
      </c>
      <c r="N79" s="660">
        <v>15217.57</v>
      </c>
      <c r="O79" s="660">
        <v>51131.03</v>
      </c>
      <c r="P79" s="660">
        <v>370700</v>
      </c>
      <c r="Q79" s="548"/>
      <c r="R79" s="660">
        <v>277250.59999999998</v>
      </c>
      <c r="S79" s="549">
        <f t="shared" si="25"/>
        <v>93449.400000000023</v>
      </c>
      <c r="T79" s="267" t="s">
        <v>131</v>
      </c>
      <c r="U79" s="626" t="str">
        <f t="shared" si="30"/>
        <v>AA11219</v>
      </c>
      <c r="V79" s="627" t="str">
        <f t="shared" si="31"/>
        <v>0921-TCN17</v>
      </c>
      <c r="W79" s="626">
        <f t="shared" si="32"/>
        <v>1520204</v>
      </c>
      <c r="X79" s="626" t="str">
        <f t="shared" si="33"/>
        <v>HIACE PANEL SUP LARGA C/VENT</v>
      </c>
      <c r="Y79" s="627">
        <f t="shared" si="33"/>
        <v>2017</v>
      </c>
      <c r="Z79" s="628">
        <f t="shared" si="34"/>
        <v>304351.40000000002</v>
      </c>
      <c r="AA79" s="629">
        <f>+Z79</f>
        <v>304351.40000000002</v>
      </c>
      <c r="AB79" s="732">
        <v>1</v>
      </c>
      <c r="AC79" s="629">
        <f t="shared" ref="AC79:AC103" si="41">VLOOKUP(Z79,TARIFA,1)</f>
        <v>295708.34000000003</v>
      </c>
      <c r="AD79" s="630">
        <f t="shared" ref="AD79:AD103" si="42">VLOOKUP(Z79,TARIFA,4)</f>
        <v>0.1</v>
      </c>
      <c r="AE79" s="629">
        <f t="shared" ref="AE79:AE103" si="43">VLOOKUP(Z79,TARIFA,3)</f>
        <v>7392.74</v>
      </c>
      <c r="AF79" s="629">
        <f t="shared" si="35"/>
        <v>15217.57</v>
      </c>
      <c r="AG79" s="555">
        <f t="shared" si="36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37"/>
        <v>75</v>
      </c>
      <c r="B80" s="721" t="s">
        <v>4390</v>
      </c>
      <c r="C80" s="655">
        <v>1520302</v>
      </c>
      <c r="D80" s="658">
        <v>7401</v>
      </c>
      <c r="E80" s="655" t="s">
        <v>714</v>
      </c>
      <c r="F80" s="546">
        <v>2017</v>
      </c>
      <c r="G80" s="659">
        <v>42905</v>
      </c>
      <c r="H80" s="655" t="s">
        <v>788</v>
      </c>
      <c r="I80" s="658" t="s">
        <v>4391</v>
      </c>
      <c r="J80" s="712"/>
      <c r="K80" s="655" t="s">
        <v>4392</v>
      </c>
      <c r="L80" s="655" t="s">
        <v>4393</v>
      </c>
      <c r="M80" s="660">
        <v>483333.33</v>
      </c>
      <c r="N80" s="660">
        <v>24166.67</v>
      </c>
      <c r="O80" s="660">
        <v>81200</v>
      </c>
      <c r="P80" s="660">
        <v>588700</v>
      </c>
      <c r="Q80" s="548"/>
      <c r="R80" s="660">
        <v>427846.23</v>
      </c>
      <c r="S80" s="549">
        <f t="shared" si="25"/>
        <v>160853.77000000002</v>
      </c>
      <c r="T80" s="113" t="s">
        <v>131</v>
      </c>
      <c r="U80" s="626" t="str">
        <f t="shared" si="30"/>
        <v>AA11298</v>
      </c>
      <c r="V80" s="627" t="str">
        <f t="shared" si="31"/>
        <v>1449-TCN17</v>
      </c>
      <c r="W80" s="626">
        <f t="shared" si="32"/>
        <v>1520302</v>
      </c>
      <c r="X80" s="626" t="str">
        <f t="shared" si="33"/>
        <v>TACOMA DOB CAB TRD SPORT</v>
      </c>
      <c r="Y80" s="627">
        <f t="shared" si="33"/>
        <v>2017</v>
      </c>
      <c r="Z80" s="628">
        <f t="shared" si="34"/>
        <v>483333.33</v>
      </c>
      <c r="AA80" s="629"/>
      <c r="AB80" s="729"/>
      <c r="AC80" s="629">
        <f t="shared" si="41"/>
        <v>443562.4</v>
      </c>
      <c r="AD80" s="630">
        <f t="shared" si="42"/>
        <v>0.17</v>
      </c>
      <c r="AE80" s="629">
        <f t="shared" si="43"/>
        <v>27106.55</v>
      </c>
      <c r="AF80" s="629">
        <f t="shared" si="35"/>
        <v>24166.67</v>
      </c>
      <c r="AG80" s="555">
        <f t="shared" si="36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37"/>
        <v>76</v>
      </c>
      <c r="B81" s="721" t="s">
        <v>4394</v>
      </c>
      <c r="C81" s="655">
        <v>1520302</v>
      </c>
      <c r="D81" s="658">
        <v>7441</v>
      </c>
      <c r="E81" s="655" t="s">
        <v>715</v>
      </c>
      <c r="F81" s="546">
        <v>2017</v>
      </c>
      <c r="G81" s="659">
        <v>42913</v>
      </c>
      <c r="H81" s="655" t="s">
        <v>788</v>
      </c>
      <c r="I81" s="658" t="s">
        <v>4395</v>
      </c>
      <c r="J81" s="712"/>
      <c r="K81" s="655" t="s">
        <v>1022</v>
      </c>
      <c r="L81" s="655" t="s">
        <v>4396</v>
      </c>
      <c r="M81" s="660">
        <v>525451.56000000006</v>
      </c>
      <c r="N81" s="660">
        <v>26272.58</v>
      </c>
      <c r="O81" s="660">
        <v>88275.86</v>
      </c>
      <c r="P81" s="660">
        <v>640000</v>
      </c>
      <c r="Q81" s="548"/>
      <c r="R81" s="660">
        <v>464910.28</v>
      </c>
      <c r="S81" s="549">
        <f t="shared" si="25"/>
        <v>175089.71999999997</v>
      </c>
      <c r="T81" s="113" t="s">
        <v>131</v>
      </c>
      <c r="U81" s="626" t="str">
        <f t="shared" si="30"/>
        <v>AA11369</v>
      </c>
      <c r="V81" s="627" t="str">
        <f t="shared" si="31"/>
        <v>1526-TCN17</v>
      </c>
      <c r="W81" s="626">
        <f t="shared" si="32"/>
        <v>1520302</v>
      </c>
      <c r="X81" s="626" t="str">
        <f t="shared" si="33"/>
        <v>TACOMA 4X4</v>
      </c>
      <c r="Y81" s="627">
        <f t="shared" si="33"/>
        <v>2017</v>
      </c>
      <c r="Z81" s="628">
        <f t="shared" si="34"/>
        <v>525451.56000000006</v>
      </c>
      <c r="AA81" s="629">
        <f>+Z81+Z80</f>
        <v>1008784.8900000001</v>
      </c>
      <c r="AB81" s="732">
        <v>2</v>
      </c>
      <c r="AC81" s="629">
        <f t="shared" si="41"/>
        <v>443562.4</v>
      </c>
      <c r="AD81" s="630">
        <f t="shared" si="42"/>
        <v>0.17</v>
      </c>
      <c r="AE81" s="629">
        <f t="shared" si="43"/>
        <v>27106.55</v>
      </c>
      <c r="AF81" s="629">
        <f t="shared" si="35"/>
        <v>26272.58</v>
      </c>
      <c r="AG81" s="555">
        <f t="shared" si="36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37"/>
        <v>77</v>
      </c>
      <c r="B82" s="721" t="s">
        <v>4397</v>
      </c>
      <c r="C82" s="655">
        <v>1520304</v>
      </c>
      <c r="D82" s="658">
        <v>7440</v>
      </c>
      <c r="E82" s="655" t="s">
        <v>1520</v>
      </c>
      <c r="F82" s="546">
        <v>2017</v>
      </c>
      <c r="G82" s="659">
        <v>42913</v>
      </c>
      <c r="H82" s="655" t="s">
        <v>774</v>
      </c>
      <c r="I82" s="658" t="s">
        <v>4398</v>
      </c>
      <c r="J82" s="712"/>
      <c r="K82" s="655" t="s">
        <v>4399</v>
      </c>
      <c r="L82" s="655" t="s">
        <v>4400</v>
      </c>
      <c r="M82" s="660">
        <v>579556.65</v>
      </c>
      <c r="N82" s="660">
        <v>28977.83</v>
      </c>
      <c r="O82" s="660">
        <v>97365.52</v>
      </c>
      <c r="P82" s="660">
        <v>705900</v>
      </c>
      <c r="Q82" s="548"/>
      <c r="R82" s="660">
        <v>512522.75</v>
      </c>
      <c r="S82" s="549">
        <f t="shared" si="25"/>
        <v>193377.25</v>
      </c>
      <c r="T82" s="113" t="s">
        <v>131</v>
      </c>
      <c r="U82" s="626" t="str">
        <f t="shared" si="30"/>
        <v>AA11365</v>
      </c>
      <c r="V82" s="627" t="str">
        <f t="shared" si="31"/>
        <v>1525-TCN17</v>
      </c>
      <c r="W82" s="626">
        <f t="shared" si="32"/>
        <v>1520304</v>
      </c>
      <c r="X82" s="626" t="str">
        <f t="shared" si="33"/>
        <v>TACOMA EDICION ESPECIAL</v>
      </c>
      <c r="Y82" s="627">
        <f t="shared" si="33"/>
        <v>2017</v>
      </c>
      <c r="Z82" s="628">
        <f t="shared" si="34"/>
        <v>579556.65</v>
      </c>
      <c r="AA82" s="629"/>
      <c r="AB82" s="729"/>
      <c r="AC82" s="629">
        <f t="shared" si="41"/>
        <v>443562.4</v>
      </c>
      <c r="AD82" s="630">
        <f t="shared" si="42"/>
        <v>0.17</v>
      </c>
      <c r="AE82" s="629">
        <f t="shared" si="43"/>
        <v>27106.55</v>
      </c>
      <c r="AF82" s="629">
        <f t="shared" si="35"/>
        <v>28977.83</v>
      </c>
      <c r="AG82" s="555">
        <f t="shared" si="36"/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3">
        <f t="shared" si="37"/>
        <v>78</v>
      </c>
      <c r="B83" s="721" t="s">
        <v>4401</v>
      </c>
      <c r="C83" s="655">
        <v>1520304</v>
      </c>
      <c r="D83" s="658">
        <v>7440</v>
      </c>
      <c r="E83" s="655" t="s">
        <v>1520</v>
      </c>
      <c r="F83" s="546">
        <v>2017</v>
      </c>
      <c r="G83" s="659">
        <v>42916</v>
      </c>
      <c r="H83" s="655" t="s">
        <v>739</v>
      </c>
      <c r="I83" s="658" t="s">
        <v>4402</v>
      </c>
      <c r="J83" s="712"/>
      <c r="K83" s="655" t="s">
        <v>4403</v>
      </c>
      <c r="L83" s="655" t="s">
        <v>4404</v>
      </c>
      <c r="M83" s="660">
        <v>579556.65</v>
      </c>
      <c r="N83" s="660">
        <v>28977.83</v>
      </c>
      <c r="O83" s="660">
        <v>97365.52</v>
      </c>
      <c r="P83" s="660">
        <v>705900</v>
      </c>
      <c r="Q83" s="548"/>
      <c r="R83" s="660">
        <v>512877.24</v>
      </c>
      <c r="S83" s="549">
        <f t="shared" si="25"/>
        <v>193022.76</v>
      </c>
      <c r="T83" s="113" t="s">
        <v>131</v>
      </c>
      <c r="U83" s="626" t="str">
        <f t="shared" si="30"/>
        <v>AA11405</v>
      </c>
      <c r="V83" s="627" t="str">
        <f t="shared" si="31"/>
        <v>1535-TCN17</v>
      </c>
      <c r="W83" s="626">
        <f t="shared" si="32"/>
        <v>1520304</v>
      </c>
      <c r="X83" s="626" t="str">
        <f t="shared" si="33"/>
        <v>TACOMA EDICION ESPECIAL</v>
      </c>
      <c r="Y83" s="627">
        <f t="shared" si="33"/>
        <v>2017</v>
      </c>
      <c r="Z83" s="628">
        <f t="shared" si="34"/>
        <v>579556.65</v>
      </c>
      <c r="AA83" s="629">
        <f>+Z83+Z82</f>
        <v>1159113.3</v>
      </c>
      <c r="AB83" s="732">
        <v>2</v>
      </c>
      <c r="AC83" s="629">
        <f t="shared" si="41"/>
        <v>443562.4</v>
      </c>
      <c r="AD83" s="630">
        <f t="shared" si="42"/>
        <v>0.17</v>
      </c>
      <c r="AE83" s="629">
        <f t="shared" si="43"/>
        <v>27106.55</v>
      </c>
      <c r="AF83" s="629">
        <f t="shared" si="35"/>
        <v>28977.83</v>
      </c>
      <c r="AG83" s="555">
        <f t="shared" si="36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x14ac:dyDescent="0.2">
      <c r="A84" s="423">
        <f t="shared" si="37"/>
        <v>79</v>
      </c>
      <c r="B84" s="721" t="s">
        <v>4405</v>
      </c>
      <c r="C84" s="655">
        <v>1520504</v>
      </c>
      <c r="D84" s="658">
        <v>8127</v>
      </c>
      <c r="E84" s="655" t="s">
        <v>716</v>
      </c>
      <c r="F84" s="546">
        <v>2017</v>
      </c>
      <c r="G84" s="659">
        <v>42908</v>
      </c>
      <c r="H84" s="655" t="s">
        <v>778</v>
      </c>
      <c r="I84" s="658" t="s">
        <v>4406</v>
      </c>
      <c r="J84" s="712"/>
      <c r="K84" s="655" t="s">
        <v>4407</v>
      </c>
      <c r="L84" s="655" t="s">
        <v>4408</v>
      </c>
      <c r="M84" s="660">
        <v>684482.76</v>
      </c>
      <c r="N84" s="660">
        <v>34224.14</v>
      </c>
      <c r="O84" s="660">
        <v>114993.1</v>
      </c>
      <c r="P84" s="660">
        <v>833700</v>
      </c>
      <c r="Q84" s="548"/>
      <c r="R84" s="660">
        <v>605110.62</v>
      </c>
      <c r="S84" s="549">
        <f t="shared" si="25"/>
        <v>228589.38</v>
      </c>
      <c r="T84" s="267" t="s">
        <v>131</v>
      </c>
      <c r="U84" s="626" t="str">
        <f t="shared" si="30"/>
        <v>AA11328</v>
      </c>
      <c r="V84" s="627" t="str">
        <f t="shared" si="31"/>
        <v>1455-TCN17</v>
      </c>
      <c r="W84" s="626">
        <f t="shared" si="32"/>
        <v>1520504</v>
      </c>
      <c r="X84" s="626" t="str">
        <f t="shared" si="33"/>
        <v>TUNDRA 4X4 DOBLE CABINA EQUIPADA</v>
      </c>
      <c r="Y84" s="627">
        <f t="shared" si="33"/>
        <v>2017</v>
      </c>
      <c r="Z84" s="628">
        <f t="shared" si="34"/>
        <v>684482.76</v>
      </c>
      <c r="AA84" s="629"/>
      <c r="AB84" s="729"/>
      <c r="AC84" s="629">
        <f t="shared" si="41"/>
        <v>443562.4</v>
      </c>
      <c r="AD84" s="630">
        <f t="shared" si="42"/>
        <v>0.17</v>
      </c>
      <c r="AE84" s="629">
        <f t="shared" si="43"/>
        <v>27106.55</v>
      </c>
      <c r="AF84" s="629">
        <f t="shared" si="35"/>
        <v>34224.14</v>
      </c>
      <c r="AG84" s="555">
        <f t="shared" si="36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x14ac:dyDescent="0.2">
      <c r="A85" s="423">
        <f t="shared" si="37"/>
        <v>80</v>
      </c>
      <c r="B85" s="721" t="s">
        <v>4409</v>
      </c>
      <c r="C85" s="655">
        <v>1520504</v>
      </c>
      <c r="D85" s="658">
        <v>8127</v>
      </c>
      <c r="E85" s="655" t="s">
        <v>716</v>
      </c>
      <c r="F85" s="546">
        <v>2017</v>
      </c>
      <c r="G85" s="659">
        <v>42916</v>
      </c>
      <c r="H85" s="655" t="s">
        <v>778</v>
      </c>
      <c r="I85" s="658" t="s">
        <v>4410</v>
      </c>
      <c r="J85" s="712"/>
      <c r="K85" s="655" t="s">
        <v>4411</v>
      </c>
      <c r="L85" s="655" t="s">
        <v>4412</v>
      </c>
      <c r="M85" s="660">
        <v>684482.76</v>
      </c>
      <c r="N85" s="660">
        <v>34224.14</v>
      </c>
      <c r="O85" s="660">
        <v>114993.1</v>
      </c>
      <c r="P85" s="660">
        <v>833700</v>
      </c>
      <c r="Q85" s="548"/>
      <c r="R85" s="660">
        <v>605110.62</v>
      </c>
      <c r="S85" s="549">
        <f t="shared" si="25"/>
        <v>228589.38</v>
      </c>
      <c r="T85" s="267" t="s">
        <v>131</v>
      </c>
      <c r="U85" s="626" t="str">
        <f t="shared" si="30"/>
        <v>AA11402</v>
      </c>
      <c r="V85" s="627" t="str">
        <f t="shared" si="31"/>
        <v>1533-TCN17</v>
      </c>
      <c r="W85" s="626">
        <f t="shared" si="32"/>
        <v>1520504</v>
      </c>
      <c r="X85" s="626" t="str">
        <f t="shared" si="33"/>
        <v>TUNDRA 4X4 DOBLE CABINA EQUIPADA</v>
      </c>
      <c r="Y85" s="627">
        <f t="shared" si="33"/>
        <v>2017</v>
      </c>
      <c r="Z85" s="628">
        <f t="shared" si="34"/>
        <v>684482.76</v>
      </c>
      <c r="AA85" s="629"/>
      <c r="AB85" s="729"/>
      <c r="AC85" s="629">
        <f t="shared" si="41"/>
        <v>443562.4</v>
      </c>
      <c r="AD85" s="630">
        <f t="shared" si="42"/>
        <v>0.17</v>
      </c>
      <c r="AE85" s="629">
        <f t="shared" si="43"/>
        <v>27106.55</v>
      </c>
      <c r="AF85" s="629">
        <f t="shared" si="35"/>
        <v>34224.14</v>
      </c>
      <c r="AG85" s="555">
        <f t="shared" si="36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x14ac:dyDescent="0.2">
      <c r="A86" s="423">
        <f t="shared" si="37"/>
        <v>81</v>
      </c>
      <c r="B86" s="721" t="s">
        <v>4413</v>
      </c>
      <c r="C86" s="655">
        <v>1520504</v>
      </c>
      <c r="D86" s="658">
        <v>8127</v>
      </c>
      <c r="E86" s="655" t="s">
        <v>716</v>
      </c>
      <c r="F86" s="546">
        <v>2017</v>
      </c>
      <c r="G86" s="659">
        <v>42895</v>
      </c>
      <c r="H86" s="655" t="s">
        <v>2213</v>
      </c>
      <c r="I86" s="658" t="s">
        <v>4414</v>
      </c>
      <c r="J86" s="712"/>
      <c r="K86" s="655" t="s">
        <v>4415</v>
      </c>
      <c r="L86" s="655" t="s">
        <v>4416</v>
      </c>
      <c r="M86" s="660">
        <v>684482.76</v>
      </c>
      <c r="N86" s="660">
        <v>34224.14</v>
      </c>
      <c r="O86" s="660">
        <v>114993.1</v>
      </c>
      <c r="P86" s="660">
        <v>833700</v>
      </c>
      <c r="Q86" s="548"/>
      <c r="R86" s="660">
        <v>605465.1</v>
      </c>
      <c r="S86" s="549">
        <f t="shared" si="25"/>
        <v>228234.90000000002</v>
      </c>
      <c r="T86" s="267" t="s">
        <v>131</v>
      </c>
      <c r="U86" s="626" t="str">
        <f t="shared" si="30"/>
        <v>AA11244</v>
      </c>
      <c r="V86" s="627" t="str">
        <f t="shared" si="31"/>
        <v>1434-TCN17</v>
      </c>
      <c r="W86" s="626">
        <f t="shared" si="32"/>
        <v>1520504</v>
      </c>
      <c r="X86" s="626" t="str">
        <f t="shared" si="33"/>
        <v>TUNDRA 4X4 DOBLE CABINA EQUIPADA</v>
      </c>
      <c r="Y86" s="627">
        <f t="shared" si="33"/>
        <v>2017</v>
      </c>
      <c r="Z86" s="628">
        <f t="shared" si="34"/>
        <v>684482.76</v>
      </c>
      <c r="AA86" s="629">
        <f>+Z86+Z85+Z84</f>
        <v>2053448.28</v>
      </c>
      <c r="AB86" s="732">
        <v>3</v>
      </c>
      <c r="AC86" s="629">
        <f t="shared" si="41"/>
        <v>443562.4</v>
      </c>
      <c r="AD86" s="630">
        <f t="shared" si="42"/>
        <v>0.17</v>
      </c>
      <c r="AE86" s="629">
        <f t="shared" si="43"/>
        <v>27106.55</v>
      </c>
      <c r="AF86" s="629">
        <f t="shared" si="35"/>
        <v>34224.14</v>
      </c>
      <c r="AG86" s="555">
        <f t="shared" si="36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x14ac:dyDescent="0.2">
      <c r="A87" s="423">
        <f t="shared" si="37"/>
        <v>82</v>
      </c>
      <c r="B87" s="721" t="s">
        <v>4417</v>
      </c>
      <c r="C87" s="655">
        <v>1520603</v>
      </c>
      <c r="D87" s="658">
        <v>7497</v>
      </c>
      <c r="E87" s="655" t="s">
        <v>717</v>
      </c>
      <c r="F87" s="546">
        <v>2017</v>
      </c>
      <c r="G87" s="659">
        <v>42913</v>
      </c>
      <c r="H87" s="655" t="s">
        <v>788</v>
      </c>
      <c r="I87" s="658" t="s">
        <v>4418</v>
      </c>
      <c r="J87" s="712"/>
      <c r="K87" s="655" t="s">
        <v>4361</v>
      </c>
      <c r="L87" s="655" t="s">
        <v>4419</v>
      </c>
      <c r="M87" s="660">
        <v>275369.46000000002</v>
      </c>
      <c r="N87" s="660">
        <v>13768.47</v>
      </c>
      <c r="O87" s="660">
        <v>46262.07</v>
      </c>
      <c r="P87" s="660">
        <v>335400</v>
      </c>
      <c r="Q87" s="548"/>
      <c r="R87" s="660">
        <v>247285.57</v>
      </c>
      <c r="S87" s="549">
        <f t="shared" si="25"/>
        <v>88114.43</v>
      </c>
      <c r="T87" s="113" t="s">
        <v>131</v>
      </c>
      <c r="U87" s="626" t="str">
        <f t="shared" si="30"/>
        <v>AA11357</v>
      </c>
      <c r="V87" s="627" t="str">
        <f t="shared" si="31"/>
        <v>0934-TCN17</v>
      </c>
      <c r="W87" s="626">
        <f t="shared" si="32"/>
        <v>1520603</v>
      </c>
      <c r="X87" s="626" t="str">
        <f t="shared" si="33"/>
        <v>HILUX BASE CON VIDRIOS ELECTRICOS</v>
      </c>
      <c r="Y87" s="627">
        <f t="shared" si="33"/>
        <v>2017</v>
      </c>
      <c r="Z87" s="628">
        <f t="shared" si="34"/>
        <v>275369.46000000002</v>
      </c>
      <c r="AA87" s="629"/>
      <c r="AB87" s="729"/>
      <c r="AC87" s="629">
        <f t="shared" si="41"/>
        <v>246423.66</v>
      </c>
      <c r="AD87" s="630">
        <f t="shared" si="42"/>
        <v>0.05</v>
      </c>
      <c r="AE87" s="629">
        <f t="shared" si="43"/>
        <v>4928.3900000000003</v>
      </c>
      <c r="AF87" s="629">
        <f t="shared" si="35"/>
        <v>13768.47</v>
      </c>
      <c r="AG87" s="555">
        <f t="shared" si="36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x14ac:dyDescent="0.2">
      <c r="A88" s="423">
        <f t="shared" si="37"/>
        <v>83</v>
      </c>
      <c r="B88" s="721" t="s">
        <v>4420</v>
      </c>
      <c r="C88" s="655">
        <v>1520603</v>
      </c>
      <c r="D88" s="658">
        <v>7497</v>
      </c>
      <c r="E88" s="655" t="s">
        <v>717</v>
      </c>
      <c r="F88" s="546">
        <v>2017</v>
      </c>
      <c r="G88" s="659">
        <v>42913</v>
      </c>
      <c r="H88" s="655" t="s">
        <v>908</v>
      </c>
      <c r="I88" s="658" t="s">
        <v>4421</v>
      </c>
      <c r="J88" s="712"/>
      <c r="K88" s="655" t="s">
        <v>1708</v>
      </c>
      <c r="L88" s="655" t="s">
        <v>4422</v>
      </c>
      <c r="M88" s="660">
        <v>275369.46000000002</v>
      </c>
      <c r="N88" s="660">
        <v>13768.47</v>
      </c>
      <c r="O88" s="660">
        <v>46262.07</v>
      </c>
      <c r="P88" s="660">
        <v>335400</v>
      </c>
      <c r="Q88" s="548"/>
      <c r="R88" s="660">
        <v>256833.09</v>
      </c>
      <c r="S88" s="549">
        <f t="shared" si="25"/>
        <v>78566.91</v>
      </c>
      <c r="T88" s="113" t="s">
        <v>131</v>
      </c>
      <c r="U88" s="626" t="str">
        <f t="shared" si="30"/>
        <v>AA11364</v>
      </c>
      <c r="V88" s="627" t="str">
        <f t="shared" si="31"/>
        <v>1371-TCN17</v>
      </c>
      <c r="W88" s="626">
        <f t="shared" si="32"/>
        <v>1520603</v>
      </c>
      <c r="X88" s="626" t="str">
        <f t="shared" si="33"/>
        <v>HILUX BASE CON VIDRIOS ELECTRICOS</v>
      </c>
      <c r="Y88" s="627">
        <f t="shared" si="33"/>
        <v>2017</v>
      </c>
      <c r="Z88" s="628">
        <f t="shared" si="34"/>
        <v>275369.46000000002</v>
      </c>
      <c r="AA88" s="629"/>
      <c r="AB88" s="729"/>
      <c r="AC88" s="629">
        <f t="shared" si="41"/>
        <v>246423.66</v>
      </c>
      <c r="AD88" s="630">
        <f t="shared" si="42"/>
        <v>0.05</v>
      </c>
      <c r="AE88" s="629">
        <f t="shared" si="43"/>
        <v>4928.3900000000003</v>
      </c>
      <c r="AF88" s="629">
        <f t="shared" si="35"/>
        <v>13768.47</v>
      </c>
      <c r="AG88" s="555">
        <f t="shared" si="36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x14ac:dyDescent="0.2">
      <c r="A89" s="423">
        <f t="shared" si="37"/>
        <v>84</v>
      </c>
      <c r="B89" s="721" t="s">
        <v>4423</v>
      </c>
      <c r="C89" s="655">
        <v>1520603</v>
      </c>
      <c r="D89" s="658">
        <v>7497</v>
      </c>
      <c r="E89" s="655" t="s">
        <v>717</v>
      </c>
      <c r="F89" s="546">
        <v>2017</v>
      </c>
      <c r="G89" s="659">
        <v>42899</v>
      </c>
      <c r="H89" s="655" t="s">
        <v>792</v>
      </c>
      <c r="I89" s="658" t="s">
        <v>4424</v>
      </c>
      <c r="J89" s="712"/>
      <c r="K89" s="655" t="s">
        <v>830</v>
      </c>
      <c r="L89" s="655" t="s">
        <v>4425</v>
      </c>
      <c r="M89" s="660">
        <v>275369.46000000002</v>
      </c>
      <c r="N89" s="660">
        <v>13768.47</v>
      </c>
      <c r="O89" s="660">
        <v>46262.07</v>
      </c>
      <c r="P89" s="660">
        <v>335400</v>
      </c>
      <c r="Q89" s="548"/>
      <c r="R89" s="660">
        <v>247285.57</v>
      </c>
      <c r="S89" s="549">
        <f t="shared" si="25"/>
        <v>88114.43</v>
      </c>
      <c r="T89" s="113" t="s">
        <v>131</v>
      </c>
      <c r="U89" s="626" t="str">
        <f t="shared" si="30"/>
        <v>AA11262</v>
      </c>
      <c r="V89" s="627" t="str">
        <f t="shared" si="31"/>
        <v>0867-TCN17</v>
      </c>
      <c r="W89" s="626">
        <f t="shared" si="32"/>
        <v>1520603</v>
      </c>
      <c r="X89" s="626" t="str">
        <f t="shared" si="33"/>
        <v>HILUX BASE CON VIDRIOS ELECTRICOS</v>
      </c>
      <c r="Y89" s="627">
        <f t="shared" si="33"/>
        <v>2017</v>
      </c>
      <c r="Z89" s="628">
        <f t="shared" si="34"/>
        <v>275369.46000000002</v>
      </c>
      <c r="AA89" s="629"/>
      <c r="AB89" s="729"/>
      <c r="AC89" s="629">
        <f t="shared" si="41"/>
        <v>246423.66</v>
      </c>
      <c r="AD89" s="630">
        <f t="shared" si="42"/>
        <v>0.05</v>
      </c>
      <c r="AE89" s="629">
        <f t="shared" si="43"/>
        <v>4928.3900000000003</v>
      </c>
      <c r="AF89" s="629">
        <f t="shared" si="35"/>
        <v>13768.47</v>
      </c>
      <c r="AG89" s="555">
        <f t="shared" si="36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x14ac:dyDescent="0.2">
      <c r="A90" s="423">
        <f t="shared" si="37"/>
        <v>85</v>
      </c>
      <c r="B90" s="721" t="s">
        <v>4426</v>
      </c>
      <c r="C90" s="655">
        <v>1520603</v>
      </c>
      <c r="D90" s="658">
        <v>7497</v>
      </c>
      <c r="E90" s="655" t="s">
        <v>717</v>
      </c>
      <c r="F90" s="546">
        <v>2017</v>
      </c>
      <c r="G90" s="659">
        <v>42892</v>
      </c>
      <c r="H90" s="655" t="s">
        <v>1207</v>
      </c>
      <c r="I90" s="658" t="s">
        <v>4427</v>
      </c>
      <c r="J90" s="712"/>
      <c r="K90" s="655" t="s">
        <v>4428</v>
      </c>
      <c r="L90" s="655" t="s">
        <v>4429</v>
      </c>
      <c r="M90" s="660">
        <v>275369.46000000002</v>
      </c>
      <c r="N90" s="660">
        <v>13768.47</v>
      </c>
      <c r="O90" s="660">
        <v>46262.07</v>
      </c>
      <c r="P90" s="660">
        <v>335400</v>
      </c>
      <c r="Q90" s="548"/>
      <c r="R90" s="660">
        <v>256833.09</v>
      </c>
      <c r="S90" s="549">
        <f t="shared" si="25"/>
        <v>78566.91</v>
      </c>
      <c r="T90" s="267" t="s">
        <v>131</v>
      </c>
      <c r="U90" s="626" t="str">
        <f t="shared" si="30"/>
        <v>AA11222</v>
      </c>
      <c r="V90" s="627" t="str">
        <f t="shared" si="31"/>
        <v>1368-TCN17</v>
      </c>
      <c r="W90" s="626">
        <f t="shared" si="32"/>
        <v>1520603</v>
      </c>
      <c r="X90" s="626" t="str">
        <f t="shared" si="33"/>
        <v>HILUX BASE CON VIDRIOS ELECTRICOS</v>
      </c>
      <c r="Y90" s="627">
        <f t="shared" si="33"/>
        <v>2017</v>
      </c>
      <c r="Z90" s="628">
        <f t="shared" si="34"/>
        <v>275369.46000000002</v>
      </c>
      <c r="AA90" s="629">
        <f>+SUM(Z87:Z90)</f>
        <v>1101477.8400000001</v>
      </c>
      <c r="AB90" s="732">
        <v>4</v>
      </c>
      <c r="AC90" s="629">
        <f t="shared" si="41"/>
        <v>246423.66</v>
      </c>
      <c r="AD90" s="630">
        <f t="shared" si="42"/>
        <v>0.05</v>
      </c>
      <c r="AE90" s="629">
        <f t="shared" si="43"/>
        <v>4928.3900000000003</v>
      </c>
      <c r="AF90" s="629">
        <f t="shared" si="35"/>
        <v>13768.47</v>
      </c>
      <c r="AG90" s="555">
        <f t="shared" si="36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37"/>
        <v>86</v>
      </c>
      <c r="B91" s="721" t="s">
        <v>4430</v>
      </c>
      <c r="C91" s="655">
        <v>1520604</v>
      </c>
      <c r="D91" s="658">
        <v>7495</v>
      </c>
      <c r="E91" s="655" t="s">
        <v>718</v>
      </c>
      <c r="F91" s="546">
        <v>2017</v>
      </c>
      <c r="G91" s="659">
        <v>42909</v>
      </c>
      <c r="H91" s="655" t="s">
        <v>4241</v>
      </c>
      <c r="I91" s="658" t="s">
        <v>3801</v>
      </c>
      <c r="J91" s="712"/>
      <c r="K91" s="655" t="s">
        <v>4431</v>
      </c>
      <c r="L91" s="655" t="s">
        <v>4060</v>
      </c>
      <c r="M91" s="660">
        <v>296880.13</v>
      </c>
      <c r="N91" s="660">
        <v>14844.01</v>
      </c>
      <c r="O91" s="660">
        <v>49875.86</v>
      </c>
      <c r="P91" s="660">
        <v>361600</v>
      </c>
      <c r="Q91" s="548"/>
      <c r="R91" s="660">
        <v>255426.86</v>
      </c>
      <c r="S91" s="549">
        <f t="shared" si="25"/>
        <v>106173.14000000001</v>
      </c>
      <c r="T91" s="267" t="s">
        <v>131</v>
      </c>
      <c r="U91" s="626" t="str">
        <f t="shared" si="30"/>
        <v>AA11342</v>
      </c>
      <c r="V91" s="627" t="str">
        <f t="shared" si="31"/>
        <v>1193-TCN17</v>
      </c>
      <c r="W91" s="626">
        <f t="shared" si="32"/>
        <v>1520604</v>
      </c>
      <c r="X91" s="626" t="str">
        <f t="shared" si="33"/>
        <v>HILUX PICK UP D CAB SR A/C</v>
      </c>
      <c r="Y91" s="627">
        <f t="shared" si="33"/>
        <v>2017</v>
      </c>
      <c r="Z91" s="628">
        <f t="shared" si="34"/>
        <v>296880.13</v>
      </c>
      <c r="AA91" s="629"/>
      <c r="AB91" s="729"/>
      <c r="AC91" s="629">
        <f t="shared" si="41"/>
        <v>295708.34000000003</v>
      </c>
      <c r="AD91" s="630">
        <f t="shared" si="42"/>
        <v>0.1</v>
      </c>
      <c r="AE91" s="629">
        <f t="shared" si="43"/>
        <v>7392.74</v>
      </c>
      <c r="AF91" s="629">
        <f t="shared" si="35"/>
        <v>14844.01</v>
      </c>
      <c r="AG91" s="555">
        <f t="shared" si="36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37"/>
        <v>87</v>
      </c>
      <c r="B92" s="721" t="s">
        <v>4432</v>
      </c>
      <c r="C92" s="655">
        <v>1520604</v>
      </c>
      <c r="D92" s="658">
        <v>7495</v>
      </c>
      <c r="E92" s="655" t="s">
        <v>718</v>
      </c>
      <c r="F92" s="546">
        <v>2017</v>
      </c>
      <c r="G92" s="659">
        <v>42888</v>
      </c>
      <c r="H92" s="655" t="s">
        <v>788</v>
      </c>
      <c r="I92" s="658" t="s">
        <v>4433</v>
      </c>
      <c r="J92" s="712"/>
      <c r="K92" s="655" t="s">
        <v>4434</v>
      </c>
      <c r="L92" s="655" t="s">
        <v>4435</v>
      </c>
      <c r="M92" s="660">
        <v>296880.13</v>
      </c>
      <c r="N92" s="660">
        <v>14844.01</v>
      </c>
      <c r="O92" s="660">
        <v>49875.86</v>
      </c>
      <c r="P92" s="660">
        <v>361600</v>
      </c>
      <c r="Q92" s="548"/>
      <c r="R92" s="660">
        <v>262450.93</v>
      </c>
      <c r="S92" s="549">
        <f t="shared" si="25"/>
        <v>99149.07</v>
      </c>
      <c r="T92" s="113" t="s">
        <v>131</v>
      </c>
      <c r="U92" s="626" t="str">
        <f t="shared" si="30"/>
        <v>AA11211</v>
      </c>
      <c r="V92" s="627" t="str">
        <f t="shared" si="31"/>
        <v>1297-TCN17</v>
      </c>
      <c r="W92" s="626">
        <f t="shared" si="32"/>
        <v>1520604</v>
      </c>
      <c r="X92" s="626" t="str">
        <f t="shared" ref="X92:Y103" si="44">+E92</f>
        <v>HILUX PICK UP D CAB SR A/C</v>
      </c>
      <c r="Y92" s="627">
        <f t="shared" si="44"/>
        <v>2017</v>
      </c>
      <c r="Z92" s="628">
        <f t="shared" si="34"/>
        <v>296880.13</v>
      </c>
      <c r="AA92" s="629"/>
      <c r="AB92" s="729"/>
      <c r="AC92" s="629">
        <f t="shared" si="41"/>
        <v>295708.34000000003</v>
      </c>
      <c r="AD92" s="630">
        <f t="shared" si="42"/>
        <v>0.1</v>
      </c>
      <c r="AE92" s="629">
        <f t="shared" si="43"/>
        <v>7392.74</v>
      </c>
      <c r="AF92" s="629">
        <f t="shared" si="35"/>
        <v>14844.01</v>
      </c>
      <c r="AG92" s="555">
        <f t="shared" si="36"/>
        <v>0</v>
      </c>
      <c r="AH92" s="361"/>
      <c r="AI92" s="313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3">
        <f t="shared" si="37"/>
        <v>88</v>
      </c>
      <c r="B93" s="721" t="s">
        <v>4436</v>
      </c>
      <c r="C93" s="655">
        <v>1520604</v>
      </c>
      <c r="D93" s="658">
        <v>7495</v>
      </c>
      <c r="E93" s="655" t="s">
        <v>718</v>
      </c>
      <c r="F93" s="546">
        <v>2017</v>
      </c>
      <c r="G93" s="659">
        <v>42899</v>
      </c>
      <c r="H93" s="655" t="s">
        <v>2214</v>
      </c>
      <c r="I93" s="658" t="s">
        <v>4437</v>
      </c>
      <c r="J93" s="712"/>
      <c r="K93" s="655" t="s">
        <v>4438</v>
      </c>
      <c r="L93" s="655" t="s">
        <v>4439</v>
      </c>
      <c r="M93" s="660">
        <v>296880.13</v>
      </c>
      <c r="N93" s="660">
        <v>14844.01</v>
      </c>
      <c r="O93" s="660">
        <v>49875.86</v>
      </c>
      <c r="P93" s="660">
        <v>361600</v>
      </c>
      <c r="Q93" s="548"/>
      <c r="R93" s="660">
        <v>255426.86</v>
      </c>
      <c r="S93" s="549">
        <f t="shared" si="25"/>
        <v>106173.14000000001</v>
      </c>
      <c r="T93" s="267" t="s">
        <v>131</v>
      </c>
      <c r="U93" s="626" t="str">
        <f t="shared" si="30"/>
        <v>AA11260</v>
      </c>
      <c r="V93" s="627" t="str">
        <f t="shared" si="31"/>
        <v>1215-TCN17</v>
      </c>
      <c r="W93" s="626">
        <f t="shared" si="32"/>
        <v>1520604</v>
      </c>
      <c r="X93" s="626" t="str">
        <f t="shared" si="44"/>
        <v>HILUX PICK UP D CAB SR A/C</v>
      </c>
      <c r="Y93" s="627">
        <f t="shared" si="44"/>
        <v>2017</v>
      </c>
      <c r="Z93" s="628">
        <f t="shared" si="34"/>
        <v>296880.13</v>
      </c>
      <c r="AA93" s="629"/>
      <c r="AB93" s="729"/>
      <c r="AC93" s="629">
        <f t="shared" si="41"/>
        <v>295708.34000000003</v>
      </c>
      <c r="AD93" s="630">
        <f t="shared" si="42"/>
        <v>0.1</v>
      </c>
      <c r="AE93" s="629">
        <f t="shared" si="43"/>
        <v>7392.74</v>
      </c>
      <c r="AF93" s="629">
        <f t="shared" si="35"/>
        <v>14844.01</v>
      </c>
      <c r="AG93" s="555">
        <f t="shared" si="36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3">
        <f t="shared" si="37"/>
        <v>89</v>
      </c>
      <c r="B94" s="721" t="s">
        <v>4440</v>
      </c>
      <c r="C94" s="655">
        <v>1520604</v>
      </c>
      <c r="D94" s="658">
        <v>7495</v>
      </c>
      <c r="E94" s="655" t="s">
        <v>718</v>
      </c>
      <c r="F94" s="546">
        <v>2017</v>
      </c>
      <c r="G94" s="659">
        <v>42912</v>
      </c>
      <c r="H94" s="655" t="s">
        <v>792</v>
      </c>
      <c r="I94" s="658" t="s">
        <v>4441</v>
      </c>
      <c r="J94" s="712"/>
      <c r="K94" s="655" t="s">
        <v>4442</v>
      </c>
      <c r="L94" s="655" t="s">
        <v>4443</v>
      </c>
      <c r="M94" s="660">
        <v>296880.13</v>
      </c>
      <c r="N94" s="660">
        <v>14844.01</v>
      </c>
      <c r="O94" s="660">
        <v>49875.86</v>
      </c>
      <c r="P94" s="660">
        <v>361600</v>
      </c>
      <c r="Q94" s="548"/>
      <c r="R94" s="660">
        <v>262450.93</v>
      </c>
      <c r="S94" s="549">
        <f t="shared" si="25"/>
        <v>99149.07</v>
      </c>
      <c r="T94" s="113" t="s">
        <v>131</v>
      </c>
      <c r="U94" s="626" t="str">
        <f t="shared" si="30"/>
        <v>AA11352</v>
      </c>
      <c r="V94" s="627" t="str">
        <f t="shared" si="31"/>
        <v>1359-TCN17</v>
      </c>
      <c r="W94" s="626">
        <f t="shared" si="32"/>
        <v>1520604</v>
      </c>
      <c r="X94" s="626" t="str">
        <f t="shared" si="44"/>
        <v>HILUX PICK UP D CAB SR A/C</v>
      </c>
      <c r="Y94" s="627">
        <f t="shared" si="44"/>
        <v>2017</v>
      </c>
      <c r="Z94" s="628">
        <f t="shared" si="34"/>
        <v>296880.13</v>
      </c>
      <c r="AA94" s="629"/>
      <c r="AB94" s="729"/>
      <c r="AC94" s="629">
        <f t="shared" si="41"/>
        <v>295708.34000000003</v>
      </c>
      <c r="AD94" s="630">
        <f t="shared" si="42"/>
        <v>0.1</v>
      </c>
      <c r="AE94" s="629">
        <f t="shared" si="43"/>
        <v>7392.74</v>
      </c>
      <c r="AF94" s="629">
        <f t="shared" si="35"/>
        <v>14844.01</v>
      </c>
      <c r="AG94" s="555">
        <f t="shared" si="36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37"/>
        <v>90</v>
      </c>
      <c r="B95" s="721" t="s">
        <v>4444</v>
      </c>
      <c r="C95" s="655">
        <v>1520604</v>
      </c>
      <c r="D95" s="658">
        <v>7495</v>
      </c>
      <c r="E95" s="655" t="s">
        <v>718</v>
      </c>
      <c r="F95" s="546">
        <v>2017</v>
      </c>
      <c r="G95" s="659">
        <v>42901</v>
      </c>
      <c r="H95" s="655" t="s">
        <v>778</v>
      </c>
      <c r="I95" s="658" t="s">
        <v>4445</v>
      </c>
      <c r="J95" s="712"/>
      <c r="K95" s="655" t="s">
        <v>4446</v>
      </c>
      <c r="L95" s="655" t="s">
        <v>4447</v>
      </c>
      <c r="M95" s="660">
        <v>296880.13</v>
      </c>
      <c r="N95" s="660">
        <v>14844.01</v>
      </c>
      <c r="O95" s="660">
        <v>49875.86</v>
      </c>
      <c r="P95" s="660">
        <v>361600</v>
      </c>
      <c r="Q95" s="548"/>
      <c r="R95" s="660">
        <v>262450.93</v>
      </c>
      <c r="S95" s="549">
        <f t="shared" si="25"/>
        <v>99149.07</v>
      </c>
      <c r="T95" s="113" t="s">
        <v>131</v>
      </c>
      <c r="U95" s="626" t="str">
        <f t="shared" si="30"/>
        <v>AA11280</v>
      </c>
      <c r="V95" s="627" t="str">
        <f t="shared" si="31"/>
        <v>1276-TCN17</v>
      </c>
      <c r="W95" s="626">
        <f t="shared" si="32"/>
        <v>1520604</v>
      </c>
      <c r="X95" s="626" t="str">
        <f t="shared" si="44"/>
        <v>HILUX PICK UP D CAB SR A/C</v>
      </c>
      <c r="Y95" s="627">
        <f t="shared" si="44"/>
        <v>2017</v>
      </c>
      <c r="Z95" s="628">
        <f t="shared" si="34"/>
        <v>296880.13</v>
      </c>
      <c r="AA95" s="629"/>
      <c r="AB95" s="729"/>
      <c r="AC95" s="629">
        <f t="shared" si="41"/>
        <v>295708.34000000003</v>
      </c>
      <c r="AD95" s="630">
        <f t="shared" si="42"/>
        <v>0.1</v>
      </c>
      <c r="AE95" s="629">
        <f t="shared" si="43"/>
        <v>7392.74</v>
      </c>
      <c r="AF95" s="629">
        <f t="shared" si="35"/>
        <v>14844.01</v>
      </c>
      <c r="AG95" s="555">
        <f t="shared" si="36"/>
        <v>0</v>
      </c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37"/>
        <v>91</v>
      </c>
      <c r="B96" s="721" t="s">
        <v>4448</v>
      </c>
      <c r="C96" s="655">
        <v>1520604</v>
      </c>
      <c r="D96" s="658">
        <v>7495</v>
      </c>
      <c r="E96" s="655" t="s">
        <v>718</v>
      </c>
      <c r="F96" s="546">
        <v>2017</v>
      </c>
      <c r="G96" s="659">
        <v>42907</v>
      </c>
      <c r="H96" s="655" t="s">
        <v>2216</v>
      </c>
      <c r="I96" s="658" t="s">
        <v>4449</v>
      </c>
      <c r="J96" s="712"/>
      <c r="K96" s="655" t="s">
        <v>4450</v>
      </c>
      <c r="L96" s="655" t="s">
        <v>4451</v>
      </c>
      <c r="M96" s="660">
        <v>296880.13</v>
      </c>
      <c r="N96" s="660">
        <v>14844.01</v>
      </c>
      <c r="O96" s="660">
        <v>49875.86</v>
      </c>
      <c r="P96" s="660">
        <v>361600</v>
      </c>
      <c r="Q96" s="548"/>
      <c r="R96" s="660">
        <v>262450.93</v>
      </c>
      <c r="S96" s="549">
        <f t="shared" si="25"/>
        <v>99149.07</v>
      </c>
      <c r="T96" s="113" t="s">
        <v>131</v>
      </c>
      <c r="U96" s="626" t="str">
        <f t="shared" si="30"/>
        <v>AA11326</v>
      </c>
      <c r="V96" s="627" t="str">
        <f t="shared" si="31"/>
        <v>1300-TCN17</v>
      </c>
      <c r="W96" s="626">
        <f t="shared" si="32"/>
        <v>1520604</v>
      </c>
      <c r="X96" s="626" t="str">
        <f t="shared" si="44"/>
        <v>HILUX PICK UP D CAB SR A/C</v>
      </c>
      <c r="Y96" s="627">
        <f t="shared" si="44"/>
        <v>2017</v>
      </c>
      <c r="Z96" s="628">
        <f t="shared" si="34"/>
        <v>296880.13</v>
      </c>
      <c r="AA96" s="629"/>
      <c r="AB96" s="729"/>
      <c r="AC96" s="629">
        <f t="shared" si="41"/>
        <v>295708.34000000003</v>
      </c>
      <c r="AD96" s="630">
        <f t="shared" si="42"/>
        <v>0.1</v>
      </c>
      <c r="AE96" s="629">
        <f t="shared" si="43"/>
        <v>7392.74</v>
      </c>
      <c r="AF96" s="629">
        <f t="shared" si="35"/>
        <v>14844.01</v>
      </c>
      <c r="AG96" s="555">
        <f t="shared" si="36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37"/>
        <v>92</v>
      </c>
      <c r="B97" s="721" t="s">
        <v>4452</v>
      </c>
      <c r="C97" s="655">
        <v>1520604</v>
      </c>
      <c r="D97" s="658">
        <v>7495</v>
      </c>
      <c r="E97" s="655" t="s">
        <v>718</v>
      </c>
      <c r="F97" s="546">
        <v>2017</v>
      </c>
      <c r="G97" s="659">
        <v>42903</v>
      </c>
      <c r="H97" s="655" t="s">
        <v>2216</v>
      </c>
      <c r="I97" s="658" t="s">
        <v>4453</v>
      </c>
      <c r="J97" s="712"/>
      <c r="K97" s="655" t="s">
        <v>4454</v>
      </c>
      <c r="L97" s="655" t="s">
        <v>4455</v>
      </c>
      <c r="M97" s="660">
        <v>296880.13</v>
      </c>
      <c r="N97" s="660">
        <v>14844.01</v>
      </c>
      <c r="O97" s="660">
        <v>49875.86</v>
      </c>
      <c r="P97" s="660">
        <v>361600</v>
      </c>
      <c r="Q97" s="548"/>
      <c r="R97" s="660">
        <v>262450.93</v>
      </c>
      <c r="S97" s="549">
        <f t="shared" si="25"/>
        <v>99149.07</v>
      </c>
      <c r="T97" s="267" t="s">
        <v>131</v>
      </c>
      <c r="U97" s="626" t="str">
        <f t="shared" si="30"/>
        <v>AA11295</v>
      </c>
      <c r="V97" s="627" t="str">
        <f t="shared" si="31"/>
        <v>1277-TCN17</v>
      </c>
      <c r="W97" s="626">
        <f t="shared" si="32"/>
        <v>1520604</v>
      </c>
      <c r="X97" s="626" t="str">
        <f t="shared" si="44"/>
        <v>HILUX PICK UP D CAB SR A/C</v>
      </c>
      <c r="Y97" s="627">
        <f t="shared" si="44"/>
        <v>2017</v>
      </c>
      <c r="Z97" s="628">
        <f t="shared" si="34"/>
        <v>296880.13</v>
      </c>
      <c r="AA97" s="629"/>
      <c r="AB97" s="729"/>
      <c r="AC97" s="629">
        <f t="shared" si="41"/>
        <v>295708.34000000003</v>
      </c>
      <c r="AD97" s="630">
        <f t="shared" si="42"/>
        <v>0.1</v>
      </c>
      <c r="AE97" s="629">
        <f t="shared" si="43"/>
        <v>7392.74</v>
      </c>
      <c r="AF97" s="629">
        <f t="shared" si="35"/>
        <v>14844.01</v>
      </c>
      <c r="AG97" s="555">
        <f t="shared" si="36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37"/>
        <v>93</v>
      </c>
      <c r="B98" s="721" t="s">
        <v>4456</v>
      </c>
      <c r="C98" s="655">
        <v>1520604</v>
      </c>
      <c r="D98" s="658">
        <v>7495</v>
      </c>
      <c r="E98" s="655" t="s">
        <v>718</v>
      </c>
      <c r="F98" s="546">
        <v>2017</v>
      </c>
      <c r="G98" s="659">
        <v>42916</v>
      </c>
      <c r="H98" s="655" t="s">
        <v>788</v>
      </c>
      <c r="I98" s="658" t="s">
        <v>4457</v>
      </c>
      <c r="J98" s="712"/>
      <c r="K98" s="655" t="s">
        <v>4361</v>
      </c>
      <c r="L98" s="655" t="s">
        <v>4458</v>
      </c>
      <c r="M98" s="660">
        <v>296880.13</v>
      </c>
      <c r="N98" s="660">
        <v>14844.01</v>
      </c>
      <c r="O98" s="660">
        <v>49875.86</v>
      </c>
      <c r="P98" s="660">
        <v>361600</v>
      </c>
      <c r="Q98" s="548"/>
      <c r="R98" s="660">
        <v>262450.93</v>
      </c>
      <c r="S98" s="549">
        <f t="shared" si="25"/>
        <v>99149.07</v>
      </c>
      <c r="T98" s="113" t="s">
        <v>131</v>
      </c>
      <c r="U98" s="626" t="str">
        <f t="shared" si="30"/>
        <v>AA11397</v>
      </c>
      <c r="V98" s="627" t="str">
        <f t="shared" si="31"/>
        <v>1376-TCN17</v>
      </c>
      <c r="W98" s="626">
        <f t="shared" si="32"/>
        <v>1520604</v>
      </c>
      <c r="X98" s="626" t="str">
        <f t="shared" si="44"/>
        <v>HILUX PICK UP D CAB SR A/C</v>
      </c>
      <c r="Y98" s="627">
        <f t="shared" si="44"/>
        <v>2017</v>
      </c>
      <c r="Z98" s="628">
        <f t="shared" si="34"/>
        <v>296880.13</v>
      </c>
      <c r="AA98" s="629"/>
      <c r="AB98" s="729"/>
      <c r="AC98" s="629">
        <f t="shared" si="41"/>
        <v>295708.34000000003</v>
      </c>
      <c r="AD98" s="630">
        <f t="shared" si="42"/>
        <v>0.1</v>
      </c>
      <c r="AE98" s="629">
        <f t="shared" si="43"/>
        <v>7392.74</v>
      </c>
      <c r="AF98" s="629">
        <f t="shared" si="35"/>
        <v>14844.01</v>
      </c>
      <c r="AG98" s="555">
        <f t="shared" si="36"/>
        <v>0</v>
      </c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3">
        <f t="shared" si="37"/>
        <v>94</v>
      </c>
      <c r="B99" s="721" t="s">
        <v>4459</v>
      </c>
      <c r="C99" s="655">
        <v>1520604</v>
      </c>
      <c r="D99" s="658">
        <v>7495</v>
      </c>
      <c r="E99" s="655" t="s">
        <v>718</v>
      </c>
      <c r="F99" s="546">
        <v>2017</v>
      </c>
      <c r="G99" s="659">
        <v>42907</v>
      </c>
      <c r="H99" s="655" t="s">
        <v>2214</v>
      </c>
      <c r="I99" s="658" t="s">
        <v>4460</v>
      </c>
      <c r="J99" s="712"/>
      <c r="K99" s="655" t="s">
        <v>4461</v>
      </c>
      <c r="L99" s="655" t="s">
        <v>4462</v>
      </c>
      <c r="M99" s="660">
        <v>296880.13</v>
      </c>
      <c r="N99" s="660">
        <v>14844.01</v>
      </c>
      <c r="O99" s="660">
        <v>49875.86</v>
      </c>
      <c r="P99" s="660">
        <v>361600</v>
      </c>
      <c r="Q99" s="548"/>
      <c r="R99" s="660">
        <v>262450.93</v>
      </c>
      <c r="S99" s="549">
        <f t="shared" si="25"/>
        <v>99149.07</v>
      </c>
      <c r="T99" s="113" t="s">
        <v>131</v>
      </c>
      <c r="U99" s="626" t="str">
        <f t="shared" si="30"/>
        <v>AA11324</v>
      </c>
      <c r="V99" s="627" t="str">
        <f t="shared" si="31"/>
        <v>1363-TCN17</v>
      </c>
      <c r="W99" s="626">
        <f t="shared" si="32"/>
        <v>1520604</v>
      </c>
      <c r="X99" s="626" t="str">
        <f t="shared" si="44"/>
        <v>HILUX PICK UP D CAB SR A/C</v>
      </c>
      <c r="Y99" s="627">
        <f t="shared" si="44"/>
        <v>2017</v>
      </c>
      <c r="Z99" s="628">
        <f t="shared" si="34"/>
        <v>296880.13</v>
      </c>
      <c r="AA99" s="629"/>
      <c r="AB99" s="729"/>
      <c r="AC99" s="629">
        <f t="shared" si="41"/>
        <v>295708.34000000003</v>
      </c>
      <c r="AD99" s="630">
        <f t="shared" si="42"/>
        <v>0.1</v>
      </c>
      <c r="AE99" s="629">
        <f t="shared" si="43"/>
        <v>7392.74</v>
      </c>
      <c r="AF99" s="629">
        <f t="shared" si="35"/>
        <v>14844.01</v>
      </c>
      <c r="AG99" s="555">
        <f t="shared" si="36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3">
        <f t="shared" si="37"/>
        <v>95</v>
      </c>
      <c r="B100" s="721" t="s">
        <v>4463</v>
      </c>
      <c r="C100" s="655">
        <v>1520604</v>
      </c>
      <c r="D100" s="658">
        <v>7495</v>
      </c>
      <c r="E100" s="655" t="s">
        <v>718</v>
      </c>
      <c r="F100" s="546">
        <v>2017</v>
      </c>
      <c r="G100" s="659">
        <v>42908</v>
      </c>
      <c r="H100" s="655" t="s">
        <v>778</v>
      </c>
      <c r="I100" s="658" t="s">
        <v>4464</v>
      </c>
      <c r="J100" s="712"/>
      <c r="K100" s="655" t="s">
        <v>4465</v>
      </c>
      <c r="L100" s="655" t="s">
        <v>4466</v>
      </c>
      <c r="M100" s="660">
        <v>296880.13</v>
      </c>
      <c r="N100" s="660">
        <v>14844.01</v>
      </c>
      <c r="O100" s="660">
        <v>49875.86</v>
      </c>
      <c r="P100" s="660">
        <v>361600</v>
      </c>
      <c r="Q100" s="548"/>
      <c r="R100" s="660">
        <v>262450.93</v>
      </c>
      <c r="S100" s="549">
        <f t="shared" si="25"/>
        <v>99149.07</v>
      </c>
      <c r="T100" s="113" t="s">
        <v>131</v>
      </c>
      <c r="U100" s="626" t="str">
        <f t="shared" si="30"/>
        <v>AA11332</v>
      </c>
      <c r="V100" s="627" t="str">
        <f t="shared" si="31"/>
        <v>1367-TCN17</v>
      </c>
      <c r="W100" s="626">
        <f t="shared" si="32"/>
        <v>1520604</v>
      </c>
      <c r="X100" s="626" t="str">
        <f t="shared" si="44"/>
        <v>HILUX PICK UP D CAB SR A/C</v>
      </c>
      <c r="Y100" s="627">
        <f t="shared" si="44"/>
        <v>2017</v>
      </c>
      <c r="Z100" s="628">
        <f t="shared" si="34"/>
        <v>296880.13</v>
      </c>
      <c r="AA100" s="629"/>
      <c r="AB100" s="729"/>
      <c r="AC100" s="629">
        <f t="shared" si="41"/>
        <v>295708.34000000003</v>
      </c>
      <c r="AD100" s="630">
        <f t="shared" si="42"/>
        <v>0.1</v>
      </c>
      <c r="AE100" s="629">
        <f t="shared" si="43"/>
        <v>7392.74</v>
      </c>
      <c r="AF100" s="629">
        <f t="shared" si="35"/>
        <v>14844.01</v>
      </c>
      <c r="AG100" s="555">
        <f t="shared" si="36"/>
        <v>0</v>
      </c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3">
        <f t="shared" si="37"/>
        <v>96</v>
      </c>
      <c r="B101" s="721" t="s">
        <v>4467</v>
      </c>
      <c r="C101" s="655">
        <v>1520604</v>
      </c>
      <c r="D101" s="658">
        <v>7495</v>
      </c>
      <c r="E101" s="655" t="s">
        <v>718</v>
      </c>
      <c r="F101" s="546">
        <v>2017</v>
      </c>
      <c r="G101" s="659">
        <v>42906</v>
      </c>
      <c r="H101" s="655" t="s">
        <v>3694</v>
      </c>
      <c r="I101" s="658" t="s">
        <v>4468</v>
      </c>
      <c r="J101" s="712"/>
      <c r="K101" s="655" t="s">
        <v>4469</v>
      </c>
      <c r="L101" s="655" t="s">
        <v>4470</v>
      </c>
      <c r="M101" s="660">
        <v>296880.13</v>
      </c>
      <c r="N101" s="660">
        <v>14844.01</v>
      </c>
      <c r="O101" s="660">
        <v>49875.86</v>
      </c>
      <c r="P101" s="660">
        <v>361600</v>
      </c>
      <c r="Q101" s="548"/>
      <c r="R101" s="660">
        <v>255426.86</v>
      </c>
      <c r="S101" s="549">
        <f t="shared" si="25"/>
        <v>106173.14000000001</v>
      </c>
      <c r="T101" s="267" t="s">
        <v>131</v>
      </c>
      <c r="U101" s="626" t="str">
        <f t="shared" si="30"/>
        <v>AA11311</v>
      </c>
      <c r="V101" s="627" t="str">
        <f t="shared" si="31"/>
        <v>1198-TCN17</v>
      </c>
      <c r="W101" s="626">
        <f t="shared" si="32"/>
        <v>1520604</v>
      </c>
      <c r="X101" s="626" t="str">
        <f t="shared" si="44"/>
        <v>HILUX PICK UP D CAB SR A/C</v>
      </c>
      <c r="Y101" s="627">
        <f t="shared" si="44"/>
        <v>2017</v>
      </c>
      <c r="Z101" s="628">
        <f t="shared" si="34"/>
        <v>296880.13</v>
      </c>
      <c r="AA101" s="629"/>
      <c r="AB101" s="729"/>
      <c r="AC101" s="629">
        <f t="shared" si="41"/>
        <v>295708.34000000003</v>
      </c>
      <c r="AD101" s="630">
        <f t="shared" si="42"/>
        <v>0.1</v>
      </c>
      <c r="AE101" s="629">
        <f t="shared" si="43"/>
        <v>7392.74</v>
      </c>
      <c r="AF101" s="629">
        <f t="shared" si="35"/>
        <v>14844.01</v>
      </c>
      <c r="AG101" s="555">
        <f t="shared" si="36"/>
        <v>0</v>
      </c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37"/>
        <v>97</v>
      </c>
      <c r="B102" s="721" t="s">
        <v>4471</v>
      </c>
      <c r="C102" s="655">
        <v>1520604</v>
      </c>
      <c r="D102" s="658">
        <v>7495</v>
      </c>
      <c r="E102" s="655" t="s">
        <v>718</v>
      </c>
      <c r="F102" s="546">
        <v>2017</v>
      </c>
      <c r="G102" s="659">
        <v>42905</v>
      </c>
      <c r="H102" s="655" t="s">
        <v>819</v>
      </c>
      <c r="I102" s="658" t="s">
        <v>4472</v>
      </c>
      <c r="J102" s="712"/>
      <c r="K102" s="655" t="s">
        <v>4473</v>
      </c>
      <c r="L102" s="655" t="s">
        <v>4474</v>
      </c>
      <c r="M102" s="660">
        <v>296880.13</v>
      </c>
      <c r="N102" s="660">
        <v>14844.01</v>
      </c>
      <c r="O102" s="660">
        <v>49875.86</v>
      </c>
      <c r="P102" s="660">
        <v>361600</v>
      </c>
      <c r="Q102" s="548"/>
      <c r="R102" s="660">
        <v>262450.93</v>
      </c>
      <c r="S102" s="549">
        <f t="shared" ref="S102:S103" si="45">+P102-R102</f>
        <v>99149.07</v>
      </c>
      <c r="T102" s="267" t="s">
        <v>131</v>
      </c>
      <c r="U102" s="626" t="str">
        <f t="shared" si="30"/>
        <v>AA11305</v>
      </c>
      <c r="V102" s="627" t="str">
        <f t="shared" si="31"/>
        <v>1279-TCN17</v>
      </c>
      <c r="W102" s="626">
        <f t="shared" si="32"/>
        <v>1520604</v>
      </c>
      <c r="X102" s="626" t="str">
        <f t="shared" si="44"/>
        <v>HILUX PICK UP D CAB SR A/C</v>
      </c>
      <c r="Y102" s="627">
        <f t="shared" si="44"/>
        <v>2017</v>
      </c>
      <c r="Z102" s="628">
        <f t="shared" si="34"/>
        <v>296880.13</v>
      </c>
      <c r="AA102" s="629"/>
      <c r="AB102" s="729"/>
      <c r="AC102" s="629">
        <f t="shared" si="41"/>
        <v>295708.34000000003</v>
      </c>
      <c r="AD102" s="630">
        <f t="shared" si="42"/>
        <v>0.1</v>
      </c>
      <c r="AE102" s="629">
        <f t="shared" si="43"/>
        <v>7392.74</v>
      </c>
      <c r="AF102" s="629">
        <f t="shared" si="35"/>
        <v>14844.01</v>
      </c>
      <c r="AG102" s="555">
        <f t="shared" si="36"/>
        <v>0</v>
      </c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3">
        <f t="shared" si="37"/>
        <v>98</v>
      </c>
      <c r="B103" s="721" t="s">
        <v>4475</v>
      </c>
      <c r="C103" s="655">
        <v>1520604</v>
      </c>
      <c r="D103" s="658">
        <v>7495</v>
      </c>
      <c r="E103" s="655" t="s">
        <v>718</v>
      </c>
      <c r="F103" s="546">
        <v>2017</v>
      </c>
      <c r="G103" s="659">
        <v>42906</v>
      </c>
      <c r="H103" s="655" t="s">
        <v>908</v>
      </c>
      <c r="I103" s="658" t="s">
        <v>4476</v>
      </c>
      <c r="J103" s="712"/>
      <c r="K103" s="655" t="s">
        <v>4477</v>
      </c>
      <c r="L103" s="655" t="s">
        <v>4478</v>
      </c>
      <c r="M103" s="660">
        <v>296880.13</v>
      </c>
      <c r="N103" s="660">
        <v>14844.01</v>
      </c>
      <c r="O103" s="660">
        <v>49875.86</v>
      </c>
      <c r="P103" s="660">
        <v>361600</v>
      </c>
      <c r="Q103" s="548"/>
      <c r="R103" s="660">
        <v>262450.93</v>
      </c>
      <c r="S103" s="549">
        <f t="shared" si="45"/>
        <v>99149.07</v>
      </c>
      <c r="T103" s="267" t="s">
        <v>131</v>
      </c>
      <c r="U103" s="626" t="str">
        <f t="shared" si="30"/>
        <v>AA11315</v>
      </c>
      <c r="V103" s="627" t="str">
        <f t="shared" si="31"/>
        <v>1275-TCN17</v>
      </c>
      <c r="W103" s="626">
        <f t="shared" si="32"/>
        <v>1520604</v>
      </c>
      <c r="X103" s="626" t="str">
        <f t="shared" si="44"/>
        <v>HILUX PICK UP D CAB SR A/C</v>
      </c>
      <c r="Y103" s="627">
        <f t="shared" si="44"/>
        <v>2017</v>
      </c>
      <c r="Z103" s="628">
        <f t="shared" si="34"/>
        <v>296880.13</v>
      </c>
      <c r="AA103" s="629">
        <f>+SUM(Z91:Z103)</f>
        <v>3859441.689999999</v>
      </c>
      <c r="AB103" s="732">
        <v>13</v>
      </c>
      <c r="AC103" s="629">
        <f t="shared" si="41"/>
        <v>295708.34000000003</v>
      </c>
      <c r="AD103" s="630">
        <f t="shared" si="42"/>
        <v>0.1</v>
      </c>
      <c r="AE103" s="629">
        <f t="shared" si="43"/>
        <v>7392.74</v>
      </c>
      <c r="AF103" s="629">
        <f t="shared" si="35"/>
        <v>14844.01</v>
      </c>
      <c r="AG103" s="555">
        <f t="shared" si="36"/>
        <v>0</v>
      </c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3">
        <f t="shared" si="37"/>
        <v>99</v>
      </c>
      <c r="B104" s="721" t="s">
        <v>4479</v>
      </c>
      <c r="C104" s="655">
        <v>520819</v>
      </c>
      <c r="D104" s="658">
        <v>4498</v>
      </c>
      <c r="E104" s="655" t="s">
        <v>696</v>
      </c>
      <c r="F104" s="546">
        <v>2017</v>
      </c>
      <c r="G104" s="659">
        <v>42898</v>
      </c>
      <c r="H104" s="655" t="s">
        <v>778</v>
      </c>
      <c r="I104" s="658" t="s">
        <v>4178</v>
      </c>
      <c r="J104" s="712"/>
      <c r="K104" s="655" t="s">
        <v>4179</v>
      </c>
      <c r="L104" s="655" t="s">
        <v>4180</v>
      </c>
      <c r="M104" s="660">
        <v>383985.18</v>
      </c>
      <c r="N104" s="660">
        <v>18169.990000000002</v>
      </c>
      <c r="O104" s="660">
        <v>64344.83</v>
      </c>
      <c r="P104" s="660">
        <v>466500</v>
      </c>
      <c r="Q104" s="548"/>
      <c r="R104" s="660">
        <v>319849.96999999997</v>
      </c>
      <c r="S104" s="549">
        <f t="shared" ref="S104:S133" si="46">+P104-R104</f>
        <v>146650.03000000003</v>
      </c>
      <c r="T104" s="267" t="s">
        <v>1268</v>
      </c>
      <c r="U104" s="722"/>
      <c r="V104" s="723"/>
      <c r="W104" s="722"/>
      <c r="X104" s="722"/>
      <c r="Y104" s="723"/>
      <c r="Z104" s="724"/>
      <c r="AA104" s="725"/>
      <c r="AB104" s="733"/>
      <c r="AC104" s="725"/>
      <c r="AD104" s="726"/>
      <c r="AE104" s="725"/>
      <c r="AF104" s="725"/>
      <c r="AG104" s="727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3.5" thickBot="1" x14ac:dyDescent="0.25">
      <c r="A105" s="423">
        <f t="shared" si="37"/>
        <v>100</v>
      </c>
      <c r="B105" s="721" t="s">
        <v>4480</v>
      </c>
      <c r="C105" s="655">
        <v>520819</v>
      </c>
      <c r="D105" s="658">
        <v>4498</v>
      </c>
      <c r="E105" s="655" t="s">
        <v>696</v>
      </c>
      <c r="F105" s="546">
        <v>2017</v>
      </c>
      <c r="G105" s="659">
        <v>42899</v>
      </c>
      <c r="H105" s="655" t="s">
        <v>778</v>
      </c>
      <c r="I105" s="658" t="s">
        <v>4178</v>
      </c>
      <c r="J105" s="712"/>
      <c r="K105" s="655" t="s">
        <v>4179</v>
      </c>
      <c r="L105" s="655" t="s">
        <v>4180</v>
      </c>
      <c r="M105" s="660">
        <v>-383985.18</v>
      </c>
      <c r="N105" s="660">
        <v>-18169.990000000002</v>
      </c>
      <c r="O105" s="660">
        <v>-64344.83</v>
      </c>
      <c r="P105" s="660">
        <v>-466500</v>
      </c>
      <c r="Q105" s="548"/>
      <c r="R105" s="660">
        <v>-319849.96999999997</v>
      </c>
      <c r="S105" s="549">
        <f t="shared" si="46"/>
        <v>-146650.03000000003</v>
      </c>
      <c r="T105" s="267" t="s">
        <v>1268</v>
      </c>
      <c r="U105" s="267"/>
      <c r="V105" s="93"/>
      <c r="W105" s="267"/>
      <c r="X105" s="267"/>
      <c r="Y105" s="93"/>
      <c r="Z105" s="618"/>
      <c r="AA105" s="424"/>
      <c r="AB105" s="480"/>
      <c r="AC105" s="424"/>
      <c r="AD105" s="425"/>
      <c r="AE105" s="424"/>
      <c r="AF105" s="424"/>
      <c r="AG105" s="396"/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ht="13.5" thickBot="1" x14ac:dyDescent="0.25">
      <c r="A106" s="423">
        <f t="shared" si="37"/>
        <v>101</v>
      </c>
      <c r="B106" s="721" t="s">
        <v>4481</v>
      </c>
      <c r="C106" s="655">
        <v>520819</v>
      </c>
      <c r="D106" s="658">
        <v>4498</v>
      </c>
      <c r="E106" s="655" t="s">
        <v>696</v>
      </c>
      <c r="F106" s="546">
        <v>2017</v>
      </c>
      <c r="G106" s="659">
        <v>42892</v>
      </c>
      <c r="H106" s="655" t="s">
        <v>2213</v>
      </c>
      <c r="I106" s="658" t="s">
        <v>3761</v>
      </c>
      <c r="J106" s="712"/>
      <c r="K106" s="655" t="s">
        <v>3889</v>
      </c>
      <c r="L106" s="655" t="s">
        <v>4020</v>
      </c>
      <c r="M106" s="660">
        <v>-383985.18</v>
      </c>
      <c r="N106" s="660">
        <v>-18169.990000000002</v>
      </c>
      <c r="O106" s="660">
        <v>-64344.83</v>
      </c>
      <c r="P106" s="660">
        <v>-466500</v>
      </c>
      <c r="Q106" s="548"/>
      <c r="R106" s="660">
        <v>-336481.4</v>
      </c>
      <c r="S106" s="549">
        <f t="shared" si="46"/>
        <v>-130018.59999999998</v>
      </c>
      <c r="T106" s="113" t="s">
        <v>1268</v>
      </c>
      <c r="U106" s="307"/>
      <c r="V106" s="423"/>
      <c r="W106" s="362"/>
      <c r="X106" s="362"/>
      <c r="Y106" s="619"/>
      <c r="Z106" s="620">
        <f>+SUM(Z6:Z103)</f>
        <v>30408242.279999986</v>
      </c>
      <c r="AA106" s="620">
        <f>+SUM(AA6:AA103)</f>
        <v>30408242.280000005</v>
      </c>
      <c r="AB106" s="643">
        <f>+SUM(AB6:AB103)</f>
        <v>96</v>
      </c>
      <c r="AC106" s="620"/>
      <c r="AD106" s="620"/>
      <c r="AE106" s="620"/>
      <c r="AF106" s="620">
        <f>+SUM(AF6:AF103)</f>
        <v>1219585.1741499999</v>
      </c>
      <c r="AG106" s="379"/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ht="13.5" thickTop="1" x14ac:dyDescent="0.2">
      <c r="A107" s="423">
        <f t="shared" si="37"/>
        <v>102</v>
      </c>
      <c r="B107" s="721" t="s">
        <v>4482</v>
      </c>
      <c r="C107" s="655">
        <v>520819</v>
      </c>
      <c r="D107" s="658">
        <v>4498</v>
      </c>
      <c r="E107" s="655" t="s">
        <v>696</v>
      </c>
      <c r="F107" s="546">
        <v>2017</v>
      </c>
      <c r="G107" s="659">
        <v>42892</v>
      </c>
      <c r="H107" s="655" t="s">
        <v>2213</v>
      </c>
      <c r="I107" s="658" t="s">
        <v>3761</v>
      </c>
      <c r="J107" s="712"/>
      <c r="K107" s="655" t="s">
        <v>3889</v>
      </c>
      <c r="L107" s="655" t="s">
        <v>4020</v>
      </c>
      <c r="M107" s="660">
        <v>383985.18</v>
      </c>
      <c r="N107" s="660">
        <v>18169.990000000002</v>
      </c>
      <c r="O107" s="660">
        <v>64344.83</v>
      </c>
      <c r="P107" s="660">
        <v>466500</v>
      </c>
      <c r="Q107" s="548"/>
      <c r="R107" s="660">
        <v>336481.4</v>
      </c>
      <c r="S107" s="549">
        <f t="shared" si="46"/>
        <v>130018.59999999998</v>
      </c>
      <c r="T107" s="113" t="s">
        <v>1268</v>
      </c>
      <c r="U107" s="434"/>
      <c r="V107" s="427"/>
      <c r="W107" s="428"/>
      <c r="X107" s="428"/>
      <c r="Y107" s="93"/>
      <c r="Z107" s="260"/>
      <c r="AA107" s="431"/>
      <c r="AB107" s="480"/>
      <c r="AC107" s="431"/>
      <c r="AD107" s="436"/>
      <c r="AE107" s="431"/>
      <c r="AF107" s="431">
        <f>+N260</f>
        <v>1212878.4699999997</v>
      </c>
      <c r="AG107" s="440"/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3">
        <f t="shared" si="37"/>
        <v>103</v>
      </c>
      <c r="B108" s="721" t="s">
        <v>4483</v>
      </c>
      <c r="C108" s="655">
        <v>520815</v>
      </c>
      <c r="D108" s="658">
        <v>4492</v>
      </c>
      <c r="E108" s="655" t="s">
        <v>694</v>
      </c>
      <c r="F108" s="546">
        <v>2017</v>
      </c>
      <c r="G108" s="659">
        <v>42892</v>
      </c>
      <c r="H108" s="655" t="s">
        <v>774</v>
      </c>
      <c r="I108" s="658" t="s">
        <v>4170</v>
      </c>
      <c r="J108" s="712"/>
      <c r="K108" s="655" t="s">
        <v>4171</v>
      </c>
      <c r="L108" s="655" t="s">
        <v>4172</v>
      </c>
      <c r="M108" s="660">
        <v>-355799.27</v>
      </c>
      <c r="N108" s="660">
        <v>-13942.11</v>
      </c>
      <c r="O108" s="660">
        <v>-59158.62</v>
      </c>
      <c r="P108" s="660">
        <v>-428900</v>
      </c>
      <c r="Q108" s="548"/>
      <c r="R108" s="660">
        <v>-311959.65999999997</v>
      </c>
      <c r="S108" s="549">
        <f t="shared" si="46"/>
        <v>-116940.34000000003</v>
      </c>
      <c r="T108" s="113" t="s">
        <v>1268</v>
      </c>
      <c r="U108" s="93"/>
      <c r="V108" s="93"/>
      <c r="W108" s="267"/>
      <c r="X108" s="271"/>
      <c r="Y108" s="469"/>
      <c r="Z108" s="470"/>
      <c r="AA108" s="431"/>
      <c r="AB108" s="480"/>
      <c r="AC108" s="396"/>
      <c r="AD108" s="425"/>
      <c r="AE108" s="395"/>
      <c r="AF108" s="379"/>
      <c r="AG108" s="395"/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37"/>
        <v>104</v>
      </c>
      <c r="B109" s="721" t="s">
        <v>4484</v>
      </c>
      <c r="C109" s="655">
        <v>520815</v>
      </c>
      <c r="D109" s="658">
        <v>4492</v>
      </c>
      <c r="E109" s="655" t="s">
        <v>694</v>
      </c>
      <c r="F109" s="546">
        <v>2017</v>
      </c>
      <c r="G109" s="659">
        <v>42892</v>
      </c>
      <c r="H109" s="655" t="s">
        <v>774</v>
      </c>
      <c r="I109" s="658" t="s">
        <v>4170</v>
      </c>
      <c r="J109" s="712"/>
      <c r="K109" s="655" t="s">
        <v>4171</v>
      </c>
      <c r="L109" s="655" t="s">
        <v>4172</v>
      </c>
      <c r="M109" s="660">
        <v>355799.27</v>
      </c>
      <c r="N109" s="660">
        <v>13942.11</v>
      </c>
      <c r="O109" s="660">
        <v>59158.62</v>
      </c>
      <c r="P109" s="660">
        <v>428900</v>
      </c>
      <c r="Q109" s="548"/>
      <c r="R109" s="660">
        <v>311959.65999999997</v>
      </c>
      <c r="S109" s="549">
        <f t="shared" si="46"/>
        <v>116940.34000000003</v>
      </c>
      <c r="T109" s="267" t="s">
        <v>1268</v>
      </c>
      <c r="U109" s="429"/>
      <c r="V109" s="298" t="s">
        <v>250</v>
      </c>
      <c r="W109" s="437" t="s">
        <v>4537</v>
      </c>
      <c r="X109" s="382"/>
      <c r="Y109" s="441"/>
      <c r="Z109" s="438"/>
      <c r="AA109" s="439"/>
      <c r="AB109" s="480"/>
      <c r="AC109" s="396"/>
      <c r="AD109" s="425"/>
      <c r="AE109" s="440"/>
      <c r="AF109" s="439">
        <f>+AF106-AF107</f>
        <v>6706.7041500001214</v>
      </c>
      <c r="AG109" s="396">
        <f>SUM(AG6:AG108)</f>
        <v>-6706.7041499999505</v>
      </c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37"/>
        <v>105</v>
      </c>
      <c r="B110" s="721" t="s">
        <v>4485</v>
      </c>
      <c r="C110" s="655">
        <v>521909</v>
      </c>
      <c r="D110" s="658">
        <v>6986</v>
      </c>
      <c r="E110" s="655" t="s">
        <v>707</v>
      </c>
      <c r="F110" s="546">
        <v>2017</v>
      </c>
      <c r="G110" s="659">
        <v>42892</v>
      </c>
      <c r="H110" s="655" t="s">
        <v>819</v>
      </c>
      <c r="I110" s="658" t="s">
        <v>4337</v>
      </c>
      <c r="J110" s="712"/>
      <c r="K110" s="655" t="s">
        <v>4486</v>
      </c>
      <c r="L110" s="655" t="s">
        <v>4338</v>
      </c>
      <c r="M110" s="660">
        <v>583795.25</v>
      </c>
      <c r="N110" s="660">
        <v>50946.13</v>
      </c>
      <c r="O110" s="660">
        <v>101558.62</v>
      </c>
      <c r="P110" s="660">
        <v>736300</v>
      </c>
      <c r="Q110" s="548"/>
      <c r="R110" s="660">
        <v>492651.19</v>
      </c>
      <c r="S110" s="549">
        <f t="shared" si="46"/>
        <v>243648.81</v>
      </c>
      <c r="T110" s="113" t="s">
        <v>1268</v>
      </c>
      <c r="U110" s="93"/>
      <c r="V110" s="298" t="s">
        <v>251</v>
      </c>
      <c r="W110" s="437" t="s">
        <v>4401</v>
      </c>
      <c r="X110" s="271"/>
      <c r="Y110" s="441"/>
      <c r="Z110" s="471">
        <f>+AB103+AB90+AB86+AB83+AB81+AB79+AB78+AB75</f>
        <v>33</v>
      </c>
      <c r="AA110" s="472">
        <f>+AA103+AA90+AA86+AA83+AA81+AA79+AA78+AA75</f>
        <v>11434975.359999999</v>
      </c>
      <c r="AB110" s="646"/>
      <c r="AC110" s="474" t="s">
        <v>1269</v>
      </c>
      <c r="AD110" s="436"/>
      <c r="AE110" s="431"/>
      <c r="AF110" s="431"/>
      <c r="AG110" s="440"/>
      <c r="AH110" s="361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3">
        <f t="shared" si="37"/>
        <v>106</v>
      </c>
      <c r="B111" s="721" t="s">
        <v>4487</v>
      </c>
      <c r="C111" s="655">
        <v>521909</v>
      </c>
      <c r="D111" s="658">
        <v>6986</v>
      </c>
      <c r="E111" s="655" t="s">
        <v>707</v>
      </c>
      <c r="F111" s="546">
        <v>2017</v>
      </c>
      <c r="G111" s="659">
        <v>42893</v>
      </c>
      <c r="H111" s="655" t="s">
        <v>819</v>
      </c>
      <c r="I111" s="658" t="s">
        <v>4337</v>
      </c>
      <c r="J111" s="712"/>
      <c r="K111" s="655" t="s">
        <v>4486</v>
      </c>
      <c r="L111" s="655" t="s">
        <v>4338</v>
      </c>
      <c r="M111" s="660">
        <v>-583795.25</v>
      </c>
      <c r="N111" s="660">
        <v>-50946.13</v>
      </c>
      <c r="O111" s="660">
        <v>-101558.62</v>
      </c>
      <c r="P111" s="660">
        <v>-736300</v>
      </c>
      <c r="Q111" s="548"/>
      <c r="R111" s="660">
        <v>-492651.19</v>
      </c>
      <c r="S111" s="549">
        <f t="shared" si="46"/>
        <v>-243648.81</v>
      </c>
      <c r="T111" s="267" t="s">
        <v>1268</v>
      </c>
      <c r="U111" s="93"/>
      <c r="V111" s="93"/>
      <c r="W111" s="267"/>
      <c r="X111" s="271"/>
      <c r="Y111" s="94"/>
      <c r="Z111" s="475">
        <f>+AB70+AB64+AB55+AB52+AB43+AB28+AB27</f>
        <v>29</v>
      </c>
      <c r="AA111" s="472">
        <f>+AA70+AA64+AA55+AA52+AA43+AA28+AA27</f>
        <v>5923587.4300000006</v>
      </c>
      <c r="AB111" s="646"/>
      <c r="AC111" s="474" t="s">
        <v>1270</v>
      </c>
      <c r="AD111" s="425"/>
      <c r="AE111" s="424"/>
      <c r="AF111" s="424"/>
      <c r="AG111" s="346"/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3">
        <f t="shared" si="37"/>
        <v>107</v>
      </c>
      <c r="B112" s="721" t="s">
        <v>4488</v>
      </c>
      <c r="C112" s="655">
        <v>521909</v>
      </c>
      <c r="D112" s="658">
        <v>6987</v>
      </c>
      <c r="E112" s="655" t="s">
        <v>708</v>
      </c>
      <c r="F112" s="546">
        <v>2017</v>
      </c>
      <c r="G112" s="659">
        <v>42899</v>
      </c>
      <c r="H112" s="655" t="s">
        <v>727</v>
      </c>
      <c r="I112" s="658" t="s">
        <v>4340</v>
      </c>
      <c r="J112" s="712"/>
      <c r="K112" s="655" t="s">
        <v>4341</v>
      </c>
      <c r="L112" s="655" t="s">
        <v>4342</v>
      </c>
      <c r="M112" s="660">
        <v>566553.87</v>
      </c>
      <c r="N112" s="660">
        <v>48015.1</v>
      </c>
      <c r="O112" s="660">
        <v>98331.03</v>
      </c>
      <c r="P112" s="660">
        <v>712900</v>
      </c>
      <c r="Q112" s="548"/>
      <c r="R112" s="660">
        <v>501434.78</v>
      </c>
      <c r="S112" s="549">
        <f t="shared" si="46"/>
        <v>211465.21999999997</v>
      </c>
      <c r="T112" s="445" t="s">
        <v>1268</v>
      </c>
      <c r="U112" s="429"/>
      <c r="V112" s="429"/>
      <c r="W112" s="426"/>
      <c r="X112" s="382"/>
      <c r="Y112" s="442"/>
      <c r="Z112" s="476">
        <f>+AB69+AB65+AB36+AB26+AB23+AB22+AB20+AB18+AB16+AB15+AB14+AB12+AB10+AB6</f>
        <v>32</v>
      </c>
      <c r="AA112" s="472">
        <f>+AA69+AA65+AA36+AA26+AA23+AA22+AA20+AA18+AA16+AA15+AA14+AA12+AA10+AA6</f>
        <v>12330369.15</v>
      </c>
      <c r="AB112" s="646"/>
      <c r="AC112" s="474" t="s">
        <v>1271</v>
      </c>
      <c r="AD112" s="443"/>
      <c r="AE112" s="439"/>
      <c r="AF112" s="439"/>
      <c r="AH112" s="361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ht="13.5" thickBot="1" x14ac:dyDescent="0.25">
      <c r="A113" s="423">
        <f t="shared" si="37"/>
        <v>108</v>
      </c>
      <c r="B113" s="721" t="s">
        <v>4489</v>
      </c>
      <c r="C113" s="655">
        <v>521909</v>
      </c>
      <c r="D113" s="658">
        <v>6987</v>
      </c>
      <c r="E113" s="655" t="s">
        <v>708</v>
      </c>
      <c r="F113" s="546">
        <v>2017</v>
      </c>
      <c r="G113" s="659">
        <v>42900</v>
      </c>
      <c r="H113" s="655" t="s">
        <v>727</v>
      </c>
      <c r="I113" s="658" t="s">
        <v>4340</v>
      </c>
      <c r="J113" s="712"/>
      <c r="K113" s="655" t="s">
        <v>4341</v>
      </c>
      <c r="L113" s="655" t="s">
        <v>4342</v>
      </c>
      <c r="M113" s="660">
        <v>-566553.87</v>
      </c>
      <c r="N113" s="660">
        <v>-48015.1</v>
      </c>
      <c r="O113" s="660">
        <v>-98331.03</v>
      </c>
      <c r="P113" s="660">
        <v>-712900</v>
      </c>
      <c r="Q113" s="548"/>
      <c r="R113" s="660">
        <v>-501434.78</v>
      </c>
      <c r="S113" s="549">
        <f t="shared" si="46"/>
        <v>-211465.21999999997</v>
      </c>
      <c r="T113" s="267" t="s">
        <v>1268</v>
      </c>
      <c r="U113" s="351"/>
      <c r="V113" s="351"/>
      <c r="W113" s="351"/>
      <c r="X113" s="351"/>
      <c r="Y113" s="352"/>
      <c r="Z113" s="477">
        <f>+AB30</f>
        <v>2</v>
      </c>
      <c r="AA113" s="478">
        <f>+AA30</f>
        <v>719310.34</v>
      </c>
      <c r="AB113" s="646"/>
      <c r="AC113" s="474" t="s">
        <v>1272</v>
      </c>
      <c r="AD113" s="351"/>
      <c r="AE113" s="351"/>
      <c r="AF113" s="351"/>
      <c r="AG113" s="351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ht="13.5" thickTop="1" x14ac:dyDescent="0.2">
      <c r="A114" s="423">
        <f t="shared" si="37"/>
        <v>109</v>
      </c>
      <c r="B114" s="721" t="s">
        <v>4490</v>
      </c>
      <c r="C114" s="655">
        <v>1520504</v>
      </c>
      <c r="D114" s="658">
        <v>8127</v>
      </c>
      <c r="E114" s="655" t="s">
        <v>716</v>
      </c>
      <c r="F114" s="546">
        <v>2017</v>
      </c>
      <c r="G114" s="659">
        <v>42907</v>
      </c>
      <c r="H114" s="655" t="s">
        <v>778</v>
      </c>
      <c r="I114" s="658" t="s">
        <v>4406</v>
      </c>
      <c r="J114" s="712"/>
      <c r="K114" s="655" t="s">
        <v>4407</v>
      </c>
      <c r="L114" s="655" t="s">
        <v>4408</v>
      </c>
      <c r="M114" s="660">
        <v>684482.76</v>
      </c>
      <c r="N114" s="660">
        <v>34224.14</v>
      </c>
      <c r="O114" s="660">
        <v>114993.1</v>
      </c>
      <c r="P114" s="660">
        <v>833700</v>
      </c>
      <c r="Q114" s="548"/>
      <c r="R114" s="660">
        <v>605110.62</v>
      </c>
      <c r="S114" s="549">
        <f t="shared" si="46"/>
        <v>228589.38</v>
      </c>
      <c r="T114" s="113" t="s">
        <v>1268</v>
      </c>
      <c r="U114" s="348"/>
      <c r="V114" s="348"/>
      <c r="W114" s="348"/>
      <c r="X114" s="348"/>
      <c r="Y114" s="348"/>
      <c r="Z114" s="479">
        <f>+SUM(Z110:Z113)</f>
        <v>96</v>
      </c>
      <c r="AA114" s="480">
        <f>SUM(AA110:AA113)</f>
        <v>30408242.279999997</v>
      </c>
      <c r="AB114" s="646"/>
      <c r="AC114" s="472"/>
      <c r="AD114" s="348"/>
      <c r="AE114" s="348"/>
      <c r="AF114" s="348"/>
      <c r="AG114" s="348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37"/>
        <v>110</v>
      </c>
      <c r="B115" s="721" t="s">
        <v>4491</v>
      </c>
      <c r="C115" s="655">
        <v>1520504</v>
      </c>
      <c r="D115" s="658">
        <v>8127</v>
      </c>
      <c r="E115" s="655" t="s">
        <v>716</v>
      </c>
      <c r="F115" s="546">
        <v>2017</v>
      </c>
      <c r="G115" s="659">
        <v>42908</v>
      </c>
      <c r="H115" s="655" t="s">
        <v>778</v>
      </c>
      <c r="I115" s="658" t="s">
        <v>4406</v>
      </c>
      <c r="J115" s="712"/>
      <c r="K115" s="655" t="s">
        <v>4407</v>
      </c>
      <c r="L115" s="655" t="s">
        <v>4408</v>
      </c>
      <c r="M115" s="660">
        <v>-684482.76</v>
      </c>
      <c r="N115" s="660">
        <v>-34224.14</v>
      </c>
      <c r="O115" s="660">
        <v>-114993.1</v>
      </c>
      <c r="P115" s="660">
        <v>-833700</v>
      </c>
      <c r="Q115" s="548"/>
      <c r="R115" s="660">
        <v>-605110.62</v>
      </c>
      <c r="S115" s="549">
        <f t="shared" si="46"/>
        <v>-228589.38</v>
      </c>
      <c r="T115" s="444" t="s">
        <v>1268</v>
      </c>
      <c r="U115" s="267"/>
      <c r="V115" s="93"/>
      <c r="W115" s="267"/>
      <c r="X115" s="267"/>
      <c r="Y115" s="93"/>
      <c r="Z115" s="618"/>
      <c r="AA115" s="424"/>
      <c r="AB115" s="480"/>
      <c r="AC115" s="424"/>
      <c r="AD115" s="425"/>
      <c r="AE115" s="424"/>
      <c r="AF115" s="424"/>
      <c r="AG115" s="396"/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37"/>
        <v>111</v>
      </c>
      <c r="B116" s="721" t="s">
        <v>4492</v>
      </c>
      <c r="C116" s="655">
        <v>1520504</v>
      </c>
      <c r="D116" s="658">
        <v>8127</v>
      </c>
      <c r="E116" s="655" t="s">
        <v>716</v>
      </c>
      <c r="F116" s="546">
        <v>2017</v>
      </c>
      <c r="G116" s="659">
        <v>42907</v>
      </c>
      <c r="H116" s="655" t="s">
        <v>778</v>
      </c>
      <c r="I116" s="658" t="s">
        <v>4493</v>
      </c>
      <c r="J116" s="712"/>
      <c r="K116" s="655" t="s">
        <v>4407</v>
      </c>
      <c r="L116" s="655" t="s">
        <v>4494</v>
      </c>
      <c r="M116" s="660">
        <v>-684482.76</v>
      </c>
      <c r="N116" s="660">
        <v>-34224.14</v>
      </c>
      <c r="O116" s="660">
        <v>-114993.1</v>
      </c>
      <c r="P116" s="660">
        <v>-833700</v>
      </c>
      <c r="Q116" s="548"/>
      <c r="R116" s="660">
        <v>-605110.62</v>
      </c>
      <c r="S116" s="549">
        <f t="shared" si="46"/>
        <v>-228589.38</v>
      </c>
      <c r="T116" s="113" t="s">
        <v>1268</v>
      </c>
      <c r="U116" s="267"/>
      <c r="V116" s="93"/>
      <c r="W116" s="267"/>
      <c r="X116" s="267"/>
      <c r="Y116" s="93"/>
      <c r="Z116" s="618"/>
      <c r="AA116" s="424"/>
      <c r="AB116" s="480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37"/>
        <v>112</v>
      </c>
      <c r="B117" s="721" t="s">
        <v>4495</v>
      </c>
      <c r="C117" s="655">
        <v>1520504</v>
      </c>
      <c r="D117" s="658">
        <v>8127</v>
      </c>
      <c r="E117" s="655" t="s">
        <v>716</v>
      </c>
      <c r="F117" s="546">
        <v>2017</v>
      </c>
      <c r="G117" s="659">
        <v>42907</v>
      </c>
      <c r="H117" s="655" t="s">
        <v>778</v>
      </c>
      <c r="I117" s="658" t="s">
        <v>4493</v>
      </c>
      <c r="J117" s="712"/>
      <c r="K117" s="655" t="s">
        <v>4407</v>
      </c>
      <c r="L117" s="655" t="s">
        <v>4494</v>
      </c>
      <c r="M117" s="660">
        <v>684482.76</v>
      </c>
      <c r="N117" s="660">
        <v>34224.14</v>
      </c>
      <c r="O117" s="660">
        <v>114993.1</v>
      </c>
      <c r="P117" s="660">
        <v>833700</v>
      </c>
      <c r="Q117" s="548"/>
      <c r="R117" s="660">
        <v>605110.62</v>
      </c>
      <c r="S117" s="549">
        <f t="shared" si="46"/>
        <v>228589.38</v>
      </c>
      <c r="T117" s="444" t="s">
        <v>1268</v>
      </c>
      <c r="U117" s="267"/>
      <c r="V117" s="93"/>
      <c r="W117" s="267"/>
      <c r="X117" s="267"/>
      <c r="Y117" s="93"/>
      <c r="Z117" s="618"/>
      <c r="AA117" s="424"/>
      <c r="AB117" s="480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37"/>
        <v>113</v>
      </c>
      <c r="B118" s="721" t="s">
        <v>4496</v>
      </c>
      <c r="C118" s="655">
        <v>520220</v>
      </c>
      <c r="D118" s="658">
        <v>1794</v>
      </c>
      <c r="E118" s="655" t="s">
        <v>687</v>
      </c>
      <c r="F118" s="546">
        <v>2017</v>
      </c>
      <c r="G118" s="659">
        <v>42915</v>
      </c>
      <c r="H118" s="655" t="s">
        <v>1207</v>
      </c>
      <c r="I118" s="658" t="s">
        <v>4110</v>
      </c>
      <c r="J118" s="712"/>
      <c r="K118" s="655" t="s">
        <v>4111</v>
      </c>
      <c r="L118" s="655" t="s">
        <v>4112</v>
      </c>
      <c r="M118" s="660">
        <v>254237.02</v>
      </c>
      <c r="N118" s="660">
        <v>2659.53</v>
      </c>
      <c r="O118" s="660">
        <v>41103.449999999997</v>
      </c>
      <c r="P118" s="660">
        <v>298000</v>
      </c>
      <c r="Q118" s="548"/>
      <c r="R118" s="660">
        <v>224798.3</v>
      </c>
      <c r="S118" s="549">
        <f t="shared" si="46"/>
        <v>73201.700000000012</v>
      </c>
      <c r="T118" s="113" t="s">
        <v>1268</v>
      </c>
      <c r="U118" s="267"/>
      <c r="V118" s="93"/>
      <c r="W118" s="267"/>
      <c r="X118" s="267"/>
      <c r="Y118" s="93"/>
      <c r="Z118" s="618"/>
      <c r="AA118" s="424"/>
      <c r="AB118" s="480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3">
        <f t="shared" si="37"/>
        <v>114</v>
      </c>
      <c r="B119" s="721" t="s">
        <v>4497</v>
      </c>
      <c r="C119" s="655">
        <v>520220</v>
      </c>
      <c r="D119" s="658">
        <v>1794</v>
      </c>
      <c r="E119" s="655" t="s">
        <v>687</v>
      </c>
      <c r="F119" s="546">
        <v>2017</v>
      </c>
      <c r="G119" s="659">
        <v>42916</v>
      </c>
      <c r="H119" s="655" t="s">
        <v>1207</v>
      </c>
      <c r="I119" s="658" t="s">
        <v>4110</v>
      </c>
      <c r="J119" s="712"/>
      <c r="K119" s="655" t="s">
        <v>4111</v>
      </c>
      <c r="L119" s="655" t="s">
        <v>4112</v>
      </c>
      <c r="M119" s="660">
        <v>-254237.02</v>
      </c>
      <c r="N119" s="660">
        <v>-2659.53</v>
      </c>
      <c r="O119" s="660">
        <v>-41103.449999999997</v>
      </c>
      <c r="P119" s="660">
        <v>-298000</v>
      </c>
      <c r="Q119" s="548"/>
      <c r="R119" s="660">
        <v>-224798.3</v>
      </c>
      <c r="S119" s="549">
        <f t="shared" si="46"/>
        <v>-73201.700000000012</v>
      </c>
      <c r="T119" s="113" t="s">
        <v>1268</v>
      </c>
      <c r="U119" s="267"/>
      <c r="V119" s="93"/>
      <c r="W119" s="267"/>
      <c r="X119" s="267"/>
      <c r="Y119" s="93"/>
      <c r="Z119" s="618"/>
      <c r="AA119" s="424"/>
      <c r="AB119" s="480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3">
        <f t="shared" si="37"/>
        <v>115</v>
      </c>
      <c r="B120" s="721" t="s">
        <v>4498</v>
      </c>
      <c r="C120" s="655">
        <v>520226</v>
      </c>
      <c r="D120" s="658">
        <v>1783</v>
      </c>
      <c r="E120" s="655" t="s">
        <v>692</v>
      </c>
      <c r="F120" s="546">
        <v>2017</v>
      </c>
      <c r="G120" s="659">
        <v>42899</v>
      </c>
      <c r="H120" s="655" t="s">
        <v>2213</v>
      </c>
      <c r="I120" s="658" t="s">
        <v>4142</v>
      </c>
      <c r="J120" s="712"/>
      <c r="K120" s="655" t="s">
        <v>4499</v>
      </c>
      <c r="L120" s="655" t="s">
        <v>4144</v>
      </c>
      <c r="M120" s="660">
        <v>313030.24</v>
      </c>
      <c r="N120" s="660">
        <v>9124.93</v>
      </c>
      <c r="O120" s="660">
        <v>51544.83</v>
      </c>
      <c r="P120" s="660">
        <v>373700</v>
      </c>
      <c r="Q120" s="548"/>
      <c r="R120" s="660">
        <v>274937.82</v>
      </c>
      <c r="S120" s="549">
        <f t="shared" si="46"/>
        <v>98762.18</v>
      </c>
      <c r="T120" s="113" t="s">
        <v>1268</v>
      </c>
      <c r="U120" s="267"/>
      <c r="V120" s="93"/>
      <c r="W120" s="267"/>
      <c r="X120" s="267"/>
      <c r="Y120" s="93"/>
      <c r="Z120" s="618"/>
      <c r="AA120" s="424"/>
      <c r="AB120" s="480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3">
        <f t="shared" si="37"/>
        <v>116</v>
      </c>
      <c r="B121" s="721" t="s">
        <v>4500</v>
      </c>
      <c r="C121" s="655">
        <v>520226</v>
      </c>
      <c r="D121" s="658">
        <v>1783</v>
      </c>
      <c r="E121" s="655" t="s">
        <v>692</v>
      </c>
      <c r="F121" s="546">
        <v>2017</v>
      </c>
      <c r="G121" s="659">
        <v>42912</v>
      </c>
      <c r="H121" s="655" t="s">
        <v>2213</v>
      </c>
      <c r="I121" s="658" t="s">
        <v>4142</v>
      </c>
      <c r="J121" s="712"/>
      <c r="K121" s="655" t="s">
        <v>4499</v>
      </c>
      <c r="L121" s="655" t="s">
        <v>4144</v>
      </c>
      <c r="M121" s="660">
        <v>-313030.24</v>
      </c>
      <c r="N121" s="660">
        <v>-9124.93</v>
      </c>
      <c r="O121" s="660">
        <v>-51544.83</v>
      </c>
      <c r="P121" s="660">
        <v>-373700</v>
      </c>
      <c r="Q121" s="548"/>
      <c r="R121" s="660">
        <v>-274937.82</v>
      </c>
      <c r="S121" s="549">
        <f t="shared" si="46"/>
        <v>-98762.18</v>
      </c>
      <c r="T121" s="267" t="s">
        <v>1268</v>
      </c>
      <c r="U121" s="267"/>
      <c r="V121" s="93"/>
      <c r="W121" s="267"/>
      <c r="X121" s="267"/>
      <c r="Y121" s="93"/>
      <c r="Z121" s="618"/>
      <c r="AA121" s="424"/>
      <c r="AB121" s="480"/>
      <c r="AC121" s="424"/>
      <c r="AD121" s="425"/>
      <c r="AE121" s="424"/>
      <c r="AF121" s="424"/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37"/>
        <v>117</v>
      </c>
      <c r="B122" s="721" t="s">
        <v>4501</v>
      </c>
      <c r="C122" s="655">
        <v>520223</v>
      </c>
      <c r="D122" s="658">
        <v>1796</v>
      </c>
      <c r="E122" s="655" t="s">
        <v>689</v>
      </c>
      <c r="F122" s="546">
        <v>2017</v>
      </c>
      <c r="G122" s="659">
        <v>42902</v>
      </c>
      <c r="H122" s="655" t="s">
        <v>2215</v>
      </c>
      <c r="I122" s="658" t="s">
        <v>4130</v>
      </c>
      <c r="J122" s="712"/>
      <c r="K122" s="655" t="s">
        <v>4131</v>
      </c>
      <c r="L122" s="655" t="s">
        <v>4132</v>
      </c>
      <c r="M122" s="660">
        <v>250536.43</v>
      </c>
      <c r="N122" s="660">
        <v>2567.02</v>
      </c>
      <c r="O122" s="660">
        <v>40496.550000000003</v>
      </c>
      <c r="P122" s="660">
        <v>293600</v>
      </c>
      <c r="Q122" s="548"/>
      <c r="R122" s="660">
        <v>220255.74</v>
      </c>
      <c r="S122" s="549">
        <f t="shared" si="46"/>
        <v>73344.260000000009</v>
      </c>
      <c r="T122" s="113" t="s">
        <v>1268</v>
      </c>
      <c r="U122" s="267"/>
      <c r="V122" s="93"/>
      <c r="W122" s="267"/>
      <c r="X122" s="267"/>
      <c r="Y122" s="93"/>
      <c r="Z122" s="618"/>
      <c r="AA122" s="424"/>
      <c r="AB122" s="480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37"/>
        <v>118</v>
      </c>
      <c r="B123" s="721" t="s">
        <v>4502</v>
      </c>
      <c r="C123" s="655">
        <v>520223</v>
      </c>
      <c r="D123" s="658">
        <v>1796</v>
      </c>
      <c r="E123" s="655" t="s">
        <v>689</v>
      </c>
      <c r="F123" s="546">
        <v>2017</v>
      </c>
      <c r="G123" s="659">
        <v>42905</v>
      </c>
      <c r="H123" s="655" t="s">
        <v>2215</v>
      </c>
      <c r="I123" s="658" t="s">
        <v>4130</v>
      </c>
      <c r="J123" s="712"/>
      <c r="K123" s="655" t="s">
        <v>4131</v>
      </c>
      <c r="L123" s="655" t="s">
        <v>4132</v>
      </c>
      <c r="M123" s="660">
        <v>-250536.43</v>
      </c>
      <c r="N123" s="660">
        <v>-2567.02</v>
      </c>
      <c r="O123" s="660">
        <v>-40496.550000000003</v>
      </c>
      <c r="P123" s="660">
        <v>-293600</v>
      </c>
      <c r="Q123" s="548"/>
      <c r="R123" s="660">
        <v>-220255.74</v>
      </c>
      <c r="S123" s="549">
        <f t="shared" si="46"/>
        <v>-73344.260000000009</v>
      </c>
      <c r="T123" s="113" t="s">
        <v>1268</v>
      </c>
      <c r="U123" s="267"/>
      <c r="V123" s="93"/>
      <c r="W123" s="267"/>
      <c r="X123" s="267"/>
      <c r="Y123" s="93"/>
      <c r="Z123" s="618"/>
      <c r="AA123" s="424"/>
      <c r="AB123" s="480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37"/>
        <v>119</v>
      </c>
      <c r="B124" s="721" t="s">
        <v>4503</v>
      </c>
      <c r="C124" s="655">
        <v>520223</v>
      </c>
      <c r="D124" s="658">
        <v>1796</v>
      </c>
      <c r="E124" s="655" t="s">
        <v>689</v>
      </c>
      <c r="F124" s="546">
        <v>2017</v>
      </c>
      <c r="G124" s="659">
        <v>42905</v>
      </c>
      <c r="H124" s="655" t="s">
        <v>2215</v>
      </c>
      <c r="I124" s="658" t="s">
        <v>4130</v>
      </c>
      <c r="J124" s="712"/>
      <c r="K124" s="655" t="s">
        <v>4131</v>
      </c>
      <c r="L124" s="655" t="s">
        <v>4132</v>
      </c>
      <c r="M124" s="660">
        <v>250536.43</v>
      </c>
      <c r="N124" s="660">
        <v>2567.02</v>
      </c>
      <c r="O124" s="660">
        <v>40496.550000000003</v>
      </c>
      <c r="P124" s="660">
        <v>293600</v>
      </c>
      <c r="Q124" s="548"/>
      <c r="R124" s="660">
        <v>220255.74</v>
      </c>
      <c r="S124" s="549">
        <f t="shared" si="46"/>
        <v>73344.260000000009</v>
      </c>
      <c r="T124" s="267" t="s">
        <v>1268</v>
      </c>
      <c r="U124" s="267"/>
      <c r="V124" s="93"/>
      <c r="W124" s="267"/>
      <c r="X124" s="267"/>
      <c r="Y124" s="93"/>
      <c r="Z124" s="618"/>
      <c r="AA124" s="424"/>
      <c r="AB124" s="480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37"/>
        <v>120</v>
      </c>
      <c r="B125" s="721" t="s">
        <v>4504</v>
      </c>
      <c r="C125" s="655">
        <v>520223</v>
      </c>
      <c r="D125" s="658">
        <v>1796</v>
      </c>
      <c r="E125" s="655" t="s">
        <v>689</v>
      </c>
      <c r="F125" s="546">
        <v>2017</v>
      </c>
      <c r="G125" s="659">
        <v>42913</v>
      </c>
      <c r="H125" s="655" t="s">
        <v>2215</v>
      </c>
      <c r="I125" s="658" t="s">
        <v>4130</v>
      </c>
      <c r="J125" s="712"/>
      <c r="K125" s="655" t="s">
        <v>4131</v>
      </c>
      <c r="L125" s="655" t="s">
        <v>4132</v>
      </c>
      <c r="M125" s="660">
        <v>-250536.43</v>
      </c>
      <c r="N125" s="660">
        <v>-2567.02</v>
      </c>
      <c r="O125" s="660">
        <v>-40496.550000000003</v>
      </c>
      <c r="P125" s="660">
        <v>-293600</v>
      </c>
      <c r="Q125" s="548"/>
      <c r="R125" s="660">
        <v>-220255.74</v>
      </c>
      <c r="S125" s="549">
        <f t="shared" si="46"/>
        <v>-73344.260000000009</v>
      </c>
      <c r="T125" s="113" t="s">
        <v>1268</v>
      </c>
      <c r="U125" s="267"/>
      <c r="V125" s="93"/>
      <c r="W125" s="267"/>
      <c r="X125" s="267"/>
      <c r="Y125" s="93"/>
      <c r="Z125" s="618"/>
      <c r="AA125" s="424"/>
      <c r="AB125" s="480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37"/>
        <v>121</v>
      </c>
      <c r="B126" s="721" t="s">
        <v>4505</v>
      </c>
      <c r="C126" s="655">
        <v>521101</v>
      </c>
      <c r="D126" s="658">
        <v>1253</v>
      </c>
      <c r="E126" s="655" t="s">
        <v>30</v>
      </c>
      <c r="F126" s="546">
        <v>2017</v>
      </c>
      <c r="G126" s="659">
        <v>42888</v>
      </c>
      <c r="H126" s="655" t="s">
        <v>2216</v>
      </c>
      <c r="I126" s="658" t="s">
        <v>1538</v>
      </c>
      <c r="J126" s="712"/>
      <c r="K126" s="655" t="s">
        <v>4201</v>
      </c>
      <c r="L126" s="655" t="s">
        <v>1800</v>
      </c>
      <c r="M126" s="660">
        <v>-388793.1</v>
      </c>
      <c r="N126" s="660">
        <v>0</v>
      </c>
      <c r="O126" s="660">
        <v>-62206.9</v>
      </c>
      <c r="P126" s="660">
        <v>-451000</v>
      </c>
      <c r="Q126" s="548"/>
      <c r="R126" s="660">
        <v>-326375.03999999998</v>
      </c>
      <c r="S126" s="549">
        <f t="shared" si="46"/>
        <v>-124624.96000000002</v>
      </c>
      <c r="T126" s="267" t="s">
        <v>1268</v>
      </c>
      <c r="U126" s="267"/>
      <c r="V126" s="93"/>
      <c r="W126" s="267"/>
      <c r="X126" s="267"/>
      <c r="Y126" s="93"/>
      <c r="Z126" s="618"/>
      <c r="AA126" s="424"/>
      <c r="AB126" s="480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3">
        <f t="shared" si="37"/>
        <v>122</v>
      </c>
      <c r="B127" s="721" t="s">
        <v>4506</v>
      </c>
      <c r="C127" s="655">
        <v>521101</v>
      </c>
      <c r="D127" s="658">
        <v>1253</v>
      </c>
      <c r="E127" s="655" t="s">
        <v>30</v>
      </c>
      <c r="F127" s="546">
        <v>2017</v>
      </c>
      <c r="G127" s="659">
        <v>42888</v>
      </c>
      <c r="H127" s="655" t="s">
        <v>2216</v>
      </c>
      <c r="I127" s="658" t="s">
        <v>1538</v>
      </c>
      <c r="J127" s="712"/>
      <c r="K127" s="655" t="s">
        <v>4201</v>
      </c>
      <c r="L127" s="655" t="s">
        <v>1800</v>
      </c>
      <c r="M127" s="660">
        <v>388793.1</v>
      </c>
      <c r="N127" s="660">
        <v>0</v>
      </c>
      <c r="O127" s="660">
        <v>62206.9</v>
      </c>
      <c r="P127" s="660">
        <v>451000</v>
      </c>
      <c r="Q127" s="548"/>
      <c r="R127" s="660">
        <v>326375.03999999998</v>
      </c>
      <c r="S127" s="549">
        <f t="shared" si="46"/>
        <v>124624.96000000002</v>
      </c>
      <c r="T127" s="267" t="s">
        <v>1268</v>
      </c>
      <c r="U127" s="267"/>
      <c r="V127" s="93"/>
      <c r="W127" s="267"/>
      <c r="X127" s="267"/>
      <c r="Y127" s="93"/>
      <c r="Z127" s="618"/>
      <c r="AA127" s="424"/>
      <c r="AB127" s="480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3">
        <f t="shared" si="37"/>
        <v>123</v>
      </c>
      <c r="B128" s="721" t="s">
        <v>4507</v>
      </c>
      <c r="C128" s="655">
        <v>521502</v>
      </c>
      <c r="D128" s="658">
        <v>5611</v>
      </c>
      <c r="E128" s="655" t="s">
        <v>225</v>
      </c>
      <c r="F128" s="546">
        <v>2018</v>
      </c>
      <c r="G128" s="659">
        <v>42893</v>
      </c>
      <c r="H128" s="655" t="s">
        <v>788</v>
      </c>
      <c r="I128" s="658" t="s">
        <v>4210</v>
      </c>
      <c r="J128" s="712"/>
      <c r="K128" s="655" t="s">
        <v>4211</v>
      </c>
      <c r="L128" s="655" t="s">
        <v>4212</v>
      </c>
      <c r="M128" s="660">
        <v>390506.91</v>
      </c>
      <c r="N128" s="660">
        <v>19148.259999999998</v>
      </c>
      <c r="O128" s="660">
        <v>65544.83</v>
      </c>
      <c r="P128" s="660">
        <v>475200</v>
      </c>
      <c r="Q128" s="548"/>
      <c r="R128" s="660">
        <v>345842.5</v>
      </c>
      <c r="S128" s="549">
        <f t="shared" si="46"/>
        <v>129357.5</v>
      </c>
      <c r="T128" s="267" t="s">
        <v>1268</v>
      </c>
      <c r="U128" s="267"/>
      <c r="V128" s="93"/>
      <c r="W128" s="267"/>
      <c r="X128" s="267"/>
      <c r="Y128" s="93"/>
      <c r="Z128" s="618"/>
      <c r="AA128" s="424"/>
      <c r="AB128" s="480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37"/>
        <v>124</v>
      </c>
      <c r="B129" s="721" t="s">
        <v>4508</v>
      </c>
      <c r="C129" s="655">
        <v>521502</v>
      </c>
      <c r="D129" s="658">
        <v>5611</v>
      </c>
      <c r="E129" s="655" t="s">
        <v>225</v>
      </c>
      <c r="F129" s="546">
        <v>2018</v>
      </c>
      <c r="G129" s="659">
        <v>42894</v>
      </c>
      <c r="H129" s="655" t="s">
        <v>788</v>
      </c>
      <c r="I129" s="658" t="s">
        <v>4210</v>
      </c>
      <c r="J129" s="712"/>
      <c r="K129" s="655" t="s">
        <v>4211</v>
      </c>
      <c r="L129" s="655" t="s">
        <v>4212</v>
      </c>
      <c r="M129" s="660">
        <v>-390506.91</v>
      </c>
      <c r="N129" s="660">
        <v>-19148.259999999998</v>
      </c>
      <c r="O129" s="660">
        <v>-65544.83</v>
      </c>
      <c r="P129" s="660">
        <v>-475200</v>
      </c>
      <c r="Q129" s="548"/>
      <c r="R129" s="660">
        <v>-345842.5</v>
      </c>
      <c r="S129" s="549">
        <f t="shared" si="46"/>
        <v>-129357.5</v>
      </c>
      <c r="T129" s="267" t="s">
        <v>1268</v>
      </c>
      <c r="U129" s="267"/>
      <c r="V129" s="93"/>
      <c r="W129" s="267"/>
      <c r="X129" s="267"/>
      <c r="Y129" s="93"/>
      <c r="Z129" s="618"/>
      <c r="AA129" s="424"/>
      <c r="AB129" s="480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37"/>
        <v>125</v>
      </c>
      <c r="B130" s="721" t="s">
        <v>4509</v>
      </c>
      <c r="C130" s="655">
        <v>521801</v>
      </c>
      <c r="D130" s="658">
        <v>2201</v>
      </c>
      <c r="E130" s="655" t="s">
        <v>704</v>
      </c>
      <c r="F130" s="546">
        <v>2017</v>
      </c>
      <c r="G130" s="659">
        <v>42907</v>
      </c>
      <c r="H130" s="655" t="s">
        <v>722</v>
      </c>
      <c r="I130" s="658" t="s">
        <v>4290</v>
      </c>
      <c r="J130" s="712"/>
      <c r="K130" s="655" t="s">
        <v>4291</v>
      </c>
      <c r="L130" s="655" t="s">
        <v>4292</v>
      </c>
      <c r="M130" s="660">
        <v>202844.83</v>
      </c>
      <c r="N130" s="660">
        <v>0</v>
      </c>
      <c r="O130" s="660">
        <v>32455.17</v>
      </c>
      <c r="P130" s="660">
        <v>235300</v>
      </c>
      <c r="Q130" s="548"/>
      <c r="R130" s="660">
        <v>183632.36</v>
      </c>
      <c r="S130" s="549">
        <f t="shared" si="46"/>
        <v>51667.640000000014</v>
      </c>
      <c r="T130" s="267" t="s">
        <v>1268</v>
      </c>
      <c r="U130" s="267"/>
      <c r="V130" s="93"/>
      <c r="W130" s="267"/>
      <c r="X130" s="267"/>
      <c r="Y130" s="93"/>
      <c r="Z130" s="618"/>
      <c r="AA130" s="424"/>
      <c r="AB130" s="480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37"/>
        <v>126</v>
      </c>
      <c r="B131" s="721" t="s">
        <v>4510</v>
      </c>
      <c r="C131" s="655">
        <v>521801</v>
      </c>
      <c r="D131" s="658">
        <v>2201</v>
      </c>
      <c r="E131" s="655" t="s">
        <v>704</v>
      </c>
      <c r="F131" s="546">
        <v>2017</v>
      </c>
      <c r="G131" s="659">
        <v>42908</v>
      </c>
      <c r="H131" s="655" t="s">
        <v>722</v>
      </c>
      <c r="I131" s="658" t="s">
        <v>4290</v>
      </c>
      <c r="J131" s="712"/>
      <c r="K131" s="655" t="s">
        <v>4291</v>
      </c>
      <c r="L131" s="655" t="s">
        <v>4292</v>
      </c>
      <c r="M131" s="660">
        <v>-202844.83</v>
      </c>
      <c r="N131" s="660">
        <v>0</v>
      </c>
      <c r="O131" s="660">
        <v>-32455.17</v>
      </c>
      <c r="P131" s="660">
        <v>-235300</v>
      </c>
      <c r="Q131" s="548"/>
      <c r="R131" s="660">
        <v>-183632.36</v>
      </c>
      <c r="S131" s="549">
        <f t="shared" si="46"/>
        <v>-51667.640000000014</v>
      </c>
      <c r="T131" s="267" t="s">
        <v>1268</v>
      </c>
      <c r="U131" s="267"/>
      <c r="V131" s="93"/>
      <c r="W131" s="267"/>
      <c r="X131" s="267"/>
      <c r="Y131" s="93"/>
      <c r="Z131" s="618"/>
      <c r="AA131" s="424"/>
      <c r="AB131" s="480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37"/>
        <v>127</v>
      </c>
      <c r="B132" s="721" t="s">
        <v>4511</v>
      </c>
      <c r="C132" s="655">
        <v>521802</v>
      </c>
      <c r="D132" s="658">
        <v>2202</v>
      </c>
      <c r="E132" s="655" t="s">
        <v>703</v>
      </c>
      <c r="F132" s="546">
        <v>2017</v>
      </c>
      <c r="G132" s="659">
        <v>42894</v>
      </c>
      <c r="H132" s="655" t="s">
        <v>817</v>
      </c>
      <c r="I132" s="658" t="s">
        <v>4318</v>
      </c>
      <c r="J132" s="712"/>
      <c r="K132" s="655" t="s">
        <v>4319</v>
      </c>
      <c r="L132" s="655" t="s">
        <v>4320</v>
      </c>
      <c r="M132" s="660">
        <v>207327.59</v>
      </c>
      <c r="N132" s="660">
        <v>0</v>
      </c>
      <c r="O132" s="660">
        <v>33172.410000000003</v>
      </c>
      <c r="P132" s="660">
        <v>240500</v>
      </c>
      <c r="Q132" s="548"/>
      <c r="R132" s="660">
        <v>187666.84</v>
      </c>
      <c r="S132" s="549">
        <f t="shared" si="46"/>
        <v>52833.16</v>
      </c>
      <c r="T132" s="267" t="s">
        <v>1268</v>
      </c>
      <c r="U132" s="267"/>
      <c r="V132" s="93"/>
      <c r="W132" s="267"/>
      <c r="X132" s="267"/>
      <c r="Y132" s="93"/>
      <c r="Z132" s="618"/>
      <c r="AA132" s="424"/>
      <c r="AB132" s="480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37"/>
        <v>128</v>
      </c>
      <c r="B133" s="721" t="s">
        <v>4512</v>
      </c>
      <c r="C133" s="655">
        <v>521802</v>
      </c>
      <c r="D133" s="658">
        <v>2202</v>
      </c>
      <c r="E133" s="655" t="s">
        <v>703</v>
      </c>
      <c r="F133" s="546">
        <v>2017</v>
      </c>
      <c r="G133" s="659">
        <v>42896</v>
      </c>
      <c r="H133" s="655" t="s">
        <v>817</v>
      </c>
      <c r="I133" s="658" t="s">
        <v>4318</v>
      </c>
      <c r="J133" s="712"/>
      <c r="K133" s="655" t="s">
        <v>4319</v>
      </c>
      <c r="L133" s="655" t="s">
        <v>4320</v>
      </c>
      <c r="M133" s="660">
        <v>-207327.59</v>
      </c>
      <c r="N133" s="660">
        <v>0</v>
      </c>
      <c r="O133" s="660">
        <v>-33172.410000000003</v>
      </c>
      <c r="P133" s="660">
        <v>-240500</v>
      </c>
      <c r="Q133" s="548"/>
      <c r="R133" s="660">
        <v>-187666.84</v>
      </c>
      <c r="S133" s="549">
        <f t="shared" si="46"/>
        <v>-52833.16</v>
      </c>
      <c r="T133" s="267" t="s">
        <v>1268</v>
      </c>
      <c r="U133" s="267"/>
      <c r="V133" s="93"/>
      <c r="W133" s="267"/>
      <c r="X133" s="267"/>
      <c r="Y133" s="93"/>
      <c r="Z133" s="618"/>
      <c r="AA133" s="424"/>
      <c r="AB133" s="480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37"/>
        <v>129</v>
      </c>
      <c r="B134" s="721" t="s">
        <v>4513</v>
      </c>
      <c r="C134" s="655">
        <v>521802</v>
      </c>
      <c r="D134" s="658">
        <v>2202</v>
      </c>
      <c r="E134" s="655" t="s">
        <v>703</v>
      </c>
      <c r="F134" s="546">
        <v>2017</v>
      </c>
      <c r="G134" s="659">
        <v>42896</v>
      </c>
      <c r="H134" s="655" t="s">
        <v>819</v>
      </c>
      <c r="I134" s="658" t="s">
        <v>4318</v>
      </c>
      <c r="J134" s="712"/>
      <c r="K134" s="655" t="s">
        <v>4514</v>
      </c>
      <c r="L134" s="655" t="s">
        <v>4320</v>
      </c>
      <c r="M134" s="660">
        <v>207327.59</v>
      </c>
      <c r="N134" s="660">
        <v>0</v>
      </c>
      <c r="O134" s="660">
        <v>33172.410000000003</v>
      </c>
      <c r="P134" s="660">
        <v>240500</v>
      </c>
      <c r="Q134" s="548"/>
      <c r="R134" s="660">
        <v>187666.84</v>
      </c>
      <c r="S134" s="549">
        <f t="shared" ref="S134:S197" si="47">+P134-R134</f>
        <v>52833.16</v>
      </c>
      <c r="T134" s="267" t="s">
        <v>1268</v>
      </c>
      <c r="U134" s="267"/>
      <c r="V134" s="93"/>
      <c r="W134" s="267"/>
      <c r="X134" s="267"/>
      <c r="Y134" s="93"/>
      <c r="Z134" s="618"/>
      <c r="AA134" s="424"/>
      <c r="AB134" s="480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37"/>
        <v>130</v>
      </c>
      <c r="B135" s="721" t="s">
        <v>4515</v>
      </c>
      <c r="C135" s="655">
        <v>521802</v>
      </c>
      <c r="D135" s="658">
        <v>2202</v>
      </c>
      <c r="E135" s="655" t="s">
        <v>703</v>
      </c>
      <c r="F135" s="546">
        <v>2017</v>
      </c>
      <c r="G135" s="659">
        <v>42913</v>
      </c>
      <c r="H135" s="655" t="s">
        <v>819</v>
      </c>
      <c r="I135" s="658" t="s">
        <v>4318</v>
      </c>
      <c r="J135" s="712"/>
      <c r="K135" s="655" t="s">
        <v>4514</v>
      </c>
      <c r="L135" s="655" t="s">
        <v>4320</v>
      </c>
      <c r="M135" s="660">
        <v>-207327.59</v>
      </c>
      <c r="N135" s="660">
        <v>0</v>
      </c>
      <c r="O135" s="660">
        <v>-33172.410000000003</v>
      </c>
      <c r="P135" s="660">
        <v>-240500</v>
      </c>
      <c r="Q135" s="548"/>
      <c r="R135" s="660">
        <v>-187666.84</v>
      </c>
      <c r="S135" s="549">
        <f t="shared" si="47"/>
        <v>-52833.16</v>
      </c>
      <c r="T135" s="113" t="s">
        <v>1268</v>
      </c>
      <c r="U135" s="267"/>
      <c r="V135" s="93"/>
      <c r="W135" s="267"/>
      <c r="X135" s="267"/>
      <c r="Y135" s="93"/>
      <c r="Z135" s="618"/>
      <c r="AA135" s="424"/>
      <c r="AB135" s="480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199" si="48">+A135+1</f>
        <v>131</v>
      </c>
      <c r="B136" s="721" t="s">
        <v>4516</v>
      </c>
      <c r="C136" s="655">
        <v>521802</v>
      </c>
      <c r="D136" s="658">
        <v>2204</v>
      </c>
      <c r="E136" s="655" t="s">
        <v>705</v>
      </c>
      <c r="F136" s="546">
        <v>2017</v>
      </c>
      <c r="G136" s="659">
        <v>42894</v>
      </c>
      <c r="H136" s="655" t="s">
        <v>817</v>
      </c>
      <c r="I136" s="658" t="s">
        <v>3742</v>
      </c>
      <c r="J136" s="712"/>
      <c r="K136" s="655" t="s">
        <v>3876</v>
      </c>
      <c r="L136" s="655" t="s">
        <v>4001</v>
      </c>
      <c r="M136" s="660">
        <v>-229941.96</v>
      </c>
      <c r="N136" s="660">
        <v>-2299.42</v>
      </c>
      <c r="O136" s="660">
        <v>-37158.620000000003</v>
      </c>
      <c r="P136" s="660">
        <v>-269400</v>
      </c>
      <c r="Q136" s="548"/>
      <c r="R136" s="660">
        <v>-208374.26</v>
      </c>
      <c r="S136" s="549">
        <f t="shared" si="47"/>
        <v>-61025.739999999991</v>
      </c>
      <c r="T136" s="267" t="s">
        <v>1268</v>
      </c>
      <c r="U136" s="267"/>
      <c r="V136" s="93"/>
      <c r="W136" s="267"/>
      <c r="X136" s="267"/>
      <c r="Y136" s="93"/>
      <c r="Z136" s="618"/>
      <c r="AA136" s="424"/>
      <c r="AB136" s="480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48"/>
        <v>132</v>
      </c>
      <c r="B137" s="721" t="s">
        <v>4517</v>
      </c>
      <c r="C137" s="655">
        <v>521802</v>
      </c>
      <c r="D137" s="658">
        <v>2204</v>
      </c>
      <c r="E137" s="655" t="s">
        <v>705</v>
      </c>
      <c r="F137" s="546">
        <v>2017</v>
      </c>
      <c r="G137" s="659">
        <v>42894</v>
      </c>
      <c r="H137" s="655" t="s">
        <v>817</v>
      </c>
      <c r="I137" s="658" t="s">
        <v>3742</v>
      </c>
      <c r="J137" s="712"/>
      <c r="K137" s="655" t="s">
        <v>4518</v>
      </c>
      <c r="L137" s="655" t="s">
        <v>4001</v>
      </c>
      <c r="M137" s="660">
        <v>229941.96</v>
      </c>
      <c r="N137" s="660">
        <v>2299.42</v>
      </c>
      <c r="O137" s="660">
        <v>37158.620000000003</v>
      </c>
      <c r="P137" s="660">
        <v>269400</v>
      </c>
      <c r="Q137" s="548"/>
      <c r="R137" s="660">
        <v>208374.26</v>
      </c>
      <c r="S137" s="549">
        <f t="shared" si="47"/>
        <v>61025.739999999991</v>
      </c>
      <c r="T137" s="267" t="s">
        <v>1268</v>
      </c>
      <c r="U137" s="267"/>
      <c r="V137" s="93"/>
      <c r="W137" s="267"/>
      <c r="X137" s="267"/>
      <c r="Y137" s="93"/>
      <c r="Z137" s="618"/>
      <c r="AA137" s="424"/>
      <c r="AB137" s="480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48"/>
        <v>133</v>
      </c>
      <c r="B138" s="721" t="s">
        <v>4519</v>
      </c>
      <c r="C138" s="655">
        <v>521802</v>
      </c>
      <c r="D138" s="658">
        <v>2202</v>
      </c>
      <c r="E138" s="655" t="s">
        <v>703</v>
      </c>
      <c r="F138" s="546">
        <v>2017</v>
      </c>
      <c r="G138" s="659">
        <v>42910</v>
      </c>
      <c r="H138" s="655" t="s">
        <v>1038</v>
      </c>
      <c r="I138" s="658" t="s">
        <v>4325</v>
      </c>
      <c r="J138" s="712"/>
      <c r="K138" s="655" t="s">
        <v>4326</v>
      </c>
      <c r="L138" s="655" t="s">
        <v>4327</v>
      </c>
      <c r="M138" s="660">
        <v>207327.59</v>
      </c>
      <c r="N138" s="660">
        <v>0</v>
      </c>
      <c r="O138" s="660">
        <v>33172.410000000003</v>
      </c>
      <c r="P138" s="660">
        <v>240500</v>
      </c>
      <c r="Q138" s="548"/>
      <c r="R138" s="660">
        <v>188022.33</v>
      </c>
      <c r="S138" s="549">
        <f t="shared" si="47"/>
        <v>52477.670000000013</v>
      </c>
      <c r="T138" s="444" t="s">
        <v>1268</v>
      </c>
      <c r="U138" s="267"/>
      <c r="V138" s="93"/>
      <c r="W138" s="267"/>
      <c r="X138" s="267"/>
      <c r="Y138" s="93"/>
      <c r="Z138" s="618"/>
      <c r="AA138" s="424"/>
      <c r="AB138" s="480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48"/>
        <v>134</v>
      </c>
      <c r="B139" s="721" t="s">
        <v>4520</v>
      </c>
      <c r="C139" s="655">
        <v>521802</v>
      </c>
      <c r="D139" s="658">
        <v>2202</v>
      </c>
      <c r="E139" s="655" t="s">
        <v>703</v>
      </c>
      <c r="F139" s="546">
        <v>2017</v>
      </c>
      <c r="G139" s="659">
        <v>42912</v>
      </c>
      <c r="H139" s="655" t="s">
        <v>1038</v>
      </c>
      <c r="I139" s="658" t="s">
        <v>4325</v>
      </c>
      <c r="J139" s="712"/>
      <c r="K139" s="655" t="s">
        <v>4326</v>
      </c>
      <c r="L139" s="655" t="s">
        <v>4327</v>
      </c>
      <c r="M139" s="660">
        <v>-207327.59</v>
      </c>
      <c r="N139" s="660">
        <v>0</v>
      </c>
      <c r="O139" s="660">
        <v>-33172.410000000003</v>
      </c>
      <c r="P139" s="660">
        <v>-240500</v>
      </c>
      <c r="Q139" s="548"/>
      <c r="R139" s="660">
        <v>-188022.33</v>
      </c>
      <c r="S139" s="549">
        <f t="shared" si="47"/>
        <v>-52477.670000000013</v>
      </c>
      <c r="T139" s="267" t="s">
        <v>1268</v>
      </c>
      <c r="U139" s="267"/>
      <c r="V139" s="93"/>
      <c r="W139" s="267"/>
      <c r="X139" s="267"/>
      <c r="Y139" s="93"/>
      <c r="Z139" s="618"/>
      <c r="AA139" s="424"/>
      <c r="AB139" s="480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48"/>
        <v>135</v>
      </c>
      <c r="B140" s="721" t="s">
        <v>4521</v>
      </c>
      <c r="C140" s="655">
        <v>1520104</v>
      </c>
      <c r="D140" s="658">
        <v>7493</v>
      </c>
      <c r="E140" s="655" t="s">
        <v>711</v>
      </c>
      <c r="F140" s="546">
        <v>2017</v>
      </c>
      <c r="G140" s="659">
        <v>42900</v>
      </c>
      <c r="H140" s="655" t="s">
        <v>1038</v>
      </c>
      <c r="I140" s="658" t="s">
        <v>4364</v>
      </c>
      <c r="J140" s="712"/>
      <c r="K140" s="655" t="s">
        <v>4365</v>
      </c>
      <c r="L140" s="655" t="s">
        <v>4366</v>
      </c>
      <c r="M140" s="660">
        <v>250000</v>
      </c>
      <c r="N140" s="660">
        <v>12500</v>
      </c>
      <c r="O140" s="660">
        <v>42000</v>
      </c>
      <c r="P140" s="660">
        <v>304500</v>
      </c>
      <c r="Q140" s="548"/>
      <c r="R140" s="660">
        <v>229061.05</v>
      </c>
      <c r="S140" s="549">
        <f t="shared" si="47"/>
        <v>75438.950000000012</v>
      </c>
      <c r="T140" s="113" t="s">
        <v>1268</v>
      </c>
      <c r="U140" s="267"/>
      <c r="V140" s="93"/>
      <c r="W140" s="267"/>
      <c r="X140" s="267"/>
      <c r="Y140" s="93"/>
      <c r="Z140" s="618"/>
      <c r="AA140" s="424"/>
      <c r="AB140" s="480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48"/>
        <v>136</v>
      </c>
      <c r="B141" s="721" t="s">
        <v>4522</v>
      </c>
      <c r="C141" s="655">
        <v>1520104</v>
      </c>
      <c r="D141" s="658">
        <v>7493</v>
      </c>
      <c r="E141" s="655" t="s">
        <v>711</v>
      </c>
      <c r="F141" s="546">
        <v>2017</v>
      </c>
      <c r="G141" s="659">
        <v>42910</v>
      </c>
      <c r="H141" s="655" t="s">
        <v>1038</v>
      </c>
      <c r="I141" s="658" t="s">
        <v>4364</v>
      </c>
      <c r="J141" s="712"/>
      <c r="K141" s="655" t="s">
        <v>4365</v>
      </c>
      <c r="L141" s="655" t="s">
        <v>4366</v>
      </c>
      <c r="M141" s="660">
        <v>-250000</v>
      </c>
      <c r="N141" s="660">
        <v>-12500</v>
      </c>
      <c r="O141" s="660">
        <v>-42000</v>
      </c>
      <c r="P141" s="660">
        <v>-304500</v>
      </c>
      <c r="Q141" s="548"/>
      <c r="R141" s="660">
        <v>-229061.05</v>
      </c>
      <c r="S141" s="549">
        <f t="shared" si="47"/>
        <v>-75438.950000000012</v>
      </c>
      <c r="T141" s="113" t="s">
        <v>1268</v>
      </c>
      <c r="U141" s="267"/>
      <c r="V141" s="93"/>
      <c r="W141" s="267"/>
      <c r="X141" s="267"/>
      <c r="Y141" s="93"/>
      <c r="Z141" s="618"/>
      <c r="AA141" s="424"/>
      <c r="AB141" s="480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3">
        <f t="shared" si="48"/>
        <v>137</v>
      </c>
      <c r="B142" s="721" t="s">
        <v>4523</v>
      </c>
      <c r="C142" s="655">
        <v>1520105</v>
      </c>
      <c r="D142" s="658">
        <v>7494</v>
      </c>
      <c r="E142" s="655" t="s">
        <v>712</v>
      </c>
      <c r="F142" s="546">
        <v>2017</v>
      </c>
      <c r="G142" s="659">
        <v>42898</v>
      </c>
      <c r="H142" s="655" t="s">
        <v>792</v>
      </c>
      <c r="I142" s="658" t="s">
        <v>4384</v>
      </c>
      <c r="J142" s="712"/>
      <c r="K142" s="655" t="s">
        <v>3188</v>
      </c>
      <c r="L142" s="655" t="s">
        <v>4385</v>
      </c>
      <c r="M142" s="660">
        <v>235139.57</v>
      </c>
      <c r="N142" s="660">
        <v>11756.98</v>
      </c>
      <c r="O142" s="660">
        <v>39503.449999999997</v>
      </c>
      <c r="P142" s="660">
        <v>286400</v>
      </c>
      <c r="Q142" s="548"/>
      <c r="R142" s="660">
        <v>215512.69</v>
      </c>
      <c r="S142" s="549">
        <f t="shared" si="47"/>
        <v>70887.31</v>
      </c>
      <c r="T142" s="113" t="s">
        <v>1268</v>
      </c>
      <c r="U142" s="267"/>
      <c r="V142" s="93"/>
      <c r="W142" s="267"/>
      <c r="X142" s="267"/>
      <c r="Y142" s="93"/>
      <c r="Z142" s="618"/>
      <c r="AA142" s="424"/>
      <c r="AB142" s="480"/>
      <c r="AC142" s="424"/>
      <c r="AD142" s="425"/>
      <c r="AE142" s="424"/>
      <c r="AF142" s="424"/>
      <c r="AG142" s="396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x14ac:dyDescent="0.2">
      <c r="A143" s="423">
        <f t="shared" si="48"/>
        <v>138</v>
      </c>
      <c r="B143" s="721" t="s">
        <v>4524</v>
      </c>
      <c r="C143" s="655">
        <v>1520105</v>
      </c>
      <c r="D143" s="658">
        <v>7494</v>
      </c>
      <c r="E143" s="655" t="s">
        <v>712</v>
      </c>
      <c r="F143" s="546">
        <v>2017</v>
      </c>
      <c r="G143" s="659">
        <v>42901</v>
      </c>
      <c r="H143" s="655" t="s">
        <v>792</v>
      </c>
      <c r="I143" s="658" t="s">
        <v>4384</v>
      </c>
      <c r="J143" s="712"/>
      <c r="K143" s="655" t="s">
        <v>3188</v>
      </c>
      <c r="L143" s="655" t="s">
        <v>4385</v>
      </c>
      <c r="M143" s="660">
        <v>-235139.57</v>
      </c>
      <c r="N143" s="660">
        <v>-11756.98</v>
      </c>
      <c r="O143" s="660">
        <v>-39503.449999999997</v>
      </c>
      <c r="P143" s="660">
        <v>-286400</v>
      </c>
      <c r="Q143" s="548"/>
      <c r="R143" s="660">
        <v>-215512.69</v>
      </c>
      <c r="S143" s="549">
        <f t="shared" si="47"/>
        <v>-70887.31</v>
      </c>
      <c r="T143" s="113" t="s">
        <v>1268</v>
      </c>
      <c r="U143" s="267"/>
      <c r="V143" s="93"/>
      <c r="W143" s="267"/>
      <c r="X143" s="267"/>
      <c r="Y143" s="93"/>
      <c r="Z143" s="618"/>
      <c r="AA143" s="424"/>
      <c r="AB143" s="480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x14ac:dyDescent="0.2">
      <c r="A144" s="423">
        <f t="shared" si="48"/>
        <v>139</v>
      </c>
      <c r="B144" s="721" t="s">
        <v>4525</v>
      </c>
      <c r="C144" s="655">
        <v>1520604</v>
      </c>
      <c r="D144" s="658">
        <v>7495</v>
      </c>
      <c r="E144" s="655" t="s">
        <v>718</v>
      </c>
      <c r="F144" s="546">
        <v>2017</v>
      </c>
      <c r="G144" s="659">
        <v>42909</v>
      </c>
      <c r="H144" s="655" t="s">
        <v>4241</v>
      </c>
      <c r="I144" s="658" t="s">
        <v>3801</v>
      </c>
      <c r="J144" s="712"/>
      <c r="K144" s="655" t="s">
        <v>4431</v>
      </c>
      <c r="L144" s="655" t="s">
        <v>4060</v>
      </c>
      <c r="M144" s="660">
        <v>-296880.13</v>
      </c>
      <c r="N144" s="660">
        <v>-14844.01</v>
      </c>
      <c r="O144" s="660">
        <v>-49875.86</v>
      </c>
      <c r="P144" s="660">
        <v>-361600</v>
      </c>
      <c r="Q144" s="548"/>
      <c r="R144" s="660">
        <v>-255426.86</v>
      </c>
      <c r="S144" s="549">
        <f t="shared" si="47"/>
        <v>-106173.14000000001</v>
      </c>
      <c r="T144" s="445" t="s">
        <v>1268</v>
      </c>
      <c r="U144" s="267"/>
      <c r="V144" s="93"/>
      <c r="W144" s="267"/>
      <c r="X144" s="267"/>
      <c r="Y144" s="93"/>
      <c r="Z144" s="618"/>
      <c r="AA144" s="424"/>
      <c r="AB144" s="480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x14ac:dyDescent="0.2">
      <c r="A145" s="423">
        <f t="shared" si="48"/>
        <v>140</v>
      </c>
      <c r="B145" s="721" t="s">
        <v>4526</v>
      </c>
      <c r="C145" s="655">
        <v>1520604</v>
      </c>
      <c r="D145" s="658">
        <v>7495</v>
      </c>
      <c r="E145" s="655" t="s">
        <v>718</v>
      </c>
      <c r="F145" s="546">
        <v>2017</v>
      </c>
      <c r="G145" s="659">
        <v>42909</v>
      </c>
      <c r="H145" s="655" t="s">
        <v>4241</v>
      </c>
      <c r="I145" s="658" t="s">
        <v>3801</v>
      </c>
      <c r="J145" s="712"/>
      <c r="K145" s="655" t="s">
        <v>4431</v>
      </c>
      <c r="L145" s="655" t="s">
        <v>4060</v>
      </c>
      <c r="M145" s="660">
        <v>296880.13</v>
      </c>
      <c r="N145" s="660">
        <v>14844.01</v>
      </c>
      <c r="O145" s="660">
        <v>49875.86</v>
      </c>
      <c r="P145" s="660">
        <v>361600</v>
      </c>
      <c r="Q145" s="548"/>
      <c r="R145" s="660">
        <v>255426.86</v>
      </c>
      <c r="S145" s="549">
        <f t="shared" si="47"/>
        <v>106173.14000000001</v>
      </c>
      <c r="T145" s="113" t="s">
        <v>1268</v>
      </c>
      <c r="U145" s="267"/>
      <c r="V145" s="93"/>
      <c r="W145" s="267"/>
      <c r="X145" s="267"/>
      <c r="Y145" s="93"/>
      <c r="Z145" s="618"/>
      <c r="AA145" s="424"/>
      <c r="AB145" s="480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x14ac:dyDescent="0.2">
      <c r="A146" s="423">
        <f t="shared" si="48"/>
        <v>141</v>
      </c>
      <c r="B146" s="721" t="s">
        <v>4527</v>
      </c>
      <c r="C146" s="655">
        <v>1520604</v>
      </c>
      <c r="D146" s="658">
        <v>7495</v>
      </c>
      <c r="E146" s="655" t="s">
        <v>718</v>
      </c>
      <c r="F146" s="546">
        <v>2017</v>
      </c>
      <c r="G146" s="659">
        <v>42902</v>
      </c>
      <c r="H146" s="655" t="s">
        <v>3694</v>
      </c>
      <c r="I146" s="658" t="s">
        <v>4468</v>
      </c>
      <c r="J146" s="712"/>
      <c r="K146" s="655" t="s">
        <v>4469</v>
      </c>
      <c r="L146" s="655" t="s">
        <v>4470</v>
      </c>
      <c r="M146" s="660">
        <v>296880.13</v>
      </c>
      <c r="N146" s="660">
        <v>14844.01</v>
      </c>
      <c r="O146" s="660">
        <v>49875.86</v>
      </c>
      <c r="P146" s="660">
        <v>361600</v>
      </c>
      <c r="Q146" s="548"/>
      <c r="R146" s="660">
        <v>255426.86</v>
      </c>
      <c r="S146" s="549">
        <f t="shared" si="47"/>
        <v>106173.14000000001</v>
      </c>
      <c r="T146" s="267" t="s">
        <v>1268</v>
      </c>
      <c r="U146" s="267"/>
      <c r="V146" s="93"/>
      <c r="W146" s="267"/>
      <c r="X146" s="267"/>
      <c r="Y146" s="93"/>
      <c r="Z146" s="618"/>
      <c r="AA146" s="424"/>
      <c r="AB146" s="480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x14ac:dyDescent="0.2">
      <c r="A147" s="423">
        <f t="shared" si="48"/>
        <v>142</v>
      </c>
      <c r="B147" s="721" t="s">
        <v>4528</v>
      </c>
      <c r="C147" s="655">
        <v>1520604</v>
      </c>
      <c r="D147" s="658">
        <v>7495</v>
      </c>
      <c r="E147" s="655" t="s">
        <v>718</v>
      </c>
      <c r="F147" s="546">
        <v>2017</v>
      </c>
      <c r="G147" s="659">
        <v>42906</v>
      </c>
      <c r="H147" s="655" t="s">
        <v>3694</v>
      </c>
      <c r="I147" s="658" t="s">
        <v>4468</v>
      </c>
      <c r="J147" s="712"/>
      <c r="K147" s="655" t="s">
        <v>4469</v>
      </c>
      <c r="L147" s="655" t="s">
        <v>4470</v>
      </c>
      <c r="M147" s="660">
        <v>-296880.13</v>
      </c>
      <c r="N147" s="660">
        <v>-14844.01</v>
      </c>
      <c r="O147" s="660">
        <v>-49875.86</v>
      </c>
      <c r="P147" s="660">
        <v>-361600</v>
      </c>
      <c r="Q147" s="548"/>
      <c r="R147" s="660">
        <v>-255426.86</v>
      </c>
      <c r="S147" s="549">
        <f t="shared" si="47"/>
        <v>-106173.14000000001</v>
      </c>
      <c r="T147" s="267" t="s">
        <v>1268</v>
      </c>
      <c r="U147" s="267"/>
      <c r="V147" s="93"/>
      <c r="W147" s="267"/>
      <c r="X147" s="267"/>
      <c r="Y147" s="93"/>
      <c r="Z147" s="618"/>
      <c r="AA147" s="424"/>
      <c r="AB147" s="480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48"/>
        <v>143</v>
      </c>
      <c r="B148" s="721" t="s">
        <v>4529</v>
      </c>
      <c r="C148" s="655">
        <v>521707</v>
      </c>
      <c r="D148" s="658">
        <v>2006</v>
      </c>
      <c r="E148" s="655" t="s">
        <v>702</v>
      </c>
      <c r="F148" s="546">
        <v>2017</v>
      </c>
      <c r="G148" s="659">
        <v>42905</v>
      </c>
      <c r="H148" s="655" t="s">
        <v>2216</v>
      </c>
      <c r="I148" s="658" t="s">
        <v>4254</v>
      </c>
      <c r="J148" s="712"/>
      <c r="K148" s="655" t="s">
        <v>4255</v>
      </c>
      <c r="L148" s="655" t="s">
        <v>4256</v>
      </c>
      <c r="M148" s="660">
        <v>201982.76</v>
      </c>
      <c r="N148" s="660">
        <v>0</v>
      </c>
      <c r="O148" s="660">
        <v>32317.24</v>
      </c>
      <c r="P148" s="660">
        <v>234300</v>
      </c>
      <c r="Q148" s="548"/>
      <c r="R148" s="660">
        <v>183052.26</v>
      </c>
      <c r="S148" s="549">
        <f t="shared" si="47"/>
        <v>51247.739999999991</v>
      </c>
      <c r="T148" s="267" t="s">
        <v>1268</v>
      </c>
      <c r="U148" s="267"/>
      <c r="V148" s="93"/>
      <c r="W148" s="267"/>
      <c r="X148" s="267"/>
      <c r="Y148" s="93"/>
      <c r="Z148" s="618"/>
      <c r="AA148" s="424"/>
      <c r="AB148" s="480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x14ac:dyDescent="0.2">
      <c r="A149" s="423">
        <f t="shared" si="48"/>
        <v>144</v>
      </c>
      <c r="B149" s="721" t="s">
        <v>4530</v>
      </c>
      <c r="C149" s="655">
        <v>521707</v>
      </c>
      <c r="D149" s="658">
        <v>2006</v>
      </c>
      <c r="E149" s="655" t="s">
        <v>702</v>
      </c>
      <c r="F149" s="546">
        <v>2017</v>
      </c>
      <c r="G149" s="659">
        <v>42907</v>
      </c>
      <c r="H149" s="655" t="s">
        <v>2216</v>
      </c>
      <c r="I149" s="658" t="s">
        <v>4254</v>
      </c>
      <c r="J149" s="712"/>
      <c r="K149" s="655" t="s">
        <v>4255</v>
      </c>
      <c r="L149" s="655" t="s">
        <v>4256</v>
      </c>
      <c r="M149" s="660">
        <v>-201982.76</v>
      </c>
      <c r="N149" s="660">
        <v>0</v>
      </c>
      <c r="O149" s="660">
        <v>-32317.24</v>
      </c>
      <c r="P149" s="660">
        <v>-234300</v>
      </c>
      <c r="Q149" s="548"/>
      <c r="R149" s="660">
        <v>-183052.26</v>
      </c>
      <c r="S149" s="549">
        <f t="shared" si="47"/>
        <v>-51247.739999999991</v>
      </c>
      <c r="T149" s="267" t="s">
        <v>1268</v>
      </c>
      <c r="U149" s="267"/>
      <c r="V149" s="93"/>
      <c r="W149" s="267"/>
      <c r="X149" s="267"/>
      <c r="Y149" s="93"/>
      <c r="Z149" s="618"/>
      <c r="AA149" s="424"/>
      <c r="AB149" s="480"/>
      <c r="AC149" s="424"/>
      <c r="AD149" s="425"/>
      <c r="AE149" s="424"/>
      <c r="AF149" s="424"/>
      <c r="AG149" s="396"/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x14ac:dyDescent="0.2">
      <c r="A150" s="423">
        <f t="shared" si="48"/>
        <v>145</v>
      </c>
      <c r="B150" s="721" t="s">
        <v>4531</v>
      </c>
      <c r="C150" s="655">
        <v>521707</v>
      </c>
      <c r="D150" s="658">
        <v>2006</v>
      </c>
      <c r="E150" s="655" t="s">
        <v>702</v>
      </c>
      <c r="F150" s="546">
        <v>2017</v>
      </c>
      <c r="G150" s="659">
        <v>42895</v>
      </c>
      <c r="H150" s="655" t="s">
        <v>739</v>
      </c>
      <c r="I150" s="658" t="s">
        <v>4265</v>
      </c>
      <c r="J150" s="712"/>
      <c r="K150" s="655" t="s">
        <v>4266</v>
      </c>
      <c r="L150" s="655" t="s">
        <v>4267</v>
      </c>
      <c r="M150" s="660">
        <v>-201982.76</v>
      </c>
      <c r="N150" s="660">
        <v>0</v>
      </c>
      <c r="O150" s="660">
        <v>-32317.24</v>
      </c>
      <c r="P150" s="660">
        <v>-234300</v>
      </c>
      <c r="Q150" s="548"/>
      <c r="R150" s="660">
        <v>-183052.26</v>
      </c>
      <c r="S150" s="549">
        <f t="shared" si="47"/>
        <v>-51247.739999999991</v>
      </c>
      <c r="T150" s="267" t="s">
        <v>1268</v>
      </c>
      <c r="U150" s="267"/>
      <c r="V150" s="93"/>
      <c r="W150" s="267"/>
      <c r="X150" s="267"/>
      <c r="Y150" s="93"/>
      <c r="Z150" s="618"/>
      <c r="AA150" s="424"/>
      <c r="AB150" s="480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x14ac:dyDescent="0.2">
      <c r="A151" s="423">
        <f t="shared" si="48"/>
        <v>146</v>
      </c>
      <c r="B151" s="721" t="s">
        <v>4532</v>
      </c>
      <c r="C151" s="655">
        <v>521707</v>
      </c>
      <c r="D151" s="658">
        <v>2006</v>
      </c>
      <c r="E151" s="655" t="s">
        <v>702</v>
      </c>
      <c r="F151" s="546">
        <v>2017</v>
      </c>
      <c r="G151" s="659">
        <v>42895</v>
      </c>
      <c r="H151" s="655" t="s">
        <v>739</v>
      </c>
      <c r="I151" s="658" t="s">
        <v>4265</v>
      </c>
      <c r="J151" s="712"/>
      <c r="K151" s="655" t="s">
        <v>4266</v>
      </c>
      <c r="L151" s="655" t="s">
        <v>4267</v>
      </c>
      <c r="M151" s="660">
        <v>201982.76</v>
      </c>
      <c r="N151" s="660">
        <v>0</v>
      </c>
      <c r="O151" s="660">
        <v>32317.24</v>
      </c>
      <c r="P151" s="660">
        <v>234300</v>
      </c>
      <c r="Q151" s="548"/>
      <c r="R151" s="660">
        <v>183052.26</v>
      </c>
      <c r="S151" s="549">
        <f t="shared" si="47"/>
        <v>51247.739999999991</v>
      </c>
      <c r="T151" s="113" t="s">
        <v>1268</v>
      </c>
      <c r="U151" s="267"/>
      <c r="V151" s="93"/>
      <c r="W151" s="267"/>
      <c r="X151" s="267"/>
      <c r="Y151" s="93"/>
      <c r="Z151" s="618"/>
      <c r="AA151" s="424"/>
      <c r="AB151" s="480"/>
      <c r="AC151" s="424"/>
      <c r="AD151" s="425"/>
      <c r="AE151" s="424"/>
      <c r="AF151" s="424"/>
      <c r="AG151" s="396"/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x14ac:dyDescent="0.2">
      <c r="A152" s="423">
        <f t="shared" si="48"/>
        <v>147</v>
      </c>
      <c r="B152" s="721" t="s">
        <v>4533</v>
      </c>
      <c r="C152" s="655">
        <v>521702</v>
      </c>
      <c r="D152" s="658">
        <v>2005</v>
      </c>
      <c r="E152" s="655" t="s">
        <v>701</v>
      </c>
      <c r="F152" s="546">
        <v>2017</v>
      </c>
      <c r="G152" s="659">
        <v>42889</v>
      </c>
      <c r="H152" s="655" t="s">
        <v>3694</v>
      </c>
      <c r="I152" s="658" t="s">
        <v>4233</v>
      </c>
      <c r="J152" s="712"/>
      <c r="K152" s="655" t="s">
        <v>4234</v>
      </c>
      <c r="L152" s="655" t="s">
        <v>4235</v>
      </c>
      <c r="M152" s="660">
        <v>183620.69</v>
      </c>
      <c r="N152" s="660">
        <v>0</v>
      </c>
      <c r="O152" s="660">
        <v>29379.31</v>
      </c>
      <c r="P152" s="660">
        <v>213000</v>
      </c>
      <c r="Q152" s="548"/>
      <c r="R152" s="660">
        <v>166863.39000000001</v>
      </c>
      <c r="S152" s="549">
        <f t="shared" si="47"/>
        <v>46136.609999999986</v>
      </c>
      <c r="T152" s="267" t="s">
        <v>1268</v>
      </c>
      <c r="U152" s="267"/>
      <c r="V152" s="93"/>
      <c r="W152" s="267"/>
      <c r="X152" s="267"/>
      <c r="Y152" s="93"/>
      <c r="Z152" s="618"/>
      <c r="AA152" s="717"/>
      <c r="AB152" s="734"/>
      <c r="AC152" s="424"/>
      <c r="AD152" s="425"/>
      <c r="AE152" s="424"/>
      <c r="AF152" s="424"/>
      <c r="AG152" s="396"/>
      <c r="AH152" s="361"/>
      <c r="AI152" s="313"/>
      <c r="AJ152" s="374"/>
      <c r="AK152" s="331"/>
      <c r="AL152" s="331"/>
      <c r="AM152" s="331"/>
    </row>
    <row r="153" spans="1:47" s="412" customFormat="1" x14ac:dyDescent="0.2">
      <c r="A153" s="423">
        <f t="shared" si="48"/>
        <v>148</v>
      </c>
      <c r="B153" s="721" t="s">
        <v>4534</v>
      </c>
      <c r="C153" s="655">
        <v>521702</v>
      </c>
      <c r="D153" s="658">
        <v>2005</v>
      </c>
      <c r="E153" s="655" t="s">
        <v>701</v>
      </c>
      <c r="F153" s="546">
        <v>2017</v>
      </c>
      <c r="G153" s="659">
        <v>42895</v>
      </c>
      <c r="H153" s="655" t="s">
        <v>3694</v>
      </c>
      <c r="I153" s="658" t="s">
        <v>4233</v>
      </c>
      <c r="J153" s="712"/>
      <c r="K153" s="655" t="s">
        <v>4234</v>
      </c>
      <c r="L153" s="655" t="s">
        <v>4235</v>
      </c>
      <c r="M153" s="660">
        <v>-183620.69</v>
      </c>
      <c r="N153" s="660">
        <v>0</v>
      </c>
      <c r="O153" s="660">
        <v>-29379.31</v>
      </c>
      <c r="P153" s="660">
        <v>-213000</v>
      </c>
      <c r="Q153" s="548"/>
      <c r="R153" s="660">
        <v>-166863.39000000001</v>
      </c>
      <c r="S153" s="549">
        <f t="shared" si="47"/>
        <v>-46136.609999999986</v>
      </c>
      <c r="T153" s="113" t="s">
        <v>1268</v>
      </c>
      <c r="U153" s="267"/>
      <c r="V153" s="93"/>
      <c r="W153" s="267"/>
      <c r="X153" s="267"/>
      <c r="Y153" s="93"/>
      <c r="Z153" s="618"/>
      <c r="AA153" s="271"/>
      <c r="AB153" s="734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x14ac:dyDescent="0.2">
      <c r="A154" s="423">
        <f t="shared" si="48"/>
        <v>149</v>
      </c>
      <c r="B154" s="721" t="s">
        <v>4535</v>
      </c>
      <c r="C154" s="655">
        <v>521707</v>
      </c>
      <c r="D154" s="658">
        <v>2006</v>
      </c>
      <c r="E154" s="655" t="s">
        <v>702</v>
      </c>
      <c r="F154" s="546">
        <v>2017</v>
      </c>
      <c r="G154" s="659">
        <v>42910</v>
      </c>
      <c r="H154" s="655" t="s">
        <v>819</v>
      </c>
      <c r="I154" s="658" t="s">
        <v>4269</v>
      </c>
      <c r="J154" s="712"/>
      <c r="K154" s="655" t="s">
        <v>4270</v>
      </c>
      <c r="L154" s="655" t="s">
        <v>4271</v>
      </c>
      <c r="M154" s="660">
        <v>201982.76</v>
      </c>
      <c r="N154" s="660">
        <v>0</v>
      </c>
      <c r="O154" s="660">
        <v>32317.24</v>
      </c>
      <c r="P154" s="660">
        <v>234300</v>
      </c>
      <c r="Q154" s="548"/>
      <c r="R154" s="660">
        <v>183052.26</v>
      </c>
      <c r="S154" s="549">
        <f t="shared" si="47"/>
        <v>51247.739999999991</v>
      </c>
      <c r="T154" s="113" t="s">
        <v>1268</v>
      </c>
      <c r="U154" s="267"/>
      <c r="V154" s="93"/>
      <c r="W154" s="267"/>
      <c r="X154" s="267"/>
      <c r="Y154" s="93"/>
      <c r="Z154" s="618"/>
      <c r="AA154" s="717"/>
      <c r="AB154" s="734"/>
      <c r="AC154" s="424"/>
      <c r="AD154" s="425"/>
      <c r="AE154" s="424"/>
      <c r="AF154" s="424"/>
      <c r="AG154" s="396"/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x14ac:dyDescent="0.2">
      <c r="A155" s="423">
        <f t="shared" si="48"/>
        <v>150</v>
      </c>
      <c r="B155" s="721" t="s">
        <v>4536</v>
      </c>
      <c r="C155" s="655">
        <v>521707</v>
      </c>
      <c r="D155" s="658">
        <v>2006</v>
      </c>
      <c r="E155" s="655" t="s">
        <v>702</v>
      </c>
      <c r="F155" s="546">
        <v>2017</v>
      </c>
      <c r="G155" s="659">
        <v>42912</v>
      </c>
      <c r="H155" s="655" t="s">
        <v>819</v>
      </c>
      <c r="I155" s="658" t="s">
        <v>4269</v>
      </c>
      <c r="J155" s="712"/>
      <c r="K155" s="655" t="s">
        <v>4270</v>
      </c>
      <c r="L155" s="655" t="s">
        <v>4271</v>
      </c>
      <c r="M155" s="660">
        <v>-201982.76</v>
      </c>
      <c r="N155" s="660">
        <v>0</v>
      </c>
      <c r="O155" s="660">
        <v>-32317.24</v>
      </c>
      <c r="P155" s="660">
        <v>-234300</v>
      </c>
      <c r="Q155" s="548"/>
      <c r="R155" s="660">
        <v>-183052.26</v>
      </c>
      <c r="S155" s="549">
        <f t="shared" si="47"/>
        <v>-51247.739999999991</v>
      </c>
      <c r="T155" s="267" t="s">
        <v>1268</v>
      </c>
      <c r="U155" s="267"/>
      <c r="V155" s="93"/>
      <c r="W155" s="267"/>
      <c r="X155" s="267"/>
      <c r="Y155" s="93"/>
      <c r="Z155" s="618"/>
      <c r="AA155" s="717"/>
      <c r="AB155" s="734"/>
      <c r="AC155" s="424"/>
      <c r="AD155" s="425"/>
      <c r="AE155" s="424"/>
      <c r="AF155" s="424"/>
      <c r="AG155" s="396"/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x14ac:dyDescent="0.2">
      <c r="A156" s="423">
        <f t="shared" si="48"/>
        <v>151</v>
      </c>
      <c r="B156" s="721" t="s">
        <v>4537</v>
      </c>
      <c r="C156" s="655">
        <v>521702</v>
      </c>
      <c r="D156" s="658">
        <v>2005</v>
      </c>
      <c r="E156" s="655" t="s">
        <v>701</v>
      </c>
      <c r="F156" s="546">
        <v>2017</v>
      </c>
      <c r="G156" s="659">
        <v>42888</v>
      </c>
      <c r="H156" s="655" t="s">
        <v>817</v>
      </c>
      <c r="I156" s="658" t="s">
        <v>4250</v>
      </c>
      <c r="J156" s="712"/>
      <c r="K156" s="655" t="s">
        <v>4251</v>
      </c>
      <c r="L156" s="655" t="s">
        <v>4252</v>
      </c>
      <c r="M156" s="660">
        <v>183620.69</v>
      </c>
      <c r="N156" s="660">
        <v>0</v>
      </c>
      <c r="O156" s="660">
        <v>29379.31</v>
      </c>
      <c r="P156" s="660">
        <v>213000</v>
      </c>
      <c r="Q156" s="548"/>
      <c r="R156" s="660">
        <v>166863.39000000001</v>
      </c>
      <c r="S156" s="549">
        <f t="shared" si="47"/>
        <v>46136.609999999986</v>
      </c>
      <c r="T156" s="267" t="s">
        <v>1268</v>
      </c>
      <c r="U156" s="267"/>
      <c r="V156" s="93"/>
      <c r="W156" s="267"/>
      <c r="X156" s="267"/>
      <c r="Y156" s="93"/>
      <c r="Z156" s="618"/>
      <c r="AA156" s="271"/>
      <c r="AB156" s="734"/>
      <c r="AC156" s="424"/>
      <c r="AD156" s="425"/>
      <c r="AE156" s="424"/>
      <c r="AF156" s="424"/>
      <c r="AG156" s="396"/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48"/>
        <v>152</v>
      </c>
      <c r="B157" s="721" t="s">
        <v>4538</v>
      </c>
      <c r="C157" s="655">
        <v>521702</v>
      </c>
      <c r="D157" s="658">
        <v>2005</v>
      </c>
      <c r="E157" s="655" t="s">
        <v>701</v>
      </c>
      <c r="F157" s="546">
        <v>2017</v>
      </c>
      <c r="G157" s="659">
        <v>42908</v>
      </c>
      <c r="H157" s="655" t="s">
        <v>817</v>
      </c>
      <c r="I157" s="658" t="s">
        <v>4250</v>
      </c>
      <c r="J157" s="712"/>
      <c r="K157" s="655" t="s">
        <v>4251</v>
      </c>
      <c r="L157" s="655" t="s">
        <v>4252</v>
      </c>
      <c r="M157" s="660">
        <v>-183620.69</v>
      </c>
      <c r="N157" s="660">
        <v>0</v>
      </c>
      <c r="O157" s="660">
        <v>-29379.31</v>
      </c>
      <c r="P157" s="660">
        <v>-213000</v>
      </c>
      <c r="Q157" s="548"/>
      <c r="R157" s="660">
        <v>-166863.39000000001</v>
      </c>
      <c r="S157" s="549">
        <f t="shared" si="47"/>
        <v>-46136.609999999986</v>
      </c>
      <c r="T157" s="444" t="s">
        <v>1268</v>
      </c>
      <c r="U157" s="267"/>
      <c r="V157" s="93"/>
      <c r="W157" s="267"/>
      <c r="X157" s="267"/>
      <c r="Y157" s="93"/>
      <c r="Z157" s="618"/>
      <c r="AA157" s="271"/>
      <c r="AB157" s="734"/>
      <c r="AC157" s="424"/>
      <c r="AD157" s="425"/>
      <c r="AE157" s="424"/>
      <c r="AF157" s="424"/>
      <c r="AG157" s="396"/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x14ac:dyDescent="0.2">
      <c r="A158" s="423">
        <f t="shared" si="48"/>
        <v>153</v>
      </c>
      <c r="B158" s="721" t="s">
        <v>4539</v>
      </c>
      <c r="C158" s="655">
        <v>521702</v>
      </c>
      <c r="D158" s="658">
        <v>2005</v>
      </c>
      <c r="E158" s="655" t="s">
        <v>701</v>
      </c>
      <c r="F158" s="546">
        <v>2017</v>
      </c>
      <c r="G158" s="659">
        <v>42898</v>
      </c>
      <c r="H158" s="655" t="s">
        <v>2215</v>
      </c>
      <c r="I158" s="658" t="s">
        <v>3716</v>
      </c>
      <c r="J158" s="712"/>
      <c r="K158" s="655" t="s">
        <v>3859</v>
      </c>
      <c r="L158" s="655" t="s">
        <v>3975</v>
      </c>
      <c r="M158" s="660">
        <v>-183620.69</v>
      </c>
      <c r="N158" s="660">
        <v>0</v>
      </c>
      <c r="O158" s="660">
        <v>-29379.31</v>
      </c>
      <c r="P158" s="660">
        <v>-213000</v>
      </c>
      <c r="Q158" s="548"/>
      <c r="R158" s="660">
        <v>-166912.45000000001</v>
      </c>
      <c r="S158" s="549">
        <f t="shared" si="47"/>
        <v>-46087.549999999988</v>
      </c>
      <c r="T158" s="267" t="s">
        <v>1268</v>
      </c>
      <c r="U158" s="267"/>
      <c r="V158" s="93"/>
      <c r="W158" s="267"/>
      <c r="X158" s="267"/>
      <c r="Y158" s="93"/>
      <c r="Z158" s="618"/>
      <c r="AA158" s="717"/>
      <c r="AB158" s="734"/>
      <c r="AC158" s="424"/>
      <c r="AD158" s="425"/>
      <c r="AE158" s="424"/>
      <c r="AF158" s="424"/>
      <c r="AG158" s="396"/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x14ac:dyDescent="0.2">
      <c r="A159" s="423">
        <f t="shared" si="48"/>
        <v>154</v>
      </c>
      <c r="B159" s="721" t="s">
        <v>4540</v>
      </c>
      <c r="C159" s="655">
        <v>521702</v>
      </c>
      <c r="D159" s="658">
        <v>2005</v>
      </c>
      <c r="E159" s="655" t="s">
        <v>701</v>
      </c>
      <c r="F159" s="546">
        <v>2017</v>
      </c>
      <c r="G159" s="659">
        <v>42898</v>
      </c>
      <c r="H159" s="655" t="s">
        <v>2215</v>
      </c>
      <c r="I159" s="658" t="s">
        <v>3716</v>
      </c>
      <c r="J159" s="712"/>
      <c r="K159" s="655" t="s">
        <v>3859</v>
      </c>
      <c r="L159" s="655" t="s">
        <v>3975</v>
      </c>
      <c r="M159" s="660">
        <v>183620.69</v>
      </c>
      <c r="N159" s="660">
        <v>0</v>
      </c>
      <c r="O159" s="660">
        <v>29379.31</v>
      </c>
      <c r="P159" s="660">
        <v>213000</v>
      </c>
      <c r="Q159" s="548"/>
      <c r="R159" s="660">
        <v>166912.45000000001</v>
      </c>
      <c r="S159" s="549">
        <f t="shared" si="47"/>
        <v>46087.549999999988</v>
      </c>
      <c r="T159" s="267" t="s">
        <v>1268</v>
      </c>
      <c r="U159" s="267"/>
      <c r="V159" s="93"/>
      <c r="W159" s="267"/>
      <c r="X159" s="267"/>
      <c r="Y159" s="93"/>
      <c r="Z159" s="618"/>
      <c r="AA159" s="717"/>
      <c r="AB159" s="734"/>
      <c r="AC159" s="424"/>
      <c r="AD159" s="425"/>
      <c r="AE159" s="424"/>
      <c r="AF159" s="424"/>
      <c r="AG159" s="396"/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x14ac:dyDescent="0.2">
      <c r="A160" s="423">
        <f t="shared" si="48"/>
        <v>155</v>
      </c>
      <c r="B160" s="721" t="s">
        <v>4541</v>
      </c>
      <c r="C160" s="655">
        <v>520909</v>
      </c>
      <c r="D160" s="658">
        <v>2009</v>
      </c>
      <c r="E160" s="655" t="s">
        <v>698</v>
      </c>
      <c r="F160" s="546">
        <v>2017</v>
      </c>
      <c r="G160" s="659">
        <v>42913</v>
      </c>
      <c r="H160" s="655" t="s">
        <v>817</v>
      </c>
      <c r="I160" s="658" t="s">
        <v>4542</v>
      </c>
      <c r="J160" s="712"/>
      <c r="K160" s="655" t="s">
        <v>4195</v>
      </c>
      <c r="L160" s="655" t="s">
        <v>4543</v>
      </c>
      <c r="M160" s="660">
        <v>222500</v>
      </c>
      <c r="N160" s="660">
        <v>0</v>
      </c>
      <c r="O160" s="660">
        <v>35600</v>
      </c>
      <c r="P160" s="660">
        <v>258100</v>
      </c>
      <c r="Q160" s="548"/>
      <c r="R160" s="660">
        <v>201677.35</v>
      </c>
      <c r="S160" s="549">
        <f t="shared" si="47"/>
        <v>56422.649999999994</v>
      </c>
      <c r="T160" s="113" t="s">
        <v>1268</v>
      </c>
      <c r="U160" s="267"/>
      <c r="V160" s="93"/>
      <c r="W160" s="267"/>
      <c r="X160" s="267"/>
      <c r="Y160" s="93"/>
      <c r="Z160" s="618"/>
      <c r="AA160" s="618"/>
      <c r="AB160" s="734"/>
      <c r="AC160" s="424"/>
      <c r="AD160" s="425"/>
      <c r="AE160" s="424"/>
      <c r="AF160" s="424"/>
      <c r="AG160" s="396"/>
      <c r="AH160" s="488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x14ac:dyDescent="0.2">
      <c r="A161" s="423">
        <f t="shared" si="48"/>
        <v>156</v>
      </c>
      <c r="B161" s="721" t="s">
        <v>4544</v>
      </c>
      <c r="C161" s="655">
        <v>520909</v>
      </c>
      <c r="D161" s="658">
        <v>2009</v>
      </c>
      <c r="E161" s="655" t="s">
        <v>698</v>
      </c>
      <c r="F161" s="546">
        <v>2017</v>
      </c>
      <c r="G161" s="659">
        <v>42915</v>
      </c>
      <c r="H161" s="655" t="s">
        <v>817</v>
      </c>
      <c r="I161" s="658" t="s">
        <v>4542</v>
      </c>
      <c r="J161" s="712"/>
      <c r="K161" s="655" t="s">
        <v>4195</v>
      </c>
      <c r="L161" s="655" t="s">
        <v>4543</v>
      </c>
      <c r="M161" s="660">
        <v>-222500</v>
      </c>
      <c r="N161" s="660">
        <v>0</v>
      </c>
      <c r="O161" s="660">
        <v>-35600</v>
      </c>
      <c r="P161" s="660">
        <v>-258100</v>
      </c>
      <c r="Q161" s="548"/>
      <c r="R161" s="660">
        <v>-201677.35</v>
      </c>
      <c r="S161" s="549">
        <f t="shared" si="47"/>
        <v>-56422.649999999994</v>
      </c>
      <c r="T161" s="267" t="s">
        <v>1268</v>
      </c>
      <c r="AB161" s="667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x14ac:dyDescent="0.2">
      <c r="A162" s="423">
        <f t="shared" si="48"/>
        <v>157</v>
      </c>
      <c r="B162" s="721" t="s">
        <v>4545</v>
      </c>
      <c r="C162" s="655">
        <v>522403</v>
      </c>
      <c r="D162" s="658">
        <v>1060</v>
      </c>
      <c r="E162" s="655" t="s">
        <v>721</v>
      </c>
      <c r="F162" s="546">
        <v>2017</v>
      </c>
      <c r="G162" s="659">
        <v>42905</v>
      </c>
      <c r="H162" s="655"/>
      <c r="I162" s="655" t="s">
        <v>4546</v>
      </c>
      <c r="J162" s="712"/>
      <c r="K162" s="655" t="s">
        <v>392</v>
      </c>
      <c r="L162" s="655" t="s">
        <v>4547</v>
      </c>
      <c r="M162" s="660">
        <v>-192306.88</v>
      </c>
      <c r="N162" s="660">
        <v>0</v>
      </c>
      <c r="O162" s="660">
        <v>-30769.1</v>
      </c>
      <c r="P162" s="660">
        <v>-223075.98</v>
      </c>
      <c r="Q162" s="548"/>
      <c r="R162" s="660">
        <v>-185123.95</v>
      </c>
      <c r="S162" s="549">
        <f t="shared" si="47"/>
        <v>-37952.03</v>
      </c>
      <c r="T162" s="113" t="s">
        <v>283</v>
      </c>
      <c r="AB162" s="667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x14ac:dyDescent="0.2">
      <c r="A163" s="423">
        <f t="shared" si="48"/>
        <v>158</v>
      </c>
      <c r="B163" s="721" t="s">
        <v>4548</v>
      </c>
      <c r="C163" s="655">
        <v>522403</v>
      </c>
      <c r="D163" s="658">
        <v>1060</v>
      </c>
      <c r="E163" s="655" t="s">
        <v>721</v>
      </c>
      <c r="F163" s="546">
        <v>2017</v>
      </c>
      <c r="G163" s="659">
        <v>42905</v>
      </c>
      <c r="H163" s="655"/>
      <c r="I163" s="655" t="s">
        <v>4546</v>
      </c>
      <c r="J163" s="712"/>
      <c r="K163" s="655" t="s">
        <v>392</v>
      </c>
      <c r="L163" s="655" t="s">
        <v>4547</v>
      </c>
      <c r="M163" s="660">
        <v>192306.88</v>
      </c>
      <c r="N163" s="660">
        <v>0</v>
      </c>
      <c r="O163" s="660">
        <v>30769.1</v>
      </c>
      <c r="P163" s="660">
        <v>223075.98</v>
      </c>
      <c r="Q163" s="548"/>
      <c r="R163" s="660">
        <v>185123.95</v>
      </c>
      <c r="S163" s="549">
        <f t="shared" si="47"/>
        <v>37952.03</v>
      </c>
      <c r="T163" s="267" t="s">
        <v>283</v>
      </c>
      <c r="U163" s="291"/>
      <c r="V163" s="291"/>
      <c r="W163" s="291"/>
      <c r="X163" s="291"/>
      <c r="Y163" s="291"/>
      <c r="Z163" s="291"/>
      <c r="AA163" s="291"/>
      <c r="AB163" s="667"/>
      <c r="AC163" s="291"/>
      <c r="AD163" s="291"/>
      <c r="AE163" s="291"/>
      <c r="AF163" s="291"/>
      <c r="AG163" s="395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x14ac:dyDescent="0.2">
      <c r="A164" s="423">
        <f t="shared" si="48"/>
        <v>159</v>
      </c>
      <c r="B164" s="721" t="s">
        <v>4549</v>
      </c>
      <c r="C164" s="655">
        <v>522403</v>
      </c>
      <c r="D164" s="658">
        <v>1060</v>
      </c>
      <c r="E164" s="655" t="s">
        <v>721</v>
      </c>
      <c r="F164" s="546">
        <v>2017</v>
      </c>
      <c r="G164" s="659">
        <v>42905</v>
      </c>
      <c r="H164" s="655"/>
      <c r="I164" s="655" t="s">
        <v>4550</v>
      </c>
      <c r="J164" s="712"/>
      <c r="K164" s="655" t="s">
        <v>392</v>
      </c>
      <c r="L164" s="655" t="s">
        <v>4547</v>
      </c>
      <c r="M164" s="660">
        <v>192306.88</v>
      </c>
      <c r="N164" s="660">
        <v>0</v>
      </c>
      <c r="O164" s="660">
        <v>30769.1</v>
      </c>
      <c r="P164" s="660">
        <v>223075.98</v>
      </c>
      <c r="Q164" s="548"/>
      <c r="R164" s="660">
        <v>185123.95</v>
      </c>
      <c r="S164" s="549">
        <f t="shared" si="47"/>
        <v>37952.03</v>
      </c>
      <c r="T164" s="267" t="s">
        <v>283</v>
      </c>
      <c r="AB164" s="642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48"/>
        <v>160</v>
      </c>
      <c r="B165" s="721" t="s">
        <v>4551</v>
      </c>
      <c r="C165" s="655">
        <v>522401</v>
      </c>
      <c r="D165" s="658">
        <v>1062</v>
      </c>
      <c r="E165" s="655" t="s">
        <v>709</v>
      </c>
      <c r="F165" s="546">
        <v>2017</v>
      </c>
      <c r="G165" s="659">
        <v>42899</v>
      </c>
      <c r="H165" s="655"/>
      <c r="I165" s="655" t="s">
        <v>4552</v>
      </c>
      <c r="J165" s="712"/>
      <c r="K165" s="655" t="s">
        <v>99</v>
      </c>
      <c r="L165" s="655" t="s">
        <v>4553</v>
      </c>
      <c r="M165" s="660">
        <v>208391.04000000001</v>
      </c>
      <c r="N165" s="660">
        <v>0</v>
      </c>
      <c r="O165" s="660">
        <v>33342.57</v>
      </c>
      <c r="P165" s="660">
        <v>241733.61</v>
      </c>
      <c r="Q165" s="548"/>
      <c r="R165" s="660">
        <v>208035.7</v>
      </c>
      <c r="S165" s="549">
        <f t="shared" si="47"/>
        <v>33697.909999999974</v>
      </c>
      <c r="T165" s="113" t="s">
        <v>283</v>
      </c>
      <c r="AB165" s="642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x14ac:dyDescent="0.2">
      <c r="A166" s="423">
        <f t="shared" si="48"/>
        <v>161</v>
      </c>
      <c r="B166" s="721" t="s">
        <v>4554</v>
      </c>
      <c r="C166" s="655">
        <v>522401</v>
      </c>
      <c r="D166" s="658">
        <v>1062</v>
      </c>
      <c r="E166" s="655" t="s">
        <v>709</v>
      </c>
      <c r="F166" s="546">
        <v>2017</v>
      </c>
      <c r="G166" s="659">
        <v>42909</v>
      </c>
      <c r="H166" s="655"/>
      <c r="I166" s="655" t="s">
        <v>4555</v>
      </c>
      <c r="J166" s="712"/>
      <c r="K166" s="655" t="s">
        <v>1164</v>
      </c>
      <c r="L166" s="655" t="s">
        <v>4556</v>
      </c>
      <c r="M166" s="660">
        <v>208391.04000000001</v>
      </c>
      <c r="N166" s="660">
        <v>0</v>
      </c>
      <c r="O166" s="660">
        <v>33342.57</v>
      </c>
      <c r="P166" s="660">
        <v>241733.61</v>
      </c>
      <c r="Q166" s="548"/>
      <c r="R166" s="660">
        <v>208035.7</v>
      </c>
      <c r="S166" s="549">
        <f t="shared" si="47"/>
        <v>33697.909999999974</v>
      </c>
      <c r="T166" s="267" t="s">
        <v>283</v>
      </c>
      <c r="AB166" s="642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x14ac:dyDescent="0.2">
      <c r="A167" s="423">
        <f t="shared" si="48"/>
        <v>162</v>
      </c>
      <c r="B167" s="721" t="s">
        <v>4557</v>
      </c>
      <c r="C167" s="655">
        <v>522401</v>
      </c>
      <c r="D167" s="658">
        <v>1062</v>
      </c>
      <c r="E167" s="655" t="s">
        <v>709</v>
      </c>
      <c r="F167" s="546">
        <v>2017</v>
      </c>
      <c r="G167" s="659">
        <v>42913</v>
      </c>
      <c r="H167" s="655"/>
      <c r="I167" s="655" t="s">
        <v>4558</v>
      </c>
      <c r="J167" s="712"/>
      <c r="K167" s="655" t="s">
        <v>1175</v>
      </c>
      <c r="L167" s="655" t="s">
        <v>4559</v>
      </c>
      <c r="M167" s="660">
        <v>208391.04000000001</v>
      </c>
      <c r="N167" s="660">
        <v>0</v>
      </c>
      <c r="O167" s="660">
        <v>33342.57</v>
      </c>
      <c r="P167" s="660">
        <v>241733.61</v>
      </c>
      <c r="Q167" s="548"/>
      <c r="R167" s="660">
        <v>208035.7</v>
      </c>
      <c r="S167" s="549">
        <f t="shared" si="47"/>
        <v>33697.909999999974</v>
      </c>
      <c r="T167" s="113" t="s">
        <v>283</v>
      </c>
      <c r="AB167" s="642"/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x14ac:dyDescent="0.2">
      <c r="A168" s="423">
        <f t="shared" si="48"/>
        <v>163</v>
      </c>
      <c r="B168" s="721" t="s">
        <v>4560</v>
      </c>
      <c r="C168" s="655">
        <v>520226</v>
      </c>
      <c r="D168" s="658">
        <v>1783</v>
      </c>
      <c r="E168" s="655" t="s">
        <v>692</v>
      </c>
      <c r="F168" s="546">
        <v>2017</v>
      </c>
      <c r="G168" s="659">
        <v>42916</v>
      </c>
      <c r="H168" s="655"/>
      <c r="I168" s="655" t="s">
        <v>4561</v>
      </c>
      <c r="J168" s="712"/>
      <c r="K168" s="655" t="s">
        <v>1146</v>
      </c>
      <c r="L168" s="655" t="s">
        <v>4562</v>
      </c>
      <c r="M168" s="660">
        <v>275293.15999999997</v>
      </c>
      <c r="N168" s="660">
        <v>0</v>
      </c>
      <c r="O168" s="660">
        <v>44046.91</v>
      </c>
      <c r="P168" s="660">
        <v>319340.07</v>
      </c>
      <c r="Q168" s="548"/>
      <c r="R168" s="660">
        <v>274937.82</v>
      </c>
      <c r="S168" s="549">
        <f t="shared" si="47"/>
        <v>44402.25</v>
      </c>
      <c r="T168" s="113" t="s">
        <v>283</v>
      </c>
      <c r="AB168" s="642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x14ac:dyDescent="0.2">
      <c r="A169" s="423">
        <f t="shared" si="48"/>
        <v>164</v>
      </c>
      <c r="B169" s="721" t="s">
        <v>4563</v>
      </c>
      <c r="C169" s="655">
        <v>521707</v>
      </c>
      <c r="D169" s="658">
        <v>2006</v>
      </c>
      <c r="E169" s="655" t="s">
        <v>702</v>
      </c>
      <c r="F169" s="546">
        <v>2017</v>
      </c>
      <c r="G169" s="659">
        <v>42900</v>
      </c>
      <c r="H169" s="655"/>
      <c r="I169" s="655" t="s">
        <v>4564</v>
      </c>
      <c r="J169" s="712"/>
      <c r="K169" s="655" t="s">
        <v>357</v>
      </c>
      <c r="L169" s="655" t="s">
        <v>4565</v>
      </c>
      <c r="M169" s="660">
        <v>183407.43</v>
      </c>
      <c r="N169" s="660">
        <v>0</v>
      </c>
      <c r="O169" s="660">
        <v>29345.19</v>
      </c>
      <c r="P169" s="660">
        <v>212752.62</v>
      </c>
      <c r="Q169" s="548"/>
      <c r="R169" s="660">
        <v>183052.26</v>
      </c>
      <c r="S169" s="549">
        <f t="shared" si="47"/>
        <v>29700.359999999986</v>
      </c>
      <c r="T169" s="444" t="s">
        <v>283</v>
      </c>
      <c r="AB169" s="642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x14ac:dyDescent="0.2">
      <c r="A170" s="423">
        <f t="shared" si="48"/>
        <v>165</v>
      </c>
      <c r="B170" s="721" t="s">
        <v>4566</v>
      </c>
      <c r="C170" s="655">
        <v>521707</v>
      </c>
      <c r="D170" s="658">
        <v>2006</v>
      </c>
      <c r="E170" s="655" t="s">
        <v>702</v>
      </c>
      <c r="F170" s="546">
        <v>2017</v>
      </c>
      <c r="G170" s="659">
        <v>42901</v>
      </c>
      <c r="H170" s="655"/>
      <c r="I170" s="655" t="s">
        <v>4567</v>
      </c>
      <c r="J170" s="712"/>
      <c r="K170" s="655" t="s">
        <v>135</v>
      </c>
      <c r="L170" s="655" t="s">
        <v>4568</v>
      </c>
      <c r="M170" s="660">
        <v>183407.6</v>
      </c>
      <c r="N170" s="660">
        <v>0</v>
      </c>
      <c r="O170" s="660">
        <v>29345.22</v>
      </c>
      <c r="P170" s="660">
        <v>212752.82</v>
      </c>
      <c r="Q170" s="548"/>
      <c r="R170" s="660">
        <v>183052.26</v>
      </c>
      <c r="S170" s="549">
        <f t="shared" si="47"/>
        <v>29700.559999999998</v>
      </c>
      <c r="T170" s="113" t="s">
        <v>283</v>
      </c>
      <c r="AB170" s="642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x14ac:dyDescent="0.2">
      <c r="A171" s="423">
        <f t="shared" si="48"/>
        <v>166</v>
      </c>
      <c r="B171" s="721" t="s">
        <v>4569</v>
      </c>
      <c r="C171" s="655">
        <v>520906</v>
      </c>
      <c r="D171" s="658">
        <v>2007</v>
      </c>
      <c r="E171" s="655" t="s">
        <v>2208</v>
      </c>
      <c r="F171" s="546">
        <v>2017</v>
      </c>
      <c r="G171" s="659">
        <v>42899</v>
      </c>
      <c r="H171" s="655"/>
      <c r="I171" s="655" t="s">
        <v>4570</v>
      </c>
      <c r="J171" s="712"/>
      <c r="K171" s="655" t="s">
        <v>1189</v>
      </c>
      <c r="L171" s="655" t="s">
        <v>4571</v>
      </c>
      <c r="M171" s="660">
        <v>168238.56</v>
      </c>
      <c r="N171" s="660">
        <v>0</v>
      </c>
      <c r="O171" s="660">
        <v>26918.17</v>
      </c>
      <c r="P171" s="660">
        <v>195156.73</v>
      </c>
      <c r="Q171" s="548"/>
      <c r="R171" s="660">
        <v>168237.7</v>
      </c>
      <c r="S171" s="549">
        <f t="shared" si="47"/>
        <v>26919.03</v>
      </c>
      <c r="T171" s="113" t="s">
        <v>283</v>
      </c>
      <c r="AB171" s="642"/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x14ac:dyDescent="0.2">
      <c r="A172" s="423">
        <f t="shared" si="48"/>
        <v>167</v>
      </c>
      <c r="B172" s="721" t="s">
        <v>4572</v>
      </c>
      <c r="C172" s="655">
        <v>520909</v>
      </c>
      <c r="D172" s="658">
        <v>2009</v>
      </c>
      <c r="E172" s="655" t="s">
        <v>698</v>
      </c>
      <c r="F172" s="546">
        <v>2017</v>
      </c>
      <c r="G172" s="659">
        <v>42916</v>
      </c>
      <c r="H172" s="655"/>
      <c r="I172" s="655" t="s">
        <v>4542</v>
      </c>
      <c r="J172" s="712"/>
      <c r="K172" s="655" t="s">
        <v>1147</v>
      </c>
      <c r="L172" s="655" t="s">
        <v>4543</v>
      </c>
      <c r="M172" s="660">
        <v>201677.35</v>
      </c>
      <c r="N172" s="660">
        <v>0</v>
      </c>
      <c r="O172" s="660">
        <v>32268.38</v>
      </c>
      <c r="P172" s="660">
        <v>233945.73</v>
      </c>
      <c r="Q172" s="548"/>
      <c r="R172" s="660">
        <v>201677.35</v>
      </c>
      <c r="S172" s="549">
        <f t="shared" si="47"/>
        <v>32268.380000000005</v>
      </c>
      <c r="T172" s="267" t="s">
        <v>283</v>
      </c>
      <c r="AB172" s="642"/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x14ac:dyDescent="0.2">
      <c r="A173" s="423">
        <f t="shared" si="48"/>
        <v>168</v>
      </c>
      <c r="B173" s="721" t="s">
        <v>4573</v>
      </c>
      <c r="C173" s="655">
        <v>521801</v>
      </c>
      <c r="D173" s="658">
        <v>2201</v>
      </c>
      <c r="E173" s="655" t="s">
        <v>704</v>
      </c>
      <c r="F173" s="546">
        <v>2017</v>
      </c>
      <c r="G173" s="659">
        <v>42891</v>
      </c>
      <c r="H173" s="655"/>
      <c r="I173" s="655" t="s">
        <v>4574</v>
      </c>
      <c r="J173" s="712"/>
      <c r="K173" s="655" t="s">
        <v>1710</v>
      </c>
      <c r="L173" s="655" t="s">
        <v>4575</v>
      </c>
      <c r="M173" s="660">
        <v>183988.18</v>
      </c>
      <c r="N173" s="660">
        <v>0</v>
      </c>
      <c r="O173" s="660">
        <v>29438.11</v>
      </c>
      <c r="P173" s="660">
        <v>213426.29</v>
      </c>
      <c r="Q173" s="548"/>
      <c r="R173" s="660">
        <v>183987.84</v>
      </c>
      <c r="S173" s="549">
        <f t="shared" si="47"/>
        <v>29438.450000000012</v>
      </c>
      <c r="T173" s="267" t="s">
        <v>283</v>
      </c>
      <c r="U173" s="267"/>
      <c r="V173" s="93"/>
      <c r="W173" s="267"/>
      <c r="X173" s="267"/>
      <c r="Y173" s="93"/>
      <c r="Z173" s="618"/>
      <c r="AA173" s="424"/>
      <c r="AB173" s="480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x14ac:dyDescent="0.2">
      <c r="A174" s="423">
        <f t="shared" si="48"/>
        <v>169</v>
      </c>
      <c r="B174" s="721" t="s">
        <v>4576</v>
      </c>
      <c r="C174" s="655">
        <v>521801</v>
      </c>
      <c r="D174" s="658">
        <v>2201</v>
      </c>
      <c r="E174" s="655" t="s">
        <v>704</v>
      </c>
      <c r="F174" s="546">
        <v>2017</v>
      </c>
      <c r="G174" s="659">
        <v>42905</v>
      </c>
      <c r="H174" s="655"/>
      <c r="I174" s="655" t="s">
        <v>4577</v>
      </c>
      <c r="J174" s="712"/>
      <c r="K174" s="655" t="s">
        <v>1175</v>
      </c>
      <c r="L174" s="655" t="s">
        <v>3991</v>
      </c>
      <c r="M174" s="660">
        <v>183988.7</v>
      </c>
      <c r="N174" s="660">
        <v>0</v>
      </c>
      <c r="O174" s="660">
        <v>29438.19</v>
      </c>
      <c r="P174" s="660">
        <v>213426.89</v>
      </c>
      <c r="Q174" s="548"/>
      <c r="R174" s="660">
        <v>183987.84</v>
      </c>
      <c r="S174" s="549">
        <f t="shared" si="47"/>
        <v>29439.050000000017</v>
      </c>
      <c r="T174" s="267" t="s">
        <v>283</v>
      </c>
      <c r="U174" s="267"/>
      <c r="V174" s="93"/>
      <c r="W174" s="267"/>
      <c r="X174" s="267"/>
      <c r="Y174" s="93"/>
      <c r="Z174" s="618"/>
      <c r="AA174" s="424"/>
      <c r="AB174" s="480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x14ac:dyDescent="0.2">
      <c r="A175" s="423">
        <f t="shared" si="48"/>
        <v>170</v>
      </c>
      <c r="B175" s="721" t="s">
        <v>4578</v>
      </c>
      <c r="C175" s="655">
        <v>521801</v>
      </c>
      <c r="D175" s="658">
        <v>2201</v>
      </c>
      <c r="E175" s="655" t="s">
        <v>704</v>
      </c>
      <c r="F175" s="546">
        <v>2017</v>
      </c>
      <c r="G175" s="659">
        <v>42916</v>
      </c>
      <c r="H175" s="655"/>
      <c r="I175" s="655" t="s">
        <v>4579</v>
      </c>
      <c r="J175" s="712"/>
      <c r="K175" s="655" t="s">
        <v>1149</v>
      </c>
      <c r="L175" s="655" t="s">
        <v>4580</v>
      </c>
      <c r="M175" s="660">
        <v>183987.71</v>
      </c>
      <c r="N175" s="660">
        <v>0</v>
      </c>
      <c r="O175" s="660">
        <v>29438.03</v>
      </c>
      <c r="P175" s="660">
        <v>213425.74</v>
      </c>
      <c r="Q175" s="548"/>
      <c r="R175" s="660">
        <v>183632.36</v>
      </c>
      <c r="S175" s="549">
        <f t="shared" si="47"/>
        <v>29793.380000000005</v>
      </c>
      <c r="T175" s="267" t="s">
        <v>283</v>
      </c>
      <c r="U175" s="267"/>
      <c r="V175" s="93"/>
      <c r="W175" s="267"/>
      <c r="X175" s="267"/>
      <c r="Y175" s="93"/>
      <c r="Z175" s="618"/>
      <c r="AA175" s="424"/>
      <c r="AB175" s="480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x14ac:dyDescent="0.2">
      <c r="A176" s="423">
        <f t="shared" si="48"/>
        <v>171</v>
      </c>
      <c r="B176" s="721" t="s">
        <v>4581</v>
      </c>
      <c r="C176" s="655">
        <v>520112</v>
      </c>
      <c r="D176" s="658">
        <v>2593</v>
      </c>
      <c r="E176" s="655" t="s">
        <v>685</v>
      </c>
      <c r="F176" s="546">
        <v>2017</v>
      </c>
      <c r="G176" s="659">
        <v>42914</v>
      </c>
      <c r="H176" s="655"/>
      <c r="I176" s="655" t="s">
        <v>4582</v>
      </c>
      <c r="J176" s="712"/>
      <c r="K176" s="655" t="s">
        <v>1672</v>
      </c>
      <c r="L176" s="655" t="s">
        <v>4583</v>
      </c>
      <c r="M176" s="660">
        <v>299423.95</v>
      </c>
      <c r="N176" s="660">
        <v>0</v>
      </c>
      <c r="O176" s="660">
        <v>47907.83</v>
      </c>
      <c r="P176" s="660">
        <v>347331.78</v>
      </c>
      <c r="Q176" s="548"/>
      <c r="R176" s="660">
        <v>289122.77</v>
      </c>
      <c r="S176" s="549">
        <f t="shared" si="47"/>
        <v>58209.010000000009</v>
      </c>
      <c r="T176" s="113" t="s">
        <v>283</v>
      </c>
      <c r="U176" s="267"/>
      <c r="V176" s="93"/>
      <c r="W176" s="267"/>
      <c r="X176" s="267"/>
      <c r="Y176" s="93"/>
      <c r="Z176" s="618"/>
      <c r="AA176" s="424"/>
      <c r="AB176" s="480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x14ac:dyDescent="0.2">
      <c r="A177" s="423">
        <f t="shared" si="48"/>
        <v>172</v>
      </c>
      <c r="B177" s="721" t="s">
        <v>4584</v>
      </c>
      <c r="C177" s="655">
        <v>520112</v>
      </c>
      <c r="D177" s="658">
        <v>2594</v>
      </c>
      <c r="E177" s="655" t="s">
        <v>720</v>
      </c>
      <c r="F177" s="546">
        <v>2017</v>
      </c>
      <c r="G177" s="659">
        <v>42913</v>
      </c>
      <c r="H177" s="655"/>
      <c r="I177" s="655" t="s">
        <v>4585</v>
      </c>
      <c r="J177" s="712"/>
      <c r="K177" s="655" t="s">
        <v>3871</v>
      </c>
      <c r="L177" s="655" t="s">
        <v>4586</v>
      </c>
      <c r="M177" s="660">
        <v>320311.5</v>
      </c>
      <c r="N177" s="660">
        <v>0</v>
      </c>
      <c r="O177" s="660">
        <v>51249.84</v>
      </c>
      <c r="P177" s="660">
        <v>371561.34</v>
      </c>
      <c r="Q177" s="548"/>
      <c r="R177" s="660">
        <v>309619.98</v>
      </c>
      <c r="S177" s="549">
        <f t="shared" si="47"/>
        <v>61941.360000000044</v>
      </c>
      <c r="T177" s="267" t="s">
        <v>283</v>
      </c>
      <c r="U177" s="267"/>
      <c r="V177" s="93"/>
      <c r="W177" s="267"/>
      <c r="X177" s="267"/>
      <c r="Y177" s="93"/>
      <c r="Z177" s="618"/>
      <c r="AA177" s="424"/>
      <c r="AB177" s="480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x14ac:dyDescent="0.2">
      <c r="A178" s="423">
        <f t="shared" si="48"/>
        <v>173</v>
      </c>
      <c r="B178" s="721" t="s">
        <v>4587</v>
      </c>
      <c r="C178" s="655">
        <v>520815</v>
      </c>
      <c r="D178" s="658">
        <v>4492</v>
      </c>
      <c r="E178" s="655" t="s">
        <v>694</v>
      </c>
      <c r="F178" s="546">
        <v>2017</v>
      </c>
      <c r="G178" s="659">
        <v>42907</v>
      </c>
      <c r="H178" s="655"/>
      <c r="I178" s="655" t="s">
        <v>4588</v>
      </c>
      <c r="J178" s="712"/>
      <c r="K178" s="655" t="s">
        <v>3871</v>
      </c>
      <c r="L178" s="655" t="s">
        <v>4589</v>
      </c>
      <c r="M178" s="660">
        <v>311960.86</v>
      </c>
      <c r="N178" s="660">
        <v>0</v>
      </c>
      <c r="O178" s="660">
        <v>49913.74</v>
      </c>
      <c r="P178" s="660">
        <v>361874.6</v>
      </c>
      <c r="Q178" s="548"/>
      <c r="R178" s="660">
        <v>303453</v>
      </c>
      <c r="S178" s="549">
        <f t="shared" si="47"/>
        <v>58421.599999999977</v>
      </c>
      <c r="T178" s="267" t="s">
        <v>283</v>
      </c>
      <c r="U178" s="267"/>
      <c r="V178" s="93"/>
      <c r="W178" s="267"/>
      <c r="X178" s="267"/>
      <c r="Y178" s="93"/>
      <c r="Z178" s="618"/>
      <c r="AA178" s="424"/>
      <c r="AB178" s="480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x14ac:dyDescent="0.2">
      <c r="A179" s="423">
        <f t="shared" si="48"/>
        <v>174</v>
      </c>
      <c r="B179" s="721" t="s">
        <v>4590</v>
      </c>
      <c r="C179" s="655">
        <v>520818</v>
      </c>
      <c r="D179" s="658">
        <v>4495</v>
      </c>
      <c r="E179" s="655" t="s">
        <v>1519</v>
      </c>
      <c r="F179" s="546">
        <v>2017</v>
      </c>
      <c r="G179" s="659">
        <v>42889</v>
      </c>
      <c r="H179" s="655"/>
      <c r="I179" s="655" t="s">
        <v>4591</v>
      </c>
      <c r="J179" s="712"/>
      <c r="K179" s="655" t="s">
        <v>59</v>
      </c>
      <c r="L179" s="655" t="s">
        <v>4592</v>
      </c>
      <c r="M179" s="660">
        <v>366743.13</v>
      </c>
      <c r="N179" s="660">
        <v>0</v>
      </c>
      <c r="O179" s="660">
        <v>58678.9</v>
      </c>
      <c r="P179" s="660">
        <v>425422.03</v>
      </c>
      <c r="Q179" s="548"/>
      <c r="R179" s="660">
        <v>356583.59</v>
      </c>
      <c r="S179" s="549">
        <f t="shared" si="47"/>
        <v>68838.44</v>
      </c>
      <c r="T179" s="267" t="s">
        <v>283</v>
      </c>
      <c r="U179" s="267"/>
      <c r="V179" s="93"/>
      <c r="W179" s="267"/>
      <c r="X179" s="267"/>
      <c r="Y179" s="93"/>
      <c r="Z179" s="618"/>
      <c r="AA179" s="424"/>
      <c r="AB179" s="480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x14ac:dyDescent="0.2">
      <c r="A180" s="423">
        <f t="shared" si="48"/>
        <v>175</v>
      </c>
      <c r="B180" s="721" t="s">
        <v>4593</v>
      </c>
      <c r="C180" s="655">
        <v>520512</v>
      </c>
      <c r="D180" s="658">
        <v>5394</v>
      </c>
      <c r="E180" s="655" t="s">
        <v>223</v>
      </c>
      <c r="F180" s="546">
        <v>2017</v>
      </c>
      <c r="G180" s="659">
        <v>42916</v>
      </c>
      <c r="H180" s="655"/>
      <c r="I180" s="655" t="s">
        <v>4594</v>
      </c>
      <c r="J180" s="712"/>
      <c r="K180" s="655" t="s">
        <v>4595</v>
      </c>
      <c r="L180" s="655" t="s">
        <v>4596</v>
      </c>
      <c r="M180" s="660">
        <v>391965.61</v>
      </c>
      <c r="N180" s="660">
        <v>0</v>
      </c>
      <c r="O180" s="660">
        <v>62714.5</v>
      </c>
      <c r="P180" s="660">
        <v>454680.11</v>
      </c>
      <c r="Q180" s="548"/>
      <c r="R180" s="660">
        <v>391610.27</v>
      </c>
      <c r="S180" s="549">
        <f t="shared" si="47"/>
        <v>63069.839999999967</v>
      </c>
      <c r="T180" s="113" t="s">
        <v>283</v>
      </c>
      <c r="U180" s="267"/>
      <c r="V180" s="93"/>
      <c r="W180" s="267"/>
      <c r="X180" s="267"/>
      <c r="Y180" s="93"/>
      <c r="Z180" s="618"/>
      <c r="AA180" s="424"/>
      <c r="AB180" s="480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x14ac:dyDescent="0.2">
      <c r="A181" s="423">
        <f t="shared" si="48"/>
        <v>176</v>
      </c>
      <c r="B181" s="721" t="s">
        <v>4597</v>
      </c>
      <c r="C181" s="655">
        <v>520515</v>
      </c>
      <c r="D181" s="658">
        <v>5399</v>
      </c>
      <c r="E181" s="655" t="s">
        <v>267</v>
      </c>
      <c r="F181" s="546">
        <v>2017</v>
      </c>
      <c r="G181" s="659">
        <v>42905</v>
      </c>
      <c r="H181" s="655"/>
      <c r="I181" s="655" t="s">
        <v>4598</v>
      </c>
      <c r="J181" s="712"/>
      <c r="K181" s="655" t="s">
        <v>1189</v>
      </c>
      <c r="L181" s="655" t="s">
        <v>4599</v>
      </c>
      <c r="M181" s="660">
        <v>557392.03</v>
      </c>
      <c r="N181" s="660">
        <v>0</v>
      </c>
      <c r="O181" s="660">
        <v>89182.720000000001</v>
      </c>
      <c r="P181" s="660">
        <v>646574.75</v>
      </c>
      <c r="Q181" s="548"/>
      <c r="R181" s="660">
        <v>544393.01</v>
      </c>
      <c r="S181" s="549">
        <f t="shared" si="47"/>
        <v>102181.73999999999</v>
      </c>
      <c r="T181" s="113" t="s">
        <v>283</v>
      </c>
      <c r="U181" s="267"/>
      <c r="V181" s="93"/>
      <c r="W181" s="267"/>
      <c r="X181" s="267"/>
      <c r="Y181" s="93"/>
      <c r="Z181" s="618"/>
      <c r="AA181" s="424"/>
      <c r="AB181" s="480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x14ac:dyDescent="0.2">
      <c r="A182" s="423">
        <f t="shared" si="48"/>
        <v>177</v>
      </c>
      <c r="B182" s="721" t="s">
        <v>4600</v>
      </c>
      <c r="C182" s="655">
        <v>1520204</v>
      </c>
      <c r="D182" s="658">
        <v>5603</v>
      </c>
      <c r="E182" s="655" t="s">
        <v>713</v>
      </c>
      <c r="F182" s="546">
        <v>2017</v>
      </c>
      <c r="G182" s="659">
        <v>42913</v>
      </c>
      <c r="H182" s="655"/>
      <c r="I182" s="655" t="s">
        <v>4601</v>
      </c>
      <c r="J182" s="712"/>
      <c r="K182" s="655" t="s">
        <v>1149</v>
      </c>
      <c r="L182" s="655" t="s">
        <v>4602</v>
      </c>
      <c r="M182" s="660">
        <v>277605.95</v>
      </c>
      <c r="N182" s="660">
        <v>0</v>
      </c>
      <c r="O182" s="660">
        <v>44416.95</v>
      </c>
      <c r="P182" s="660">
        <v>322022.90000000002</v>
      </c>
      <c r="Q182" s="548"/>
      <c r="R182" s="660">
        <v>277250.59999999998</v>
      </c>
      <c r="S182" s="549">
        <f t="shared" si="47"/>
        <v>44772.300000000047</v>
      </c>
      <c r="T182" s="267" t="s">
        <v>283</v>
      </c>
      <c r="U182" s="267"/>
      <c r="V182" s="93"/>
      <c r="W182" s="267"/>
      <c r="X182" s="267"/>
      <c r="Y182" s="93"/>
      <c r="Z182" s="618"/>
      <c r="AA182" s="424"/>
      <c r="AB182" s="480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x14ac:dyDescent="0.2">
      <c r="A183" s="423">
        <f t="shared" si="48"/>
        <v>178</v>
      </c>
      <c r="B183" s="721" t="s">
        <v>4603</v>
      </c>
      <c r="C183" s="655">
        <v>521502</v>
      </c>
      <c r="D183" s="658">
        <v>5611</v>
      </c>
      <c r="E183" s="655" t="s">
        <v>225</v>
      </c>
      <c r="F183" s="546">
        <v>2018</v>
      </c>
      <c r="G183" s="659">
        <v>42916</v>
      </c>
      <c r="H183" s="655"/>
      <c r="I183" s="655" t="s">
        <v>4604</v>
      </c>
      <c r="J183" s="712"/>
      <c r="K183" s="655" t="s">
        <v>3129</v>
      </c>
      <c r="L183" s="655" t="s">
        <v>4605</v>
      </c>
      <c r="M183" s="660">
        <v>346197.84</v>
      </c>
      <c r="N183" s="660">
        <v>0</v>
      </c>
      <c r="O183" s="660">
        <v>55391.66</v>
      </c>
      <c r="P183" s="660">
        <v>401589.5</v>
      </c>
      <c r="Q183" s="548"/>
      <c r="R183" s="660">
        <v>345842.5</v>
      </c>
      <c r="S183" s="549">
        <f t="shared" si="47"/>
        <v>55747</v>
      </c>
      <c r="T183" s="113" t="s">
        <v>283</v>
      </c>
      <c r="U183" s="267"/>
      <c r="V183" s="93"/>
      <c r="W183" s="267"/>
      <c r="X183" s="267"/>
      <c r="Y183" s="93"/>
      <c r="Z183" s="618"/>
      <c r="AA183" s="424"/>
      <c r="AB183" s="480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x14ac:dyDescent="0.2">
      <c r="A184" s="423">
        <f t="shared" si="48"/>
        <v>179</v>
      </c>
      <c r="B184" s="721" t="s">
        <v>4606</v>
      </c>
      <c r="C184" s="655">
        <v>521908</v>
      </c>
      <c r="D184" s="658">
        <v>6980</v>
      </c>
      <c r="E184" s="655" t="s">
        <v>706</v>
      </c>
      <c r="F184" s="546">
        <v>2017</v>
      </c>
      <c r="G184" s="659">
        <v>42889</v>
      </c>
      <c r="H184" s="655"/>
      <c r="I184" s="655" t="s">
        <v>4607</v>
      </c>
      <c r="J184" s="712"/>
      <c r="K184" s="655" t="s">
        <v>3871</v>
      </c>
      <c r="L184" s="655" t="s">
        <v>4608</v>
      </c>
      <c r="M184" s="660">
        <v>460716.53</v>
      </c>
      <c r="N184" s="660">
        <v>0</v>
      </c>
      <c r="O184" s="660">
        <v>73714.64</v>
      </c>
      <c r="P184" s="660">
        <v>534431.17000000004</v>
      </c>
      <c r="Q184" s="548"/>
      <c r="R184" s="660">
        <v>460361.18</v>
      </c>
      <c r="S184" s="549">
        <f t="shared" si="47"/>
        <v>74069.990000000049</v>
      </c>
      <c r="T184" s="113" t="s">
        <v>283</v>
      </c>
      <c r="U184" s="267"/>
      <c r="V184" s="93"/>
      <c r="W184" s="267"/>
      <c r="X184" s="267"/>
      <c r="Y184" s="93"/>
      <c r="Z184" s="618"/>
      <c r="AA184" s="424"/>
      <c r="AB184" s="480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x14ac:dyDescent="0.2">
      <c r="A185" s="423">
        <f t="shared" si="48"/>
        <v>180</v>
      </c>
      <c r="B185" s="721" t="s">
        <v>4609</v>
      </c>
      <c r="C185" s="655">
        <v>521909</v>
      </c>
      <c r="D185" s="658">
        <v>6987</v>
      </c>
      <c r="E185" s="655" t="s">
        <v>708</v>
      </c>
      <c r="F185" s="546">
        <v>2017</v>
      </c>
      <c r="G185" s="659">
        <v>42899</v>
      </c>
      <c r="H185" s="655"/>
      <c r="I185" s="655" t="s">
        <v>4610</v>
      </c>
      <c r="J185" s="712"/>
      <c r="K185" s="655" t="s">
        <v>1189</v>
      </c>
      <c r="L185" s="655" t="s">
        <v>4611</v>
      </c>
      <c r="M185" s="660">
        <v>501435.66</v>
      </c>
      <c r="N185" s="660">
        <v>0</v>
      </c>
      <c r="O185" s="660">
        <v>80229.7</v>
      </c>
      <c r="P185" s="660">
        <v>581665.36</v>
      </c>
      <c r="Q185" s="548"/>
      <c r="R185" s="660">
        <v>501080.31</v>
      </c>
      <c r="S185" s="549">
        <f t="shared" si="47"/>
        <v>80585.049999999988</v>
      </c>
      <c r="T185" s="113" t="s">
        <v>283</v>
      </c>
      <c r="U185" s="267"/>
      <c r="V185" s="93"/>
      <c r="W185" s="267"/>
      <c r="X185" s="267"/>
      <c r="Y185" s="93"/>
      <c r="Z185" s="618"/>
      <c r="AA185" s="424"/>
      <c r="AB185" s="480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x14ac:dyDescent="0.2">
      <c r="A186" s="423">
        <f t="shared" si="48"/>
        <v>181</v>
      </c>
      <c r="B186" s="721" t="s">
        <v>4612</v>
      </c>
      <c r="C186" s="655">
        <v>1520105</v>
      </c>
      <c r="D186" s="658">
        <v>7494</v>
      </c>
      <c r="E186" s="655" t="s">
        <v>712</v>
      </c>
      <c r="F186" s="546">
        <v>2017</v>
      </c>
      <c r="G186" s="659">
        <v>42900</v>
      </c>
      <c r="H186" s="655"/>
      <c r="I186" s="655" t="s">
        <v>4613</v>
      </c>
      <c r="J186" s="712"/>
      <c r="K186" s="655" t="s">
        <v>1672</v>
      </c>
      <c r="L186" s="655" t="s">
        <v>4614</v>
      </c>
      <c r="M186" s="660">
        <v>215868.03</v>
      </c>
      <c r="N186" s="660">
        <v>0</v>
      </c>
      <c r="O186" s="660">
        <v>34538.879999999997</v>
      </c>
      <c r="P186" s="660">
        <v>250406.91</v>
      </c>
      <c r="Q186" s="548"/>
      <c r="R186" s="660">
        <v>205332.7</v>
      </c>
      <c r="S186" s="549">
        <f t="shared" si="47"/>
        <v>45074.209999999992</v>
      </c>
      <c r="T186" s="267" t="s">
        <v>283</v>
      </c>
      <c r="U186" s="267"/>
      <c r="V186" s="93"/>
      <c r="W186" s="267"/>
      <c r="X186" s="267"/>
      <c r="Y186" s="93"/>
      <c r="Z186" s="618"/>
      <c r="AA186" s="424"/>
      <c r="AB186" s="480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x14ac:dyDescent="0.2">
      <c r="A187" s="423">
        <f t="shared" si="48"/>
        <v>182</v>
      </c>
      <c r="B187" s="721" t="s">
        <v>4615</v>
      </c>
      <c r="C187" s="655">
        <v>1520105</v>
      </c>
      <c r="D187" s="658">
        <v>7494</v>
      </c>
      <c r="E187" s="655" t="s">
        <v>712</v>
      </c>
      <c r="F187" s="546">
        <v>2017</v>
      </c>
      <c r="G187" s="659">
        <v>42916</v>
      </c>
      <c r="H187" s="655"/>
      <c r="I187" s="655" t="s">
        <v>4616</v>
      </c>
      <c r="J187" s="712"/>
      <c r="K187" s="655" t="s">
        <v>3130</v>
      </c>
      <c r="L187" s="655" t="s">
        <v>4617</v>
      </c>
      <c r="M187" s="660">
        <v>215868.03</v>
      </c>
      <c r="N187" s="660">
        <v>0</v>
      </c>
      <c r="O187" s="660">
        <v>34538.89</v>
      </c>
      <c r="P187" s="660">
        <v>250406.92</v>
      </c>
      <c r="Q187" s="548"/>
      <c r="R187" s="660">
        <v>215512.69</v>
      </c>
      <c r="S187" s="549">
        <f t="shared" si="47"/>
        <v>34894.23000000001</v>
      </c>
      <c r="T187" s="267" t="s">
        <v>283</v>
      </c>
      <c r="U187" s="267"/>
      <c r="V187" s="93"/>
      <c r="W187" s="267"/>
      <c r="X187" s="267"/>
      <c r="Y187" s="93"/>
      <c r="Z187" s="618"/>
      <c r="AA187" s="424"/>
      <c r="AB187" s="480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x14ac:dyDescent="0.2">
      <c r="A188" s="423">
        <f t="shared" si="48"/>
        <v>183</v>
      </c>
      <c r="B188" s="721" t="s">
        <v>4618</v>
      </c>
      <c r="C188" s="655">
        <v>1520604</v>
      </c>
      <c r="D188" s="658">
        <v>7495</v>
      </c>
      <c r="E188" s="655" t="s">
        <v>718</v>
      </c>
      <c r="F188" s="546">
        <v>2017</v>
      </c>
      <c r="G188" s="659">
        <v>42901</v>
      </c>
      <c r="H188" s="655"/>
      <c r="I188" s="655" t="s">
        <v>4619</v>
      </c>
      <c r="J188" s="712"/>
      <c r="K188" s="655" t="s">
        <v>1164</v>
      </c>
      <c r="L188" s="655" t="s">
        <v>4620</v>
      </c>
      <c r="M188" s="660">
        <v>262806.28000000003</v>
      </c>
      <c r="N188" s="660">
        <v>0</v>
      </c>
      <c r="O188" s="660">
        <v>42049</v>
      </c>
      <c r="P188" s="660">
        <v>304855.28000000003</v>
      </c>
      <c r="Q188" s="548"/>
      <c r="R188" s="660">
        <v>262450.93</v>
      </c>
      <c r="S188" s="549">
        <f t="shared" si="47"/>
        <v>42404.350000000035</v>
      </c>
      <c r="T188" s="267" t="s">
        <v>283</v>
      </c>
      <c r="U188" s="267"/>
      <c r="V188" s="93"/>
      <c r="W188" s="267"/>
      <c r="X188" s="267"/>
      <c r="Y188" s="93"/>
      <c r="Z188" s="618"/>
      <c r="AA188" s="424"/>
      <c r="AB188" s="480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x14ac:dyDescent="0.2">
      <c r="A189" s="423">
        <f t="shared" si="48"/>
        <v>184</v>
      </c>
      <c r="B189" s="721" t="s">
        <v>4621</v>
      </c>
      <c r="C189" s="655">
        <v>1520604</v>
      </c>
      <c r="D189" s="658">
        <v>7495</v>
      </c>
      <c r="E189" s="655" t="s">
        <v>718</v>
      </c>
      <c r="F189" s="546">
        <v>2017</v>
      </c>
      <c r="G189" s="659">
        <v>42901</v>
      </c>
      <c r="H189" s="655"/>
      <c r="I189" s="655" t="s">
        <v>4622</v>
      </c>
      <c r="J189" s="712"/>
      <c r="K189" s="655" t="s">
        <v>1164</v>
      </c>
      <c r="L189" s="655" t="s">
        <v>4623</v>
      </c>
      <c r="M189" s="660">
        <v>262806.28000000003</v>
      </c>
      <c r="N189" s="660">
        <v>0</v>
      </c>
      <c r="O189" s="660">
        <v>42049</v>
      </c>
      <c r="P189" s="660">
        <v>304855.28000000003</v>
      </c>
      <c r="Q189" s="548"/>
      <c r="R189" s="660">
        <v>262450.93</v>
      </c>
      <c r="S189" s="549">
        <f t="shared" si="47"/>
        <v>42404.350000000035</v>
      </c>
      <c r="T189" s="267" t="s">
        <v>283</v>
      </c>
      <c r="U189" s="267"/>
      <c r="V189" s="93"/>
      <c r="W189" s="267"/>
      <c r="X189" s="267"/>
      <c r="Y189" s="93"/>
      <c r="Z189" s="618"/>
      <c r="AA189" s="424"/>
      <c r="AB189" s="480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x14ac:dyDescent="0.2">
      <c r="A190" s="423">
        <f t="shared" si="48"/>
        <v>185</v>
      </c>
      <c r="B190" s="721" t="s">
        <v>4624</v>
      </c>
      <c r="C190" s="655">
        <v>1520604</v>
      </c>
      <c r="D190" s="658">
        <v>7495</v>
      </c>
      <c r="E190" s="655" t="s">
        <v>718</v>
      </c>
      <c r="F190" s="546">
        <v>2017</v>
      </c>
      <c r="G190" s="659">
        <v>42901</v>
      </c>
      <c r="H190" s="655"/>
      <c r="I190" s="655" t="s">
        <v>4625</v>
      </c>
      <c r="J190" s="712"/>
      <c r="K190" s="655" t="s">
        <v>2411</v>
      </c>
      <c r="L190" s="655" t="s">
        <v>4626</v>
      </c>
      <c r="M190" s="660">
        <v>262806.28000000003</v>
      </c>
      <c r="N190" s="660">
        <v>0</v>
      </c>
      <c r="O190" s="660">
        <v>42049</v>
      </c>
      <c r="P190" s="660">
        <v>304855.28000000003</v>
      </c>
      <c r="Q190" s="548"/>
      <c r="R190" s="660">
        <v>262450.93</v>
      </c>
      <c r="S190" s="549">
        <f t="shared" si="47"/>
        <v>42404.350000000035</v>
      </c>
      <c r="T190" s="113" t="s">
        <v>283</v>
      </c>
      <c r="AB190" s="667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x14ac:dyDescent="0.2">
      <c r="A191" s="423">
        <f t="shared" si="48"/>
        <v>186</v>
      </c>
      <c r="B191" s="721" t="s">
        <v>4627</v>
      </c>
      <c r="C191" s="655">
        <v>1520604</v>
      </c>
      <c r="D191" s="658">
        <v>7495</v>
      </c>
      <c r="E191" s="655" t="s">
        <v>718</v>
      </c>
      <c r="F191" s="546">
        <v>2017</v>
      </c>
      <c r="G191" s="659">
        <v>42913</v>
      </c>
      <c r="H191" s="655"/>
      <c r="I191" s="655" t="s">
        <v>4628</v>
      </c>
      <c r="J191" s="712"/>
      <c r="K191" s="655" t="s">
        <v>357</v>
      </c>
      <c r="L191" s="655" t="s">
        <v>4629</v>
      </c>
      <c r="M191" s="660">
        <v>262806.28000000003</v>
      </c>
      <c r="N191" s="660">
        <v>0</v>
      </c>
      <c r="O191" s="660">
        <v>42049</v>
      </c>
      <c r="P191" s="660">
        <v>304855.28000000003</v>
      </c>
      <c r="Q191" s="548"/>
      <c r="R191" s="660">
        <v>262450.93</v>
      </c>
      <c r="S191" s="549">
        <f t="shared" si="47"/>
        <v>42404.350000000035</v>
      </c>
      <c r="T191" s="267" t="s">
        <v>283</v>
      </c>
      <c r="AB191" s="667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48"/>
        <v>187</v>
      </c>
      <c r="B192" s="721" t="s">
        <v>4630</v>
      </c>
      <c r="C192" s="655">
        <v>52062</v>
      </c>
      <c r="D192" s="658" t="s">
        <v>721</v>
      </c>
      <c r="E192" s="655" t="s">
        <v>4631</v>
      </c>
      <c r="F192" s="546">
        <v>2017</v>
      </c>
      <c r="G192" s="659">
        <v>42888</v>
      </c>
      <c r="H192" s="655" t="s">
        <v>2954</v>
      </c>
      <c r="I192" s="655" t="s">
        <v>4632</v>
      </c>
      <c r="J192" s="712"/>
      <c r="K192" s="655" t="s">
        <v>4633</v>
      </c>
      <c r="L192" s="655" t="s">
        <v>4634</v>
      </c>
      <c r="M192" s="660">
        <v>174482.76</v>
      </c>
      <c r="N192" s="660">
        <v>0</v>
      </c>
      <c r="O192" s="660">
        <v>5517.24</v>
      </c>
      <c r="P192" s="660">
        <v>180000</v>
      </c>
      <c r="Q192" s="548"/>
      <c r="R192" s="660">
        <v>140000</v>
      </c>
      <c r="S192" s="549">
        <f t="shared" si="47"/>
        <v>40000</v>
      </c>
      <c r="T192" s="267" t="s">
        <v>4635</v>
      </c>
      <c r="AB192" s="667"/>
      <c r="AI192" s="313"/>
      <c r="AK192" s="296"/>
      <c r="AL192" s="374"/>
      <c r="AM192" s="374"/>
    </row>
    <row r="193" spans="1:45" s="291" customFormat="1" x14ac:dyDescent="0.2">
      <c r="A193" s="423">
        <f t="shared" si="48"/>
        <v>188</v>
      </c>
      <c r="B193" s="721" t="s">
        <v>4636</v>
      </c>
      <c r="C193" s="655">
        <v>52704</v>
      </c>
      <c r="D193" s="658" t="s">
        <v>721</v>
      </c>
      <c r="E193" s="655" t="s">
        <v>4631</v>
      </c>
      <c r="F193" s="546">
        <v>2017</v>
      </c>
      <c r="G193" s="659">
        <v>42893</v>
      </c>
      <c r="H193" s="655" t="s">
        <v>2218</v>
      </c>
      <c r="I193" s="655" t="s">
        <v>4637</v>
      </c>
      <c r="J193" s="712"/>
      <c r="K193" s="655" t="s">
        <v>4638</v>
      </c>
      <c r="L193" s="655" t="s">
        <v>4639</v>
      </c>
      <c r="M193" s="660">
        <v>162758.62</v>
      </c>
      <c r="N193" s="660">
        <v>0</v>
      </c>
      <c r="O193" s="660">
        <v>5241.38</v>
      </c>
      <c r="P193" s="660">
        <v>168000</v>
      </c>
      <c r="Q193" s="548"/>
      <c r="R193" s="660">
        <v>130000</v>
      </c>
      <c r="S193" s="549">
        <f t="shared" si="47"/>
        <v>38000</v>
      </c>
      <c r="T193" s="445" t="s">
        <v>4635</v>
      </c>
      <c r="AB193" s="667"/>
      <c r="AI193" s="313"/>
      <c r="AK193" s="296"/>
      <c r="AL193" s="374"/>
      <c r="AM193" s="374"/>
    </row>
    <row r="194" spans="1:45" s="291" customFormat="1" x14ac:dyDescent="0.2">
      <c r="A194" s="423">
        <f t="shared" si="48"/>
        <v>189</v>
      </c>
      <c r="B194" s="721" t="s">
        <v>4640</v>
      </c>
      <c r="C194" s="655">
        <v>38111</v>
      </c>
      <c r="D194" s="658" t="s">
        <v>721</v>
      </c>
      <c r="E194" s="655" t="s">
        <v>4631</v>
      </c>
      <c r="F194" s="546">
        <v>2017</v>
      </c>
      <c r="G194" s="659">
        <v>42894</v>
      </c>
      <c r="H194" s="655" t="s">
        <v>912</v>
      </c>
      <c r="I194" s="655" t="s">
        <v>4641</v>
      </c>
      <c r="J194" s="712"/>
      <c r="K194" s="655" t="s">
        <v>4642</v>
      </c>
      <c r="L194" s="655" t="s">
        <v>4643</v>
      </c>
      <c r="M194" s="660">
        <v>99137.93</v>
      </c>
      <c r="N194" s="660">
        <v>0</v>
      </c>
      <c r="O194" s="660">
        <v>15862.07</v>
      </c>
      <c r="P194" s="660">
        <v>115000</v>
      </c>
      <c r="Q194" s="548"/>
      <c r="R194" s="660">
        <v>83115.520000000004</v>
      </c>
      <c r="S194" s="549">
        <f t="shared" si="47"/>
        <v>31884.479999999996</v>
      </c>
      <c r="T194" s="267" t="s">
        <v>4635</v>
      </c>
      <c r="AB194" s="667"/>
      <c r="AI194" s="313"/>
      <c r="AJ194" s="374"/>
      <c r="AK194" s="374"/>
      <c r="AL194" s="374"/>
      <c r="AM194" s="374"/>
    </row>
    <row r="195" spans="1:45" s="348" customFormat="1" x14ac:dyDescent="0.2">
      <c r="A195" s="423">
        <f t="shared" si="48"/>
        <v>190</v>
      </c>
      <c r="B195" s="721" t="s">
        <v>4644</v>
      </c>
      <c r="C195" s="655">
        <v>15607</v>
      </c>
      <c r="D195" s="658" t="s">
        <v>721</v>
      </c>
      <c r="E195" s="655" t="s">
        <v>4631</v>
      </c>
      <c r="F195" s="546">
        <v>2017</v>
      </c>
      <c r="G195" s="659">
        <v>42894</v>
      </c>
      <c r="H195" s="655" t="s">
        <v>751</v>
      </c>
      <c r="I195" s="655" t="s">
        <v>4645</v>
      </c>
      <c r="J195" s="712"/>
      <c r="K195" s="655" t="s">
        <v>4646</v>
      </c>
      <c r="L195" s="655" t="s">
        <v>4647</v>
      </c>
      <c r="M195" s="660">
        <v>201034.48</v>
      </c>
      <c r="N195" s="660">
        <v>0</v>
      </c>
      <c r="O195" s="660">
        <v>2965.52</v>
      </c>
      <c r="P195" s="660">
        <v>204000</v>
      </c>
      <c r="Q195" s="548"/>
      <c r="R195" s="660">
        <v>182500</v>
      </c>
      <c r="S195" s="549">
        <f t="shared" si="47"/>
        <v>21500</v>
      </c>
      <c r="T195" s="113" t="s">
        <v>4635</v>
      </c>
      <c r="AB195" s="667"/>
      <c r="AI195" s="363"/>
      <c r="AJ195" s="330"/>
      <c r="AK195" s="330"/>
      <c r="AL195" s="330"/>
      <c r="AM195" s="330"/>
    </row>
    <row r="196" spans="1:45" s="351" customFormat="1" x14ac:dyDescent="0.2">
      <c r="A196" s="423">
        <f t="shared" si="48"/>
        <v>191</v>
      </c>
      <c r="B196" s="721" t="s">
        <v>4648</v>
      </c>
      <c r="C196" s="655">
        <v>250612</v>
      </c>
      <c r="D196" s="658" t="s">
        <v>721</v>
      </c>
      <c r="E196" s="655" t="s">
        <v>4631</v>
      </c>
      <c r="F196" s="546">
        <v>2017</v>
      </c>
      <c r="G196" s="659">
        <v>42895</v>
      </c>
      <c r="H196" s="655" t="s">
        <v>3693</v>
      </c>
      <c r="I196" s="655" t="s">
        <v>4649</v>
      </c>
      <c r="J196" s="712"/>
      <c r="K196" s="655" t="s">
        <v>4650</v>
      </c>
      <c r="L196" s="655" t="s">
        <v>4651</v>
      </c>
      <c r="M196" s="660">
        <v>314655.17</v>
      </c>
      <c r="N196" s="660">
        <v>0</v>
      </c>
      <c r="O196" s="660">
        <v>50344.83</v>
      </c>
      <c r="P196" s="660">
        <v>365000</v>
      </c>
      <c r="Q196" s="548"/>
      <c r="R196" s="660">
        <v>264655.17</v>
      </c>
      <c r="S196" s="549">
        <f t="shared" si="47"/>
        <v>100344.83000000002</v>
      </c>
      <c r="T196" s="267" t="s">
        <v>4635</v>
      </c>
      <c r="AB196" s="667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x14ac:dyDescent="0.2">
      <c r="A197" s="423">
        <f t="shared" si="48"/>
        <v>192</v>
      </c>
      <c r="B197" s="721" t="s">
        <v>4652</v>
      </c>
      <c r="C197" s="655">
        <v>72504</v>
      </c>
      <c r="D197" s="658" t="s">
        <v>721</v>
      </c>
      <c r="E197" s="655" t="s">
        <v>4631</v>
      </c>
      <c r="F197" s="546">
        <v>2017</v>
      </c>
      <c r="G197" s="659">
        <v>42896</v>
      </c>
      <c r="H197" s="655" t="s">
        <v>912</v>
      </c>
      <c r="I197" s="655" t="s">
        <v>4653</v>
      </c>
      <c r="J197" s="712"/>
      <c r="K197" s="655" t="s">
        <v>4654</v>
      </c>
      <c r="L197" s="655" t="s">
        <v>4655</v>
      </c>
      <c r="M197" s="660">
        <v>156827.59</v>
      </c>
      <c r="N197" s="660">
        <v>0</v>
      </c>
      <c r="O197" s="660">
        <v>3172.41</v>
      </c>
      <c r="P197" s="660">
        <v>160000</v>
      </c>
      <c r="Q197" s="548"/>
      <c r="R197" s="660">
        <v>137000</v>
      </c>
      <c r="S197" s="549">
        <f t="shared" si="47"/>
        <v>23000</v>
      </c>
      <c r="T197" s="267" t="s">
        <v>4635</v>
      </c>
      <c r="AB197" s="667"/>
      <c r="AI197" s="313"/>
      <c r="AJ197" s="331"/>
      <c r="AK197" s="330"/>
      <c r="AL197" s="330"/>
      <c r="AM197" s="330"/>
    </row>
    <row r="198" spans="1:45" s="291" customFormat="1" x14ac:dyDescent="0.2">
      <c r="A198" s="423">
        <f t="shared" si="48"/>
        <v>193</v>
      </c>
      <c r="B198" s="721" t="s">
        <v>4656</v>
      </c>
      <c r="C198" s="655">
        <v>52062</v>
      </c>
      <c r="D198" s="658" t="s">
        <v>721</v>
      </c>
      <c r="E198" s="655" t="s">
        <v>4631</v>
      </c>
      <c r="F198" s="546">
        <v>2017</v>
      </c>
      <c r="G198" s="659">
        <v>42898</v>
      </c>
      <c r="H198" s="655" t="s">
        <v>2954</v>
      </c>
      <c r="I198" s="655" t="s">
        <v>4632</v>
      </c>
      <c r="J198" s="712"/>
      <c r="K198" s="655" t="s">
        <v>4633</v>
      </c>
      <c r="L198" s="655" t="s">
        <v>4634</v>
      </c>
      <c r="M198" s="660">
        <v>-174482.76</v>
      </c>
      <c r="N198" s="660">
        <v>0</v>
      </c>
      <c r="O198" s="660">
        <v>-5517.24</v>
      </c>
      <c r="P198" s="660">
        <v>-180000</v>
      </c>
      <c r="Q198" s="548"/>
      <c r="R198" s="660">
        <v>-140000</v>
      </c>
      <c r="S198" s="549">
        <f t="shared" ref="S198:S251" si="49">+P198-R198</f>
        <v>-40000</v>
      </c>
      <c r="T198" s="113" t="s">
        <v>4635</v>
      </c>
      <c r="AB198" s="667"/>
      <c r="AI198" s="313"/>
      <c r="AJ198" s="331"/>
      <c r="AK198" s="374"/>
      <c r="AL198" s="374"/>
      <c r="AM198" s="374"/>
    </row>
    <row r="199" spans="1:45" s="351" customFormat="1" x14ac:dyDescent="0.2">
      <c r="A199" s="423">
        <f t="shared" si="48"/>
        <v>194</v>
      </c>
      <c r="B199" s="721" t="s">
        <v>4657</v>
      </c>
      <c r="C199" s="655">
        <v>72505</v>
      </c>
      <c r="D199" s="658" t="s">
        <v>721</v>
      </c>
      <c r="E199" s="655" t="s">
        <v>4631</v>
      </c>
      <c r="F199" s="546">
        <v>2017</v>
      </c>
      <c r="G199" s="659">
        <v>42898</v>
      </c>
      <c r="H199" s="655" t="s">
        <v>3693</v>
      </c>
      <c r="I199" s="655" t="s">
        <v>4658</v>
      </c>
      <c r="J199" s="712"/>
      <c r="K199" s="655" t="s">
        <v>4659</v>
      </c>
      <c r="L199" s="655" t="s">
        <v>4660</v>
      </c>
      <c r="M199" s="660">
        <v>168448.28</v>
      </c>
      <c r="N199" s="660">
        <v>0</v>
      </c>
      <c r="O199" s="660">
        <v>4551.72</v>
      </c>
      <c r="P199" s="660">
        <v>173000</v>
      </c>
      <c r="Q199" s="548"/>
      <c r="R199" s="660">
        <v>140000</v>
      </c>
      <c r="S199" s="549">
        <f t="shared" si="49"/>
        <v>33000</v>
      </c>
      <c r="T199" s="113" t="s">
        <v>4635</v>
      </c>
      <c r="AB199" s="667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x14ac:dyDescent="0.2">
      <c r="A200" s="423">
        <f t="shared" ref="A200:A251" si="50">+A199+1</f>
        <v>195</v>
      </c>
      <c r="B200" s="721" t="s">
        <v>4661</v>
      </c>
      <c r="C200" s="655">
        <v>43919</v>
      </c>
      <c r="D200" s="658" t="s">
        <v>721</v>
      </c>
      <c r="E200" s="655" t="s">
        <v>4631</v>
      </c>
      <c r="F200" s="546">
        <v>2017</v>
      </c>
      <c r="G200" s="659">
        <v>42898</v>
      </c>
      <c r="H200" s="655" t="s">
        <v>817</v>
      </c>
      <c r="I200" s="655" t="s">
        <v>4662</v>
      </c>
      <c r="J200" s="712"/>
      <c r="K200" s="655" t="s">
        <v>4663</v>
      </c>
      <c r="L200" s="655" t="s">
        <v>4664</v>
      </c>
      <c r="M200" s="660">
        <v>-151275.85999999999</v>
      </c>
      <c r="N200" s="660">
        <v>0</v>
      </c>
      <c r="O200" s="660">
        <v>-3724.14</v>
      </c>
      <c r="P200" s="660">
        <v>-155000</v>
      </c>
      <c r="Q200" s="548"/>
      <c r="R200" s="660">
        <v>-128000</v>
      </c>
      <c r="S200" s="549">
        <f t="shared" si="49"/>
        <v>-27000</v>
      </c>
      <c r="T200" s="267" t="s">
        <v>4635</v>
      </c>
      <c r="AB200" s="667"/>
      <c r="AI200" s="313"/>
      <c r="AJ200" s="374"/>
      <c r="AK200" s="330"/>
      <c r="AL200" s="330"/>
      <c r="AM200" s="330"/>
    </row>
    <row r="201" spans="1:45" s="291" customFormat="1" x14ac:dyDescent="0.2">
      <c r="A201" s="423">
        <f t="shared" si="50"/>
        <v>196</v>
      </c>
      <c r="B201" s="721" t="s">
        <v>4665</v>
      </c>
      <c r="C201" s="655">
        <v>43919</v>
      </c>
      <c r="D201" s="658" t="s">
        <v>721</v>
      </c>
      <c r="E201" s="655" t="s">
        <v>4631</v>
      </c>
      <c r="F201" s="546">
        <v>2017</v>
      </c>
      <c r="G201" s="659">
        <v>42898</v>
      </c>
      <c r="H201" s="655" t="s">
        <v>817</v>
      </c>
      <c r="I201" s="655" t="s">
        <v>4662</v>
      </c>
      <c r="J201" s="712"/>
      <c r="K201" s="655" t="s">
        <v>4663</v>
      </c>
      <c r="L201" s="655" t="s">
        <v>4664</v>
      </c>
      <c r="M201" s="660">
        <v>151275.85999999999</v>
      </c>
      <c r="N201" s="660">
        <v>0</v>
      </c>
      <c r="O201" s="660">
        <v>3724.14</v>
      </c>
      <c r="P201" s="660">
        <v>155000</v>
      </c>
      <c r="Q201" s="548"/>
      <c r="R201" s="660">
        <v>128000</v>
      </c>
      <c r="S201" s="549">
        <f t="shared" si="49"/>
        <v>27000</v>
      </c>
      <c r="T201" s="113" t="s">
        <v>4635</v>
      </c>
      <c r="AB201" s="667"/>
      <c r="AI201" s="313"/>
      <c r="AJ201" s="331"/>
      <c r="AK201" s="374"/>
      <c r="AL201" s="374"/>
      <c r="AM201" s="374"/>
    </row>
    <row r="202" spans="1:45" s="291" customFormat="1" x14ac:dyDescent="0.2">
      <c r="A202" s="423">
        <f t="shared" si="50"/>
        <v>197</v>
      </c>
      <c r="B202" s="721" t="s">
        <v>4666</v>
      </c>
      <c r="C202" s="655">
        <v>43919</v>
      </c>
      <c r="D202" s="658" t="s">
        <v>721</v>
      </c>
      <c r="E202" s="655" t="s">
        <v>4631</v>
      </c>
      <c r="F202" s="546">
        <v>2017</v>
      </c>
      <c r="G202" s="659">
        <v>42898</v>
      </c>
      <c r="H202" s="655" t="s">
        <v>817</v>
      </c>
      <c r="I202" s="655" t="s">
        <v>4662</v>
      </c>
      <c r="J202" s="712"/>
      <c r="K202" s="655" t="s">
        <v>4663</v>
      </c>
      <c r="L202" s="655" t="s">
        <v>4664</v>
      </c>
      <c r="M202" s="660">
        <v>151275.85999999999</v>
      </c>
      <c r="N202" s="660">
        <v>0</v>
      </c>
      <c r="O202" s="660">
        <v>3724.14</v>
      </c>
      <c r="P202" s="660">
        <v>155000</v>
      </c>
      <c r="Q202" s="548"/>
      <c r="R202" s="660">
        <v>128000</v>
      </c>
      <c r="S202" s="549">
        <f t="shared" si="49"/>
        <v>27000</v>
      </c>
      <c r="T202" s="113" t="s">
        <v>4635</v>
      </c>
      <c r="AB202" s="667"/>
      <c r="AI202" s="313"/>
      <c r="AJ202" s="374"/>
      <c r="AK202" s="374"/>
      <c r="AL202" s="374"/>
      <c r="AM202" s="374"/>
    </row>
    <row r="203" spans="1:45" s="348" customFormat="1" x14ac:dyDescent="0.2">
      <c r="A203" s="423">
        <f t="shared" si="50"/>
        <v>198</v>
      </c>
      <c r="B203" s="721" t="s">
        <v>4667</v>
      </c>
      <c r="C203" s="655">
        <v>72505</v>
      </c>
      <c r="D203" s="658" t="s">
        <v>721</v>
      </c>
      <c r="E203" s="655" t="s">
        <v>4631</v>
      </c>
      <c r="F203" s="546">
        <v>2017</v>
      </c>
      <c r="G203" s="659">
        <v>42901</v>
      </c>
      <c r="H203" s="655" t="s">
        <v>3693</v>
      </c>
      <c r="I203" s="655" t="s">
        <v>4658</v>
      </c>
      <c r="J203" s="712"/>
      <c r="K203" s="655" t="s">
        <v>4659</v>
      </c>
      <c r="L203" s="655" t="s">
        <v>4660</v>
      </c>
      <c r="M203" s="660">
        <v>-168448.28</v>
      </c>
      <c r="N203" s="660">
        <v>0</v>
      </c>
      <c r="O203" s="660">
        <v>-4551.72</v>
      </c>
      <c r="P203" s="660">
        <v>-173000</v>
      </c>
      <c r="Q203" s="548"/>
      <c r="R203" s="660">
        <v>-140000</v>
      </c>
      <c r="S203" s="549">
        <f t="shared" si="49"/>
        <v>-33000</v>
      </c>
      <c r="T203" s="267" t="s">
        <v>4635</v>
      </c>
      <c r="AB203" s="667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x14ac:dyDescent="0.2">
      <c r="A204" s="423">
        <f t="shared" si="50"/>
        <v>199</v>
      </c>
      <c r="B204" s="721" t="s">
        <v>4668</v>
      </c>
      <c r="C204" s="655">
        <v>72505</v>
      </c>
      <c r="D204" s="658" t="s">
        <v>721</v>
      </c>
      <c r="E204" s="655" t="s">
        <v>4631</v>
      </c>
      <c r="F204" s="546">
        <v>2017</v>
      </c>
      <c r="G204" s="659">
        <v>42901</v>
      </c>
      <c r="H204" s="655" t="s">
        <v>3693</v>
      </c>
      <c r="I204" s="655" t="s">
        <v>4658</v>
      </c>
      <c r="J204" s="712"/>
      <c r="K204" s="655" t="s">
        <v>4659</v>
      </c>
      <c r="L204" s="655" t="s">
        <v>4660</v>
      </c>
      <c r="M204" s="660">
        <v>168448.28</v>
      </c>
      <c r="N204" s="660">
        <v>0</v>
      </c>
      <c r="O204" s="660">
        <v>4551.72</v>
      </c>
      <c r="P204" s="660">
        <v>173000</v>
      </c>
      <c r="Q204" s="548"/>
      <c r="R204" s="660">
        <v>140000</v>
      </c>
      <c r="S204" s="549">
        <f t="shared" si="49"/>
        <v>33000</v>
      </c>
      <c r="T204" s="113" t="s">
        <v>4635</v>
      </c>
      <c r="AB204" s="667"/>
      <c r="AI204" s="313"/>
      <c r="AJ204" s="374"/>
      <c r="AK204" s="330"/>
      <c r="AL204" s="330"/>
      <c r="AM204" s="330"/>
    </row>
    <row r="205" spans="1:45" s="348" customFormat="1" x14ac:dyDescent="0.2">
      <c r="A205" s="423">
        <f t="shared" si="50"/>
        <v>200</v>
      </c>
      <c r="B205" s="721" t="s">
        <v>4669</v>
      </c>
      <c r="C205" s="655">
        <v>250612</v>
      </c>
      <c r="D205" s="658" t="s">
        <v>721</v>
      </c>
      <c r="E205" s="655" t="s">
        <v>4631</v>
      </c>
      <c r="F205" s="546">
        <v>2017</v>
      </c>
      <c r="G205" s="659">
        <v>42901</v>
      </c>
      <c r="H205" s="655" t="s">
        <v>3693</v>
      </c>
      <c r="I205" s="655" t="s">
        <v>4649</v>
      </c>
      <c r="J205" s="712"/>
      <c r="K205" s="655" t="s">
        <v>4650</v>
      </c>
      <c r="L205" s="655" t="s">
        <v>4651</v>
      </c>
      <c r="M205" s="660">
        <v>-314655.17</v>
      </c>
      <c r="N205" s="660">
        <v>0</v>
      </c>
      <c r="O205" s="660">
        <v>-50344.83</v>
      </c>
      <c r="P205" s="660">
        <v>-365000</v>
      </c>
      <c r="Q205" s="548"/>
      <c r="R205" s="660">
        <v>-264655.17</v>
      </c>
      <c r="S205" s="549">
        <f t="shared" si="49"/>
        <v>-100344.83000000002</v>
      </c>
      <c r="T205" s="444" t="s">
        <v>4635</v>
      </c>
      <c r="U205" s="360"/>
      <c r="V205" s="360"/>
      <c r="W205" s="358"/>
      <c r="X205" s="331"/>
      <c r="Y205" s="360"/>
      <c r="Z205" s="334"/>
      <c r="AA205" s="334"/>
      <c r="AB205" s="673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x14ac:dyDescent="0.2">
      <c r="A206" s="423">
        <f t="shared" si="50"/>
        <v>201</v>
      </c>
      <c r="B206" s="721" t="s">
        <v>4670</v>
      </c>
      <c r="C206" s="655">
        <v>250612</v>
      </c>
      <c r="D206" s="658" t="s">
        <v>721</v>
      </c>
      <c r="E206" s="655" t="s">
        <v>4631</v>
      </c>
      <c r="F206" s="546">
        <v>2017</v>
      </c>
      <c r="G206" s="659">
        <v>42901</v>
      </c>
      <c r="H206" s="655" t="s">
        <v>2954</v>
      </c>
      <c r="I206" s="655" t="s">
        <v>4649</v>
      </c>
      <c r="J206" s="712"/>
      <c r="K206" s="655" t="s">
        <v>4650</v>
      </c>
      <c r="L206" s="655" t="s">
        <v>4651</v>
      </c>
      <c r="M206" s="660">
        <v>313793.09999999998</v>
      </c>
      <c r="N206" s="660">
        <v>0</v>
      </c>
      <c r="O206" s="660">
        <v>50206.9</v>
      </c>
      <c r="P206" s="660">
        <v>364000</v>
      </c>
      <c r="Q206" s="548"/>
      <c r="R206" s="660">
        <v>264655.17</v>
      </c>
      <c r="S206" s="549">
        <f t="shared" si="49"/>
        <v>99344.830000000016</v>
      </c>
      <c r="T206" s="267" t="s">
        <v>4635</v>
      </c>
      <c r="U206" s="370"/>
      <c r="V206" s="370"/>
      <c r="W206" s="375"/>
      <c r="X206" s="374"/>
      <c r="Y206" s="370"/>
      <c r="Z206" s="371"/>
      <c r="AA206" s="371"/>
      <c r="AB206" s="673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x14ac:dyDescent="0.2">
      <c r="A207" s="423">
        <f t="shared" si="50"/>
        <v>202</v>
      </c>
      <c r="B207" s="721" t="s">
        <v>4671</v>
      </c>
      <c r="C207" s="655">
        <v>1033301</v>
      </c>
      <c r="D207" s="658" t="s">
        <v>721</v>
      </c>
      <c r="E207" s="655" t="s">
        <v>4631</v>
      </c>
      <c r="F207" s="546">
        <v>2017</v>
      </c>
      <c r="G207" s="659">
        <v>42902</v>
      </c>
      <c r="H207" s="655" t="s">
        <v>912</v>
      </c>
      <c r="I207" s="655" t="s">
        <v>4672</v>
      </c>
      <c r="J207" s="712"/>
      <c r="K207" s="655" t="s">
        <v>4673</v>
      </c>
      <c r="L207" s="655" t="s">
        <v>4674</v>
      </c>
      <c r="M207" s="660">
        <v>206896.55</v>
      </c>
      <c r="N207" s="660">
        <v>0</v>
      </c>
      <c r="O207" s="660">
        <v>33103.449999999997</v>
      </c>
      <c r="P207" s="660">
        <v>240000</v>
      </c>
      <c r="Q207" s="548"/>
      <c r="R207" s="660">
        <v>172413.79</v>
      </c>
      <c r="S207" s="549">
        <f t="shared" si="49"/>
        <v>67586.209999999992</v>
      </c>
      <c r="T207" s="113" t="s">
        <v>4635</v>
      </c>
      <c r="U207" s="370"/>
      <c r="V207" s="370"/>
      <c r="W207" s="375"/>
      <c r="X207" s="374"/>
      <c r="Y207" s="370"/>
      <c r="Z207" s="371"/>
      <c r="AA207" s="371"/>
      <c r="AB207" s="673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3">
        <f t="shared" si="50"/>
        <v>203</v>
      </c>
      <c r="B208" s="721" t="s">
        <v>4675</v>
      </c>
      <c r="C208" s="655">
        <v>1032010</v>
      </c>
      <c r="D208" s="658" t="s">
        <v>721</v>
      </c>
      <c r="E208" s="655" t="s">
        <v>4631</v>
      </c>
      <c r="F208" s="546">
        <v>2017</v>
      </c>
      <c r="G208" s="659">
        <v>42902</v>
      </c>
      <c r="H208" s="655" t="s">
        <v>1038</v>
      </c>
      <c r="I208" s="655" t="s">
        <v>4676</v>
      </c>
      <c r="J208" s="712"/>
      <c r="K208" s="655" t="s">
        <v>4677</v>
      </c>
      <c r="L208" s="655" t="s">
        <v>4678</v>
      </c>
      <c r="M208" s="660">
        <v>314655.17</v>
      </c>
      <c r="N208" s="660">
        <v>0</v>
      </c>
      <c r="O208" s="660">
        <v>50344.83</v>
      </c>
      <c r="P208" s="660">
        <v>365000</v>
      </c>
      <c r="Q208" s="548"/>
      <c r="R208" s="660">
        <v>268750</v>
      </c>
      <c r="S208" s="549">
        <f t="shared" si="49"/>
        <v>96250</v>
      </c>
      <c r="T208" s="267" t="s">
        <v>4635</v>
      </c>
      <c r="U208" s="354"/>
      <c r="V208" s="354"/>
      <c r="W208" s="355"/>
      <c r="X208" s="330"/>
      <c r="Y208" s="354"/>
      <c r="Z208" s="328"/>
      <c r="AA208" s="328"/>
      <c r="AB208" s="673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x14ac:dyDescent="0.2">
      <c r="A209" s="423">
        <f t="shared" si="50"/>
        <v>204</v>
      </c>
      <c r="B209" s="721" t="s">
        <v>4679</v>
      </c>
      <c r="C209" s="655">
        <v>72505</v>
      </c>
      <c r="D209" s="658" t="s">
        <v>721</v>
      </c>
      <c r="E209" s="655" t="s">
        <v>4631</v>
      </c>
      <c r="F209" s="546">
        <v>2017</v>
      </c>
      <c r="G209" s="659">
        <v>42902</v>
      </c>
      <c r="H209" s="655" t="s">
        <v>3693</v>
      </c>
      <c r="I209" s="655" t="s">
        <v>4658</v>
      </c>
      <c r="J209" s="712"/>
      <c r="K209" s="655" t="s">
        <v>4659</v>
      </c>
      <c r="L209" s="655" t="s">
        <v>4660</v>
      </c>
      <c r="M209" s="660">
        <v>-168448.28</v>
      </c>
      <c r="N209" s="660">
        <v>0</v>
      </c>
      <c r="O209" s="660">
        <v>-4551.72</v>
      </c>
      <c r="P209" s="660">
        <v>-173000</v>
      </c>
      <c r="Q209" s="548"/>
      <c r="R209" s="660">
        <v>-140000</v>
      </c>
      <c r="S209" s="549">
        <f t="shared" si="49"/>
        <v>-33000</v>
      </c>
      <c r="T209" s="267" t="s">
        <v>4635</v>
      </c>
      <c r="U209" s="360"/>
      <c r="V209" s="360"/>
      <c r="W209" s="358"/>
      <c r="X209" s="331"/>
      <c r="Y209" s="360"/>
      <c r="Z209" s="334"/>
      <c r="AA209" s="334"/>
      <c r="AB209" s="673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x14ac:dyDescent="0.2">
      <c r="A210" s="423">
        <f t="shared" si="50"/>
        <v>205</v>
      </c>
      <c r="B210" s="721" t="s">
        <v>4680</v>
      </c>
      <c r="C210" s="655">
        <v>72505</v>
      </c>
      <c r="D210" s="658" t="s">
        <v>721</v>
      </c>
      <c r="E210" s="655" t="s">
        <v>4631</v>
      </c>
      <c r="F210" s="546">
        <v>2017</v>
      </c>
      <c r="G210" s="659">
        <v>42902</v>
      </c>
      <c r="H210" s="655" t="s">
        <v>2954</v>
      </c>
      <c r="I210" s="655" t="s">
        <v>4658</v>
      </c>
      <c r="J210" s="712"/>
      <c r="K210" s="655" t="s">
        <v>4681</v>
      </c>
      <c r="L210" s="655" t="s">
        <v>4660</v>
      </c>
      <c r="M210" s="660">
        <v>168448.28</v>
      </c>
      <c r="N210" s="660">
        <v>0</v>
      </c>
      <c r="O210" s="660">
        <v>4551.72</v>
      </c>
      <c r="P210" s="660">
        <v>173000</v>
      </c>
      <c r="Q210" s="548"/>
      <c r="R210" s="660">
        <v>140000</v>
      </c>
      <c r="S210" s="549">
        <f t="shared" si="49"/>
        <v>33000</v>
      </c>
      <c r="T210" s="267" t="s">
        <v>4635</v>
      </c>
      <c r="U210" s="360"/>
      <c r="V210" s="360"/>
      <c r="W210" s="358"/>
      <c r="X210" s="331"/>
      <c r="Y210" s="360"/>
      <c r="Z210" s="334"/>
      <c r="AA210" s="334"/>
      <c r="AB210" s="673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x14ac:dyDescent="0.2">
      <c r="A211" s="423">
        <f t="shared" si="50"/>
        <v>206</v>
      </c>
      <c r="B211" s="721" t="s">
        <v>4682</v>
      </c>
      <c r="C211" s="655">
        <v>1520204</v>
      </c>
      <c r="D211" s="658" t="s">
        <v>721</v>
      </c>
      <c r="E211" s="655" t="s">
        <v>4631</v>
      </c>
      <c r="F211" s="546">
        <v>2017</v>
      </c>
      <c r="G211" s="659">
        <v>42902</v>
      </c>
      <c r="H211" s="655" t="s">
        <v>751</v>
      </c>
      <c r="I211" s="655" t="s">
        <v>4683</v>
      </c>
      <c r="J211" s="712"/>
      <c r="K211" s="655" t="s">
        <v>2388</v>
      </c>
      <c r="L211" s="655" t="s">
        <v>4684</v>
      </c>
      <c r="M211" s="660">
        <v>181551.72</v>
      </c>
      <c r="N211" s="660">
        <v>0</v>
      </c>
      <c r="O211" s="660">
        <v>3448.28</v>
      </c>
      <c r="P211" s="660">
        <v>185000</v>
      </c>
      <c r="Q211" s="548"/>
      <c r="R211" s="660">
        <v>160000</v>
      </c>
      <c r="S211" s="549">
        <f t="shared" si="49"/>
        <v>25000</v>
      </c>
      <c r="T211" s="267" t="s">
        <v>4635</v>
      </c>
      <c r="U211" s="360"/>
      <c r="V211" s="360"/>
      <c r="W211" s="358"/>
      <c r="X211" s="331"/>
      <c r="Y211" s="360"/>
      <c r="Z211" s="334"/>
      <c r="AA211" s="334"/>
      <c r="AB211" s="673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x14ac:dyDescent="0.2">
      <c r="A212" s="423">
        <f t="shared" si="50"/>
        <v>207</v>
      </c>
      <c r="B212" s="721" t="s">
        <v>4685</v>
      </c>
      <c r="C212" s="655">
        <v>39006</v>
      </c>
      <c r="D212" s="658" t="s">
        <v>721</v>
      </c>
      <c r="E212" s="655" t="s">
        <v>4631</v>
      </c>
      <c r="F212" s="546">
        <v>2017</v>
      </c>
      <c r="G212" s="659">
        <v>42903</v>
      </c>
      <c r="H212" s="655" t="s">
        <v>912</v>
      </c>
      <c r="I212" s="655" t="s">
        <v>4686</v>
      </c>
      <c r="J212" s="712"/>
      <c r="K212" s="655" t="s">
        <v>3200</v>
      </c>
      <c r="L212" s="655" t="s">
        <v>2678</v>
      </c>
      <c r="M212" s="660">
        <v>140517.24</v>
      </c>
      <c r="N212" s="660">
        <v>0</v>
      </c>
      <c r="O212" s="660">
        <v>2482.7600000000002</v>
      </c>
      <c r="P212" s="660">
        <v>143000</v>
      </c>
      <c r="Q212" s="548"/>
      <c r="R212" s="660">
        <v>125000</v>
      </c>
      <c r="S212" s="549">
        <f t="shared" si="49"/>
        <v>18000</v>
      </c>
      <c r="T212" s="267" t="s">
        <v>4635</v>
      </c>
      <c r="U212" s="370"/>
      <c r="V212" s="370"/>
      <c r="W212" s="375"/>
      <c r="X212" s="374"/>
      <c r="Y212" s="370"/>
      <c r="Z212" s="371"/>
      <c r="AA212" s="371"/>
      <c r="AB212" s="673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x14ac:dyDescent="0.2">
      <c r="A213" s="423">
        <f t="shared" si="50"/>
        <v>208</v>
      </c>
      <c r="B213" s="721" t="s">
        <v>4687</v>
      </c>
      <c r="C213" s="655">
        <v>52062</v>
      </c>
      <c r="D213" s="658" t="s">
        <v>721</v>
      </c>
      <c r="E213" s="655" t="s">
        <v>4631</v>
      </c>
      <c r="F213" s="546">
        <v>2017</v>
      </c>
      <c r="G213" s="659">
        <v>42905</v>
      </c>
      <c r="H213" s="655" t="s">
        <v>1211</v>
      </c>
      <c r="I213" s="655" t="s">
        <v>4632</v>
      </c>
      <c r="J213" s="712"/>
      <c r="K213" s="655" t="s">
        <v>4688</v>
      </c>
      <c r="L213" s="655" t="s">
        <v>4634</v>
      </c>
      <c r="M213" s="660">
        <v>167586.21</v>
      </c>
      <c r="N213" s="660">
        <v>0</v>
      </c>
      <c r="O213" s="660">
        <v>4413.79</v>
      </c>
      <c r="P213" s="660">
        <v>172000</v>
      </c>
      <c r="Q213" s="548"/>
      <c r="R213" s="660">
        <v>140000</v>
      </c>
      <c r="S213" s="549">
        <f t="shared" si="49"/>
        <v>32000</v>
      </c>
      <c r="T213" s="267" t="s">
        <v>4635</v>
      </c>
      <c r="U213" s="360"/>
      <c r="V213" s="360"/>
      <c r="W213" s="358"/>
      <c r="X213" s="331"/>
      <c r="Y213" s="360"/>
      <c r="Z213" s="334"/>
      <c r="AA213" s="334"/>
      <c r="AB213" s="673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x14ac:dyDescent="0.2">
      <c r="A214" s="423">
        <f t="shared" si="50"/>
        <v>209</v>
      </c>
      <c r="B214" s="721" t="s">
        <v>4689</v>
      </c>
      <c r="C214" s="655">
        <v>56601</v>
      </c>
      <c r="D214" s="658" t="s">
        <v>721</v>
      </c>
      <c r="E214" s="655" t="s">
        <v>4631</v>
      </c>
      <c r="F214" s="546">
        <v>2017</v>
      </c>
      <c r="G214" s="659">
        <v>42905</v>
      </c>
      <c r="H214" s="655" t="s">
        <v>2954</v>
      </c>
      <c r="I214" s="655" t="s">
        <v>4690</v>
      </c>
      <c r="J214" s="712"/>
      <c r="K214" s="655" t="s">
        <v>4691</v>
      </c>
      <c r="L214" s="655" t="s">
        <v>4692</v>
      </c>
      <c r="M214" s="660">
        <v>134137.93</v>
      </c>
      <c r="N214" s="660">
        <v>0</v>
      </c>
      <c r="O214" s="660">
        <v>3862.07</v>
      </c>
      <c r="P214" s="660">
        <v>138000</v>
      </c>
      <c r="Q214" s="548"/>
      <c r="R214" s="660">
        <v>110000</v>
      </c>
      <c r="S214" s="549">
        <f t="shared" si="49"/>
        <v>28000</v>
      </c>
      <c r="T214" s="267" t="s">
        <v>4635</v>
      </c>
      <c r="U214" s="370"/>
      <c r="V214" s="370"/>
      <c r="W214" s="375"/>
      <c r="X214" s="374"/>
      <c r="Y214" s="370"/>
      <c r="Z214" s="371"/>
      <c r="AA214" s="371"/>
      <c r="AB214" s="673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x14ac:dyDescent="0.2">
      <c r="A215" s="423">
        <f t="shared" si="50"/>
        <v>210</v>
      </c>
      <c r="B215" s="721" t="s">
        <v>4693</v>
      </c>
      <c r="C215" s="655">
        <v>72505</v>
      </c>
      <c r="D215" s="658" t="s">
        <v>721</v>
      </c>
      <c r="E215" s="655" t="s">
        <v>4631</v>
      </c>
      <c r="F215" s="546">
        <v>2017</v>
      </c>
      <c r="G215" s="659">
        <v>42906</v>
      </c>
      <c r="H215" s="655" t="s">
        <v>2954</v>
      </c>
      <c r="I215" s="655" t="s">
        <v>4658</v>
      </c>
      <c r="J215" s="712"/>
      <c r="K215" s="655" t="s">
        <v>4681</v>
      </c>
      <c r="L215" s="655" t="s">
        <v>4660</v>
      </c>
      <c r="M215" s="660">
        <v>-168448.28</v>
      </c>
      <c r="N215" s="660">
        <v>0</v>
      </c>
      <c r="O215" s="660">
        <v>-4551.72</v>
      </c>
      <c r="P215" s="660">
        <v>-173000</v>
      </c>
      <c r="Q215" s="548"/>
      <c r="R215" s="660">
        <v>-140000</v>
      </c>
      <c r="S215" s="549">
        <f t="shared" si="49"/>
        <v>-33000</v>
      </c>
      <c r="T215" s="267" t="s">
        <v>4635</v>
      </c>
      <c r="U215" s="370"/>
      <c r="V215" s="370"/>
      <c r="W215" s="375"/>
      <c r="X215" s="374"/>
      <c r="Y215" s="370"/>
      <c r="Z215" s="371"/>
      <c r="AA215" s="371"/>
      <c r="AB215" s="673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x14ac:dyDescent="0.2">
      <c r="A216" s="423">
        <f t="shared" si="50"/>
        <v>211</v>
      </c>
      <c r="B216" s="721" t="s">
        <v>4694</v>
      </c>
      <c r="C216" s="655">
        <v>72505</v>
      </c>
      <c r="D216" s="658" t="s">
        <v>721</v>
      </c>
      <c r="E216" s="655" t="s">
        <v>4631</v>
      </c>
      <c r="F216" s="546">
        <v>2017</v>
      </c>
      <c r="G216" s="659">
        <v>42906</v>
      </c>
      <c r="H216" s="655" t="s">
        <v>2954</v>
      </c>
      <c r="I216" s="655" t="s">
        <v>4658</v>
      </c>
      <c r="J216" s="712"/>
      <c r="K216" s="655" t="s">
        <v>4681</v>
      </c>
      <c r="L216" s="655" t="s">
        <v>4660</v>
      </c>
      <c r="M216" s="660">
        <v>168448.28</v>
      </c>
      <c r="N216" s="660">
        <v>0</v>
      </c>
      <c r="O216" s="660">
        <v>4551.72</v>
      </c>
      <c r="P216" s="660">
        <v>173000</v>
      </c>
      <c r="Q216" s="548"/>
      <c r="R216" s="660">
        <v>140000</v>
      </c>
      <c r="S216" s="549">
        <f t="shared" si="49"/>
        <v>33000</v>
      </c>
      <c r="T216" s="267" t="s">
        <v>4635</v>
      </c>
      <c r="U216" s="360"/>
      <c r="V216" s="360"/>
      <c r="W216" s="358"/>
      <c r="X216" s="331"/>
      <c r="Y216" s="360"/>
      <c r="Z216" s="334"/>
      <c r="AA216" s="334"/>
      <c r="AB216" s="673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x14ac:dyDescent="0.2">
      <c r="A217" s="423">
        <f t="shared" si="50"/>
        <v>212</v>
      </c>
      <c r="B217" s="721" t="s">
        <v>4695</v>
      </c>
      <c r="C217" s="655">
        <v>591101</v>
      </c>
      <c r="D217" s="658" t="s">
        <v>721</v>
      </c>
      <c r="E217" s="655" t="s">
        <v>4631</v>
      </c>
      <c r="F217" s="546">
        <v>2017</v>
      </c>
      <c r="G217" s="659">
        <v>42906</v>
      </c>
      <c r="H217" s="655" t="s">
        <v>1207</v>
      </c>
      <c r="I217" s="655" t="s">
        <v>4696</v>
      </c>
      <c r="J217" s="712"/>
      <c r="K217" s="655" t="s">
        <v>4697</v>
      </c>
      <c r="L217" s="655" t="s">
        <v>4698</v>
      </c>
      <c r="M217" s="660">
        <v>244482.76</v>
      </c>
      <c r="N217" s="660">
        <v>0</v>
      </c>
      <c r="O217" s="660">
        <v>5517.24</v>
      </c>
      <c r="P217" s="660">
        <v>250000</v>
      </c>
      <c r="Q217" s="548"/>
      <c r="R217" s="660">
        <v>210000</v>
      </c>
      <c r="S217" s="549">
        <f t="shared" si="49"/>
        <v>40000</v>
      </c>
      <c r="T217" s="267" t="s">
        <v>4635</v>
      </c>
      <c r="U217" s="360"/>
      <c r="V217" s="360"/>
      <c r="W217" s="358"/>
      <c r="X217" s="331"/>
      <c r="Y217" s="360"/>
      <c r="Z217" s="334"/>
      <c r="AA217" s="334"/>
      <c r="AB217" s="673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x14ac:dyDescent="0.2">
      <c r="A218" s="423">
        <f t="shared" si="50"/>
        <v>213</v>
      </c>
      <c r="B218" s="721" t="s">
        <v>4699</v>
      </c>
      <c r="C218" s="655">
        <v>1520302</v>
      </c>
      <c r="D218" s="658" t="s">
        <v>721</v>
      </c>
      <c r="E218" s="655" t="s">
        <v>4631</v>
      </c>
      <c r="F218" s="546">
        <v>2017</v>
      </c>
      <c r="G218" s="659">
        <v>42907</v>
      </c>
      <c r="H218" s="655" t="s">
        <v>751</v>
      </c>
      <c r="I218" s="655" t="s">
        <v>4700</v>
      </c>
      <c r="J218" s="712"/>
      <c r="K218" s="655" t="s">
        <v>4646</v>
      </c>
      <c r="L218" s="655" t="s">
        <v>4701</v>
      </c>
      <c r="M218" s="660">
        <v>251810.34</v>
      </c>
      <c r="N218" s="660">
        <v>0</v>
      </c>
      <c r="O218" s="660">
        <v>5089.66</v>
      </c>
      <c r="P218" s="660">
        <v>256900</v>
      </c>
      <c r="Q218" s="548"/>
      <c r="R218" s="660">
        <v>220000</v>
      </c>
      <c r="S218" s="549">
        <f t="shared" si="49"/>
        <v>36900</v>
      </c>
      <c r="T218" s="267" t="s">
        <v>4635</v>
      </c>
      <c r="U218" s="354"/>
      <c r="V218" s="354"/>
      <c r="W218" s="355"/>
      <c r="X218" s="330"/>
      <c r="Y218" s="354"/>
      <c r="Z218" s="328"/>
      <c r="AA218" s="328"/>
      <c r="AB218" s="673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x14ac:dyDescent="0.2">
      <c r="A219" s="423">
        <f t="shared" si="50"/>
        <v>214</v>
      </c>
      <c r="B219" s="721" t="s">
        <v>4702</v>
      </c>
      <c r="C219" s="655">
        <v>521502</v>
      </c>
      <c r="D219" s="658" t="s">
        <v>721</v>
      </c>
      <c r="E219" s="655" t="s">
        <v>4631</v>
      </c>
      <c r="F219" s="546">
        <v>2017</v>
      </c>
      <c r="G219" s="659">
        <v>42912</v>
      </c>
      <c r="H219" s="655" t="s">
        <v>2218</v>
      </c>
      <c r="I219" s="655" t="s">
        <v>4703</v>
      </c>
      <c r="J219" s="712"/>
      <c r="K219" s="655" t="s">
        <v>4704</v>
      </c>
      <c r="L219" s="655" t="s">
        <v>4705</v>
      </c>
      <c r="M219" s="660">
        <v>293103.45</v>
      </c>
      <c r="N219" s="660">
        <v>0</v>
      </c>
      <c r="O219" s="660">
        <v>46896.55</v>
      </c>
      <c r="P219" s="660">
        <v>340000</v>
      </c>
      <c r="Q219" s="548"/>
      <c r="R219" s="660">
        <v>253275.86</v>
      </c>
      <c r="S219" s="549">
        <f t="shared" si="49"/>
        <v>86724.140000000014</v>
      </c>
      <c r="T219" s="267" t="s">
        <v>4635</v>
      </c>
      <c r="U219" s="370"/>
      <c r="V219" s="370"/>
      <c r="W219" s="375"/>
      <c r="X219" s="374"/>
      <c r="Y219" s="370"/>
      <c r="Z219" s="371"/>
      <c r="AA219" s="371"/>
      <c r="AB219" s="673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x14ac:dyDescent="0.2">
      <c r="A220" s="423">
        <f t="shared" si="50"/>
        <v>215</v>
      </c>
      <c r="B220" s="721" t="s">
        <v>4706</v>
      </c>
      <c r="C220" s="655">
        <v>521908</v>
      </c>
      <c r="D220" s="658" t="s">
        <v>721</v>
      </c>
      <c r="E220" s="655" t="s">
        <v>4631</v>
      </c>
      <c r="F220" s="546">
        <v>2017</v>
      </c>
      <c r="G220" s="659">
        <v>42913</v>
      </c>
      <c r="H220" s="655" t="s">
        <v>751</v>
      </c>
      <c r="I220" s="655" t="s">
        <v>4707</v>
      </c>
      <c r="J220" s="712"/>
      <c r="K220" s="655" t="s">
        <v>3934</v>
      </c>
      <c r="L220" s="655" t="s">
        <v>4708</v>
      </c>
      <c r="M220" s="660">
        <v>326293.09999999998</v>
      </c>
      <c r="N220" s="660">
        <v>0</v>
      </c>
      <c r="O220" s="660">
        <v>52206.9</v>
      </c>
      <c r="P220" s="660">
        <v>378500</v>
      </c>
      <c r="Q220" s="548"/>
      <c r="R220" s="660">
        <v>318965.52</v>
      </c>
      <c r="S220" s="549">
        <f t="shared" si="49"/>
        <v>59534.479999999981</v>
      </c>
      <c r="T220" s="267" t="s">
        <v>4635</v>
      </c>
      <c r="U220" s="360"/>
      <c r="V220" s="360"/>
      <c r="W220" s="358"/>
      <c r="X220" s="331"/>
      <c r="Y220" s="360"/>
      <c r="Z220" s="334"/>
      <c r="AA220" s="334"/>
      <c r="AB220" s="673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x14ac:dyDescent="0.2">
      <c r="A221" s="423">
        <f t="shared" si="50"/>
        <v>216</v>
      </c>
      <c r="B221" s="721" t="s">
        <v>4709</v>
      </c>
      <c r="C221" s="655">
        <v>521502</v>
      </c>
      <c r="D221" s="658" t="s">
        <v>721</v>
      </c>
      <c r="E221" s="655" t="s">
        <v>4631</v>
      </c>
      <c r="F221" s="546">
        <v>2017</v>
      </c>
      <c r="G221" s="659">
        <v>42913</v>
      </c>
      <c r="H221" s="655" t="s">
        <v>2218</v>
      </c>
      <c r="I221" s="655" t="s">
        <v>4703</v>
      </c>
      <c r="J221" s="712"/>
      <c r="K221" s="655" t="s">
        <v>4704</v>
      </c>
      <c r="L221" s="655" t="s">
        <v>4705</v>
      </c>
      <c r="M221" s="660">
        <v>-293103.45</v>
      </c>
      <c r="N221" s="660">
        <v>0</v>
      </c>
      <c r="O221" s="660">
        <v>-46896.55</v>
      </c>
      <c r="P221" s="660">
        <v>-340000</v>
      </c>
      <c r="Q221" s="548"/>
      <c r="R221" s="660">
        <v>-253275.86</v>
      </c>
      <c r="S221" s="549">
        <f t="shared" si="49"/>
        <v>-86724.140000000014</v>
      </c>
      <c r="T221" s="267" t="s">
        <v>4635</v>
      </c>
      <c r="U221" s="370"/>
      <c r="V221" s="370"/>
      <c r="W221" s="375"/>
      <c r="X221" s="374"/>
      <c r="Y221" s="370"/>
      <c r="Z221" s="371"/>
      <c r="AA221" s="371"/>
      <c r="AB221" s="673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x14ac:dyDescent="0.2">
      <c r="A222" s="423">
        <f t="shared" si="50"/>
        <v>217</v>
      </c>
      <c r="B222" s="721" t="s">
        <v>4710</v>
      </c>
      <c r="C222" s="655">
        <v>521502</v>
      </c>
      <c r="D222" s="658" t="s">
        <v>721</v>
      </c>
      <c r="E222" s="655" t="s">
        <v>4631</v>
      </c>
      <c r="F222" s="546">
        <v>2017</v>
      </c>
      <c r="G222" s="659">
        <v>42913</v>
      </c>
      <c r="H222" s="655" t="s">
        <v>2218</v>
      </c>
      <c r="I222" s="655" t="s">
        <v>4703</v>
      </c>
      <c r="J222" s="712"/>
      <c r="K222" s="655" t="s">
        <v>4704</v>
      </c>
      <c r="L222" s="655" t="s">
        <v>4705</v>
      </c>
      <c r="M222" s="660">
        <v>293103.45</v>
      </c>
      <c r="N222" s="660">
        <v>0</v>
      </c>
      <c r="O222" s="660">
        <v>46896.55</v>
      </c>
      <c r="P222" s="660">
        <v>340000</v>
      </c>
      <c r="Q222" s="548"/>
      <c r="R222" s="660">
        <v>253275.86</v>
      </c>
      <c r="S222" s="549">
        <f t="shared" si="49"/>
        <v>86724.140000000014</v>
      </c>
      <c r="T222" s="267" t="s">
        <v>4635</v>
      </c>
      <c r="U222" s="370"/>
      <c r="V222" s="370"/>
      <c r="W222" s="375"/>
      <c r="X222" s="374"/>
      <c r="Y222" s="370"/>
      <c r="Z222" s="371"/>
      <c r="AA222" s="371"/>
      <c r="AB222" s="673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x14ac:dyDescent="0.2">
      <c r="A223" s="423">
        <f t="shared" si="50"/>
        <v>218</v>
      </c>
      <c r="B223" s="721" t="s">
        <v>4711</v>
      </c>
      <c r="C223" s="655">
        <v>491517</v>
      </c>
      <c r="D223" s="658" t="s">
        <v>721</v>
      </c>
      <c r="E223" s="655" t="s">
        <v>4631</v>
      </c>
      <c r="F223" s="546">
        <v>2017</v>
      </c>
      <c r="G223" s="659">
        <v>42915</v>
      </c>
      <c r="H223" s="655" t="s">
        <v>751</v>
      </c>
      <c r="I223" s="655" t="s">
        <v>4712</v>
      </c>
      <c r="J223" s="712"/>
      <c r="K223" s="655" t="s">
        <v>4646</v>
      </c>
      <c r="L223" s="655" t="s">
        <v>4713</v>
      </c>
      <c r="M223" s="660">
        <v>289310.34000000003</v>
      </c>
      <c r="N223" s="660">
        <v>0</v>
      </c>
      <c r="O223" s="660">
        <v>689.66</v>
      </c>
      <c r="P223" s="660">
        <v>290000</v>
      </c>
      <c r="Q223" s="548"/>
      <c r="R223" s="660">
        <v>285000</v>
      </c>
      <c r="S223" s="549">
        <f t="shared" si="49"/>
        <v>5000</v>
      </c>
      <c r="T223" s="267" t="s">
        <v>4635</v>
      </c>
      <c r="U223" s="370"/>
      <c r="V223" s="370"/>
      <c r="W223" s="375"/>
      <c r="X223" s="374"/>
      <c r="Y223" s="370"/>
      <c r="Z223" s="371"/>
      <c r="AA223" s="371"/>
      <c r="AB223" s="673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x14ac:dyDescent="0.2">
      <c r="A224" s="423">
        <f t="shared" si="50"/>
        <v>219</v>
      </c>
      <c r="B224" s="721" t="s">
        <v>4714</v>
      </c>
      <c r="C224" s="655">
        <v>38109</v>
      </c>
      <c r="D224" s="658" t="s">
        <v>721</v>
      </c>
      <c r="E224" s="655" t="s">
        <v>4631</v>
      </c>
      <c r="F224" s="546">
        <v>2017</v>
      </c>
      <c r="G224" s="659">
        <v>42916</v>
      </c>
      <c r="H224" s="655" t="s">
        <v>751</v>
      </c>
      <c r="I224" s="655" t="s">
        <v>4715</v>
      </c>
      <c r="J224" s="712"/>
      <c r="K224" s="655" t="s">
        <v>4716</v>
      </c>
      <c r="L224" s="655" t="s">
        <v>4717</v>
      </c>
      <c r="M224" s="660">
        <v>87758.62</v>
      </c>
      <c r="N224" s="660">
        <v>0</v>
      </c>
      <c r="O224" s="660">
        <v>1241.3800000000001</v>
      </c>
      <c r="P224" s="660">
        <v>89000</v>
      </c>
      <c r="Q224" s="548"/>
      <c r="R224" s="660">
        <v>80000</v>
      </c>
      <c r="S224" s="549">
        <f t="shared" si="49"/>
        <v>9000</v>
      </c>
      <c r="T224" s="113" t="s">
        <v>4635</v>
      </c>
      <c r="U224" s="370"/>
      <c r="V224" s="370"/>
      <c r="W224" s="375"/>
      <c r="X224" s="374"/>
      <c r="Y224" s="370"/>
      <c r="Z224" s="371"/>
      <c r="AA224" s="371"/>
      <c r="AB224" s="673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39" s="291" customFormat="1" x14ac:dyDescent="0.2">
      <c r="A225" s="423">
        <f t="shared" si="50"/>
        <v>220</v>
      </c>
      <c r="B225" s="721" t="s">
        <v>4718</v>
      </c>
      <c r="C225" s="655">
        <v>521801</v>
      </c>
      <c r="D225" s="655" t="s">
        <v>686</v>
      </c>
      <c r="E225" s="655" t="s">
        <v>709</v>
      </c>
      <c r="F225" s="546">
        <v>2017</v>
      </c>
      <c r="G225" s="659">
        <v>42893</v>
      </c>
      <c r="H225" s="655" t="s">
        <v>1038</v>
      </c>
      <c r="I225" s="655" t="s">
        <v>4719</v>
      </c>
      <c r="J225" s="712"/>
      <c r="K225" s="655" t="s">
        <v>4720</v>
      </c>
      <c r="L225" s="655" t="s">
        <v>4721</v>
      </c>
      <c r="M225" s="660">
        <v>199482.76</v>
      </c>
      <c r="N225" s="660">
        <v>0</v>
      </c>
      <c r="O225" s="660">
        <v>5517.24</v>
      </c>
      <c r="P225" s="660">
        <v>205000</v>
      </c>
      <c r="Q225" s="548"/>
      <c r="R225" s="660">
        <v>165000</v>
      </c>
      <c r="S225" s="549">
        <f t="shared" si="49"/>
        <v>40000</v>
      </c>
      <c r="T225" s="267" t="s">
        <v>4635</v>
      </c>
      <c r="U225" s="370"/>
      <c r="V225" s="370"/>
      <c r="W225" s="375"/>
      <c r="X225" s="374"/>
      <c r="Y225" s="370"/>
      <c r="Z225" s="371"/>
      <c r="AA225" s="371"/>
      <c r="AB225" s="673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39" s="348" customFormat="1" x14ac:dyDescent="0.2">
      <c r="A226" s="423">
        <f t="shared" si="50"/>
        <v>221</v>
      </c>
      <c r="B226" s="721" t="s">
        <v>4722</v>
      </c>
      <c r="C226" s="655">
        <v>520224</v>
      </c>
      <c r="D226" s="655" t="s">
        <v>686</v>
      </c>
      <c r="E226" s="655" t="s">
        <v>709</v>
      </c>
      <c r="F226" s="546">
        <v>2017</v>
      </c>
      <c r="G226" s="659">
        <v>42902</v>
      </c>
      <c r="H226" s="655" t="s">
        <v>1207</v>
      </c>
      <c r="I226" s="655" t="s">
        <v>4723</v>
      </c>
      <c r="J226" s="712"/>
      <c r="K226" s="655" t="s">
        <v>4724</v>
      </c>
      <c r="L226" s="655" t="s">
        <v>4725</v>
      </c>
      <c r="M226" s="660">
        <v>265172.40999999997</v>
      </c>
      <c r="N226" s="660">
        <v>0</v>
      </c>
      <c r="O226" s="660">
        <v>4827.59</v>
      </c>
      <c r="P226" s="660">
        <v>270000</v>
      </c>
      <c r="Q226" s="548"/>
      <c r="R226" s="660">
        <v>235000</v>
      </c>
      <c r="S226" s="549">
        <f t="shared" si="49"/>
        <v>35000</v>
      </c>
      <c r="T226" s="267" t="s">
        <v>4635</v>
      </c>
      <c r="U226" s="370"/>
      <c r="V226" s="370"/>
      <c r="W226" s="375"/>
      <c r="X226" s="374"/>
      <c r="Y226" s="370"/>
      <c r="Z226" s="371"/>
      <c r="AA226" s="371"/>
      <c r="AB226" s="673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39" s="348" customFormat="1" x14ac:dyDescent="0.2">
      <c r="A227" s="423">
        <f t="shared" si="50"/>
        <v>222</v>
      </c>
      <c r="B227" s="721" t="s">
        <v>4726</v>
      </c>
      <c r="C227" s="655">
        <v>520214</v>
      </c>
      <c r="D227" s="655" t="s">
        <v>686</v>
      </c>
      <c r="E227" s="655" t="s">
        <v>709</v>
      </c>
      <c r="F227" s="546">
        <v>2017</v>
      </c>
      <c r="G227" s="659">
        <v>42903</v>
      </c>
      <c r="H227" s="655"/>
      <c r="I227" s="655" t="s">
        <v>4727</v>
      </c>
      <c r="J227" s="712"/>
      <c r="K227" s="655" t="s">
        <v>4728</v>
      </c>
      <c r="L227" s="655" t="s">
        <v>4729</v>
      </c>
      <c r="M227" s="660">
        <v>-145172.41</v>
      </c>
      <c r="N227" s="660">
        <v>0</v>
      </c>
      <c r="O227" s="660">
        <v>-827.59</v>
      </c>
      <c r="P227" s="660">
        <v>-146000</v>
      </c>
      <c r="Q227" s="548"/>
      <c r="R227" s="660">
        <v>-140000</v>
      </c>
      <c r="S227" s="549">
        <f t="shared" si="49"/>
        <v>-6000</v>
      </c>
      <c r="T227" s="267" t="s">
        <v>4635</v>
      </c>
      <c r="U227" s="370"/>
      <c r="V227" s="370"/>
      <c r="W227" s="375"/>
      <c r="X227" s="374"/>
      <c r="Y227" s="370"/>
      <c r="Z227" s="371"/>
      <c r="AA227" s="371"/>
      <c r="AB227" s="673"/>
      <c r="AC227" s="270"/>
      <c r="AD227" s="372"/>
      <c r="AE227" s="270"/>
      <c r="AF227" s="270"/>
      <c r="AG227" s="270"/>
      <c r="AH227" s="350"/>
      <c r="AI227" s="365"/>
      <c r="AJ227" s="331"/>
      <c r="AK227" s="330"/>
      <c r="AL227" s="330"/>
      <c r="AM227" s="330"/>
    </row>
    <row r="228" spans="1:39" s="348" customFormat="1" x14ac:dyDescent="0.2">
      <c r="A228" s="423">
        <f t="shared" si="50"/>
        <v>223</v>
      </c>
      <c r="B228" s="721" t="s">
        <v>4730</v>
      </c>
      <c r="C228" s="655">
        <v>520214</v>
      </c>
      <c r="D228" s="655" t="s">
        <v>686</v>
      </c>
      <c r="E228" s="655" t="s">
        <v>709</v>
      </c>
      <c r="F228" s="546">
        <v>2017</v>
      </c>
      <c r="G228" s="659">
        <v>42903</v>
      </c>
      <c r="H228" s="655"/>
      <c r="I228" s="655" t="s">
        <v>4727</v>
      </c>
      <c r="J228" s="712"/>
      <c r="K228" s="655" t="s">
        <v>4728</v>
      </c>
      <c r="L228" s="655" t="s">
        <v>4729</v>
      </c>
      <c r="M228" s="660">
        <v>145172.41</v>
      </c>
      <c r="N228" s="660">
        <v>0</v>
      </c>
      <c r="O228" s="660">
        <v>827.59</v>
      </c>
      <c r="P228" s="660">
        <v>146000</v>
      </c>
      <c r="Q228" s="548"/>
      <c r="R228" s="660">
        <v>140000</v>
      </c>
      <c r="S228" s="549">
        <f t="shared" si="49"/>
        <v>6000</v>
      </c>
      <c r="T228" s="113" t="s">
        <v>4635</v>
      </c>
      <c r="U228" s="370"/>
      <c r="V228" s="370"/>
      <c r="W228" s="375"/>
      <c r="X228" s="374"/>
      <c r="Y228" s="370"/>
      <c r="Z228" s="371"/>
      <c r="AA228" s="371"/>
      <c r="AB228" s="673"/>
      <c r="AC228" s="270"/>
      <c r="AD228" s="372"/>
      <c r="AE228" s="270"/>
      <c r="AF228" s="270"/>
      <c r="AG228" s="270"/>
      <c r="AH228" s="347"/>
      <c r="AI228" s="363"/>
      <c r="AJ228" s="330"/>
      <c r="AK228" s="330"/>
      <c r="AL228" s="330"/>
      <c r="AM228" s="330"/>
    </row>
    <row r="229" spans="1:39" s="291" customFormat="1" x14ac:dyDescent="0.2">
      <c r="A229" s="423">
        <f t="shared" si="50"/>
        <v>224</v>
      </c>
      <c r="B229" s="721" t="s">
        <v>4731</v>
      </c>
      <c r="C229" s="655">
        <v>520214</v>
      </c>
      <c r="D229" s="655" t="s">
        <v>686</v>
      </c>
      <c r="E229" s="655" t="s">
        <v>709</v>
      </c>
      <c r="F229" s="546">
        <v>2017</v>
      </c>
      <c r="G229" s="659">
        <v>42903</v>
      </c>
      <c r="H229" s="655" t="s">
        <v>751</v>
      </c>
      <c r="I229" s="655" t="s">
        <v>4727</v>
      </c>
      <c r="J229" s="712"/>
      <c r="K229" s="655" t="s">
        <v>4732</v>
      </c>
      <c r="L229" s="655" t="s">
        <v>4729</v>
      </c>
      <c r="M229" s="660">
        <v>145172.41</v>
      </c>
      <c r="N229" s="660">
        <v>0</v>
      </c>
      <c r="O229" s="660">
        <v>827.59</v>
      </c>
      <c r="P229" s="660">
        <v>146000</v>
      </c>
      <c r="Q229" s="548"/>
      <c r="R229" s="660">
        <v>140000</v>
      </c>
      <c r="S229" s="549">
        <f t="shared" si="49"/>
        <v>6000</v>
      </c>
      <c r="T229" s="445" t="s">
        <v>4635</v>
      </c>
      <c r="U229" s="370"/>
      <c r="V229" s="370"/>
      <c r="W229" s="375"/>
      <c r="X229" s="374"/>
      <c r="Y229" s="370"/>
      <c r="Z229" s="371"/>
      <c r="AA229" s="371"/>
      <c r="AB229" s="673"/>
      <c r="AC229" s="270"/>
      <c r="AD229" s="372"/>
      <c r="AE229" s="270"/>
      <c r="AF229" s="270"/>
      <c r="AG229" s="270"/>
      <c r="AH229" s="272"/>
      <c r="AI229" s="313"/>
      <c r="AJ229" s="331"/>
      <c r="AK229" s="374"/>
      <c r="AL229" s="374"/>
      <c r="AM229" s="374"/>
    </row>
    <row r="230" spans="1:39" s="291" customFormat="1" x14ac:dyDescent="0.2">
      <c r="A230" s="423">
        <f t="shared" si="50"/>
        <v>225</v>
      </c>
      <c r="B230" s="721" t="s">
        <v>4733</v>
      </c>
      <c r="C230" s="655">
        <v>520214</v>
      </c>
      <c r="D230" s="655" t="s">
        <v>686</v>
      </c>
      <c r="E230" s="655" t="s">
        <v>709</v>
      </c>
      <c r="F230" s="546">
        <v>2017</v>
      </c>
      <c r="G230" s="659">
        <v>42905</v>
      </c>
      <c r="H230" s="655" t="s">
        <v>751</v>
      </c>
      <c r="I230" s="655" t="s">
        <v>4727</v>
      </c>
      <c r="J230" s="712"/>
      <c r="K230" s="655" t="s">
        <v>4732</v>
      </c>
      <c r="L230" s="655" t="s">
        <v>4729</v>
      </c>
      <c r="M230" s="660">
        <v>-145172.41</v>
      </c>
      <c r="N230" s="660">
        <v>0</v>
      </c>
      <c r="O230" s="660">
        <v>-827.59</v>
      </c>
      <c r="P230" s="660">
        <v>-146000</v>
      </c>
      <c r="Q230" s="548"/>
      <c r="R230" s="660">
        <v>-140000</v>
      </c>
      <c r="S230" s="549">
        <f t="shared" si="49"/>
        <v>-6000</v>
      </c>
      <c r="T230" s="267" t="s">
        <v>4635</v>
      </c>
      <c r="U230" s="370"/>
      <c r="V230" s="370"/>
      <c r="W230" s="375"/>
      <c r="X230" s="374"/>
      <c r="Y230" s="370"/>
      <c r="Z230" s="371"/>
      <c r="AA230" s="371"/>
      <c r="AB230" s="673"/>
      <c r="AC230" s="270"/>
      <c r="AD230" s="372"/>
      <c r="AE230" s="270"/>
      <c r="AF230" s="270"/>
      <c r="AG230" s="270"/>
      <c r="AH230" s="350"/>
      <c r="AI230" s="365"/>
      <c r="AJ230" s="330"/>
      <c r="AK230" s="374"/>
      <c r="AL230" s="374"/>
      <c r="AM230" s="374"/>
    </row>
    <row r="231" spans="1:39" s="291" customFormat="1" x14ac:dyDescent="0.2">
      <c r="A231" s="423">
        <f t="shared" si="50"/>
        <v>226</v>
      </c>
      <c r="B231" s="721" t="s">
        <v>4734</v>
      </c>
      <c r="C231" s="655">
        <v>520214</v>
      </c>
      <c r="D231" s="655" t="s">
        <v>686</v>
      </c>
      <c r="E231" s="655" t="s">
        <v>709</v>
      </c>
      <c r="F231" s="546">
        <v>2017</v>
      </c>
      <c r="G231" s="659">
        <v>42905</v>
      </c>
      <c r="H231" s="655" t="s">
        <v>751</v>
      </c>
      <c r="I231" s="655" t="s">
        <v>4727</v>
      </c>
      <c r="J231" s="712"/>
      <c r="K231" s="655" t="s">
        <v>4732</v>
      </c>
      <c r="L231" s="655" t="s">
        <v>4729</v>
      </c>
      <c r="M231" s="660">
        <v>145172.41</v>
      </c>
      <c r="N231" s="660">
        <v>0</v>
      </c>
      <c r="O231" s="660">
        <v>827.59</v>
      </c>
      <c r="P231" s="660">
        <v>146000</v>
      </c>
      <c r="Q231" s="548"/>
      <c r="R231" s="660">
        <v>140000</v>
      </c>
      <c r="S231" s="549">
        <f t="shared" si="49"/>
        <v>6000</v>
      </c>
      <c r="T231" s="267" t="s">
        <v>4635</v>
      </c>
      <c r="U231" s="360"/>
      <c r="V231" s="360"/>
      <c r="W231" s="358"/>
      <c r="X231" s="331"/>
      <c r="Y231" s="360"/>
      <c r="Z231" s="334"/>
      <c r="AA231" s="334"/>
      <c r="AB231" s="673"/>
      <c r="AC231" s="349"/>
      <c r="AD231" s="335"/>
      <c r="AE231" s="349"/>
      <c r="AF231" s="349"/>
      <c r="AG231" s="349"/>
      <c r="AH231" s="272"/>
      <c r="AI231" s="313"/>
      <c r="AJ231" s="331"/>
      <c r="AK231" s="374"/>
      <c r="AL231" s="374"/>
      <c r="AM231" s="374"/>
    </row>
    <row r="232" spans="1:39" s="291" customFormat="1" x14ac:dyDescent="0.2">
      <c r="A232" s="423">
        <f t="shared" si="50"/>
        <v>227</v>
      </c>
      <c r="B232" s="721" t="s">
        <v>4735</v>
      </c>
      <c r="C232" s="655">
        <v>522401</v>
      </c>
      <c r="D232" s="655" t="s">
        <v>686</v>
      </c>
      <c r="E232" s="655" t="s">
        <v>709</v>
      </c>
      <c r="F232" s="546">
        <v>2017</v>
      </c>
      <c r="G232" s="659">
        <v>42906</v>
      </c>
      <c r="H232" s="655" t="s">
        <v>1211</v>
      </c>
      <c r="I232" s="655" t="s">
        <v>4736</v>
      </c>
      <c r="J232" s="712"/>
      <c r="K232" s="655" t="s">
        <v>4737</v>
      </c>
      <c r="L232" s="655" t="s">
        <v>4738</v>
      </c>
      <c r="M232" s="660">
        <v>225862.07</v>
      </c>
      <c r="N232" s="660">
        <v>0</v>
      </c>
      <c r="O232" s="660">
        <v>4137.93</v>
      </c>
      <c r="P232" s="660">
        <v>230000</v>
      </c>
      <c r="Q232" s="548"/>
      <c r="R232" s="660">
        <v>200000</v>
      </c>
      <c r="S232" s="549">
        <f t="shared" si="49"/>
        <v>30000</v>
      </c>
      <c r="T232" s="113" t="s">
        <v>4635</v>
      </c>
      <c r="U232" s="360"/>
      <c r="V232" s="360"/>
      <c r="W232" s="358"/>
      <c r="X232" s="331"/>
      <c r="Y232" s="360"/>
      <c r="Z232" s="334"/>
      <c r="AA232" s="334"/>
      <c r="AB232" s="673"/>
      <c r="AC232" s="349"/>
      <c r="AD232" s="335"/>
      <c r="AE232" s="349"/>
      <c r="AF232" s="349"/>
      <c r="AG232" s="349"/>
      <c r="AH232" s="350"/>
      <c r="AI232" s="365"/>
      <c r="AJ232" s="330"/>
      <c r="AK232" s="374"/>
      <c r="AL232" s="374"/>
      <c r="AM232" s="374"/>
    </row>
    <row r="233" spans="1:39" s="291" customFormat="1" x14ac:dyDescent="0.2">
      <c r="A233" s="423">
        <f t="shared" si="50"/>
        <v>228</v>
      </c>
      <c r="B233" s="721" t="s">
        <v>4739</v>
      </c>
      <c r="C233" s="655">
        <v>520907</v>
      </c>
      <c r="D233" s="655" t="s">
        <v>686</v>
      </c>
      <c r="E233" s="655" t="s">
        <v>709</v>
      </c>
      <c r="F233" s="546">
        <v>2017</v>
      </c>
      <c r="G233" s="659">
        <v>42906</v>
      </c>
      <c r="H233" s="655" t="s">
        <v>1038</v>
      </c>
      <c r="I233" s="655" t="s">
        <v>4740</v>
      </c>
      <c r="J233" s="712"/>
      <c r="K233" s="655" t="s">
        <v>4741</v>
      </c>
      <c r="L233" s="655" t="s">
        <v>4742</v>
      </c>
      <c r="M233" s="660">
        <v>173172.41</v>
      </c>
      <c r="N233" s="660">
        <v>0</v>
      </c>
      <c r="O233" s="660">
        <v>4827.59</v>
      </c>
      <c r="P233" s="660">
        <v>178000</v>
      </c>
      <c r="Q233" s="548"/>
      <c r="R233" s="660">
        <v>143000</v>
      </c>
      <c r="S233" s="549">
        <f t="shared" si="49"/>
        <v>35000</v>
      </c>
      <c r="T233" s="267" t="s">
        <v>4635</v>
      </c>
      <c r="U233" s="370"/>
      <c r="V233" s="370"/>
      <c r="W233" s="375"/>
      <c r="X233" s="374"/>
      <c r="Y233" s="370"/>
      <c r="Z233" s="371"/>
      <c r="AA233" s="371"/>
      <c r="AB233" s="673"/>
      <c r="AC233" s="270"/>
      <c r="AD233" s="372"/>
      <c r="AE233" s="270"/>
      <c r="AF233" s="270"/>
      <c r="AG233" s="270"/>
      <c r="AH233" s="350"/>
      <c r="AI233" s="365"/>
      <c r="AJ233" s="374"/>
      <c r="AK233" s="374"/>
      <c r="AL233" s="374"/>
      <c r="AM233" s="374"/>
    </row>
    <row r="234" spans="1:39" s="348" customFormat="1" x14ac:dyDescent="0.2">
      <c r="A234" s="423">
        <f t="shared" si="50"/>
        <v>229</v>
      </c>
      <c r="B234" s="721" t="s">
        <v>4743</v>
      </c>
      <c r="C234" s="655">
        <v>520214</v>
      </c>
      <c r="D234" s="655" t="s">
        <v>686</v>
      </c>
      <c r="E234" s="655" t="s">
        <v>709</v>
      </c>
      <c r="F234" s="546">
        <v>2017</v>
      </c>
      <c r="G234" s="659">
        <v>42906</v>
      </c>
      <c r="H234" s="655" t="s">
        <v>751</v>
      </c>
      <c r="I234" s="655" t="s">
        <v>4727</v>
      </c>
      <c r="J234" s="712"/>
      <c r="K234" s="655" t="s">
        <v>4744</v>
      </c>
      <c r="L234" s="655" t="s">
        <v>4729</v>
      </c>
      <c r="M234" s="660">
        <v>-145172.41</v>
      </c>
      <c r="N234" s="660">
        <v>0</v>
      </c>
      <c r="O234" s="660">
        <v>-827.59</v>
      </c>
      <c r="P234" s="660">
        <v>-146000</v>
      </c>
      <c r="Q234" s="548"/>
      <c r="R234" s="660">
        <v>-140000</v>
      </c>
      <c r="S234" s="549">
        <f t="shared" si="49"/>
        <v>-6000</v>
      </c>
      <c r="T234" s="113" t="s">
        <v>4635</v>
      </c>
      <c r="U234" s="360"/>
      <c r="V234" s="360"/>
      <c r="W234" s="358"/>
      <c r="X234" s="331"/>
      <c r="Y234" s="360"/>
      <c r="Z234" s="334"/>
      <c r="AA234" s="334"/>
      <c r="AB234" s="673"/>
      <c r="AC234" s="349"/>
      <c r="AD234" s="335"/>
      <c r="AE234" s="349"/>
      <c r="AF234" s="349"/>
      <c r="AG234" s="349"/>
      <c r="AH234" s="272"/>
      <c r="AI234" s="313"/>
      <c r="AJ234" s="374"/>
      <c r="AK234" s="330"/>
      <c r="AL234" s="330"/>
      <c r="AM234" s="330"/>
    </row>
    <row r="235" spans="1:39" s="291" customFormat="1" x14ac:dyDescent="0.2">
      <c r="A235" s="423">
        <f t="shared" si="50"/>
        <v>230</v>
      </c>
      <c r="B235" s="721" t="s">
        <v>4745</v>
      </c>
      <c r="C235" s="655">
        <v>520214</v>
      </c>
      <c r="D235" s="655" t="s">
        <v>686</v>
      </c>
      <c r="E235" s="655" t="s">
        <v>709</v>
      </c>
      <c r="F235" s="546">
        <v>2017</v>
      </c>
      <c r="G235" s="659">
        <v>42906</v>
      </c>
      <c r="H235" s="655" t="s">
        <v>751</v>
      </c>
      <c r="I235" s="655" t="s">
        <v>4727</v>
      </c>
      <c r="J235" s="712"/>
      <c r="K235" s="655" t="s">
        <v>4744</v>
      </c>
      <c r="L235" s="655" t="s">
        <v>4729</v>
      </c>
      <c r="M235" s="660">
        <v>148620.69</v>
      </c>
      <c r="N235" s="660">
        <v>0</v>
      </c>
      <c r="O235" s="660">
        <v>1379.31</v>
      </c>
      <c r="P235" s="660">
        <v>150000</v>
      </c>
      <c r="Q235" s="548"/>
      <c r="R235" s="660">
        <v>140000</v>
      </c>
      <c r="S235" s="549">
        <f t="shared" si="49"/>
        <v>10000</v>
      </c>
      <c r="T235" s="267" t="s">
        <v>4635</v>
      </c>
      <c r="U235" s="360"/>
      <c r="V235" s="360"/>
      <c r="W235" s="358"/>
      <c r="X235" s="331"/>
      <c r="Y235" s="360"/>
      <c r="Z235" s="334"/>
      <c r="AA235" s="334"/>
      <c r="AB235" s="673"/>
      <c r="AC235" s="349"/>
      <c r="AD235" s="335"/>
      <c r="AE235" s="349"/>
      <c r="AF235" s="349"/>
      <c r="AG235" s="349"/>
      <c r="AH235" s="350"/>
      <c r="AI235" s="365"/>
      <c r="AJ235" s="374"/>
      <c r="AK235" s="374"/>
      <c r="AL235" s="374"/>
      <c r="AM235" s="374"/>
    </row>
    <row r="236" spans="1:39" s="291" customFormat="1" x14ac:dyDescent="0.2">
      <c r="A236" s="423">
        <f t="shared" si="50"/>
        <v>231</v>
      </c>
      <c r="B236" s="721" t="s">
        <v>4746</v>
      </c>
      <c r="C236" s="655">
        <v>520224</v>
      </c>
      <c r="D236" s="655" t="s">
        <v>686</v>
      </c>
      <c r="E236" s="655" t="s">
        <v>709</v>
      </c>
      <c r="F236" s="546">
        <v>2017</v>
      </c>
      <c r="G236" s="659">
        <v>42909</v>
      </c>
      <c r="H236" s="655" t="s">
        <v>1207</v>
      </c>
      <c r="I236" s="655" t="s">
        <v>4723</v>
      </c>
      <c r="J236" s="712"/>
      <c r="K236" s="655" t="s">
        <v>4747</v>
      </c>
      <c r="L236" s="655" t="s">
        <v>4725</v>
      </c>
      <c r="M236" s="660">
        <v>-265172.40999999997</v>
      </c>
      <c r="N236" s="660">
        <v>0</v>
      </c>
      <c r="O236" s="660">
        <v>-4827.59</v>
      </c>
      <c r="P236" s="660">
        <v>-270000</v>
      </c>
      <c r="Q236" s="548"/>
      <c r="R236" s="660">
        <v>-235000</v>
      </c>
      <c r="S236" s="549">
        <f t="shared" si="49"/>
        <v>-35000</v>
      </c>
      <c r="T236" s="267" t="s">
        <v>4635</v>
      </c>
      <c r="U236" s="354"/>
      <c r="V236" s="354"/>
      <c r="W236" s="355"/>
      <c r="X236" s="330"/>
      <c r="Y236" s="354"/>
      <c r="Z236" s="328"/>
      <c r="AA236" s="328"/>
      <c r="AB236" s="673"/>
      <c r="AC236" s="346"/>
      <c r="AD236" s="333"/>
      <c r="AE236" s="346"/>
      <c r="AF236" s="346"/>
      <c r="AG236" s="346"/>
      <c r="AH236" s="350"/>
      <c r="AI236" s="365"/>
      <c r="AJ236" s="374"/>
      <c r="AK236" s="374"/>
      <c r="AL236" s="374"/>
      <c r="AM236" s="374"/>
    </row>
    <row r="237" spans="1:39" s="296" customFormat="1" x14ac:dyDescent="0.2">
      <c r="A237" s="423">
        <f t="shared" si="50"/>
        <v>232</v>
      </c>
      <c r="B237" s="721" t="s">
        <v>4748</v>
      </c>
      <c r="C237" s="655">
        <v>520224</v>
      </c>
      <c r="D237" s="655" t="s">
        <v>686</v>
      </c>
      <c r="E237" s="655" t="s">
        <v>709</v>
      </c>
      <c r="F237" s="546">
        <v>2017</v>
      </c>
      <c r="G237" s="659">
        <v>42909</v>
      </c>
      <c r="H237" s="655" t="s">
        <v>1207</v>
      </c>
      <c r="I237" s="655" t="s">
        <v>4723</v>
      </c>
      <c r="J237" s="712"/>
      <c r="K237" s="655" t="s">
        <v>4747</v>
      </c>
      <c r="L237" s="655" t="s">
        <v>4725</v>
      </c>
      <c r="M237" s="660">
        <v>260862.07</v>
      </c>
      <c r="N237" s="660">
        <v>0</v>
      </c>
      <c r="O237" s="660">
        <v>4137.93</v>
      </c>
      <c r="P237" s="660">
        <v>265000</v>
      </c>
      <c r="Q237" s="548"/>
      <c r="R237" s="660">
        <v>235000</v>
      </c>
      <c r="S237" s="549">
        <f t="shared" si="49"/>
        <v>30000</v>
      </c>
      <c r="T237" s="113" t="s">
        <v>4635</v>
      </c>
      <c r="U237" s="369"/>
      <c r="V237" s="370"/>
      <c r="W237" s="375"/>
      <c r="X237" s="375"/>
      <c r="Y237" s="375"/>
      <c r="Z237" s="371"/>
      <c r="AA237" s="371"/>
      <c r="AB237" s="673"/>
      <c r="AC237" s="371"/>
      <c r="AD237" s="372"/>
      <c r="AE237" s="371"/>
      <c r="AF237" s="371"/>
      <c r="AG237" s="270"/>
      <c r="AH237" s="350"/>
      <c r="AI237" s="365"/>
      <c r="AJ237" s="374"/>
      <c r="AK237" s="374"/>
      <c r="AL237" s="374"/>
      <c r="AM237" s="374"/>
    </row>
    <row r="238" spans="1:39" s="291" customFormat="1" x14ac:dyDescent="0.2">
      <c r="A238" s="423">
        <f t="shared" si="50"/>
        <v>233</v>
      </c>
      <c r="B238" s="721" t="s">
        <v>4749</v>
      </c>
      <c r="C238" s="655">
        <v>520907</v>
      </c>
      <c r="D238" s="655" t="s">
        <v>686</v>
      </c>
      <c r="E238" s="655" t="s">
        <v>709</v>
      </c>
      <c r="F238" s="546">
        <v>2017</v>
      </c>
      <c r="G238" s="659">
        <v>42912</v>
      </c>
      <c r="H238" s="655" t="s">
        <v>1038</v>
      </c>
      <c r="I238" s="655" t="s">
        <v>4750</v>
      </c>
      <c r="J238" s="712"/>
      <c r="K238" s="655" t="s">
        <v>4751</v>
      </c>
      <c r="L238" s="655" t="s">
        <v>4752</v>
      </c>
      <c r="M238" s="660">
        <v>174172.41</v>
      </c>
      <c r="N238" s="660">
        <v>0</v>
      </c>
      <c r="O238" s="660">
        <v>2827.59</v>
      </c>
      <c r="P238" s="660">
        <v>177000</v>
      </c>
      <c r="Q238" s="548"/>
      <c r="R238" s="660">
        <v>156500</v>
      </c>
      <c r="S238" s="549">
        <f t="shared" si="49"/>
        <v>20500</v>
      </c>
      <c r="T238" s="113" t="s">
        <v>4635</v>
      </c>
      <c r="U238" s="369"/>
      <c r="V238" s="370"/>
      <c r="W238" s="375"/>
      <c r="X238" s="375"/>
      <c r="Y238" s="375"/>
      <c r="Z238" s="371"/>
      <c r="AA238" s="371"/>
      <c r="AB238" s="673"/>
      <c r="AC238" s="371"/>
      <c r="AD238" s="372"/>
      <c r="AE238" s="371"/>
      <c r="AF238" s="371"/>
      <c r="AG238" s="270"/>
      <c r="AH238" s="350"/>
      <c r="AI238" s="365"/>
      <c r="AJ238" s="374"/>
      <c r="AK238" s="374"/>
      <c r="AL238" s="374"/>
      <c r="AM238" s="374"/>
    </row>
    <row r="239" spans="1:39" s="348" customFormat="1" x14ac:dyDescent="0.2">
      <c r="A239" s="423">
        <f t="shared" si="50"/>
        <v>234</v>
      </c>
      <c r="B239" s="721" t="s">
        <v>4753</v>
      </c>
      <c r="C239" s="655">
        <v>520907</v>
      </c>
      <c r="D239" s="655" t="s">
        <v>686</v>
      </c>
      <c r="E239" s="655" t="s">
        <v>709</v>
      </c>
      <c r="F239" s="546">
        <v>2017</v>
      </c>
      <c r="G239" s="659">
        <v>42913</v>
      </c>
      <c r="H239" s="655" t="s">
        <v>1038</v>
      </c>
      <c r="I239" s="655" t="s">
        <v>4750</v>
      </c>
      <c r="J239" s="712"/>
      <c r="K239" s="655" t="s">
        <v>4751</v>
      </c>
      <c r="L239" s="655" t="s">
        <v>4752</v>
      </c>
      <c r="M239" s="660">
        <v>-174172.41</v>
      </c>
      <c r="N239" s="660">
        <v>0</v>
      </c>
      <c r="O239" s="660">
        <v>-2827.59</v>
      </c>
      <c r="P239" s="660">
        <v>-177000</v>
      </c>
      <c r="Q239" s="548"/>
      <c r="R239" s="660">
        <v>-156500</v>
      </c>
      <c r="S239" s="549">
        <f t="shared" si="49"/>
        <v>-20500</v>
      </c>
      <c r="T239" s="113" t="s">
        <v>4635</v>
      </c>
      <c r="U239" s="369"/>
      <c r="V239" s="370"/>
      <c r="W239" s="375"/>
      <c r="X239" s="375"/>
      <c r="Y239" s="375"/>
      <c r="Z239" s="371"/>
      <c r="AA239" s="371"/>
      <c r="AB239" s="673"/>
      <c r="AC239" s="371"/>
      <c r="AD239" s="372"/>
      <c r="AE239" s="371"/>
      <c r="AF239" s="371"/>
      <c r="AG239" s="270"/>
      <c r="AH239" s="350"/>
      <c r="AI239" s="365"/>
      <c r="AJ239" s="374"/>
      <c r="AK239" s="330"/>
      <c r="AL239" s="330"/>
      <c r="AM239" s="330"/>
    </row>
    <row r="240" spans="1:39" s="291" customFormat="1" x14ac:dyDescent="0.2">
      <c r="A240" s="423">
        <f t="shared" si="50"/>
        <v>235</v>
      </c>
      <c r="B240" s="721" t="s">
        <v>4754</v>
      </c>
      <c r="C240" s="655">
        <v>520907</v>
      </c>
      <c r="D240" s="655" t="s">
        <v>686</v>
      </c>
      <c r="E240" s="655" t="s">
        <v>709</v>
      </c>
      <c r="F240" s="546">
        <v>2017</v>
      </c>
      <c r="G240" s="659">
        <v>42913</v>
      </c>
      <c r="H240" s="655" t="s">
        <v>1038</v>
      </c>
      <c r="I240" s="655" t="s">
        <v>4750</v>
      </c>
      <c r="J240" s="712"/>
      <c r="K240" s="655" t="s">
        <v>4751</v>
      </c>
      <c r="L240" s="655" t="s">
        <v>4752</v>
      </c>
      <c r="M240" s="660">
        <v>174172.41</v>
      </c>
      <c r="N240" s="660">
        <v>0</v>
      </c>
      <c r="O240" s="660">
        <v>2827.59</v>
      </c>
      <c r="P240" s="660">
        <v>177000</v>
      </c>
      <c r="Q240" s="548"/>
      <c r="R240" s="660">
        <v>156500</v>
      </c>
      <c r="S240" s="549">
        <f t="shared" si="49"/>
        <v>20500</v>
      </c>
      <c r="T240" s="113" t="s">
        <v>4635</v>
      </c>
      <c r="U240" s="369"/>
      <c r="V240" s="370"/>
      <c r="W240" s="375"/>
      <c r="X240" s="375"/>
      <c r="Y240" s="375"/>
      <c r="Z240" s="371"/>
      <c r="AA240" s="371"/>
      <c r="AB240" s="673"/>
      <c r="AC240" s="371"/>
      <c r="AD240" s="372"/>
      <c r="AE240" s="371"/>
      <c r="AF240" s="371"/>
      <c r="AG240" s="270"/>
      <c r="AH240" s="350"/>
      <c r="AI240" s="365"/>
      <c r="AJ240" s="374"/>
      <c r="AK240" s="374"/>
      <c r="AL240" s="374"/>
      <c r="AM240" s="374"/>
    </row>
    <row r="241" spans="1:41" s="348" customFormat="1" x14ac:dyDescent="0.2">
      <c r="A241" s="423">
        <f t="shared" si="50"/>
        <v>236</v>
      </c>
      <c r="B241" s="721" t="s">
        <v>4755</v>
      </c>
      <c r="C241" s="655">
        <v>520514</v>
      </c>
      <c r="D241" s="655" t="s">
        <v>686</v>
      </c>
      <c r="E241" s="655" t="s">
        <v>709</v>
      </c>
      <c r="F241" s="546">
        <v>2017</v>
      </c>
      <c r="G241" s="659">
        <v>42914</v>
      </c>
      <c r="H241" s="655" t="s">
        <v>1207</v>
      </c>
      <c r="I241" s="655" t="s">
        <v>4756</v>
      </c>
      <c r="J241" s="712"/>
      <c r="K241" s="655" t="s">
        <v>4757</v>
      </c>
      <c r="L241" s="655" t="s">
        <v>4758</v>
      </c>
      <c r="M241" s="660">
        <v>-438551.72</v>
      </c>
      <c r="N241" s="660">
        <v>0</v>
      </c>
      <c r="O241" s="660">
        <v>-11448.28</v>
      </c>
      <c r="P241" s="660">
        <v>-450000</v>
      </c>
      <c r="Q241" s="548"/>
      <c r="R241" s="660">
        <v>-367000</v>
      </c>
      <c r="S241" s="549">
        <f t="shared" si="49"/>
        <v>-83000</v>
      </c>
      <c r="T241" s="267" t="s">
        <v>4635</v>
      </c>
      <c r="U241" s="369"/>
      <c r="V241" s="370"/>
      <c r="W241" s="375"/>
      <c r="X241" s="375"/>
      <c r="Y241" s="375"/>
      <c r="Z241" s="371"/>
      <c r="AA241" s="371"/>
      <c r="AB241" s="673"/>
      <c r="AC241" s="371"/>
      <c r="AD241" s="372"/>
      <c r="AE241" s="371"/>
      <c r="AF241" s="371"/>
      <c r="AG241" s="270"/>
      <c r="AH241" s="350"/>
      <c r="AI241" s="365"/>
      <c r="AJ241" s="330"/>
      <c r="AK241" s="330"/>
      <c r="AL241" s="330"/>
      <c r="AM241" s="330"/>
    </row>
    <row r="242" spans="1:41" s="291" customFormat="1" x14ac:dyDescent="0.2">
      <c r="A242" s="423">
        <f t="shared" si="50"/>
        <v>237</v>
      </c>
      <c r="B242" s="721" t="s">
        <v>4759</v>
      </c>
      <c r="C242" s="655">
        <v>520514</v>
      </c>
      <c r="D242" s="655" t="s">
        <v>686</v>
      </c>
      <c r="E242" s="655" t="s">
        <v>709</v>
      </c>
      <c r="F242" s="546">
        <v>2017</v>
      </c>
      <c r="G242" s="659">
        <v>42914</v>
      </c>
      <c r="H242" s="655" t="s">
        <v>1207</v>
      </c>
      <c r="I242" s="655" t="s">
        <v>4756</v>
      </c>
      <c r="J242" s="712"/>
      <c r="K242" s="655" t="s">
        <v>4757</v>
      </c>
      <c r="L242" s="655" t="s">
        <v>4758</v>
      </c>
      <c r="M242" s="660">
        <v>-438551.72</v>
      </c>
      <c r="N242" s="660">
        <v>0</v>
      </c>
      <c r="O242" s="660">
        <v>-11448.28</v>
      </c>
      <c r="P242" s="660">
        <v>-450000</v>
      </c>
      <c r="Q242" s="548"/>
      <c r="R242" s="660">
        <v>-367000</v>
      </c>
      <c r="S242" s="549">
        <f t="shared" si="49"/>
        <v>-83000</v>
      </c>
      <c r="T242" s="267" t="s">
        <v>4635</v>
      </c>
      <c r="U242" s="369"/>
      <c r="V242" s="370"/>
      <c r="W242" s="375"/>
      <c r="X242" s="375"/>
      <c r="Y242" s="375"/>
      <c r="Z242" s="371"/>
      <c r="AA242" s="371"/>
      <c r="AB242" s="673"/>
      <c r="AC242" s="371"/>
      <c r="AD242" s="372"/>
      <c r="AE242" s="371"/>
      <c r="AF242" s="371"/>
      <c r="AG242" s="270"/>
      <c r="AH242" s="350"/>
      <c r="AI242" s="365"/>
      <c r="AJ242" s="374"/>
      <c r="AK242" s="374"/>
      <c r="AL242" s="374"/>
      <c r="AM242" s="374"/>
    </row>
    <row r="243" spans="1:41" s="291" customFormat="1" x14ac:dyDescent="0.2">
      <c r="A243" s="423">
        <f t="shared" si="50"/>
        <v>238</v>
      </c>
      <c r="B243" s="721" t="s">
        <v>4760</v>
      </c>
      <c r="C243" s="655">
        <v>520514</v>
      </c>
      <c r="D243" s="655" t="s">
        <v>686</v>
      </c>
      <c r="E243" s="655" t="s">
        <v>709</v>
      </c>
      <c r="F243" s="546">
        <v>2017</v>
      </c>
      <c r="G243" s="659">
        <v>42914</v>
      </c>
      <c r="H243" s="655" t="s">
        <v>1207</v>
      </c>
      <c r="I243" s="655" t="s">
        <v>4756</v>
      </c>
      <c r="J243" s="712"/>
      <c r="K243" s="655" t="s">
        <v>4757</v>
      </c>
      <c r="L243" s="655" t="s">
        <v>4758</v>
      </c>
      <c r="M243" s="660">
        <v>-438551.72</v>
      </c>
      <c r="N243" s="660">
        <v>0</v>
      </c>
      <c r="O243" s="660">
        <v>-11448.28</v>
      </c>
      <c r="P243" s="660">
        <v>-450000</v>
      </c>
      <c r="Q243" s="548"/>
      <c r="R243" s="660">
        <v>-367000</v>
      </c>
      <c r="S243" s="549">
        <f t="shared" si="49"/>
        <v>-83000</v>
      </c>
      <c r="T243" s="113" t="s">
        <v>4635</v>
      </c>
      <c r="U243" s="369"/>
      <c r="V243" s="370"/>
      <c r="W243" s="375"/>
      <c r="X243" s="375"/>
      <c r="Y243" s="375"/>
      <c r="Z243" s="371"/>
      <c r="AA243" s="371"/>
      <c r="AB243" s="673"/>
      <c r="AC243" s="371"/>
      <c r="AD243" s="372"/>
      <c r="AE243" s="371"/>
      <c r="AF243" s="371"/>
      <c r="AG243" s="270"/>
      <c r="AH243" s="350"/>
      <c r="AI243" s="365"/>
      <c r="AJ243" s="374"/>
      <c r="AK243" s="374"/>
      <c r="AL243" s="374"/>
      <c r="AM243" s="374"/>
    </row>
    <row r="244" spans="1:41" s="291" customFormat="1" x14ac:dyDescent="0.2">
      <c r="A244" s="423">
        <f t="shared" si="50"/>
        <v>239</v>
      </c>
      <c r="B244" s="721" t="s">
        <v>4761</v>
      </c>
      <c r="C244" s="655">
        <v>520514</v>
      </c>
      <c r="D244" s="655" t="s">
        <v>686</v>
      </c>
      <c r="E244" s="655" t="s">
        <v>709</v>
      </c>
      <c r="F244" s="546">
        <v>2017</v>
      </c>
      <c r="G244" s="659">
        <v>42914</v>
      </c>
      <c r="H244" s="655" t="s">
        <v>1207</v>
      </c>
      <c r="I244" s="655" t="s">
        <v>4756</v>
      </c>
      <c r="J244" s="712"/>
      <c r="K244" s="655" t="s">
        <v>4757</v>
      </c>
      <c r="L244" s="655" t="s">
        <v>4758</v>
      </c>
      <c r="M244" s="660">
        <v>438551.72</v>
      </c>
      <c r="N244" s="660">
        <v>0</v>
      </c>
      <c r="O244" s="660">
        <v>11448.28</v>
      </c>
      <c r="P244" s="660">
        <v>450000</v>
      </c>
      <c r="Q244" s="548"/>
      <c r="R244" s="660">
        <v>367000</v>
      </c>
      <c r="S244" s="549">
        <f t="shared" si="49"/>
        <v>83000</v>
      </c>
      <c r="T244" s="267" t="s">
        <v>4635</v>
      </c>
      <c r="U244" s="369"/>
      <c r="V244" s="370"/>
      <c r="W244" s="375"/>
      <c r="X244" s="375"/>
      <c r="Y244" s="375"/>
      <c r="Z244" s="371"/>
      <c r="AA244" s="371"/>
      <c r="AB244" s="673"/>
      <c r="AC244" s="371"/>
      <c r="AD244" s="372"/>
      <c r="AE244" s="371"/>
      <c r="AF244" s="371"/>
      <c r="AG244" s="270"/>
      <c r="AH244" s="350"/>
      <c r="AI244" s="365"/>
      <c r="AJ244" s="374"/>
      <c r="AK244" s="374"/>
      <c r="AL244" s="374"/>
      <c r="AM244" s="374"/>
    </row>
    <row r="245" spans="1:41" s="291" customFormat="1" x14ac:dyDescent="0.2">
      <c r="A245" s="423">
        <f t="shared" si="50"/>
        <v>240</v>
      </c>
      <c r="B245" s="721" t="s">
        <v>4762</v>
      </c>
      <c r="C245" s="655">
        <v>520514</v>
      </c>
      <c r="D245" s="655" t="s">
        <v>686</v>
      </c>
      <c r="E245" s="655" t="s">
        <v>709</v>
      </c>
      <c r="F245" s="546">
        <v>2017</v>
      </c>
      <c r="G245" s="659">
        <v>42914</v>
      </c>
      <c r="H245" s="655" t="s">
        <v>1207</v>
      </c>
      <c r="I245" s="655" t="s">
        <v>4756</v>
      </c>
      <c r="J245" s="712"/>
      <c r="K245" s="655" t="s">
        <v>4757</v>
      </c>
      <c r="L245" s="655" t="s">
        <v>4758</v>
      </c>
      <c r="M245" s="660">
        <v>438551.72</v>
      </c>
      <c r="N245" s="660">
        <v>0</v>
      </c>
      <c r="O245" s="660">
        <v>11448.28</v>
      </c>
      <c r="P245" s="660">
        <v>450000</v>
      </c>
      <c r="Q245" s="548"/>
      <c r="R245" s="660">
        <v>367000</v>
      </c>
      <c r="S245" s="549">
        <f t="shared" si="49"/>
        <v>83000</v>
      </c>
      <c r="T245" s="267" t="s">
        <v>4635</v>
      </c>
      <c r="U245" s="369"/>
      <c r="V245" s="370"/>
      <c r="W245" s="375"/>
      <c r="X245" s="375"/>
      <c r="Y245" s="375"/>
      <c r="Z245" s="371"/>
      <c r="AA245" s="371"/>
      <c r="AB245" s="673"/>
      <c r="AC245" s="371"/>
      <c r="AD245" s="372"/>
      <c r="AE245" s="371"/>
      <c r="AF245" s="371"/>
      <c r="AG245" s="270"/>
      <c r="AH245" s="350"/>
      <c r="AI245" s="365"/>
      <c r="AJ245" s="374"/>
      <c r="AK245" s="374"/>
      <c r="AL245" s="374"/>
      <c r="AM245" s="374"/>
    </row>
    <row r="246" spans="1:41" s="291" customFormat="1" x14ac:dyDescent="0.2">
      <c r="A246" s="423">
        <f t="shared" si="50"/>
        <v>241</v>
      </c>
      <c r="B246" s="721" t="s">
        <v>4763</v>
      </c>
      <c r="C246" s="655">
        <v>520514</v>
      </c>
      <c r="D246" s="655" t="s">
        <v>686</v>
      </c>
      <c r="E246" s="655" t="s">
        <v>709</v>
      </c>
      <c r="F246" s="546">
        <v>2017</v>
      </c>
      <c r="G246" s="659">
        <v>42914</v>
      </c>
      <c r="H246" s="655" t="s">
        <v>1207</v>
      </c>
      <c r="I246" s="655" t="s">
        <v>4756</v>
      </c>
      <c r="J246" s="712"/>
      <c r="K246" s="655" t="s">
        <v>4757</v>
      </c>
      <c r="L246" s="655" t="s">
        <v>4758</v>
      </c>
      <c r="M246" s="660">
        <v>438551.72</v>
      </c>
      <c r="N246" s="660">
        <v>0</v>
      </c>
      <c r="O246" s="660">
        <v>11448.28</v>
      </c>
      <c r="P246" s="660">
        <v>450000</v>
      </c>
      <c r="Q246" s="548"/>
      <c r="R246" s="660">
        <v>367000</v>
      </c>
      <c r="S246" s="549">
        <f t="shared" si="49"/>
        <v>83000</v>
      </c>
      <c r="T246" s="113" t="s">
        <v>4635</v>
      </c>
      <c r="U246" s="369"/>
      <c r="V246" s="370"/>
      <c r="W246" s="375"/>
      <c r="X246" s="375"/>
      <c r="Y246" s="375"/>
      <c r="Z246" s="371"/>
      <c r="AA246" s="371"/>
      <c r="AB246" s="673"/>
      <c r="AC246" s="371"/>
      <c r="AD246" s="372"/>
      <c r="AE246" s="371"/>
      <c r="AF246" s="371"/>
      <c r="AG246" s="270"/>
      <c r="AH246" s="350"/>
      <c r="AI246" s="365"/>
      <c r="AJ246" s="374"/>
      <c r="AK246" s="374"/>
      <c r="AL246" s="374"/>
      <c r="AM246" s="374"/>
    </row>
    <row r="247" spans="1:41" s="291" customFormat="1" x14ac:dyDescent="0.2">
      <c r="A247" s="423">
        <f t="shared" si="50"/>
        <v>242</v>
      </c>
      <c r="B247" s="721" t="s">
        <v>4764</v>
      </c>
      <c r="C247" s="655">
        <v>520514</v>
      </c>
      <c r="D247" s="655" t="s">
        <v>686</v>
      </c>
      <c r="E247" s="655" t="s">
        <v>709</v>
      </c>
      <c r="F247" s="546">
        <v>2017</v>
      </c>
      <c r="G247" s="659">
        <v>42914</v>
      </c>
      <c r="H247" s="655" t="s">
        <v>1207</v>
      </c>
      <c r="I247" s="655" t="s">
        <v>4756</v>
      </c>
      <c r="J247" s="712"/>
      <c r="K247" s="655" t="s">
        <v>4757</v>
      </c>
      <c r="L247" s="655" t="s">
        <v>4758</v>
      </c>
      <c r="M247" s="660">
        <v>438551.72</v>
      </c>
      <c r="N247" s="660">
        <v>0</v>
      </c>
      <c r="O247" s="660">
        <v>11448.28</v>
      </c>
      <c r="P247" s="660">
        <v>450000</v>
      </c>
      <c r="Q247" s="548"/>
      <c r="R247" s="660">
        <v>367000</v>
      </c>
      <c r="S247" s="549">
        <f t="shared" si="49"/>
        <v>83000</v>
      </c>
      <c r="T247" s="267" t="s">
        <v>4635</v>
      </c>
      <c r="U247" s="369"/>
      <c r="V247" s="370"/>
      <c r="W247" s="375"/>
      <c r="X247" s="375"/>
      <c r="Y247" s="375"/>
      <c r="Z247" s="371"/>
      <c r="AA247" s="371"/>
      <c r="AB247" s="673"/>
      <c r="AC247" s="371"/>
      <c r="AD247" s="372"/>
      <c r="AE247" s="371"/>
      <c r="AF247" s="371"/>
      <c r="AG247" s="270"/>
      <c r="AH247" s="350"/>
      <c r="AI247" s="365"/>
      <c r="AJ247" s="374"/>
      <c r="AK247" s="374"/>
      <c r="AL247" s="374"/>
      <c r="AM247" s="374"/>
    </row>
    <row r="248" spans="1:41" s="291" customFormat="1" x14ac:dyDescent="0.2">
      <c r="A248" s="423">
        <f t="shared" si="50"/>
        <v>243</v>
      </c>
      <c r="B248" s="721" t="s">
        <v>4765</v>
      </c>
      <c r="C248" s="655">
        <v>520907</v>
      </c>
      <c r="D248" s="655" t="s">
        <v>686</v>
      </c>
      <c r="E248" s="655" t="s">
        <v>709</v>
      </c>
      <c r="F248" s="546">
        <v>2017</v>
      </c>
      <c r="G248" s="659">
        <v>42916</v>
      </c>
      <c r="H248" s="655" t="s">
        <v>1038</v>
      </c>
      <c r="I248" s="655" t="s">
        <v>4750</v>
      </c>
      <c r="J248" s="712"/>
      <c r="K248" s="655" t="s">
        <v>4751</v>
      </c>
      <c r="L248" s="655" t="s">
        <v>4752</v>
      </c>
      <c r="M248" s="660">
        <v>-174172.41</v>
      </c>
      <c r="N248" s="660">
        <v>0</v>
      </c>
      <c r="O248" s="660">
        <v>-2827.59</v>
      </c>
      <c r="P248" s="660">
        <v>-177000</v>
      </c>
      <c r="Q248" s="548"/>
      <c r="R248" s="660">
        <v>-156500</v>
      </c>
      <c r="S248" s="549">
        <f t="shared" si="49"/>
        <v>-20500</v>
      </c>
      <c r="T248" s="267" t="s">
        <v>4635</v>
      </c>
      <c r="U248" s="369"/>
      <c r="V248" s="370"/>
      <c r="W248" s="375"/>
      <c r="X248" s="375"/>
      <c r="Y248" s="375"/>
      <c r="Z248" s="371"/>
      <c r="AA248" s="371"/>
      <c r="AB248" s="673"/>
      <c r="AC248" s="371"/>
      <c r="AD248" s="372"/>
      <c r="AE248" s="371"/>
      <c r="AF248" s="371"/>
      <c r="AG248" s="270"/>
      <c r="AH248" s="350"/>
      <c r="AI248" s="365"/>
      <c r="AJ248" s="374"/>
      <c r="AK248" s="374"/>
      <c r="AL248" s="374"/>
      <c r="AM248" s="374"/>
    </row>
    <row r="249" spans="1:41" s="348" customFormat="1" x14ac:dyDescent="0.2">
      <c r="A249" s="423">
        <f t="shared" si="50"/>
        <v>244</v>
      </c>
      <c r="B249" s="721" t="s">
        <v>4766</v>
      </c>
      <c r="C249" s="655">
        <v>520907</v>
      </c>
      <c r="D249" s="655" t="s">
        <v>686</v>
      </c>
      <c r="E249" s="655" t="s">
        <v>709</v>
      </c>
      <c r="F249" s="546">
        <v>2017</v>
      </c>
      <c r="G249" s="659">
        <v>42916</v>
      </c>
      <c r="H249" s="655" t="s">
        <v>1038</v>
      </c>
      <c r="I249" s="655" t="s">
        <v>4750</v>
      </c>
      <c r="J249" s="712"/>
      <c r="K249" s="655" t="s">
        <v>4751</v>
      </c>
      <c r="L249" s="655" t="s">
        <v>4752</v>
      </c>
      <c r="M249" s="660">
        <v>-174172.41</v>
      </c>
      <c r="N249" s="660">
        <v>0</v>
      </c>
      <c r="O249" s="660">
        <v>-2827.59</v>
      </c>
      <c r="P249" s="660">
        <v>-177000</v>
      </c>
      <c r="Q249" s="548"/>
      <c r="R249" s="660">
        <v>-156500</v>
      </c>
      <c r="S249" s="549">
        <f t="shared" si="49"/>
        <v>-20500</v>
      </c>
      <c r="T249" s="113" t="s">
        <v>4635</v>
      </c>
      <c r="U249" s="369"/>
      <c r="V249" s="370"/>
      <c r="W249" s="375"/>
      <c r="X249" s="375"/>
      <c r="Y249" s="375"/>
      <c r="Z249" s="371"/>
      <c r="AA249" s="371"/>
      <c r="AB249" s="673"/>
      <c r="AC249" s="371"/>
      <c r="AD249" s="372"/>
      <c r="AE249" s="371"/>
      <c r="AF249" s="371"/>
      <c r="AG249" s="270"/>
      <c r="AH249" s="350"/>
      <c r="AI249" s="365"/>
      <c r="AJ249" s="374"/>
      <c r="AK249" s="330"/>
      <c r="AL249" s="330"/>
      <c r="AM249" s="330"/>
    </row>
    <row r="250" spans="1:41" s="348" customFormat="1" x14ac:dyDescent="0.2">
      <c r="A250" s="423">
        <f t="shared" si="50"/>
        <v>245</v>
      </c>
      <c r="B250" s="721" t="s">
        <v>4767</v>
      </c>
      <c r="C250" s="655">
        <v>520907</v>
      </c>
      <c r="D250" s="655" t="s">
        <v>686</v>
      </c>
      <c r="E250" s="655" t="s">
        <v>709</v>
      </c>
      <c r="F250" s="546">
        <v>2017</v>
      </c>
      <c r="G250" s="659">
        <v>42916</v>
      </c>
      <c r="H250" s="655" t="s">
        <v>1038</v>
      </c>
      <c r="I250" s="655" t="s">
        <v>4750</v>
      </c>
      <c r="J250" s="712"/>
      <c r="K250" s="655" t="s">
        <v>4751</v>
      </c>
      <c r="L250" s="655" t="s">
        <v>4752</v>
      </c>
      <c r="M250" s="660">
        <v>174172.41</v>
      </c>
      <c r="N250" s="660">
        <v>0</v>
      </c>
      <c r="O250" s="660">
        <v>2827.59</v>
      </c>
      <c r="P250" s="660">
        <v>177000</v>
      </c>
      <c r="Q250" s="548"/>
      <c r="R250" s="660">
        <v>156500</v>
      </c>
      <c r="S250" s="549">
        <f t="shared" si="49"/>
        <v>20500</v>
      </c>
      <c r="T250" s="267" t="s">
        <v>4635</v>
      </c>
      <c r="U250" s="369"/>
      <c r="V250" s="370"/>
      <c r="W250" s="375"/>
      <c r="X250" s="375"/>
      <c r="Y250" s="375"/>
      <c r="Z250" s="371"/>
      <c r="AA250" s="371"/>
      <c r="AB250" s="673"/>
      <c r="AC250" s="371"/>
      <c r="AD250" s="372"/>
      <c r="AE250" s="371"/>
      <c r="AF250" s="371"/>
      <c r="AG250" s="270"/>
      <c r="AH250" s="350"/>
      <c r="AI250" s="365"/>
      <c r="AJ250" s="330"/>
      <c r="AK250" s="330"/>
      <c r="AL250" s="330"/>
      <c r="AM250" s="330"/>
    </row>
    <row r="251" spans="1:41" s="291" customFormat="1" x14ac:dyDescent="0.2">
      <c r="A251" s="423">
        <f t="shared" si="50"/>
        <v>246</v>
      </c>
      <c r="B251" s="721" t="s">
        <v>4768</v>
      </c>
      <c r="C251" s="655">
        <v>520907</v>
      </c>
      <c r="D251" s="655" t="s">
        <v>686</v>
      </c>
      <c r="E251" s="655" t="s">
        <v>709</v>
      </c>
      <c r="F251" s="546">
        <v>2017</v>
      </c>
      <c r="G251" s="659">
        <v>42916</v>
      </c>
      <c r="H251" s="655" t="s">
        <v>1038</v>
      </c>
      <c r="I251" s="655" t="s">
        <v>4750</v>
      </c>
      <c r="J251" s="712"/>
      <c r="K251" s="655" t="s">
        <v>4751</v>
      </c>
      <c r="L251" s="655" t="s">
        <v>4752</v>
      </c>
      <c r="M251" s="660">
        <v>174172.41</v>
      </c>
      <c r="N251" s="660">
        <v>0</v>
      </c>
      <c r="O251" s="660">
        <v>2827.59</v>
      </c>
      <c r="P251" s="660">
        <v>177000</v>
      </c>
      <c r="Q251" s="548"/>
      <c r="R251" s="660">
        <v>156500</v>
      </c>
      <c r="S251" s="549">
        <f t="shared" si="49"/>
        <v>20500</v>
      </c>
      <c r="T251" s="267" t="s">
        <v>4635</v>
      </c>
      <c r="U251" s="369"/>
      <c r="V251" s="370"/>
      <c r="W251" s="375"/>
      <c r="X251" s="375"/>
      <c r="Y251" s="375"/>
      <c r="Z251" s="371"/>
      <c r="AA251" s="371"/>
      <c r="AB251" s="673"/>
      <c r="AC251" s="371"/>
      <c r="AD251" s="372"/>
      <c r="AE251" s="371"/>
      <c r="AF251" s="371"/>
      <c r="AG251" s="270"/>
      <c r="AH251" s="350"/>
      <c r="AI251" s="365"/>
      <c r="AJ251" s="374"/>
      <c r="AK251" s="374"/>
      <c r="AL251" s="374"/>
      <c r="AM251" s="374"/>
    </row>
    <row r="252" spans="1:41" s="291" customFormat="1" ht="13.5" thickBot="1" x14ac:dyDescent="0.25">
      <c r="A252" s="423"/>
      <c r="B252" s="543"/>
      <c r="C252" s="544"/>
      <c r="D252" s="545"/>
      <c r="E252" s="544"/>
      <c r="F252" s="546"/>
      <c r="G252" s="547"/>
      <c r="H252" s="544"/>
      <c r="I252" s="544"/>
      <c r="J252" s="544"/>
      <c r="K252" s="544"/>
      <c r="L252" s="544"/>
      <c r="M252" s="548"/>
      <c r="N252" s="548"/>
      <c r="O252" s="548"/>
      <c r="P252" s="548"/>
      <c r="Q252" s="548"/>
      <c r="R252" s="548"/>
      <c r="S252" s="549"/>
      <c r="T252" s="267"/>
      <c r="U252" s="369"/>
      <c r="V252" s="370"/>
      <c r="W252" s="375"/>
      <c r="X252" s="375"/>
      <c r="Y252" s="375"/>
      <c r="Z252" s="371"/>
      <c r="AA252" s="371"/>
      <c r="AB252" s="673"/>
      <c r="AC252" s="371"/>
      <c r="AD252" s="372"/>
      <c r="AE252" s="371"/>
      <c r="AF252" s="371"/>
      <c r="AG252" s="270"/>
      <c r="AH252" s="350"/>
      <c r="AI252" s="365"/>
      <c r="AJ252" s="374"/>
      <c r="AK252" s="374"/>
      <c r="AL252" s="374"/>
      <c r="AM252" s="374"/>
    </row>
    <row r="253" spans="1:41" s="291" customFormat="1" ht="13.5" thickBot="1" x14ac:dyDescent="0.25">
      <c r="A253" s="423"/>
      <c r="B253" s="543"/>
      <c r="C253" s="544"/>
      <c r="D253" s="545"/>
      <c r="E253" s="544"/>
      <c r="F253" s="546"/>
      <c r="G253" s="547"/>
      <c r="H253" s="544"/>
      <c r="I253" s="544"/>
      <c r="J253" s="544"/>
      <c r="K253" s="544"/>
      <c r="L253" s="544"/>
      <c r="M253" s="548"/>
      <c r="N253" s="548"/>
      <c r="O253" s="548"/>
      <c r="P253" s="548"/>
      <c r="Q253" s="548"/>
      <c r="R253" s="548"/>
      <c r="S253" s="549"/>
      <c r="T253" s="267"/>
      <c r="V253" s="423"/>
      <c r="W253" s="362"/>
      <c r="X253" s="362"/>
      <c r="Y253" s="619"/>
      <c r="Z253" s="620">
        <f>+SUM(Z6:Z120)</f>
        <v>60816676.559999973</v>
      </c>
      <c r="AA253" s="620">
        <f>+SUM(AA6:AA120)</f>
        <v>121632969.12000003</v>
      </c>
      <c r="AB253" s="643">
        <f>+SUM(AB6:AB120)</f>
        <v>192</v>
      </c>
      <c r="AC253" s="620"/>
      <c r="AD253" s="620"/>
      <c r="AE253" s="620"/>
      <c r="AF253" s="620">
        <f>+SUM(AF6:AF120)</f>
        <v>3658755.5224499996</v>
      </c>
      <c r="AG253" s="620">
        <f>+SUM(AG6:AG120)</f>
        <v>-13413.408299999901</v>
      </c>
      <c r="AH253" s="270"/>
      <c r="AI253" s="365"/>
      <c r="AJ253" s="374"/>
      <c r="AK253" s="374"/>
      <c r="AL253" s="374"/>
      <c r="AM253" s="374"/>
    </row>
    <row r="254" spans="1:41" s="53" customFormat="1" ht="13.5" thickTop="1" x14ac:dyDescent="0.2">
      <c r="A254" s="48"/>
      <c r="B254" s="550"/>
      <c r="C254" s="551"/>
      <c r="D254" s="551"/>
      <c r="E254" s="552"/>
      <c r="F254" s="553"/>
      <c r="G254" s="554"/>
      <c r="H254" s="552"/>
      <c r="I254" s="552"/>
      <c r="J254" s="552"/>
      <c r="K254" s="552"/>
      <c r="L254" s="552"/>
      <c r="M254" s="555"/>
      <c r="N254" s="555"/>
      <c r="O254" s="555"/>
      <c r="P254" s="555"/>
      <c r="Q254" s="555"/>
      <c r="R254" s="555"/>
      <c r="S254" s="549"/>
      <c r="T254" s="398"/>
      <c r="V254" s="427"/>
      <c r="W254" s="428"/>
      <c r="X254" s="428"/>
      <c r="Y254" s="93"/>
      <c r="Z254" s="260"/>
      <c r="AA254" s="431"/>
      <c r="AB254" s="480"/>
      <c r="AC254" s="431"/>
      <c r="AD254" s="436"/>
      <c r="AE254" s="431"/>
      <c r="AF254" s="431">
        <f>+M425</f>
        <v>0</v>
      </c>
      <c r="AG254" s="440"/>
      <c r="AH254" s="346"/>
      <c r="AI254" s="313"/>
      <c r="AJ254" s="21"/>
      <c r="AK254" s="21"/>
      <c r="AL254" s="21"/>
      <c r="AM254" s="21"/>
      <c r="AN254" s="21"/>
      <c r="AO254" s="21"/>
    </row>
    <row r="255" spans="1:41" s="53" customFormat="1" x14ac:dyDescent="0.2">
      <c r="A255" s="48"/>
      <c r="B255" s="550"/>
      <c r="C255" s="551"/>
      <c r="D255" s="551"/>
      <c r="E255" s="552"/>
      <c r="F255" s="553"/>
      <c r="G255" s="556"/>
      <c r="H255" s="552"/>
      <c r="I255" s="552"/>
      <c r="J255" s="552"/>
      <c r="K255" s="552"/>
      <c r="L255" s="552"/>
      <c r="M255" s="555"/>
      <c r="N255" s="555"/>
      <c r="O255" s="555"/>
      <c r="P255" s="555"/>
      <c r="Q255" s="555"/>
      <c r="R255" s="555"/>
      <c r="S255" s="549"/>
      <c r="T255" s="13"/>
      <c r="V255" s="93"/>
      <c r="W255" s="267"/>
      <c r="X255" s="271"/>
      <c r="Y255" s="469"/>
      <c r="Z255" s="470"/>
      <c r="AA255" s="431"/>
      <c r="AB255" s="480"/>
      <c r="AC255" s="396"/>
      <c r="AD255" s="425"/>
      <c r="AE255" s="395"/>
      <c r="AF255" s="379"/>
      <c r="AG255" s="395"/>
      <c r="AH255" s="270"/>
      <c r="AI255" s="313"/>
      <c r="AJ255" s="21"/>
      <c r="AK255" s="21"/>
      <c r="AL255" s="21"/>
      <c r="AM255" s="21"/>
      <c r="AN255" s="21"/>
      <c r="AO255" s="21"/>
    </row>
    <row r="256" spans="1:41" s="53" customFormat="1" ht="13.5" thickBot="1" x14ac:dyDescent="0.25">
      <c r="A256" s="48"/>
      <c r="B256" s="557"/>
      <c r="C256" s="558"/>
      <c r="D256" s="558"/>
      <c r="E256" s="559"/>
      <c r="F256" s="559"/>
      <c r="G256" s="560"/>
      <c r="H256" s="559"/>
      <c r="I256" s="559"/>
      <c r="J256" s="559"/>
      <c r="K256" s="559"/>
      <c r="L256" s="559"/>
      <c r="M256" s="561"/>
      <c r="N256" s="561"/>
      <c r="O256" s="561"/>
      <c r="P256" s="561"/>
      <c r="Q256" s="561"/>
      <c r="R256" s="561"/>
      <c r="S256" s="562"/>
      <c r="T256" s="13"/>
      <c r="V256" s="298" t="s">
        <v>250</v>
      </c>
      <c r="W256" s="437" t="s">
        <v>2909</v>
      </c>
      <c r="X256" s="382"/>
      <c r="Y256" s="441"/>
      <c r="Z256" s="438"/>
      <c r="AA256" s="439"/>
      <c r="AB256" s="480"/>
      <c r="AC256" s="396"/>
      <c r="AD256" s="425"/>
      <c r="AE256" s="440"/>
      <c r="AF256" s="439"/>
      <c r="AG256" s="396"/>
      <c r="AH256" s="346"/>
      <c r="AI256" s="313"/>
      <c r="AJ256" s="21"/>
      <c r="AK256" s="21"/>
      <c r="AL256" s="21"/>
      <c r="AM256" s="21"/>
      <c r="AN256" s="21"/>
      <c r="AO256" s="21"/>
    </row>
    <row r="257" spans="1:41" s="53" customFormat="1" x14ac:dyDescent="0.2">
      <c r="A257" s="48"/>
      <c r="B257" s="592"/>
      <c r="C257" s="593"/>
      <c r="D257" s="593"/>
      <c r="E257" s="593"/>
      <c r="F257" s="594"/>
      <c r="G257" s="595"/>
      <c r="H257" s="596"/>
      <c r="I257" s="597"/>
      <c r="J257" s="598"/>
      <c r="K257" s="598"/>
      <c r="L257" s="594"/>
      <c r="M257" s="599"/>
      <c r="N257" s="600"/>
      <c r="O257" s="601"/>
      <c r="P257" s="601"/>
      <c r="Q257" s="601"/>
      <c r="R257" s="602"/>
      <c r="S257" s="603"/>
      <c r="T257" s="13"/>
      <c r="V257" s="298" t="s">
        <v>251</v>
      </c>
      <c r="W257" s="437" t="s">
        <v>2745</v>
      </c>
      <c r="X257" s="271"/>
      <c r="Y257" s="441"/>
      <c r="Z257" s="471">
        <f>+AB120+AB99+AB96+AB94+AB87</f>
        <v>0</v>
      </c>
      <c r="AA257" s="472">
        <f>+AA120+AA99+AA96+AA94+AA87</f>
        <v>0</v>
      </c>
      <c r="AB257" s="646"/>
      <c r="AC257" s="474" t="s">
        <v>1269</v>
      </c>
      <c r="AD257" s="436"/>
      <c r="AE257" s="431"/>
      <c r="AF257" s="431"/>
      <c r="AG257" s="440"/>
      <c r="AH257" s="270"/>
      <c r="AI257" s="313"/>
      <c r="AJ257" s="21"/>
      <c r="AK257" s="21"/>
      <c r="AL257" s="21"/>
      <c r="AM257" s="21"/>
      <c r="AN257" s="21"/>
      <c r="AO257" s="21"/>
    </row>
    <row r="258" spans="1:41" s="53" customFormat="1" x14ac:dyDescent="0.2">
      <c r="A258" s="48"/>
      <c r="B258" s="604"/>
      <c r="C258" s="262"/>
      <c r="D258" s="262"/>
      <c r="E258" s="129"/>
      <c r="F258" s="40"/>
      <c r="G258" s="81"/>
      <c r="H258" s="254"/>
      <c r="I258" s="90"/>
      <c r="J258" s="90"/>
      <c r="K258" s="90"/>
      <c r="L258" s="40"/>
      <c r="M258" s="209">
        <f t="shared" ref="M258:S258" si="51">SUM(M6:M256)</f>
        <v>43618528.629999995</v>
      </c>
      <c r="N258" s="209">
        <f t="shared" si="51"/>
        <v>1212878.4699999997</v>
      </c>
      <c r="O258" s="209">
        <f t="shared" si="51"/>
        <v>6620385.090000011</v>
      </c>
      <c r="P258" s="209">
        <f t="shared" si="51"/>
        <v>51451792.189999998</v>
      </c>
      <c r="Q258" s="209">
        <f t="shared" si="51"/>
        <v>0</v>
      </c>
      <c r="R258" s="209">
        <f t="shared" si="51"/>
        <v>39430205.220000006</v>
      </c>
      <c r="S258" s="605">
        <f t="shared" si="51"/>
        <v>12021586.970000006</v>
      </c>
      <c r="T258" s="13"/>
      <c r="V258" s="93"/>
      <c r="W258" s="267"/>
      <c r="X258" s="271"/>
      <c r="Y258" s="94"/>
      <c r="Z258" s="475">
        <f>+AB78+AB75+AB71+AB67+AB51+AB30+AB28</f>
        <v>11</v>
      </c>
      <c r="AA258" s="472">
        <f>+AA78+AA75+AA71+AA67+AA51+AA30+AA28</f>
        <v>2890168.3</v>
      </c>
      <c r="AB258" s="646"/>
      <c r="AC258" s="474" t="s">
        <v>1270</v>
      </c>
      <c r="AD258" s="425"/>
      <c r="AE258" s="424"/>
      <c r="AF258" s="424"/>
      <c r="AG258" s="346"/>
      <c r="AH258" s="270"/>
      <c r="AI258" s="313"/>
      <c r="AJ258" s="21"/>
      <c r="AK258" s="21"/>
      <c r="AL258" s="21"/>
      <c r="AM258" s="21"/>
      <c r="AN258" s="21"/>
      <c r="AO258" s="21"/>
    </row>
    <row r="259" spans="1:41" s="53" customFormat="1" ht="13.5" thickBot="1" x14ac:dyDescent="0.25">
      <c r="A259" s="48"/>
      <c r="B259" s="606"/>
      <c r="C259" s="607"/>
      <c r="D259" s="607"/>
      <c r="E259" s="607"/>
      <c r="F259" s="608"/>
      <c r="G259" s="609"/>
      <c r="H259" s="610"/>
      <c r="I259" s="611"/>
      <c r="J259" s="612"/>
      <c r="K259" s="612"/>
      <c r="L259" s="608"/>
      <c r="M259" s="613"/>
      <c r="N259" s="614"/>
      <c r="O259" s="615"/>
      <c r="P259" s="615"/>
      <c r="Q259" s="615"/>
      <c r="R259" s="616"/>
      <c r="S259" s="617"/>
      <c r="T259" s="13"/>
      <c r="V259" s="429"/>
      <c r="W259" s="426"/>
      <c r="X259" s="382"/>
      <c r="Y259" s="442"/>
      <c r="Z259" s="476">
        <f>+AB77+AB76+AB41+AB31+AB27+AB24+AB21+AB19+AB15+AB13+AB10+AB12</f>
        <v>8</v>
      </c>
      <c r="AA259" s="472">
        <f>+AA77+AA76+AA41+AA31+AA27+AA24+AA21+AA19+AA15+AA13+AA12+AA10</f>
        <v>2084095.9300000002</v>
      </c>
      <c r="AB259" s="646"/>
      <c r="AC259" s="474" t="s">
        <v>1271</v>
      </c>
      <c r="AD259" s="443"/>
      <c r="AE259" s="439"/>
      <c r="AF259" s="439"/>
      <c r="AG259" s="291"/>
      <c r="AH259" s="270"/>
      <c r="AI259" s="313"/>
      <c r="AJ259" s="21"/>
      <c r="AK259" s="21"/>
      <c r="AL259" s="21"/>
      <c r="AM259" s="21"/>
      <c r="AN259" s="21"/>
      <c r="AO259" s="21"/>
    </row>
    <row r="260" spans="1:41" s="53" customFormat="1" ht="13.5" thickBot="1" x14ac:dyDescent="0.25">
      <c r="A260" s="48"/>
      <c r="B260" s="305"/>
      <c r="C260" s="233"/>
      <c r="D260" s="233"/>
      <c r="E260" s="113"/>
      <c r="F260" s="48"/>
      <c r="G260" s="49"/>
      <c r="H260" s="256"/>
      <c r="I260" s="133" t="s">
        <v>37</v>
      </c>
      <c r="J260" s="117"/>
      <c r="K260" s="133" t="s">
        <v>37</v>
      </c>
      <c r="L260" s="8" t="s">
        <v>75</v>
      </c>
      <c r="M260" s="410">
        <v>30408242.280000001</v>
      </c>
      <c r="N260" s="326">
        <f>+N258</f>
        <v>1212878.4699999997</v>
      </c>
      <c r="O260" s="201"/>
      <c r="P260" s="279"/>
      <c r="Q260" s="201"/>
      <c r="R260" s="326">
        <v>27364079.710000001</v>
      </c>
      <c r="S260" s="201">
        <f>SUM(R6:R208)+SUM(Q271:Q272)-R261+Q1</f>
        <v>28624437.520000003</v>
      </c>
      <c r="T260" s="13"/>
      <c r="V260" s="351"/>
      <c r="W260" s="351"/>
      <c r="X260" s="351"/>
      <c r="Y260" s="352"/>
      <c r="Z260" s="477">
        <f>+AB38</f>
        <v>0</v>
      </c>
      <c r="AA260" s="478">
        <f>+AA38</f>
        <v>0</v>
      </c>
      <c r="AB260" s="646"/>
      <c r="AC260" s="474" t="s">
        <v>1272</v>
      </c>
      <c r="AD260" s="351"/>
      <c r="AE260" s="351"/>
      <c r="AF260" s="351"/>
      <c r="AG260" s="351"/>
      <c r="AH260" s="270"/>
      <c r="AI260" s="313"/>
      <c r="AJ260" s="21"/>
      <c r="AK260" s="21"/>
      <c r="AL260" s="21"/>
      <c r="AM260" s="21"/>
      <c r="AN260" s="21"/>
      <c r="AO260" s="21"/>
    </row>
    <row r="261" spans="1:41" s="53" customFormat="1" ht="13.5" thickTop="1" x14ac:dyDescent="0.2">
      <c r="A261" s="48"/>
      <c r="B261" s="305"/>
      <c r="C261" s="233"/>
      <c r="D261" s="233"/>
      <c r="E261" s="113"/>
      <c r="F261" s="48"/>
      <c r="G261" s="49"/>
      <c r="H261" s="256"/>
      <c r="I261" s="133" t="s">
        <v>404</v>
      </c>
      <c r="J261" s="117"/>
      <c r="K261" s="133" t="s">
        <v>74</v>
      </c>
      <c r="L261" s="8" t="s">
        <v>75</v>
      </c>
      <c r="M261" s="410">
        <v>7698182.9299999997</v>
      </c>
      <c r="N261" s="326"/>
      <c r="O261" s="201"/>
      <c r="P261" s="279"/>
      <c r="Q261" s="201"/>
      <c r="R261" s="326">
        <v>7522946.3200000003</v>
      </c>
      <c r="S261" s="285"/>
      <c r="T261" s="13"/>
      <c r="V261" s="348"/>
      <c r="W261" s="348"/>
      <c r="X261" s="348"/>
      <c r="Y261" s="348"/>
      <c r="Z261" s="479">
        <f>+SUM(Z257:Z260)</f>
        <v>19</v>
      </c>
      <c r="AA261" s="480">
        <f>SUM(AA257:AA260)</f>
        <v>4974264.2300000004</v>
      </c>
      <c r="AB261" s="646"/>
      <c r="AC261" s="472"/>
      <c r="AD261" s="348"/>
      <c r="AE261" s="348"/>
      <c r="AF261" s="348"/>
      <c r="AG261" s="348"/>
      <c r="AH261" s="346"/>
      <c r="AI261" s="363"/>
      <c r="AJ261" s="21"/>
      <c r="AK261" s="21"/>
      <c r="AL261" s="21"/>
      <c r="AM261" s="21"/>
      <c r="AN261" s="21"/>
      <c r="AO261" s="21"/>
    </row>
    <row r="262" spans="1:41" s="53" customFormat="1" x14ac:dyDescent="0.2">
      <c r="A262" s="48"/>
      <c r="B262" s="306"/>
      <c r="C262" s="233"/>
      <c r="D262" s="233"/>
      <c r="E262" s="113"/>
      <c r="F262" s="48"/>
      <c r="G262" s="49"/>
      <c r="H262" s="256"/>
      <c r="I262" s="133" t="s">
        <v>74</v>
      </c>
      <c r="J262" s="117"/>
      <c r="K262" s="133" t="s">
        <v>38</v>
      </c>
      <c r="L262" s="8" t="s">
        <v>75</v>
      </c>
      <c r="M262" s="410">
        <v>5512103.4199999999</v>
      </c>
      <c r="N262" s="201"/>
      <c r="O262" s="201"/>
      <c r="P262" s="279"/>
      <c r="Q262" s="332">
        <f>72*360</f>
        <v>25920</v>
      </c>
      <c r="R262" s="326">
        <v>5857317.5899999999</v>
      </c>
      <c r="S262" s="201">
        <f>SUM(R237:R251)</f>
        <v>758500</v>
      </c>
      <c r="T262" s="13"/>
      <c r="U262" s="369"/>
      <c r="V262" s="370"/>
      <c r="W262" s="375"/>
      <c r="X262" s="375"/>
      <c r="Y262" s="375"/>
      <c r="Z262" s="376"/>
      <c r="AA262" s="371"/>
      <c r="AB262" s="673"/>
      <c r="AC262" s="371"/>
      <c r="AD262" s="372"/>
      <c r="AE262" s="371"/>
      <c r="AF262" s="371"/>
      <c r="AG262" s="270"/>
      <c r="AH262" s="272"/>
      <c r="AI262" s="313"/>
      <c r="AJ262" s="21"/>
      <c r="AK262" s="21"/>
      <c r="AL262" s="21"/>
      <c r="AM262" s="21"/>
      <c r="AN262" s="21"/>
      <c r="AO262" s="21"/>
    </row>
    <row r="263" spans="1:41" s="53" customFormat="1" x14ac:dyDescent="0.2">
      <c r="A263" s="48"/>
      <c r="B263" s="306"/>
      <c r="C263" s="233"/>
      <c r="D263" s="233"/>
      <c r="E263" s="113"/>
      <c r="F263" s="48"/>
      <c r="G263" s="49"/>
      <c r="H263" s="256"/>
      <c r="I263" s="133" t="s">
        <v>38</v>
      </c>
      <c r="J263" s="117"/>
      <c r="K263" s="117"/>
      <c r="L263" s="8"/>
      <c r="M263" s="326"/>
      <c r="N263" s="326"/>
      <c r="O263" s="326"/>
      <c r="P263" s="327"/>
      <c r="Q263" s="327"/>
      <c r="R263" s="400">
        <v>8200735.7800000003</v>
      </c>
      <c r="S263" s="401"/>
      <c r="T263" s="380"/>
      <c r="U263" s="369"/>
      <c r="V263" s="370"/>
      <c r="W263" s="375"/>
      <c r="X263" s="375"/>
      <c r="Y263" s="375"/>
      <c r="Z263" s="376"/>
      <c r="AA263" s="371"/>
      <c r="AB263" s="673"/>
      <c r="AC263" s="371"/>
      <c r="AD263" s="372"/>
      <c r="AE263" s="371"/>
      <c r="AF263" s="371"/>
      <c r="AG263" s="270"/>
      <c r="AH263" s="272"/>
      <c r="AI263" s="313"/>
      <c r="AJ263" s="21"/>
      <c r="AK263" s="21"/>
      <c r="AL263" s="21"/>
      <c r="AM263" s="21"/>
      <c r="AN263" s="21"/>
      <c r="AO263" s="21"/>
    </row>
    <row r="264" spans="1:41" s="53" customFormat="1" x14ac:dyDescent="0.2">
      <c r="A264" s="48"/>
      <c r="B264" s="306"/>
      <c r="C264" s="233"/>
      <c r="D264" s="233"/>
      <c r="E264" s="113"/>
      <c r="F264" s="48"/>
      <c r="G264" s="49"/>
      <c r="H264" s="256"/>
      <c r="I264" s="133" t="s">
        <v>405</v>
      </c>
      <c r="J264" s="117"/>
      <c r="K264" s="117"/>
      <c r="L264" s="8"/>
      <c r="M264" s="258">
        <v>0</v>
      </c>
      <c r="N264" s="258"/>
      <c r="O264" s="258"/>
      <c r="P264" s="280"/>
      <c r="Q264" s="280"/>
      <c r="R264" s="400">
        <v>604</v>
      </c>
      <c r="S264" s="401"/>
      <c r="T264" s="13"/>
      <c r="U264" s="320"/>
      <c r="V264" s="354"/>
      <c r="W264" s="355"/>
      <c r="X264" s="355"/>
      <c r="Y264" s="355"/>
      <c r="Z264" s="356"/>
      <c r="AA264" s="328"/>
      <c r="AB264" s="673"/>
      <c r="AC264" s="328"/>
      <c r="AD264" s="333"/>
      <c r="AE264" s="328"/>
      <c r="AF264" s="328"/>
      <c r="AG264" s="346"/>
      <c r="AH264" s="347"/>
      <c r="AI264" s="363"/>
      <c r="AJ264" s="21"/>
      <c r="AK264" s="21"/>
      <c r="AL264" s="21"/>
      <c r="AM264" s="21"/>
      <c r="AN264" s="21"/>
      <c r="AO264" s="21"/>
    </row>
    <row r="265" spans="1:41" s="53" customFormat="1" x14ac:dyDescent="0.2">
      <c r="A265" s="48"/>
      <c r="B265" s="306"/>
      <c r="C265" s="233"/>
      <c r="D265" s="233"/>
      <c r="E265" s="113"/>
      <c r="F265" s="48"/>
      <c r="G265" s="51"/>
      <c r="H265" s="257"/>
      <c r="I265" s="133" t="s">
        <v>39</v>
      </c>
      <c r="J265" s="117"/>
      <c r="K265" s="117"/>
      <c r="L265" s="8"/>
      <c r="M265" s="204">
        <f>SUM(M260:M264)</f>
        <v>43618528.630000003</v>
      </c>
      <c r="N265" s="204">
        <f>SUM(N260:N264)</f>
        <v>1212878.4699999997</v>
      </c>
      <c r="O265" s="204"/>
      <c r="P265" s="204"/>
      <c r="Q265" s="204">
        <f>+Q258-Q260</f>
        <v>0</v>
      </c>
      <c r="R265" s="402">
        <f>+SUM(R260:R264)</f>
        <v>48945683.400000006</v>
      </c>
      <c r="S265" s="285"/>
      <c r="T265" s="13"/>
      <c r="U265" s="369"/>
      <c r="V265" s="370"/>
      <c r="W265" s="375"/>
      <c r="X265" s="375"/>
      <c r="Y265" s="375"/>
      <c r="Z265" s="376"/>
      <c r="AA265" s="371"/>
      <c r="AB265" s="673"/>
      <c r="AC265" s="371"/>
      <c r="AD265" s="372"/>
      <c r="AE265" s="371"/>
      <c r="AF265" s="371"/>
      <c r="AG265" s="270"/>
      <c r="AH265" s="272"/>
      <c r="AI265" s="313"/>
      <c r="AJ265" s="21"/>
      <c r="AK265" s="21"/>
      <c r="AL265" s="21"/>
      <c r="AM265" s="21"/>
      <c r="AN265" s="21"/>
      <c r="AO265" s="21"/>
    </row>
    <row r="266" spans="1:41" s="53" customFormat="1" x14ac:dyDescent="0.2">
      <c r="A266" s="48"/>
      <c r="B266" s="306"/>
      <c r="C266" s="233"/>
      <c r="D266" s="233"/>
      <c r="E266" s="113"/>
      <c r="F266" s="48"/>
      <c r="G266" s="49"/>
      <c r="H266" s="256"/>
      <c r="I266" s="116"/>
      <c r="J266" s="117"/>
      <c r="K266" s="117"/>
      <c r="L266" s="8"/>
      <c r="M266" s="403"/>
      <c r="N266" s="201"/>
      <c r="O266" s="202"/>
      <c r="P266" s="200"/>
      <c r="Q266" s="200"/>
      <c r="R266" s="52"/>
      <c r="S266" s="285"/>
      <c r="T266" s="13"/>
      <c r="U266" s="369"/>
      <c r="V266" s="370"/>
      <c r="W266" s="375"/>
      <c r="X266" s="375"/>
      <c r="Y266" s="375"/>
      <c r="Z266" s="376"/>
      <c r="AA266" s="371"/>
      <c r="AB266" s="673"/>
      <c r="AC266" s="371"/>
      <c r="AD266" s="372"/>
      <c r="AE266" s="371"/>
      <c r="AF266" s="371"/>
      <c r="AG266" s="270"/>
      <c r="AH266" s="272"/>
      <c r="AI266" s="313"/>
      <c r="AJ266" s="21"/>
      <c r="AK266" s="21"/>
      <c r="AL266" s="21"/>
      <c r="AM266" s="21"/>
      <c r="AN266" s="21"/>
      <c r="AO266" s="21"/>
    </row>
    <row r="267" spans="1:41" s="53" customFormat="1" x14ac:dyDescent="0.2">
      <c r="A267" s="48"/>
      <c r="B267" s="306"/>
      <c r="C267" s="233"/>
      <c r="D267" s="233"/>
      <c r="E267" s="113"/>
      <c r="F267" s="48"/>
      <c r="G267" s="49"/>
      <c r="H267" s="256"/>
      <c r="I267" s="116"/>
      <c r="J267" s="117"/>
      <c r="K267" s="117"/>
      <c r="L267" s="8" t="s">
        <v>40</v>
      </c>
      <c r="M267" s="404">
        <f>+M258-M265</f>
        <v>0</v>
      </c>
      <c r="N267" s="404"/>
      <c r="O267" s="202"/>
      <c r="P267" s="200"/>
      <c r="Q267" s="200"/>
      <c r="R267" s="52"/>
      <c r="S267" s="285"/>
      <c r="T267" s="13"/>
      <c r="U267" s="369"/>
      <c r="V267" s="370"/>
      <c r="W267" s="375"/>
      <c r="X267" s="375"/>
      <c r="Y267" s="375"/>
      <c r="Z267" s="376"/>
      <c r="AA267" s="371"/>
      <c r="AB267" s="673"/>
      <c r="AC267" s="371"/>
      <c r="AD267" s="372"/>
      <c r="AE267" s="371"/>
      <c r="AF267" s="371"/>
      <c r="AG267" s="270"/>
      <c r="AH267" s="272"/>
      <c r="AI267" s="313"/>
      <c r="AJ267" s="21"/>
      <c r="AK267" s="21"/>
      <c r="AL267" s="21"/>
      <c r="AM267" s="21"/>
      <c r="AN267" s="21"/>
      <c r="AO267" s="21"/>
    </row>
    <row r="268" spans="1:41" s="53" customFormat="1" x14ac:dyDescent="0.2">
      <c r="A268" s="48"/>
      <c r="B268" s="369"/>
      <c r="C268" s="375"/>
      <c r="D268" s="374"/>
      <c r="E268" s="374"/>
      <c r="F268" s="374"/>
      <c r="G268" s="414"/>
      <c r="H268" s="415"/>
      <c r="I268" s="374"/>
      <c r="J268" s="374"/>
      <c r="K268" s="374"/>
      <c r="L268" s="374"/>
      <c r="M268" s="396"/>
      <c r="N268" s="396"/>
      <c r="O268" s="396"/>
      <c r="P268" s="396"/>
      <c r="Q268" s="401"/>
      <c r="R268" s="405"/>
      <c r="S268" s="406"/>
      <c r="T268" s="13"/>
      <c r="U268" s="369"/>
      <c r="V268" s="370"/>
      <c r="W268" s="375"/>
      <c r="X268" s="375"/>
      <c r="Y268" s="375"/>
      <c r="Z268" s="376"/>
      <c r="AA268" s="371"/>
      <c r="AB268" s="673"/>
      <c r="AC268" s="371"/>
      <c r="AD268" s="372"/>
      <c r="AE268" s="371"/>
      <c r="AF268" s="371"/>
      <c r="AG268" s="270"/>
      <c r="AH268" s="272"/>
      <c r="AI268" s="313"/>
      <c r="AJ268" s="21"/>
      <c r="AK268" s="21"/>
      <c r="AL268" s="21"/>
      <c r="AM268" s="21"/>
      <c r="AN268" s="21"/>
      <c r="AO268" s="21"/>
    </row>
    <row r="269" spans="1:41" s="53" customFormat="1" x14ac:dyDescent="0.2">
      <c r="A269" s="48"/>
      <c r="B269" s="369"/>
      <c r="C269" s="375"/>
      <c r="D269" s="374"/>
      <c r="E269" s="374"/>
      <c r="F269" s="374"/>
      <c r="G269" s="414"/>
      <c r="H269" s="318"/>
      <c r="I269" s="374"/>
      <c r="J269" s="374"/>
      <c r="K269" s="374"/>
      <c r="L269" s="374"/>
      <c r="M269" s="396"/>
      <c r="N269" s="396"/>
      <c r="O269" s="396"/>
      <c r="P269" s="396"/>
      <c r="Q269" s="97"/>
      <c r="R269" s="407"/>
      <c r="S269" s="94"/>
      <c r="T269" s="13"/>
      <c r="U269" s="320"/>
      <c r="V269" s="354"/>
      <c r="W269" s="355"/>
      <c r="X269" s="355"/>
      <c r="Y269" s="355"/>
      <c r="Z269" s="356"/>
      <c r="AA269" s="328"/>
      <c r="AB269" s="673"/>
      <c r="AC269" s="328"/>
      <c r="AD269" s="333"/>
      <c r="AE269" s="328"/>
      <c r="AF269" s="328"/>
      <c r="AG269" s="346"/>
      <c r="AH269" s="272"/>
      <c r="AI269" s="313"/>
      <c r="AJ269" s="21"/>
      <c r="AK269" s="21"/>
      <c r="AL269" s="21"/>
      <c r="AM269" s="21"/>
      <c r="AN269" s="21"/>
      <c r="AO269" s="21"/>
    </row>
    <row r="270" spans="1:41" s="53" customFormat="1" x14ac:dyDescent="0.2">
      <c r="A270" s="48"/>
      <c r="B270" s="369"/>
      <c r="C270" s="375"/>
      <c r="D270" s="374"/>
      <c r="E270" s="374"/>
      <c r="F270" s="374"/>
      <c r="G270" s="414"/>
      <c r="H270" s="318"/>
      <c r="I270" s="374"/>
      <c r="J270" s="374"/>
      <c r="K270" s="374"/>
      <c r="L270" s="297"/>
      <c r="M270" s="396"/>
      <c r="N270" s="396"/>
      <c r="O270" s="396"/>
      <c r="P270" s="396"/>
      <c r="Q270" s="21"/>
      <c r="R270" s="408"/>
      <c r="S270" s="94"/>
      <c r="T270" s="13"/>
      <c r="U270" s="320"/>
      <c r="V270" s="354"/>
      <c r="W270" s="355"/>
      <c r="X270" s="355"/>
      <c r="Y270" s="355"/>
      <c r="Z270" s="356"/>
      <c r="AA270" s="328"/>
      <c r="AB270" s="673"/>
      <c r="AC270" s="328"/>
      <c r="AD270" s="333"/>
      <c r="AE270" s="328"/>
      <c r="AF270" s="328"/>
      <c r="AG270" s="346"/>
      <c r="AH270" s="347"/>
      <c r="AI270" s="363"/>
      <c r="AJ270" s="21"/>
      <c r="AK270" s="21"/>
      <c r="AL270" s="21"/>
      <c r="AM270" s="21"/>
      <c r="AN270" s="21"/>
      <c r="AO270" s="21"/>
    </row>
    <row r="271" spans="1:41" s="53" customFormat="1" x14ac:dyDescent="0.2">
      <c r="A271" s="48"/>
      <c r="B271" s="369"/>
      <c r="C271" s="375"/>
      <c r="D271" s="374"/>
      <c r="E271" s="374"/>
      <c r="F271" s="374"/>
      <c r="G271" s="414"/>
      <c r="H271" s="415"/>
      <c r="I271" s="291"/>
      <c r="J271" s="291"/>
      <c r="K271" s="374"/>
      <c r="L271" s="416"/>
      <c r="M271" s="403"/>
      <c r="N271" s="396"/>
      <c r="O271" s="396"/>
      <c r="P271" s="409"/>
      <c r="Q271" s="50"/>
      <c r="R271" s="407"/>
      <c r="S271" s="97"/>
      <c r="T271" s="13"/>
      <c r="U271" s="369"/>
      <c r="V271" s="370"/>
      <c r="W271" s="375"/>
      <c r="X271" s="375"/>
      <c r="Y271" s="375"/>
      <c r="Z271" s="376"/>
      <c r="AA271" s="371"/>
      <c r="AB271" s="673"/>
      <c r="AC271" s="371"/>
      <c r="AD271" s="372"/>
      <c r="AE271" s="371"/>
      <c r="AF271" s="371"/>
      <c r="AG271" s="270"/>
      <c r="AH271" s="347"/>
      <c r="AI271" s="363"/>
      <c r="AJ271" s="21"/>
      <c r="AK271" s="21"/>
      <c r="AL271" s="21"/>
      <c r="AM271" s="21"/>
      <c r="AN271" s="21"/>
      <c r="AO271" s="21"/>
    </row>
    <row r="272" spans="1:41" s="53" customFormat="1" x14ac:dyDescent="0.2">
      <c r="A272" s="48"/>
      <c r="B272" s="369"/>
      <c r="C272" s="375"/>
      <c r="D272" s="374"/>
      <c r="E272" s="374"/>
      <c r="F272" s="374"/>
      <c r="G272" s="414"/>
      <c r="H272" s="415"/>
      <c r="I272" s="291"/>
      <c r="J272" s="291"/>
      <c r="K272" s="374"/>
      <c r="L272" s="377"/>
      <c r="M272" s="416"/>
      <c r="N272" s="270"/>
      <c r="O272" s="270"/>
      <c r="P272" s="296"/>
      <c r="Q272" s="78"/>
      <c r="S272" s="319"/>
      <c r="T272" s="13"/>
      <c r="U272" s="369"/>
      <c r="V272" s="370"/>
      <c r="W272" s="375"/>
      <c r="X272" s="375"/>
      <c r="Y272" s="375"/>
      <c r="Z272" s="376"/>
      <c r="AA272" s="371"/>
      <c r="AB272" s="673"/>
      <c r="AC272" s="371"/>
      <c r="AD272" s="372"/>
      <c r="AE272" s="371"/>
      <c r="AF272" s="371"/>
      <c r="AG272" s="270"/>
      <c r="AH272" s="272"/>
      <c r="AI272" s="313"/>
      <c r="AJ272" s="21"/>
      <c r="AK272" s="21"/>
      <c r="AL272" s="21"/>
      <c r="AM272" s="21"/>
      <c r="AN272" s="21"/>
      <c r="AO272" s="21"/>
    </row>
    <row r="273" spans="1:41" s="53" customFormat="1" ht="14.25" x14ac:dyDescent="0.2">
      <c r="A273" s="48"/>
      <c r="B273" s="369"/>
      <c r="C273" s="375"/>
      <c r="D273" s="374"/>
      <c r="E273" s="374"/>
      <c r="F273" s="374"/>
      <c r="G273" s="414"/>
      <c r="H273" s="415"/>
      <c r="I273" s="291"/>
      <c r="J273" s="291"/>
      <c r="K273" s="374"/>
      <c r="L273" s="291"/>
      <c r="M273" s="291"/>
      <c r="N273" s="270"/>
      <c r="O273" s="270"/>
      <c r="P273" s="387"/>
      <c r="Q273" s="417"/>
      <c r="T273" s="13"/>
      <c r="U273" s="369"/>
      <c r="V273" s="370"/>
      <c r="W273" s="375"/>
      <c r="X273" s="375"/>
      <c r="Y273" s="375"/>
      <c r="Z273" s="376"/>
      <c r="AA273" s="371"/>
      <c r="AB273" s="673"/>
      <c r="AC273" s="371"/>
      <c r="AD273" s="372"/>
      <c r="AE273" s="371"/>
      <c r="AF273" s="371"/>
      <c r="AG273" s="270"/>
      <c r="AH273" s="272"/>
      <c r="AI273" s="313"/>
      <c r="AJ273" s="21"/>
      <c r="AK273" s="21"/>
      <c r="AL273" s="21"/>
      <c r="AM273" s="21"/>
      <c r="AN273" s="21"/>
      <c r="AO273" s="21"/>
    </row>
    <row r="274" spans="1:41" s="53" customFormat="1" ht="14.25" x14ac:dyDescent="0.2">
      <c r="A274" s="48"/>
      <c r="B274" s="369"/>
      <c r="C274" s="375"/>
      <c r="D274" s="374"/>
      <c r="E274" s="374"/>
      <c r="F274" s="374"/>
      <c r="G274" s="414"/>
      <c r="H274" s="415"/>
      <c r="I274" s="291"/>
      <c r="J274" s="291"/>
      <c r="L274" s="374"/>
      <c r="M274" s="296"/>
      <c r="N274" s="316"/>
      <c r="O274" s="367"/>
      <c r="P274" s="387"/>
      <c r="Q274" s="417"/>
      <c r="T274" s="13"/>
      <c r="U274" s="369"/>
      <c r="V274" s="370"/>
      <c r="W274" s="375"/>
      <c r="X274" s="375"/>
      <c r="Y274" s="375"/>
      <c r="Z274" s="376"/>
      <c r="AA274" s="371"/>
      <c r="AB274" s="673"/>
      <c r="AC274" s="371"/>
      <c r="AD274" s="372"/>
      <c r="AE274" s="371"/>
      <c r="AF274" s="371"/>
      <c r="AG274" s="270"/>
      <c r="AH274" s="347"/>
      <c r="AI274" s="363"/>
      <c r="AJ274" s="21"/>
      <c r="AK274" s="21"/>
      <c r="AL274" s="21"/>
      <c r="AM274" s="21"/>
      <c r="AN274" s="21"/>
      <c r="AO274" s="21"/>
    </row>
    <row r="275" spans="1:41" s="53" customFormat="1" ht="14.25" x14ac:dyDescent="0.2">
      <c r="A275" s="48"/>
      <c r="B275" s="369"/>
      <c r="C275" s="375"/>
      <c r="D275" s="374"/>
      <c r="E275" s="374"/>
      <c r="F275" s="374"/>
      <c r="G275" s="414"/>
      <c r="H275" s="415"/>
      <c r="I275" s="291"/>
      <c r="J275" s="291"/>
      <c r="L275" s="384"/>
      <c r="M275" s="296"/>
      <c r="N275" s="316"/>
      <c r="O275" s="270"/>
      <c r="P275" s="387"/>
      <c r="Q275" s="417"/>
      <c r="T275" s="13"/>
      <c r="U275" s="369"/>
      <c r="V275" s="370"/>
      <c r="W275" s="375"/>
      <c r="X275" s="375"/>
      <c r="Y275" s="375"/>
      <c r="Z275" s="376"/>
      <c r="AA275" s="371"/>
      <c r="AB275" s="673"/>
      <c r="AC275" s="371"/>
      <c r="AD275" s="372"/>
      <c r="AE275" s="371"/>
      <c r="AF275" s="371"/>
      <c r="AG275" s="270"/>
      <c r="AH275" s="272"/>
      <c r="AI275" s="313"/>
      <c r="AJ275" s="21"/>
      <c r="AK275" s="21"/>
      <c r="AL275" s="21"/>
      <c r="AM275" s="21"/>
      <c r="AN275" s="21"/>
      <c r="AO275" s="21"/>
    </row>
    <row r="276" spans="1:41" s="53" customFormat="1" ht="14.25" x14ac:dyDescent="0.2">
      <c r="A276" s="48"/>
      <c r="B276" s="369"/>
      <c r="C276" s="375"/>
      <c r="D276" s="374"/>
      <c r="E276" s="374"/>
      <c r="F276" s="374"/>
      <c r="G276" s="414"/>
      <c r="H276" s="415"/>
      <c r="I276" s="291"/>
      <c r="J276" s="291"/>
      <c r="L276" s="374"/>
      <c r="M276" s="296"/>
      <c r="N276" s="316"/>
      <c r="O276" s="270"/>
      <c r="P276" s="387"/>
      <c r="Q276" s="417"/>
      <c r="T276" s="13"/>
      <c r="U276" s="369"/>
      <c r="V276" s="370"/>
      <c r="W276" s="375"/>
      <c r="X276" s="375"/>
      <c r="Y276" s="375"/>
      <c r="Z276" s="376"/>
      <c r="AA276" s="371"/>
      <c r="AB276" s="673"/>
      <c r="AC276" s="371"/>
      <c r="AD276" s="372"/>
      <c r="AE276" s="371"/>
      <c r="AF276" s="371"/>
      <c r="AG276" s="270"/>
      <c r="AH276" s="347"/>
      <c r="AI276" s="363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69"/>
      <c r="C277" s="375"/>
      <c r="D277" s="374"/>
      <c r="E277" s="374"/>
      <c r="F277" s="374"/>
      <c r="G277" s="414"/>
      <c r="H277" s="415"/>
      <c r="I277" s="291"/>
      <c r="J277" s="291"/>
      <c r="L277" s="374"/>
      <c r="M277" s="296"/>
      <c r="N277" s="316"/>
      <c r="O277" s="270"/>
      <c r="P277" s="387"/>
      <c r="Q277" s="417"/>
      <c r="T277" s="13"/>
      <c r="U277" s="369"/>
      <c r="V277" s="370"/>
      <c r="W277" s="375"/>
      <c r="X277" s="375"/>
      <c r="Y277" s="375"/>
      <c r="Z277" s="376"/>
      <c r="AA277" s="371"/>
      <c r="AB277" s="673"/>
      <c r="AC277" s="371"/>
      <c r="AD277" s="372"/>
      <c r="AE277" s="371"/>
      <c r="AF277" s="371"/>
      <c r="AG277" s="270"/>
      <c r="AH277" s="347"/>
      <c r="AI277" s="363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69"/>
      <c r="C278" s="375"/>
      <c r="D278" s="374"/>
      <c r="E278" s="374"/>
      <c r="F278" s="374"/>
      <c r="G278" s="414"/>
      <c r="H278" s="415"/>
      <c r="I278" s="78"/>
      <c r="J278" s="291"/>
      <c r="L278" s="374"/>
      <c r="M278" s="296"/>
      <c r="N278" s="316"/>
      <c r="O278" s="270"/>
      <c r="P278" s="418"/>
      <c r="Q278" s="417"/>
      <c r="T278" s="13"/>
      <c r="U278" s="366"/>
      <c r="V278" s="354"/>
      <c r="W278" s="355"/>
      <c r="X278" s="355"/>
      <c r="Y278" s="355"/>
      <c r="Z278" s="356"/>
      <c r="AA278" s="328"/>
      <c r="AB278" s="673"/>
      <c r="AC278" s="328"/>
      <c r="AD278" s="333"/>
      <c r="AE278" s="328"/>
      <c r="AF278" s="328"/>
      <c r="AG278" s="346"/>
      <c r="AH278" s="347"/>
      <c r="AI278" s="363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69"/>
      <c r="C279" s="375"/>
      <c r="D279" s="374"/>
      <c r="E279" s="374"/>
      <c r="F279" s="374"/>
      <c r="G279" s="414"/>
      <c r="H279" s="415"/>
      <c r="I279" s="78"/>
      <c r="J279" s="291"/>
      <c r="L279" s="374"/>
      <c r="M279" s="296"/>
      <c r="N279" s="316"/>
      <c r="O279" s="270"/>
      <c r="P279" s="387"/>
      <c r="Q279" s="417"/>
      <c r="T279" s="13"/>
      <c r="U279" s="320"/>
      <c r="V279" s="354"/>
      <c r="W279" s="355"/>
      <c r="X279" s="355"/>
      <c r="Y279" s="355"/>
      <c r="Z279" s="356"/>
      <c r="AA279" s="328"/>
      <c r="AB279" s="673"/>
      <c r="AC279" s="328"/>
      <c r="AD279" s="333"/>
      <c r="AE279" s="328"/>
      <c r="AF279" s="328"/>
      <c r="AG279" s="346"/>
      <c r="AH279" s="272"/>
      <c r="AI279" s="313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69"/>
      <c r="C280" s="375"/>
      <c r="D280" s="374"/>
      <c r="E280" s="374"/>
      <c r="F280" s="374"/>
      <c r="G280" s="414"/>
      <c r="H280" s="415"/>
      <c r="I280" s="78"/>
      <c r="J280" s="291"/>
      <c r="L280" s="374"/>
      <c r="M280" s="296"/>
      <c r="N280" s="316"/>
      <c r="O280" s="270"/>
      <c r="P280" s="387"/>
      <c r="Q280" s="417"/>
      <c r="T280" s="13"/>
      <c r="U280" s="320"/>
      <c r="V280" s="354"/>
      <c r="W280" s="355"/>
      <c r="X280" s="355"/>
      <c r="Y280" s="355"/>
      <c r="Z280" s="356"/>
      <c r="AA280" s="328"/>
      <c r="AB280" s="673"/>
      <c r="AC280" s="328"/>
      <c r="AD280" s="333"/>
      <c r="AE280" s="328"/>
      <c r="AF280" s="328"/>
      <c r="AG280" s="346"/>
      <c r="AH280" s="347"/>
      <c r="AI280" s="363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69"/>
      <c r="C281" s="375"/>
      <c r="D281" s="374"/>
      <c r="E281" s="374"/>
      <c r="F281" s="374"/>
      <c r="G281" s="414"/>
      <c r="H281" s="415"/>
      <c r="I281" s="78"/>
      <c r="J281" s="291"/>
      <c r="L281" s="374"/>
      <c r="M281" s="296"/>
      <c r="N281" s="316"/>
      <c r="O281" s="377"/>
      <c r="P281" s="388"/>
      <c r="Q281" s="417"/>
      <c r="T281" s="13"/>
      <c r="U281" s="366"/>
      <c r="V281" s="354"/>
      <c r="W281" s="359"/>
      <c r="X281" s="355"/>
      <c r="Y281" s="355"/>
      <c r="Z281" s="356"/>
      <c r="AA281" s="328"/>
      <c r="AB281" s="673"/>
      <c r="AC281" s="328"/>
      <c r="AD281" s="333"/>
      <c r="AE281" s="328"/>
      <c r="AF281" s="328"/>
      <c r="AG281" s="346"/>
      <c r="AH281" s="272"/>
      <c r="AI281" s="313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07"/>
      <c r="C282" s="375"/>
      <c r="D282" s="266"/>
      <c r="E282" s="267"/>
      <c r="F282" s="93"/>
      <c r="G282" s="268"/>
      <c r="H282" s="269"/>
      <c r="I282" s="78"/>
      <c r="J282" s="271"/>
      <c r="L282" s="382"/>
      <c r="M282" s="296"/>
      <c r="N282" s="316"/>
      <c r="O282" s="419"/>
      <c r="P282" s="387"/>
      <c r="Q282" s="417"/>
      <c r="T282" s="13"/>
      <c r="U282" s="366"/>
      <c r="V282" s="354"/>
      <c r="W282" s="355"/>
      <c r="X282" s="355"/>
      <c r="Y282" s="355"/>
      <c r="Z282" s="356"/>
      <c r="AA282" s="328"/>
      <c r="AB282" s="673"/>
      <c r="AC282" s="328"/>
      <c r="AD282" s="333"/>
      <c r="AE282" s="328"/>
      <c r="AF282" s="328"/>
      <c r="AG282" s="346"/>
      <c r="AH282" s="272"/>
      <c r="AI282" s="313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07"/>
      <c r="C283" s="375"/>
      <c r="D283" s="266"/>
      <c r="E283" s="267"/>
      <c r="F283" s="93"/>
      <c r="G283" s="268"/>
      <c r="H283" s="269"/>
      <c r="I283" s="78"/>
      <c r="J283" s="271"/>
      <c r="L283" s="271"/>
      <c r="M283" s="296"/>
      <c r="N283" s="316"/>
      <c r="O283" s="419"/>
      <c r="P283" s="387"/>
      <c r="Q283" s="417"/>
      <c r="T283" s="13"/>
      <c r="U283" s="320"/>
      <c r="V283" s="354"/>
      <c r="W283" s="355"/>
      <c r="X283" s="355"/>
      <c r="Y283" s="355"/>
      <c r="Z283" s="356"/>
      <c r="AA283" s="328"/>
      <c r="AB283" s="673"/>
      <c r="AC283" s="328"/>
      <c r="AD283" s="333"/>
      <c r="AE283" s="328"/>
      <c r="AF283" s="328"/>
      <c r="AG283" s="346"/>
      <c r="AH283" s="272"/>
      <c r="AI283" s="313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07"/>
      <c r="C284" s="375"/>
      <c r="D284" s="266"/>
      <c r="E284" s="267"/>
      <c r="F284" s="93"/>
      <c r="G284" s="268"/>
      <c r="H284" s="269"/>
      <c r="I284" s="78"/>
      <c r="J284" s="271"/>
      <c r="L284" s="271"/>
      <c r="M284" s="296"/>
      <c r="N284" s="316"/>
      <c r="O284" s="419"/>
      <c r="P284" s="387"/>
      <c r="Q284" s="417"/>
      <c r="T284" s="13"/>
      <c r="U284" s="357"/>
      <c r="V284" s="354"/>
      <c r="W284" s="355"/>
      <c r="X284" s="330"/>
      <c r="Y284" s="354"/>
      <c r="Z284" s="356"/>
      <c r="AA284" s="328"/>
      <c r="AB284" s="673"/>
      <c r="AC284" s="346"/>
      <c r="AD284" s="333"/>
      <c r="AE284" s="346"/>
      <c r="AF284" s="346"/>
      <c r="AG284" s="346"/>
      <c r="AH284" s="272"/>
      <c r="AI284" s="313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07"/>
      <c r="C285" s="375"/>
      <c r="D285" s="266"/>
      <c r="E285" s="267"/>
      <c r="F285" s="93"/>
      <c r="G285" s="268"/>
      <c r="H285" s="269"/>
      <c r="I285" s="78"/>
      <c r="J285" s="271"/>
      <c r="L285" s="382"/>
      <c r="M285" s="296"/>
      <c r="N285" s="316"/>
      <c r="O285" s="377"/>
      <c r="P285" s="387"/>
      <c r="Q285" s="417"/>
      <c r="T285" s="13"/>
      <c r="U285" s="370"/>
      <c r="V285" s="370"/>
      <c r="W285" s="375"/>
      <c r="X285" s="374"/>
      <c r="Y285" s="370"/>
      <c r="Z285" s="376"/>
      <c r="AA285" s="371"/>
      <c r="AB285" s="673"/>
      <c r="AC285" s="270"/>
      <c r="AD285" s="372"/>
      <c r="AE285" s="270"/>
      <c r="AF285" s="270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69"/>
      <c r="C286" s="375"/>
      <c r="D286" s="374"/>
      <c r="E286" s="374"/>
      <c r="F286" s="374"/>
      <c r="G286" s="414"/>
      <c r="H286" s="415"/>
      <c r="I286" s="78"/>
      <c r="J286" s="291"/>
      <c r="L286" s="271"/>
      <c r="M286" s="296"/>
      <c r="N286" s="316"/>
      <c r="O286" s="377"/>
      <c r="P286" s="388"/>
      <c r="Q286" s="417"/>
      <c r="T286" s="13"/>
      <c r="U286" s="370"/>
      <c r="V286" s="370"/>
      <c r="W286" s="375"/>
      <c r="X286" s="374"/>
      <c r="Y286" s="370"/>
      <c r="Z286" s="376"/>
      <c r="AA286" s="371"/>
      <c r="AB286" s="673"/>
      <c r="AC286" s="270"/>
      <c r="AD286" s="372"/>
      <c r="AE286" s="270"/>
      <c r="AF286" s="270"/>
      <c r="AG286" s="270"/>
      <c r="AH286" s="272"/>
      <c r="AI286" s="313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6"/>
      <c r="C287" s="233"/>
      <c r="D287" s="233"/>
      <c r="F287" s="13"/>
      <c r="G287" s="13"/>
      <c r="I287" s="298"/>
      <c r="J287" s="21"/>
      <c r="L287" s="94"/>
      <c r="M287" s="296"/>
      <c r="N287" s="316"/>
      <c r="O287" s="377"/>
      <c r="P287" s="388"/>
      <c r="Q287" s="417"/>
      <c r="T287" s="13"/>
      <c r="U287" s="370"/>
      <c r="V287" s="370"/>
      <c r="W287" s="375"/>
      <c r="X287" s="374"/>
      <c r="Y287" s="370"/>
      <c r="Z287" s="376"/>
      <c r="AA287" s="371"/>
      <c r="AB287" s="673"/>
      <c r="AC287" s="270"/>
      <c r="AD287" s="372"/>
      <c r="AE287" s="270"/>
      <c r="AF287" s="270"/>
      <c r="AG287" s="270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6"/>
      <c r="C288" s="233"/>
      <c r="D288" s="233"/>
      <c r="F288" s="13"/>
      <c r="G288" s="13"/>
      <c r="I288" s="298"/>
      <c r="J288" s="21"/>
      <c r="L288" s="94"/>
      <c r="M288" s="296"/>
      <c r="N288" s="316"/>
      <c r="O288" s="377"/>
      <c r="P288" s="387"/>
      <c r="Q288" s="417"/>
      <c r="T288" s="13"/>
      <c r="U288" s="370"/>
      <c r="V288" s="370"/>
      <c r="W288" s="375"/>
      <c r="X288" s="374"/>
      <c r="Y288" s="370"/>
      <c r="Z288" s="376"/>
      <c r="AA288" s="371"/>
      <c r="AB288" s="673"/>
      <c r="AC288" s="270"/>
      <c r="AD288" s="372"/>
      <c r="AE288" s="270"/>
      <c r="AF288" s="270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6"/>
      <c r="C289" s="233"/>
      <c r="D289" s="233"/>
      <c r="F289" s="13"/>
      <c r="G289" s="13"/>
      <c r="I289" s="298"/>
      <c r="J289" s="21"/>
      <c r="L289" s="117"/>
      <c r="M289" s="296"/>
      <c r="N289" s="316"/>
      <c r="O289" s="377"/>
      <c r="P289" s="387"/>
      <c r="Q289" s="417"/>
      <c r="T289" s="13"/>
      <c r="U289" s="370"/>
      <c r="V289" s="370"/>
      <c r="W289" s="375"/>
      <c r="X289" s="374"/>
      <c r="Y289" s="370"/>
      <c r="Z289" s="376"/>
      <c r="AA289" s="371"/>
      <c r="AB289" s="673"/>
      <c r="AC289" s="270"/>
      <c r="AD289" s="372"/>
      <c r="AE289" s="270"/>
      <c r="AF289" s="270"/>
      <c r="AG289" s="270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06"/>
      <c r="C290" s="233"/>
      <c r="D290" s="233"/>
      <c r="F290" s="13"/>
      <c r="G290" s="13"/>
      <c r="I290" s="298"/>
      <c r="J290" s="21"/>
      <c r="L290" s="94"/>
      <c r="M290" s="296"/>
      <c r="N290" s="316"/>
      <c r="O290" s="377"/>
      <c r="P290" s="388"/>
      <c r="Q290" s="417"/>
      <c r="T290" s="13"/>
      <c r="U290" s="370"/>
      <c r="V290" s="370"/>
      <c r="W290" s="375"/>
      <c r="X290" s="374"/>
      <c r="Y290" s="370"/>
      <c r="Z290" s="376"/>
      <c r="AA290" s="371"/>
      <c r="AB290" s="673"/>
      <c r="AC290" s="270"/>
      <c r="AD290" s="372"/>
      <c r="AE290" s="270"/>
      <c r="AF290" s="270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L291" s="94"/>
      <c r="M291" s="296"/>
      <c r="N291" s="316"/>
      <c r="O291" s="296"/>
      <c r="P291" s="387"/>
      <c r="Q291" s="417"/>
      <c r="T291" s="13"/>
      <c r="U291" s="370"/>
      <c r="V291" s="370"/>
      <c r="W291" s="375"/>
      <c r="X291" s="374"/>
      <c r="Y291" s="370"/>
      <c r="Z291" s="376"/>
      <c r="AA291" s="371"/>
      <c r="AB291" s="673"/>
      <c r="AC291" s="270"/>
      <c r="AD291" s="372"/>
      <c r="AE291" s="270"/>
      <c r="AF291" s="270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L292" s="94"/>
      <c r="M292" s="296"/>
      <c r="N292" s="316"/>
      <c r="O292" s="296"/>
      <c r="P292" s="388"/>
      <c r="Q292" s="417"/>
      <c r="T292" s="13"/>
      <c r="U292" s="370"/>
      <c r="V292" s="370"/>
      <c r="W292" s="375"/>
      <c r="X292" s="374"/>
      <c r="Y292" s="370"/>
      <c r="Z292" s="376"/>
      <c r="AA292" s="371"/>
      <c r="AB292" s="673"/>
      <c r="AC292" s="270"/>
      <c r="AD292" s="372"/>
      <c r="AE292" s="270"/>
      <c r="AF292" s="270"/>
      <c r="AG292" s="270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L293" s="94"/>
      <c r="M293" s="296"/>
      <c r="N293" s="316"/>
      <c r="O293" s="377"/>
      <c r="P293" s="387"/>
      <c r="Q293" s="417"/>
      <c r="T293" s="13"/>
      <c r="U293" s="370"/>
      <c r="V293" s="370"/>
      <c r="W293" s="375"/>
      <c r="X293" s="374"/>
      <c r="Y293" s="370"/>
      <c r="Z293" s="376"/>
      <c r="AA293" s="371"/>
      <c r="AB293" s="673"/>
      <c r="AC293" s="270"/>
      <c r="AD293" s="372"/>
      <c r="AE293" s="270"/>
      <c r="AF293" s="270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L294" s="385"/>
      <c r="M294" s="296"/>
      <c r="N294" s="316"/>
      <c r="O294" s="377"/>
      <c r="P294" s="387"/>
      <c r="Q294" s="417"/>
      <c r="T294" s="13"/>
      <c r="U294" s="370"/>
      <c r="V294" s="370"/>
      <c r="W294" s="375"/>
      <c r="X294" s="374"/>
      <c r="Y294" s="370"/>
      <c r="Z294" s="376"/>
      <c r="AA294" s="371"/>
      <c r="AB294" s="673"/>
      <c r="AC294" s="270"/>
      <c r="AD294" s="372"/>
      <c r="AE294" s="270"/>
      <c r="AF294" s="270"/>
      <c r="AG294" s="270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L295" s="94"/>
      <c r="M295" s="296"/>
      <c r="N295" s="316"/>
      <c r="O295" s="377"/>
      <c r="P295" s="387"/>
      <c r="Q295" s="417"/>
      <c r="T295" s="13"/>
      <c r="U295" s="370"/>
      <c r="V295" s="370"/>
      <c r="W295" s="375"/>
      <c r="X295" s="374"/>
      <c r="Y295" s="370"/>
      <c r="Z295" s="376"/>
      <c r="AA295" s="371"/>
      <c r="AB295" s="673"/>
      <c r="AC295" s="270"/>
      <c r="AD295" s="372"/>
      <c r="AE295" s="270"/>
      <c r="AF295" s="270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06"/>
      <c r="C296" s="233"/>
      <c r="D296" s="233"/>
      <c r="F296" s="13"/>
      <c r="G296" s="13"/>
      <c r="I296" s="298"/>
      <c r="J296" s="21"/>
      <c r="L296" s="94"/>
      <c r="M296" s="296"/>
      <c r="N296" s="316"/>
      <c r="O296" s="377"/>
      <c r="P296" s="387"/>
      <c r="Q296" s="417"/>
      <c r="T296" s="13"/>
      <c r="U296" s="370"/>
      <c r="V296" s="370"/>
      <c r="W296" s="375"/>
      <c r="X296" s="374"/>
      <c r="Y296" s="370"/>
      <c r="Z296" s="376"/>
      <c r="AA296" s="371"/>
      <c r="AB296" s="673"/>
      <c r="AC296" s="270"/>
      <c r="AD296" s="372"/>
      <c r="AE296" s="270"/>
      <c r="AF296" s="270"/>
      <c r="AG296" s="270"/>
      <c r="AH296" s="272"/>
      <c r="AI296" s="313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06"/>
      <c r="C297" s="233"/>
      <c r="D297" s="233"/>
      <c r="F297" s="13"/>
      <c r="G297" s="13"/>
      <c r="I297" s="298"/>
      <c r="J297" s="21"/>
      <c r="L297" s="94"/>
      <c r="M297" s="296"/>
      <c r="N297" s="316"/>
      <c r="O297" s="377"/>
      <c r="P297" s="387"/>
      <c r="Q297" s="417"/>
      <c r="T297" s="13"/>
      <c r="U297" s="370"/>
      <c r="V297" s="370"/>
      <c r="W297" s="375"/>
      <c r="X297" s="374"/>
      <c r="Y297" s="370"/>
      <c r="Z297" s="376"/>
      <c r="AA297" s="371"/>
      <c r="AB297" s="673"/>
      <c r="AC297" s="270"/>
      <c r="AD297" s="372"/>
      <c r="AE297" s="270"/>
      <c r="AF297" s="270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06"/>
      <c r="C298" s="233"/>
      <c r="D298" s="233"/>
      <c r="F298" s="13"/>
      <c r="G298" s="13"/>
      <c r="I298" s="298"/>
      <c r="J298" s="21"/>
      <c r="K298" s="21"/>
      <c r="L298" s="13"/>
      <c r="M298" s="50"/>
      <c r="O298" s="296"/>
      <c r="P298" s="387"/>
      <c r="Q298" s="417"/>
      <c r="T298" s="13"/>
      <c r="U298" s="370"/>
      <c r="V298" s="370"/>
      <c r="W298" s="375"/>
      <c r="X298" s="374"/>
      <c r="Y298" s="370"/>
      <c r="Z298" s="376"/>
      <c r="AA298" s="371"/>
      <c r="AB298" s="673"/>
      <c r="AC298" s="270"/>
      <c r="AD298" s="372"/>
      <c r="AE298" s="270"/>
      <c r="AF298" s="270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06"/>
      <c r="C299" s="233"/>
      <c r="D299" s="233"/>
      <c r="F299" s="13"/>
      <c r="G299" s="13"/>
      <c r="I299" s="298"/>
      <c r="J299" s="21"/>
      <c r="K299" s="21"/>
      <c r="L299" s="13"/>
      <c r="M299" s="50"/>
      <c r="O299" s="296"/>
      <c r="P299" s="387"/>
      <c r="Q299" s="417"/>
      <c r="T299" s="13"/>
      <c r="U299" s="370"/>
      <c r="V299" s="370"/>
      <c r="W299" s="375"/>
      <c r="X299" s="374"/>
      <c r="Y299" s="370"/>
      <c r="Z299" s="376"/>
      <c r="AA299" s="371"/>
      <c r="AB299" s="673"/>
      <c r="AC299" s="270"/>
      <c r="AD299" s="372"/>
      <c r="AE299" s="270"/>
      <c r="AF299" s="270"/>
      <c r="AG299" s="270"/>
      <c r="AH299" s="272"/>
      <c r="AI299" s="31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06"/>
      <c r="C300" s="233"/>
      <c r="D300" s="233"/>
      <c r="F300" s="13"/>
      <c r="G300" s="13"/>
      <c r="I300" s="298"/>
      <c r="J300" s="21"/>
      <c r="K300" s="21"/>
      <c r="L300" s="13"/>
      <c r="M300" s="50"/>
      <c r="O300" s="296"/>
      <c r="P300" s="387"/>
      <c r="Q300" s="417"/>
      <c r="T300" s="13"/>
      <c r="U300" s="370"/>
      <c r="V300" s="370"/>
      <c r="W300" s="375"/>
      <c r="X300" s="374"/>
      <c r="Y300" s="370"/>
      <c r="Z300" s="376"/>
      <c r="AA300" s="371"/>
      <c r="AB300" s="673"/>
      <c r="AC300" s="270"/>
      <c r="AD300" s="372"/>
      <c r="AE300" s="270"/>
      <c r="AF300" s="270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06"/>
      <c r="C301" s="233"/>
      <c r="D301" s="233"/>
      <c r="F301" s="13"/>
      <c r="G301" s="13"/>
      <c r="I301" s="298"/>
      <c r="J301" s="21"/>
      <c r="K301" s="21"/>
      <c r="L301" s="13"/>
      <c r="M301" s="50"/>
      <c r="N301" s="97"/>
      <c r="O301" s="296"/>
      <c r="P301" s="387"/>
      <c r="Q301" s="417"/>
      <c r="T301" s="13"/>
      <c r="U301" s="370"/>
      <c r="V301" s="370"/>
      <c r="W301" s="375"/>
      <c r="X301" s="374"/>
      <c r="Y301" s="370"/>
      <c r="Z301" s="376"/>
      <c r="AA301" s="371"/>
      <c r="AB301" s="673"/>
      <c r="AC301" s="270"/>
      <c r="AD301" s="372"/>
      <c r="AE301" s="270"/>
      <c r="AF301" s="270"/>
      <c r="AG301" s="270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N302" s="97"/>
      <c r="O302" s="362"/>
      <c r="P302" s="387"/>
      <c r="Q302" s="417"/>
      <c r="T302" s="13"/>
      <c r="U302" s="370"/>
      <c r="V302" s="370"/>
      <c r="W302" s="375"/>
      <c r="X302" s="374"/>
      <c r="Y302" s="370"/>
      <c r="Z302" s="376"/>
      <c r="AA302" s="371"/>
      <c r="AB302" s="673"/>
      <c r="AC302" s="270"/>
      <c r="AD302" s="372"/>
      <c r="AE302" s="270"/>
      <c r="AF302" s="270"/>
      <c r="AG302" s="270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N303" s="97"/>
      <c r="O303" s="296"/>
      <c r="P303" s="387"/>
      <c r="Q303" s="417"/>
      <c r="T303" s="13"/>
      <c r="U303" s="370"/>
      <c r="V303" s="370"/>
      <c r="W303" s="375"/>
      <c r="X303" s="374"/>
      <c r="Y303" s="370"/>
      <c r="Z303" s="376"/>
      <c r="AA303" s="371"/>
      <c r="AB303" s="673"/>
      <c r="AC303" s="270"/>
      <c r="AD303" s="372"/>
      <c r="AE303" s="270"/>
      <c r="AF303" s="270"/>
      <c r="AG303" s="270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N304" s="97"/>
      <c r="O304" s="296"/>
      <c r="P304" s="387"/>
      <c r="Q304" s="417"/>
      <c r="T304" s="13"/>
      <c r="U304" s="370"/>
      <c r="V304" s="370"/>
      <c r="W304" s="375"/>
      <c r="X304" s="374"/>
      <c r="Y304" s="370"/>
      <c r="Z304" s="376"/>
      <c r="AA304" s="371"/>
      <c r="AB304" s="673"/>
      <c r="AC304" s="270"/>
      <c r="AD304" s="372"/>
      <c r="AE304" s="270"/>
      <c r="AF304" s="270"/>
      <c r="AG304" s="270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296"/>
      <c r="P305" s="387"/>
      <c r="Q305" s="417"/>
      <c r="T305" s="13"/>
      <c r="U305" s="370"/>
      <c r="V305" s="370"/>
      <c r="W305" s="375"/>
      <c r="X305" s="374"/>
      <c r="Y305" s="370"/>
      <c r="Z305" s="376"/>
      <c r="AA305" s="371"/>
      <c r="AB305" s="673"/>
      <c r="AC305" s="270"/>
      <c r="AD305" s="372"/>
      <c r="AE305" s="270"/>
      <c r="AF305" s="270"/>
      <c r="AG305" s="270"/>
      <c r="AH305" s="272"/>
      <c r="AI305" s="31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296"/>
      <c r="P306" s="388"/>
      <c r="Q306" s="417"/>
      <c r="T306" s="13"/>
      <c r="U306" s="370"/>
      <c r="V306" s="370"/>
      <c r="W306" s="375"/>
      <c r="X306" s="374"/>
      <c r="Y306" s="370"/>
      <c r="Z306" s="376"/>
      <c r="AA306" s="371"/>
      <c r="AB306" s="673"/>
      <c r="AC306" s="270"/>
      <c r="AD306" s="372"/>
      <c r="AE306" s="270"/>
      <c r="AF306" s="270"/>
      <c r="AG306" s="270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296"/>
      <c r="P307" s="386"/>
      <c r="Q307" s="420"/>
      <c r="T307" s="13"/>
      <c r="U307" s="370"/>
      <c r="V307" s="370"/>
      <c r="W307" s="375"/>
      <c r="X307" s="374"/>
      <c r="Y307" s="370"/>
      <c r="Z307" s="376"/>
      <c r="AA307" s="371"/>
      <c r="AB307" s="673"/>
      <c r="AC307" s="270"/>
      <c r="AD307" s="372"/>
      <c r="AE307" s="270"/>
      <c r="AF307" s="270"/>
      <c r="AG307" s="270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N308" s="97"/>
      <c r="O308" s="296"/>
      <c r="P308" s="387"/>
      <c r="Q308" s="417"/>
      <c r="T308" s="13"/>
      <c r="U308" s="370"/>
      <c r="V308" s="370"/>
      <c r="W308" s="375"/>
      <c r="X308" s="374"/>
      <c r="Y308" s="370"/>
      <c r="Z308" s="376"/>
      <c r="AA308" s="371"/>
      <c r="AB308" s="673"/>
      <c r="AC308" s="270"/>
      <c r="AD308" s="372"/>
      <c r="AE308" s="270"/>
      <c r="AF308" s="270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296"/>
      <c r="P309" s="387"/>
      <c r="Q309" s="417"/>
      <c r="T309" s="13"/>
      <c r="U309" s="370"/>
      <c r="V309" s="370"/>
      <c r="W309" s="375"/>
      <c r="X309" s="374"/>
      <c r="Y309" s="370"/>
      <c r="Z309" s="376"/>
      <c r="AA309" s="371"/>
      <c r="AB309" s="673"/>
      <c r="AC309" s="270"/>
      <c r="AD309" s="372"/>
      <c r="AE309" s="270"/>
      <c r="AF309" s="270"/>
      <c r="AG309" s="270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296"/>
      <c r="P310" s="387"/>
      <c r="Q310" s="417"/>
      <c r="T310" s="13"/>
      <c r="U310" s="370"/>
      <c r="V310" s="370"/>
      <c r="W310" s="375"/>
      <c r="X310" s="374"/>
      <c r="Y310" s="370"/>
      <c r="Z310" s="376"/>
      <c r="AA310" s="371"/>
      <c r="AB310" s="673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296"/>
      <c r="P311" s="387"/>
      <c r="Q311" s="417"/>
      <c r="T311" s="13"/>
      <c r="U311" s="370"/>
      <c r="V311" s="370"/>
      <c r="W311" s="375"/>
      <c r="X311" s="374"/>
      <c r="Y311" s="370"/>
      <c r="Z311" s="376"/>
      <c r="AA311" s="371"/>
      <c r="AB311" s="673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296"/>
      <c r="P312" s="387"/>
      <c r="Q312" s="417"/>
      <c r="T312" s="13"/>
      <c r="U312" s="370"/>
      <c r="V312" s="370"/>
      <c r="W312" s="375"/>
      <c r="X312" s="374"/>
      <c r="Y312" s="370"/>
      <c r="Z312" s="376"/>
      <c r="AA312" s="371"/>
      <c r="AB312" s="673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296"/>
      <c r="P313" s="388"/>
      <c r="Q313" s="417"/>
      <c r="T313" s="13"/>
      <c r="U313" s="370"/>
      <c r="V313" s="370"/>
      <c r="W313" s="375"/>
      <c r="X313" s="374"/>
      <c r="Y313" s="370"/>
      <c r="Z313" s="376"/>
      <c r="AA313" s="371"/>
      <c r="AB313" s="673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296"/>
      <c r="P314" s="387"/>
      <c r="Q314" s="417"/>
      <c r="T314" s="13"/>
      <c r="U314" s="370"/>
      <c r="V314" s="370"/>
      <c r="W314" s="375"/>
      <c r="X314" s="374"/>
      <c r="Y314" s="370"/>
      <c r="Z314" s="376"/>
      <c r="AA314" s="371"/>
      <c r="AB314" s="673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296"/>
      <c r="P315" s="387"/>
      <c r="Q315" s="417"/>
      <c r="T315" s="13"/>
      <c r="U315" s="370"/>
      <c r="V315" s="370"/>
      <c r="W315" s="375"/>
      <c r="X315" s="374"/>
      <c r="Y315" s="370"/>
      <c r="Z315" s="376"/>
      <c r="AA315" s="371"/>
      <c r="AB315" s="673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296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673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296"/>
      <c r="P317" s="387"/>
      <c r="Q317" s="417"/>
      <c r="T317" s="13"/>
      <c r="U317" s="370"/>
      <c r="V317" s="370"/>
      <c r="W317" s="375"/>
      <c r="X317" s="374"/>
      <c r="Y317" s="370"/>
      <c r="Z317" s="376"/>
      <c r="AA317" s="371"/>
      <c r="AB317" s="673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97"/>
      <c r="P318" s="387"/>
      <c r="Q318" s="417"/>
      <c r="T318" s="13"/>
      <c r="U318" s="370"/>
      <c r="V318" s="370"/>
      <c r="W318" s="375"/>
      <c r="X318" s="374"/>
      <c r="Y318" s="370"/>
      <c r="Z318" s="376"/>
      <c r="AA318" s="371"/>
      <c r="AB318" s="673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97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673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97"/>
      <c r="P320" s="388"/>
      <c r="Q320" s="417"/>
      <c r="T320" s="13"/>
      <c r="U320" s="370"/>
      <c r="V320" s="370"/>
      <c r="W320" s="375"/>
      <c r="X320" s="374"/>
      <c r="Y320" s="370"/>
      <c r="Z320" s="376"/>
      <c r="AA320" s="371"/>
      <c r="AB320" s="673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97"/>
      <c r="P321" s="296"/>
      <c r="Q321" s="316"/>
      <c r="R321" s="362"/>
      <c r="S321" s="291"/>
      <c r="T321" s="13"/>
      <c r="U321" s="370"/>
      <c r="V321" s="370"/>
      <c r="W321" s="375"/>
      <c r="X321" s="374"/>
      <c r="Y321" s="370"/>
      <c r="Z321" s="376"/>
      <c r="AA321" s="371"/>
      <c r="AB321" s="673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97"/>
      <c r="P322" s="296"/>
      <c r="Q322" s="421"/>
      <c r="R322" s="362"/>
      <c r="S322" s="291"/>
      <c r="T322" s="13"/>
      <c r="U322" s="370"/>
      <c r="V322" s="370"/>
      <c r="W322" s="375"/>
      <c r="X322" s="374"/>
      <c r="Y322" s="370"/>
      <c r="Z322" s="376"/>
      <c r="AA322" s="371"/>
      <c r="AB322" s="673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97"/>
      <c r="P323" s="296"/>
      <c r="Q323" s="421"/>
      <c r="R323" s="362"/>
      <c r="S323" s="291"/>
      <c r="T323" s="13"/>
      <c r="U323" s="370"/>
      <c r="V323" s="370"/>
      <c r="W323" s="375"/>
      <c r="X323" s="374"/>
      <c r="Y323" s="370"/>
      <c r="Z323" s="376"/>
      <c r="AA323" s="371"/>
      <c r="AB323" s="673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296"/>
      <c r="Q324" s="421"/>
      <c r="R324" s="362"/>
      <c r="S324" s="291"/>
      <c r="T324" s="13"/>
      <c r="U324" s="370"/>
      <c r="V324" s="370"/>
      <c r="W324" s="375"/>
      <c r="X324" s="374"/>
      <c r="Y324" s="370"/>
      <c r="Z324" s="376"/>
      <c r="AA324" s="371"/>
      <c r="AB324" s="673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421"/>
      <c r="R325" s="383"/>
      <c r="S325" s="21"/>
      <c r="T325" s="13"/>
      <c r="U325" s="370"/>
      <c r="V325" s="370"/>
      <c r="W325" s="375"/>
      <c r="X325" s="374"/>
      <c r="Y325" s="370"/>
      <c r="Z325" s="376"/>
      <c r="AA325" s="371"/>
      <c r="AB325" s="673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21"/>
      <c r="R326" s="383"/>
      <c r="S326" s="21"/>
      <c r="T326" s="13"/>
      <c r="U326" s="354"/>
      <c r="V326" s="354"/>
      <c r="W326" s="355"/>
      <c r="X326" s="330"/>
      <c r="Y326" s="354"/>
      <c r="Z326" s="356"/>
      <c r="AA326" s="328"/>
      <c r="AB326" s="673"/>
      <c r="AC326" s="346"/>
      <c r="AD326" s="333"/>
      <c r="AE326" s="346"/>
      <c r="AF326" s="346"/>
      <c r="AG326" s="346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O327" s="97"/>
      <c r="P327" s="296"/>
      <c r="Q327" s="421"/>
      <c r="R327" s="383"/>
      <c r="S327" s="21"/>
      <c r="T327" s="13"/>
      <c r="U327" s="354"/>
      <c r="V327" s="354"/>
      <c r="W327" s="355"/>
      <c r="X327" s="330"/>
      <c r="Y327" s="354"/>
      <c r="Z327" s="356"/>
      <c r="AA327" s="328"/>
      <c r="AB327" s="673"/>
      <c r="AC327" s="346"/>
      <c r="AD327" s="333"/>
      <c r="AE327" s="346"/>
      <c r="AF327" s="346"/>
      <c r="AG327" s="346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O328" s="97"/>
      <c r="P328" s="296"/>
      <c r="Q328" s="421"/>
      <c r="R328" s="383"/>
      <c r="S328" s="21"/>
      <c r="T328" s="13"/>
      <c r="U328" s="381"/>
      <c r="V328" s="381"/>
      <c r="W328" s="375"/>
      <c r="X328" s="374"/>
      <c r="Y328" s="370"/>
      <c r="Z328" s="376"/>
      <c r="AA328" s="371"/>
      <c r="AB328" s="673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97"/>
      <c r="P329" s="296"/>
      <c r="Q329" s="421"/>
      <c r="R329" s="383"/>
      <c r="S329" s="21"/>
      <c r="T329" s="13"/>
      <c r="U329" s="381"/>
      <c r="V329" s="381"/>
      <c r="W329" s="375"/>
      <c r="X329" s="374"/>
      <c r="Y329" s="370"/>
      <c r="Z329" s="376"/>
      <c r="AA329" s="371"/>
      <c r="AB329" s="673"/>
      <c r="AC329" s="270"/>
      <c r="AD329" s="372"/>
      <c r="AE329" s="270"/>
      <c r="AF329" s="270"/>
      <c r="AG329" s="270"/>
      <c r="AH329" s="272"/>
      <c r="AI329" s="389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97"/>
      <c r="P330" s="296"/>
      <c r="Q330" s="421"/>
      <c r="R330" s="383"/>
      <c r="S330" s="21"/>
      <c r="T330" s="13"/>
      <c r="U330" s="381"/>
      <c r="V330" s="381"/>
      <c r="W330" s="375"/>
      <c r="X330" s="374"/>
      <c r="Y330" s="370"/>
      <c r="Z330" s="376"/>
      <c r="AA330" s="371"/>
      <c r="AB330" s="673"/>
      <c r="AC330" s="270"/>
      <c r="AD330" s="372"/>
      <c r="AE330" s="270"/>
      <c r="AF330" s="270"/>
      <c r="AG330" s="270"/>
      <c r="AH330" s="272"/>
      <c r="AI330" s="1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97"/>
      <c r="P331" s="296"/>
      <c r="Q331" s="421"/>
      <c r="R331" s="383"/>
      <c r="S331" s="21"/>
      <c r="T331" s="13"/>
      <c r="U331" s="381"/>
      <c r="V331" s="381"/>
      <c r="W331" s="375"/>
      <c r="X331" s="374"/>
      <c r="Y331" s="370"/>
      <c r="Z331" s="376"/>
      <c r="AA331" s="371"/>
      <c r="AB331" s="673"/>
      <c r="AC331" s="270"/>
      <c r="AD331" s="372"/>
      <c r="AE331" s="270"/>
      <c r="AF331" s="270"/>
      <c r="AG331" s="270"/>
      <c r="AH331" s="272"/>
      <c r="AI331" s="1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97"/>
      <c r="P332" s="296"/>
      <c r="Q332" s="421"/>
      <c r="R332" s="383"/>
      <c r="S332" s="21"/>
      <c r="T332" s="13"/>
      <c r="U332" s="381"/>
      <c r="V332" s="381"/>
      <c r="W332" s="375"/>
      <c r="X332" s="374"/>
      <c r="Y332" s="370"/>
      <c r="Z332" s="376"/>
      <c r="AA332" s="371"/>
      <c r="AB332" s="673"/>
      <c r="AC332" s="270"/>
      <c r="AD332" s="372"/>
      <c r="AE332" s="270"/>
      <c r="AF332" s="270"/>
      <c r="AG332" s="270"/>
      <c r="AH332" s="272"/>
      <c r="AI332" s="1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O333" s="97"/>
      <c r="P333" s="296"/>
      <c r="Q333" s="421"/>
      <c r="R333" s="383"/>
      <c r="S333" s="21"/>
      <c r="T333" s="13"/>
      <c r="U333" s="381"/>
      <c r="V333" s="381"/>
      <c r="W333" s="375"/>
      <c r="X333" s="374"/>
      <c r="Y333" s="370"/>
      <c r="Z333" s="376"/>
      <c r="AA333" s="371"/>
      <c r="AB333" s="673"/>
      <c r="AC333" s="270"/>
      <c r="AD333" s="372"/>
      <c r="AE333" s="270"/>
      <c r="AF333" s="270"/>
      <c r="AG333" s="270"/>
      <c r="AH333" s="272"/>
      <c r="AI333" s="1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97"/>
      <c r="P334" s="296"/>
      <c r="Q334" s="421"/>
      <c r="R334" s="383"/>
      <c r="S334" s="21"/>
      <c r="T334" s="13"/>
      <c r="U334" s="381"/>
      <c r="V334" s="381"/>
      <c r="W334" s="375"/>
      <c r="X334" s="374"/>
      <c r="Y334" s="370"/>
      <c r="Z334" s="376"/>
      <c r="AA334" s="371"/>
      <c r="AB334" s="673"/>
      <c r="AC334" s="270"/>
      <c r="AD334" s="372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97"/>
      <c r="P335" s="296"/>
      <c r="Q335" s="421"/>
      <c r="R335" s="383"/>
      <c r="S335" s="21"/>
      <c r="T335" s="13"/>
      <c r="U335" s="381"/>
      <c r="V335" s="381"/>
      <c r="W335" s="375"/>
      <c r="X335" s="374"/>
      <c r="Y335" s="370"/>
      <c r="Z335" s="376"/>
      <c r="AA335" s="371"/>
      <c r="AB335" s="673"/>
      <c r="AC335" s="270"/>
      <c r="AD335" s="372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97"/>
      <c r="P336" s="296"/>
      <c r="Q336" s="421"/>
      <c r="R336" s="383"/>
      <c r="S336" s="21"/>
      <c r="T336" s="13"/>
      <c r="U336" s="381"/>
      <c r="V336" s="381"/>
      <c r="W336" s="375"/>
      <c r="X336" s="374"/>
      <c r="Y336" s="370"/>
      <c r="Z336" s="376"/>
      <c r="AA336" s="371"/>
      <c r="AB336" s="673"/>
      <c r="AC336" s="270"/>
      <c r="AD336" s="372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1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97"/>
      <c r="P337" s="296"/>
      <c r="Q337" s="421"/>
      <c r="R337" s="383"/>
      <c r="S337" s="21"/>
      <c r="T337" s="13"/>
      <c r="U337" s="381"/>
      <c r="V337" s="381"/>
      <c r="W337" s="375"/>
      <c r="X337" s="374"/>
      <c r="Y337" s="370"/>
      <c r="Z337" s="376"/>
      <c r="AA337" s="371"/>
      <c r="AB337" s="673"/>
      <c r="AC337" s="270"/>
      <c r="AD337" s="372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1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296"/>
      <c r="Q338" s="421"/>
      <c r="R338" s="383"/>
      <c r="S338" s="1"/>
      <c r="T338" s="13"/>
      <c r="U338" s="381"/>
      <c r="V338" s="381"/>
      <c r="W338" s="375"/>
      <c r="X338" s="374"/>
      <c r="Y338" s="370"/>
      <c r="Z338" s="376"/>
      <c r="AA338" s="371"/>
      <c r="AB338" s="673"/>
      <c r="AC338" s="270"/>
      <c r="AD338" s="372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1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296"/>
      <c r="Q339" s="421"/>
      <c r="R339" s="383"/>
      <c r="S339" s="21"/>
      <c r="T339" s="13"/>
      <c r="U339" s="381"/>
      <c r="V339" s="381"/>
      <c r="W339" s="375"/>
      <c r="X339" s="374"/>
      <c r="Y339" s="370"/>
      <c r="Z339" s="376"/>
      <c r="AA339" s="371"/>
      <c r="AB339" s="673"/>
      <c r="AC339" s="270"/>
      <c r="AD339" s="372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1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296"/>
      <c r="Q340" s="421"/>
      <c r="R340" s="383"/>
      <c r="S340" s="21"/>
      <c r="T340" s="13"/>
      <c r="U340" s="381"/>
      <c r="V340" s="381"/>
      <c r="W340" s="375"/>
      <c r="X340" s="374"/>
      <c r="Y340" s="370"/>
      <c r="Z340" s="376"/>
      <c r="AA340" s="371"/>
      <c r="AB340" s="673"/>
      <c r="AC340" s="270"/>
      <c r="AD340" s="372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421"/>
      <c r="R341" s="383"/>
      <c r="S341" s="21"/>
      <c r="T341" s="13"/>
      <c r="U341" s="381"/>
      <c r="V341" s="381"/>
      <c r="W341" s="375"/>
      <c r="X341" s="374"/>
      <c r="Y341" s="370"/>
      <c r="Z341" s="376"/>
      <c r="AA341" s="371"/>
      <c r="AB341" s="673"/>
      <c r="AC341" s="270"/>
      <c r="AD341" s="372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21"/>
      <c r="R342" s="383"/>
      <c r="S342" s="21"/>
      <c r="T342" s="13"/>
      <c r="U342" s="381"/>
      <c r="V342" s="381"/>
      <c r="W342" s="375"/>
      <c r="X342" s="374"/>
      <c r="Y342" s="370"/>
      <c r="Z342" s="376"/>
      <c r="AA342" s="371"/>
      <c r="AB342" s="673"/>
      <c r="AC342" s="270"/>
      <c r="AD342" s="372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21"/>
      <c r="R343" s="383"/>
      <c r="S343" s="21"/>
      <c r="T343" s="13"/>
      <c r="U343" s="381"/>
      <c r="V343" s="381"/>
      <c r="W343" s="375"/>
      <c r="X343" s="374"/>
      <c r="Y343" s="370"/>
      <c r="Z343" s="376"/>
      <c r="AA343" s="371"/>
      <c r="AB343" s="673"/>
      <c r="AC343" s="270"/>
      <c r="AD343" s="372"/>
      <c r="AE343" s="270"/>
      <c r="AF343" s="270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21"/>
      <c r="R344" s="383"/>
      <c r="S344" s="21"/>
      <c r="T344" s="13"/>
      <c r="U344" s="381"/>
      <c r="V344" s="381"/>
      <c r="W344" s="375"/>
      <c r="X344" s="374"/>
      <c r="Y344" s="370"/>
      <c r="Z344" s="376"/>
      <c r="AA344" s="371"/>
      <c r="AB344" s="673"/>
      <c r="AC344" s="270"/>
      <c r="AD344" s="372"/>
      <c r="AE344" s="270"/>
      <c r="AF344" s="270"/>
      <c r="AG344" s="270"/>
      <c r="AH344" s="272"/>
      <c r="AI344" s="1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21"/>
      <c r="R345" s="383"/>
      <c r="S345" s="21"/>
      <c r="T345" s="13"/>
      <c r="U345" s="381"/>
      <c r="V345" s="381"/>
      <c r="W345" s="375"/>
      <c r="X345" s="374"/>
      <c r="Y345" s="370"/>
      <c r="Z345" s="376"/>
      <c r="AA345" s="371"/>
      <c r="AB345" s="673"/>
      <c r="AC345" s="270"/>
      <c r="AD345" s="372"/>
      <c r="AE345" s="270"/>
      <c r="AF345" s="270"/>
      <c r="AG345" s="270"/>
      <c r="AH345" s="272"/>
      <c r="AI345" s="1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21"/>
      <c r="R346" s="383"/>
      <c r="S346" s="21"/>
      <c r="T346" s="13"/>
      <c r="U346" s="381"/>
      <c r="V346" s="381"/>
      <c r="W346" s="375"/>
      <c r="X346" s="374"/>
      <c r="Y346" s="370"/>
      <c r="Z346" s="376"/>
      <c r="AA346" s="371"/>
      <c r="AB346" s="673"/>
      <c r="AC346" s="270"/>
      <c r="AD346" s="372"/>
      <c r="AE346" s="270"/>
      <c r="AF346" s="270"/>
      <c r="AG346" s="270"/>
      <c r="AH346" s="272"/>
      <c r="AI346" s="1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N347" s="97"/>
      <c r="O347" s="97"/>
      <c r="P347" s="296"/>
      <c r="Q347" s="421"/>
      <c r="R347" s="383"/>
      <c r="S347" s="21"/>
      <c r="T347" s="13"/>
      <c r="U347" s="381"/>
      <c r="V347" s="381"/>
      <c r="W347" s="375"/>
      <c r="X347" s="374"/>
      <c r="Y347" s="370"/>
      <c r="Z347" s="376"/>
      <c r="AA347" s="371"/>
      <c r="AB347" s="673"/>
      <c r="AC347" s="270"/>
      <c r="AD347" s="372"/>
      <c r="AE347" s="270"/>
      <c r="AF347" s="270"/>
      <c r="AG347" s="270"/>
      <c r="AH347" s="272"/>
      <c r="AI347" s="1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N348" s="97"/>
      <c r="O348" s="97"/>
      <c r="P348" s="296"/>
      <c r="Q348" s="421"/>
      <c r="R348" s="383"/>
      <c r="S348" s="21"/>
      <c r="T348" s="13"/>
      <c r="U348" s="381"/>
      <c r="V348" s="381"/>
      <c r="W348" s="375"/>
      <c r="X348" s="374"/>
      <c r="Y348" s="370"/>
      <c r="Z348" s="376"/>
      <c r="AA348" s="371"/>
      <c r="AB348" s="673"/>
      <c r="AC348" s="270"/>
      <c r="AD348" s="372"/>
      <c r="AE348" s="270"/>
      <c r="AF348" s="270"/>
      <c r="AG348" s="270"/>
      <c r="AH348" s="272"/>
      <c r="AI348" s="1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21"/>
      <c r="R349" s="383"/>
      <c r="S349" s="21"/>
      <c r="T349" s="13"/>
      <c r="U349" s="381"/>
      <c r="V349" s="381"/>
      <c r="W349" s="375"/>
      <c r="X349" s="374"/>
      <c r="Y349" s="370"/>
      <c r="Z349" s="376"/>
      <c r="AA349" s="371"/>
      <c r="AB349" s="673"/>
      <c r="AC349" s="270"/>
      <c r="AD349" s="372"/>
      <c r="AE349" s="270"/>
      <c r="AF349" s="270"/>
      <c r="AG349" s="270"/>
      <c r="AH349" s="272"/>
      <c r="AI349" s="1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21"/>
      <c r="R350" s="383"/>
      <c r="S350" s="21"/>
      <c r="T350" s="13"/>
      <c r="U350" s="381"/>
      <c r="V350" s="381"/>
      <c r="W350" s="375"/>
      <c r="X350" s="374"/>
      <c r="Y350" s="370"/>
      <c r="Z350" s="376"/>
      <c r="AA350" s="371"/>
      <c r="AB350" s="673"/>
      <c r="AC350" s="270"/>
      <c r="AD350" s="372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21"/>
      <c r="R351" s="383"/>
      <c r="S351" s="21"/>
      <c r="T351" s="13"/>
      <c r="U351" s="381"/>
      <c r="V351" s="381"/>
      <c r="W351" s="375"/>
      <c r="X351" s="374"/>
      <c r="Y351" s="370"/>
      <c r="Z351" s="376"/>
      <c r="AA351" s="371"/>
      <c r="AB351" s="673"/>
      <c r="AC351" s="270"/>
      <c r="AD351" s="372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21"/>
      <c r="R352" s="383"/>
      <c r="S352" s="21"/>
      <c r="T352" s="13"/>
      <c r="U352" s="381"/>
      <c r="V352" s="381"/>
      <c r="W352" s="375"/>
      <c r="X352" s="374"/>
      <c r="Y352" s="370"/>
      <c r="Z352" s="376"/>
      <c r="AA352" s="371"/>
      <c r="AB352" s="673"/>
      <c r="AC352" s="270"/>
      <c r="AD352" s="372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N353" s="97"/>
      <c r="O353" s="97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673"/>
      <c r="AC353" s="270"/>
      <c r="AD353" s="372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50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673"/>
      <c r="AC354" s="270"/>
      <c r="AD354" s="372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50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673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50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673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50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673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21"/>
      <c r="R358" s="383"/>
      <c r="S358" s="21"/>
      <c r="T358" s="13"/>
      <c r="U358" s="381"/>
      <c r="V358" s="381"/>
      <c r="W358" s="375"/>
      <c r="X358" s="374"/>
      <c r="Y358" s="370"/>
      <c r="Z358" s="376"/>
      <c r="AA358" s="371"/>
      <c r="AB358" s="673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673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673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673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673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673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673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673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50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673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50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673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50"/>
      <c r="P368" s="296"/>
      <c r="Q368" s="421"/>
      <c r="R368" s="383"/>
      <c r="S368" s="21"/>
      <c r="T368" s="13"/>
      <c r="U368" s="381"/>
      <c r="V368" s="321"/>
      <c r="W368" s="322"/>
      <c r="X368" s="322"/>
      <c r="Y368" s="322"/>
      <c r="Z368" s="323"/>
      <c r="AA368" s="371"/>
      <c r="AB368" s="673"/>
      <c r="AC368" s="371"/>
      <c r="AD368" s="372"/>
      <c r="AE368" s="371"/>
      <c r="AF368" s="371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4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50"/>
      <c r="P369" s="296"/>
      <c r="Q369" s="421"/>
      <c r="R369" s="383"/>
      <c r="S369" s="21"/>
      <c r="T369" s="13"/>
      <c r="U369" s="381"/>
      <c r="V369" s="321"/>
      <c r="W369" s="322"/>
      <c r="X369" s="322"/>
      <c r="Y369" s="322"/>
      <c r="Z369" s="323"/>
      <c r="AA369" s="371"/>
      <c r="AB369" s="673"/>
      <c r="AC369" s="371"/>
      <c r="AD369" s="372"/>
      <c r="AE369" s="371"/>
      <c r="AF369" s="371"/>
      <c r="AG369" s="270"/>
      <c r="AH369" s="272"/>
      <c r="AI369" s="1"/>
      <c r="AJ369" s="21"/>
      <c r="AK369" s="21"/>
      <c r="AL369" s="21"/>
      <c r="AM369" s="21"/>
      <c r="AN369" s="21"/>
      <c r="AO369" s="21"/>
      <c r="AQ369" s="21"/>
      <c r="AR369" s="21"/>
    </row>
    <row r="370" spans="1:44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50"/>
      <c r="P370" s="296"/>
      <c r="Q370" s="421"/>
      <c r="R370" s="383"/>
      <c r="S370" s="21"/>
      <c r="T370" s="13"/>
      <c r="U370" s="381"/>
      <c r="V370" s="321"/>
      <c r="W370" s="322"/>
      <c r="X370" s="322"/>
      <c r="Y370" s="322"/>
      <c r="Z370" s="323"/>
      <c r="AA370" s="371"/>
      <c r="AB370" s="673"/>
      <c r="AC370" s="371"/>
      <c r="AD370" s="372"/>
      <c r="AE370" s="371"/>
      <c r="AF370" s="371"/>
      <c r="AG370" s="270"/>
      <c r="AH370" s="272"/>
      <c r="AI370" s="1"/>
      <c r="AJ370" s="21"/>
      <c r="AK370" s="21"/>
      <c r="AL370" s="21"/>
      <c r="AM370" s="21"/>
      <c r="AN370" s="21"/>
      <c r="AO370" s="21"/>
      <c r="AQ370" s="21"/>
      <c r="AR370" s="21"/>
    </row>
    <row r="371" spans="1:44" x14ac:dyDescent="0.2">
      <c r="A371" s="48"/>
      <c r="B371" s="306"/>
      <c r="C371" s="233"/>
      <c r="D371" s="233"/>
      <c r="P371" s="296"/>
      <c r="Q371" s="421"/>
      <c r="R371" s="383"/>
      <c r="U371" s="381"/>
      <c r="V371" s="321"/>
      <c r="W371" s="322"/>
      <c r="X371" s="322"/>
      <c r="Y371" s="322"/>
      <c r="Z371" s="323"/>
      <c r="AA371" s="371"/>
      <c r="AB371" s="673"/>
      <c r="AC371" s="371"/>
      <c r="AD371" s="372"/>
      <c r="AE371" s="371"/>
      <c r="AF371" s="371"/>
      <c r="AG371" s="270"/>
      <c r="AH371" s="272"/>
      <c r="AP371" s="53"/>
    </row>
    <row r="372" spans="1:44" x14ac:dyDescent="0.2">
      <c r="A372" s="48"/>
      <c r="B372" s="306"/>
      <c r="C372" s="233"/>
      <c r="D372" s="233"/>
      <c r="P372" s="296"/>
      <c r="Q372" s="421"/>
      <c r="R372" s="383"/>
      <c r="U372" s="381"/>
      <c r="V372" s="321"/>
      <c r="W372" s="322"/>
      <c r="X372" s="322"/>
      <c r="Y372" s="322"/>
      <c r="Z372" s="323"/>
      <c r="AA372" s="371"/>
      <c r="AB372" s="673"/>
      <c r="AC372" s="371"/>
      <c r="AD372" s="372"/>
      <c r="AE372" s="371"/>
      <c r="AF372" s="371"/>
      <c r="AG372" s="270"/>
      <c r="AH372" s="272"/>
      <c r="AP372" s="53"/>
    </row>
    <row r="373" spans="1:44" x14ac:dyDescent="0.2">
      <c r="A373" s="48"/>
      <c r="B373" s="306"/>
      <c r="C373" s="233"/>
      <c r="D373" s="233"/>
      <c r="P373" s="296"/>
      <c r="Q373" s="421"/>
      <c r="R373" s="383"/>
      <c r="U373" s="381"/>
      <c r="V373" s="370"/>
      <c r="W373" s="375"/>
      <c r="X373" s="375"/>
      <c r="Y373" s="375"/>
      <c r="Z373" s="376"/>
      <c r="AA373" s="371"/>
      <c r="AB373" s="673"/>
      <c r="AC373" s="371"/>
      <c r="AD373" s="372"/>
      <c r="AE373" s="371"/>
      <c r="AF373" s="371"/>
      <c r="AG373" s="270"/>
      <c r="AH373" s="272"/>
      <c r="AP373" s="53"/>
    </row>
    <row r="374" spans="1:44" x14ac:dyDescent="0.2">
      <c r="A374" s="48"/>
      <c r="B374" s="306"/>
      <c r="C374" s="233"/>
      <c r="D374" s="233"/>
      <c r="P374" s="296"/>
      <c r="Q374" s="421"/>
      <c r="R374" s="383"/>
      <c r="U374" s="381"/>
      <c r="V374" s="370"/>
      <c r="W374" s="375"/>
      <c r="X374" s="374"/>
      <c r="Y374" s="370"/>
      <c r="Z374" s="376"/>
      <c r="AA374" s="371"/>
      <c r="AB374" s="673"/>
      <c r="AC374" s="270"/>
      <c r="AD374" s="372"/>
      <c r="AE374" s="270"/>
      <c r="AF374" s="270"/>
      <c r="AG374" s="270"/>
      <c r="AH374" s="272"/>
      <c r="AP374" s="53"/>
    </row>
    <row r="375" spans="1:44" x14ac:dyDescent="0.2">
      <c r="A375" s="48"/>
      <c r="B375" s="306"/>
      <c r="C375" s="233"/>
      <c r="D375" s="233"/>
      <c r="P375" s="296"/>
      <c r="Q375" s="421"/>
      <c r="R375" s="383"/>
      <c r="U375" s="381"/>
      <c r="V375" s="370"/>
      <c r="W375" s="375"/>
      <c r="X375" s="374"/>
      <c r="Y375" s="370"/>
      <c r="Z375" s="376"/>
      <c r="AA375" s="371"/>
      <c r="AB375" s="673"/>
      <c r="AC375" s="270"/>
      <c r="AD375" s="372"/>
      <c r="AE375" s="270"/>
      <c r="AF375" s="270"/>
      <c r="AG375" s="270"/>
      <c r="AH375" s="272"/>
      <c r="AP375" s="53"/>
    </row>
    <row r="376" spans="1:44" x14ac:dyDescent="0.2">
      <c r="A376" s="48"/>
      <c r="B376" s="306"/>
      <c r="C376" s="233"/>
      <c r="D376" s="233"/>
      <c r="P376" s="296"/>
      <c r="Q376" s="421"/>
      <c r="R376" s="383"/>
      <c r="U376" s="381"/>
      <c r="V376" s="370"/>
      <c r="W376" s="375"/>
      <c r="X376" s="374"/>
      <c r="Y376" s="370"/>
      <c r="Z376" s="376"/>
      <c r="AA376" s="371"/>
      <c r="AB376" s="673"/>
      <c r="AC376" s="270"/>
      <c r="AD376" s="372"/>
      <c r="AE376" s="270"/>
      <c r="AF376" s="270"/>
      <c r="AG376" s="270"/>
      <c r="AH376" s="272"/>
      <c r="AP376" s="53"/>
    </row>
    <row r="377" spans="1:44" x14ac:dyDescent="0.2">
      <c r="A377" s="48"/>
      <c r="B377" s="306"/>
      <c r="C377" s="233"/>
      <c r="D377" s="233"/>
      <c r="P377" s="296"/>
      <c r="Q377" s="421"/>
      <c r="R377" s="383"/>
      <c r="U377" s="381"/>
      <c r="V377" s="370"/>
      <c r="W377" s="375"/>
      <c r="X377" s="374"/>
      <c r="Y377" s="370"/>
      <c r="Z377" s="376"/>
      <c r="AA377" s="371"/>
      <c r="AB377" s="673"/>
      <c r="AC377" s="270"/>
      <c r="AD377" s="372"/>
      <c r="AE377" s="270"/>
      <c r="AF377" s="270"/>
      <c r="AG377" s="270"/>
      <c r="AH377" s="272"/>
      <c r="AP377" s="53"/>
    </row>
    <row r="378" spans="1:44" x14ac:dyDescent="0.2">
      <c r="A378" s="48"/>
      <c r="B378" s="306"/>
      <c r="C378" s="233"/>
      <c r="D378" s="233"/>
      <c r="P378" s="296"/>
      <c r="Q378" s="421"/>
      <c r="R378" s="383"/>
      <c r="U378" s="381"/>
      <c r="V378" s="370"/>
      <c r="W378" s="375"/>
      <c r="X378" s="374"/>
      <c r="Y378" s="370"/>
      <c r="Z378" s="376"/>
      <c r="AA378" s="371"/>
      <c r="AB378" s="673"/>
      <c r="AC378" s="270"/>
      <c r="AD378" s="372"/>
      <c r="AE378" s="270"/>
      <c r="AF378" s="270"/>
      <c r="AG378" s="270"/>
      <c r="AH378" s="272"/>
      <c r="AP378" s="53"/>
    </row>
    <row r="379" spans="1:44" x14ac:dyDescent="0.2">
      <c r="A379" s="48"/>
      <c r="B379" s="306"/>
      <c r="C379" s="233"/>
      <c r="D379" s="233"/>
      <c r="P379" s="296"/>
      <c r="Q379" s="421"/>
      <c r="R379" s="383"/>
      <c r="U379" s="381"/>
      <c r="V379" s="370"/>
      <c r="W379" s="375"/>
      <c r="X379" s="374"/>
      <c r="Y379" s="370"/>
      <c r="Z379" s="376"/>
      <c r="AA379" s="371"/>
      <c r="AB379" s="673"/>
      <c r="AC379" s="270"/>
      <c r="AD379" s="372"/>
      <c r="AE379" s="270"/>
      <c r="AF379" s="270"/>
      <c r="AG379" s="270"/>
      <c r="AH379" s="272"/>
      <c r="AP379" s="53"/>
      <c r="AQ379" s="53"/>
      <c r="AR379" s="53"/>
    </row>
    <row r="380" spans="1:44" x14ac:dyDescent="0.2">
      <c r="A380" s="48"/>
      <c r="B380" s="306"/>
      <c r="C380" s="233"/>
      <c r="D380" s="233"/>
      <c r="P380" s="296"/>
      <c r="Q380" s="421"/>
      <c r="R380" s="383"/>
      <c r="U380" s="381"/>
      <c r="V380" s="370"/>
      <c r="W380" s="375"/>
      <c r="X380" s="374"/>
      <c r="Y380" s="370"/>
      <c r="Z380" s="376"/>
      <c r="AA380" s="371"/>
      <c r="AB380" s="673"/>
      <c r="AC380" s="270"/>
      <c r="AD380" s="372"/>
      <c r="AE380" s="270"/>
      <c r="AF380" s="270"/>
      <c r="AG380" s="270"/>
      <c r="AH380" s="272"/>
      <c r="AP380" s="53"/>
      <c r="AQ380" s="53"/>
      <c r="AR380" s="53"/>
    </row>
    <row r="381" spans="1:44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21"/>
      <c r="R381" s="383"/>
      <c r="S381" s="21"/>
      <c r="T381" s="13"/>
      <c r="U381" s="381"/>
      <c r="V381" s="370"/>
      <c r="W381" s="375"/>
      <c r="X381" s="374"/>
      <c r="Y381" s="370"/>
      <c r="Z381" s="376"/>
      <c r="AA381" s="371"/>
      <c r="AB381" s="673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4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70"/>
      <c r="W382" s="375"/>
      <c r="X382" s="374"/>
      <c r="Y382" s="370"/>
      <c r="Z382" s="376"/>
      <c r="AA382" s="371"/>
      <c r="AB382" s="673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4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70"/>
      <c r="W383" s="375"/>
      <c r="X383" s="374"/>
      <c r="Y383" s="370"/>
      <c r="Z383" s="376"/>
      <c r="AA383" s="371"/>
      <c r="AB383" s="673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4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70"/>
      <c r="W384" s="375"/>
      <c r="X384" s="374"/>
      <c r="Y384" s="370"/>
      <c r="Z384" s="376"/>
      <c r="AA384" s="371"/>
      <c r="AB384" s="673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1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70"/>
      <c r="W385" s="375"/>
      <c r="X385" s="374"/>
      <c r="Y385" s="370"/>
      <c r="Z385" s="376"/>
      <c r="AA385" s="371"/>
      <c r="AB385" s="673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1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70"/>
      <c r="W386" s="375"/>
      <c r="X386" s="374"/>
      <c r="Y386" s="370"/>
      <c r="Z386" s="376"/>
      <c r="AA386" s="371"/>
      <c r="AB386" s="673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1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70"/>
      <c r="W387" s="375"/>
      <c r="X387" s="374"/>
      <c r="Y387" s="370"/>
      <c r="Z387" s="376"/>
      <c r="AA387" s="371"/>
      <c r="AB387" s="673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1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70"/>
      <c r="W388" s="375"/>
      <c r="X388" s="374"/>
      <c r="Y388" s="370"/>
      <c r="Z388" s="376"/>
      <c r="AA388" s="371"/>
      <c r="AB388" s="673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1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70"/>
      <c r="W389" s="375"/>
      <c r="X389" s="374"/>
      <c r="Y389" s="370"/>
      <c r="Z389" s="376"/>
      <c r="AA389" s="371"/>
      <c r="AB389" s="673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1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70"/>
      <c r="W390" s="375"/>
      <c r="X390" s="374"/>
      <c r="Y390" s="370"/>
      <c r="Z390" s="376"/>
      <c r="AA390" s="371"/>
      <c r="AB390" s="673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1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296"/>
      <c r="Q391" s="421"/>
      <c r="R391" s="383"/>
      <c r="S391" s="21"/>
      <c r="T391" s="13"/>
      <c r="U391" s="381"/>
      <c r="V391" s="370"/>
      <c r="W391" s="375"/>
      <c r="X391" s="374"/>
      <c r="Y391" s="370"/>
      <c r="Z391" s="376"/>
      <c r="AA391" s="371"/>
      <c r="AB391" s="673"/>
      <c r="AC391" s="270"/>
      <c r="AD391" s="372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1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296"/>
      <c r="Q392" s="421"/>
      <c r="R392" s="383"/>
      <c r="S392" s="21"/>
      <c r="T392" s="13"/>
      <c r="U392" s="381"/>
      <c r="V392" s="370"/>
      <c r="W392" s="375"/>
      <c r="X392" s="374"/>
      <c r="Y392" s="370"/>
      <c r="Z392" s="376"/>
      <c r="AA392" s="371"/>
      <c r="AB392" s="673"/>
      <c r="AC392" s="270"/>
      <c r="AD392" s="372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</row>
    <row r="393" spans="1:41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296"/>
      <c r="Q393" s="421"/>
      <c r="R393" s="383"/>
      <c r="S393" s="21"/>
      <c r="T393" s="13"/>
      <c r="U393" s="381"/>
      <c r="V393" s="370"/>
      <c r="W393" s="375"/>
      <c r="X393" s="374"/>
      <c r="Y393" s="370"/>
      <c r="Z393" s="376"/>
      <c r="AA393" s="371"/>
      <c r="AB393" s="673"/>
      <c r="AC393" s="270"/>
      <c r="AD393" s="372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</row>
    <row r="394" spans="1:41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296"/>
      <c r="Q394" s="421"/>
      <c r="R394" s="383"/>
      <c r="S394" s="21"/>
      <c r="T394" s="13"/>
      <c r="U394" s="381"/>
      <c r="V394" s="370"/>
      <c r="W394" s="375"/>
      <c r="X394" s="374"/>
      <c r="Y394" s="370"/>
      <c r="Z394" s="376"/>
      <c r="AA394" s="371"/>
      <c r="AB394" s="673"/>
      <c r="AC394" s="270"/>
      <c r="AD394" s="372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</row>
    <row r="395" spans="1:41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296"/>
      <c r="Q395" s="421"/>
      <c r="R395" s="383"/>
      <c r="S395" s="21"/>
      <c r="T395" s="13"/>
      <c r="U395" s="381"/>
      <c r="V395" s="370"/>
      <c r="W395" s="375"/>
      <c r="X395" s="374"/>
      <c r="Y395" s="370"/>
      <c r="Z395" s="376"/>
      <c r="AA395" s="371"/>
      <c r="AB395" s="673"/>
      <c r="AC395" s="270"/>
      <c r="AD395" s="372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</row>
    <row r="396" spans="1:41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296"/>
      <c r="Q396" s="421"/>
      <c r="R396" s="383"/>
      <c r="S396" s="21"/>
      <c r="T396" s="13"/>
      <c r="U396" s="381"/>
      <c r="V396" s="370"/>
      <c r="W396" s="375"/>
      <c r="X396" s="374"/>
      <c r="Y396" s="370"/>
      <c r="Z396" s="376"/>
      <c r="AA396" s="371"/>
      <c r="AB396" s="673"/>
      <c r="AC396" s="270"/>
      <c r="AD396" s="372"/>
      <c r="AE396" s="270"/>
      <c r="AF396" s="270"/>
      <c r="AG396" s="270"/>
      <c r="AH396" s="315"/>
      <c r="AI396" s="1"/>
      <c r="AJ396" s="21"/>
      <c r="AK396" s="21"/>
      <c r="AL396" s="21"/>
      <c r="AM396" s="21"/>
      <c r="AN396" s="21"/>
      <c r="AO396" s="21"/>
    </row>
    <row r="397" spans="1:41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296"/>
      <c r="Q397" s="316"/>
      <c r="R397" s="383"/>
      <c r="S397" s="21"/>
      <c r="T397" s="13"/>
      <c r="U397" s="381"/>
      <c r="V397" s="370"/>
      <c r="W397" s="375"/>
      <c r="X397" s="374"/>
      <c r="Y397" s="370"/>
      <c r="Z397" s="376"/>
      <c r="AA397" s="371"/>
      <c r="AB397" s="673"/>
      <c r="AC397" s="270"/>
      <c r="AD397" s="372"/>
      <c r="AE397" s="270"/>
      <c r="AF397" s="270"/>
      <c r="AG397" s="270"/>
      <c r="AH397" s="315"/>
      <c r="AI397" s="1"/>
      <c r="AJ397" s="21"/>
      <c r="AK397" s="21"/>
      <c r="AL397" s="21"/>
      <c r="AM397" s="21"/>
      <c r="AN397" s="21"/>
      <c r="AO397" s="21"/>
    </row>
    <row r="398" spans="1:41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296"/>
      <c r="Q398" s="316"/>
      <c r="R398" s="383"/>
      <c r="S398" s="21"/>
      <c r="T398" s="13"/>
      <c r="U398" s="381"/>
      <c r="V398" s="370"/>
      <c r="W398" s="375"/>
      <c r="X398" s="374"/>
      <c r="Y398" s="370"/>
      <c r="Z398" s="376"/>
      <c r="AA398" s="371"/>
      <c r="AB398" s="673"/>
      <c r="AC398" s="270"/>
      <c r="AD398" s="372"/>
      <c r="AE398" s="270"/>
      <c r="AF398" s="270"/>
      <c r="AG398" s="270"/>
      <c r="AH398" s="315"/>
      <c r="AI398" s="1"/>
      <c r="AJ398" s="21"/>
      <c r="AK398" s="21"/>
      <c r="AL398" s="21"/>
      <c r="AM398" s="21"/>
      <c r="AN398" s="21"/>
      <c r="AO398" s="21"/>
    </row>
    <row r="399" spans="1:41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296"/>
      <c r="Q399" s="316"/>
      <c r="R399" s="383"/>
      <c r="S399" s="21"/>
      <c r="T399" s="13"/>
      <c r="U399" s="381"/>
      <c r="V399" s="370"/>
      <c r="W399" s="375"/>
      <c r="X399" s="374"/>
      <c r="Y399" s="370"/>
      <c r="Z399" s="376"/>
      <c r="AA399" s="371"/>
      <c r="AB399" s="673"/>
      <c r="AC399" s="270"/>
      <c r="AD399" s="372"/>
      <c r="AE399" s="270"/>
      <c r="AF399" s="270"/>
      <c r="AG399" s="270"/>
      <c r="AH399" s="315"/>
      <c r="AI399" s="1"/>
      <c r="AJ399" s="21"/>
      <c r="AK399" s="21"/>
      <c r="AL399" s="21"/>
      <c r="AM399" s="21"/>
      <c r="AN399" s="21"/>
      <c r="AO399" s="21"/>
    </row>
    <row r="400" spans="1:41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296"/>
      <c r="Q400" s="316"/>
      <c r="R400" s="383"/>
      <c r="S400" s="21"/>
      <c r="T400" s="13"/>
      <c r="U400" s="381"/>
      <c r="V400" s="370"/>
      <c r="W400" s="375"/>
      <c r="X400" s="374"/>
      <c r="Y400" s="370"/>
      <c r="Z400" s="376"/>
      <c r="AA400" s="371"/>
      <c r="AB400" s="673"/>
      <c r="AC400" s="270"/>
      <c r="AD400" s="372"/>
      <c r="AE400" s="270"/>
      <c r="AF400" s="270"/>
      <c r="AG400" s="270"/>
      <c r="AH400" s="315"/>
      <c r="AI400" s="1"/>
      <c r="AJ400" s="21"/>
      <c r="AK400" s="21"/>
      <c r="AL400" s="21"/>
      <c r="AM400" s="21"/>
      <c r="AN400" s="21"/>
      <c r="AO400" s="21"/>
    </row>
    <row r="401" spans="1:41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97"/>
      <c r="Q401" s="316"/>
      <c r="R401" s="383"/>
      <c r="S401" s="21"/>
      <c r="T401" s="13"/>
      <c r="U401" s="381"/>
      <c r="V401" s="370"/>
      <c r="W401" s="375"/>
      <c r="X401" s="374"/>
      <c r="Y401" s="370"/>
      <c r="Z401" s="376"/>
      <c r="AA401" s="371"/>
      <c r="AB401" s="673"/>
      <c r="AC401" s="270"/>
      <c r="AD401" s="372"/>
      <c r="AE401" s="270"/>
      <c r="AF401" s="270"/>
      <c r="AG401" s="270"/>
      <c r="AH401" s="315"/>
      <c r="AI401" s="1"/>
      <c r="AJ401" s="21"/>
      <c r="AK401" s="21"/>
      <c r="AL401" s="21"/>
      <c r="AM401" s="21"/>
      <c r="AN401" s="21"/>
      <c r="AO401" s="21"/>
    </row>
    <row r="402" spans="1:41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97"/>
      <c r="Q402" s="316"/>
      <c r="R402" s="383"/>
      <c r="S402" s="21"/>
      <c r="T402" s="13"/>
      <c r="U402" s="381"/>
      <c r="V402" s="370"/>
      <c r="W402" s="375"/>
      <c r="X402" s="374"/>
      <c r="Y402" s="370"/>
      <c r="Z402" s="376"/>
      <c r="AA402" s="371"/>
      <c r="AB402" s="673"/>
      <c r="AC402" s="270"/>
      <c r="AD402" s="372"/>
      <c r="AE402" s="270"/>
      <c r="AF402" s="270"/>
      <c r="AG402" s="270"/>
      <c r="AH402" s="315"/>
      <c r="AI402" s="1"/>
      <c r="AJ402" s="21"/>
      <c r="AK402" s="21"/>
      <c r="AL402" s="21"/>
      <c r="AM402" s="21"/>
      <c r="AN402" s="21"/>
      <c r="AO402" s="21"/>
    </row>
    <row r="403" spans="1:41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97"/>
      <c r="Q403" s="316"/>
      <c r="R403" s="383"/>
      <c r="S403" s="21"/>
      <c r="T403" s="13"/>
      <c r="U403" s="381"/>
      <c r="V403" s="370"/>
      <c r="W403" s="375"/>
      <c r="X403" s="374"/>
      <c r="Y403" s="370"/>
      <c r="Z403" s="376"/>
      <c r="AA403" s="371"/>
      <c r="AB403" s="673"/>
      <c r="AC403" s="270"/>
      <c r="AD403" s="372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1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97"/>
      <c r="Q404" s="316"/>
      <c r="R404" s="383"/>
      <c r="S404" s="21"/>
      <c r="T404" s="13"/>
      <c r="U404" s="381"/>
      <c r="V404" s="370"/>
      <c r="W404" s="375"/>
      <c r="X404" s="374"/>
      <c r="Y404" s="370"/>
      <c r="Z404" s="376"/>
      <c r="AA404" s="371"/>
      <c r="AB404" s="673"/>
      <c r="AC404" s="270"/>
      <c r="AD404" s="372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1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Q405" s="316"/>
      <c r="R405" s="383"/>
      <c r="S405" s="21"/>
      <c r="T405" s="13"/>
      <c r="U405" s="381"/>
      <c r="V405" s="370"/>
      <c r="W405" s="375"/>
      <c r="X405" s="374"/>
      <c r="Y405" s="370"/>
      <c r="Z405" s="376"/>
      <c r="AA405" s="371"/>
      <c r="AB405" s="673"/>
      <c r="AC405" s="270"/>
      <c r="AD405" s="372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Q406" s="316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673"/>
      <c r="AC406" s="270"/>
      <c r="AD406" s="372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Q407" s="316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673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Q408" s="316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673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Q409" s="316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673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97"/>
      <c r="Q410" s="316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673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97"/>
      <c r="Q411" s="316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673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97"/>
      <c r="Q412" s="316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673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97"/>
      <c r="Q413" s="316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673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97"/>
      <c r="Q414" s="316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673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97"/>
      <c r="Q415" s="316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673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97"/>
      <c r="Q416" s="316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673"/>
      <c r="AC416" s="270"/>
      <c r="AD416" s="372"/>
      <c r="AE416" s="270"/>
      <c r="AF416" s="270"/>
      <c r="AG416" s="270"/>
      <c r="AH416" s="272"/>
      <c r="AI416" s="1"/>
      <c r="AJ416" s="21"/>
      <c r="AK416" s="21"/>
      <c r="AL416" s="21"/>
      <c r="AM416" s="21"/>
      <c r="AN416" s="21"/>
      <c r="AO416" s="21"/>
    </row>
    <row r="417" spans="1:42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97"/>
      <c r="Q417" s="316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673"/>
      <c r="AC417" s="270"/>
      <c r="AD417" s="372"/>
      <c r="AE417" s="270"/>
      <c r="AF417" s="270"/>
      <c r="AG417" s="270"/>
      <c r="AH417" s="272"/>
      <c r="AI417" s="1"/>
      <c r="AJ417" s="21"/>
      <c r="AK417" s="21"/>
      <c r="AL417" s="21"/>
      <c r="AM417" s="21"/>
      <c r="AN417" s="21"/>
      <c r="AO417" s="21"/>
      <c r="AP417" s="21"/>
    </row>
    <row r="418" spans="1:42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97"/>
      <c r="Q418" s="316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673"/>
      <c r="AC418" s="270"/>
      <c r="AD418" s="372"/>
      <c r="AE418" s="270"/>
      <c r="AF418" s="270"/>
      <c r="AG418" s="270"/>
      <c r="AH418" s="272"/>
      <c r="AI418" s="1"/>
      <c r="AJ418" s="21"/>
      <c r="AK418" s="21"/>
      <c r="AL418" s="21"/>
      <c r="AM418" s="21"/>
      <c r="AN418" s="21"/>
      <c r="AO418" s="21"/>
      <c r="AP418" s="21"/>
    </row>
    <row r="419" spans="1:42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97"/>
      <c r="Q419" s="316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673"/>
      <c r="AC419" s="270"/>
      <c r="AD419" s="372"/>
      <c r="AE419" s="270"/>
      <c r="AF419" s="270"/>
      <c r="AG419" s="270"/>
      <c r="AH419" s="272"/>
      <c r="AI419" s="1"/>
      <c r="AJ419" s="21"/>
      <c r="AK419" s="21"/>
      <c r="AL419" s="21"/>
      <c r="AM419" s="21"/>
      <c r="AN419" s="21"/>
      <c r="AO419" s="21"/>
      <c r="AP419" s="21"/>
    </row>
    <row r="420" spans="1:42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97"/>
      <c r="Q420" s="316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673"/>
      <c r="AC420" s="270"/>
      <c r="AD420" s="372"/>
      <c r="AE420" s="270"/>
      <c r="AF420" s="270"/>
      <c r="AG420" s="270"/>
      <c r="AH420" s="272"/>
      <c r="AI420" s="1"/>
      <c r="AJ420" s="21"/>
      <c r="AK420" s="21"/>
      <c r="AL420" s="21"/>
      <c r="AM420" s="21"/>
      <c r="AN420" s="21"/>
      <c r="AO420" s="21"/>
      <c r="AP420" s="21"/>
    </row>
    <row r="421" spans="1:42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6"/>
      <c r="R421" s="383"/>
      <c r="S421" s="21"/>
      <c r="T421" s="13"/>
      <c r="U421" s="381"/>
      <c r="V421" s="375"/>
      <c r="W421" s="374"/>
      <c r="X421" s="370"/>
      <c r="Y421" s="376"/>
      <c r="Z421" s="371"/>
      <c r="AA421" s="371"/>
      <c r="AB421" s="675"/>
      <c r="AC421" s="372"/>
      <c r="AD421" s="270"/>
      <c r="AE421" s="270"/>
      <c r="AF421" s="270"/>
      <c r="AG421" s="376"/>
      <c r="AH421" s="272"/>
      <c r="AI421" s="1"/>
      <c r="AJ421" s="21"/>
      <c r="AK421" s="21"/>
      <c r="AL421" s="21"/>
      <c r="AM421" s="21"/>
      <c r="AN421" s="21"/>
      <c r="AO421" s="21"/>
      <c r="AP421" s="21"/>
    </row>
    <row r="422" spans="1:42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16"/>
      <c r="R422" s="383"/>
      <c r="S422" s="21"/>
      <c r="T422" s="13"/>
      <c r="U422" s="381"/>
      <c r="V422" s="375"/>
      <c r="W422" s="374"/>
      <c r="X422" s="370"/>
      <c r="Y422" s="376"/>
      <c r="Z422" s="371"/>
      <c r="AA422" s="371"/>
      <c r="AB422" s="675"/>
      <c r="AC422" s="372"/>
      <c r="AD422" s="270"/>
      <c r="AE422" s="270"/>
      <c r="AF422" s="270"/>
      <c r="AG422" s="376"/>
      <c r="AH422" s="272"/>
      <c r="AI422" s="1"/>
      <c r="AJ422" s="21"/>
      <c r="AK422" s="21"/>
      <c r="AL422" s="21"/>
      <c r="AM422" s="21"/>
      <c r="AN422" s="21"/>
      <c r="AO422" s="21"/>
      <c r="AP422" s="21"/>
    </row>
    <row r="423" spans="1:42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6"/>
      <c r="R423" s="383"/>
      <c r="S423" s="21"/>
      <c r="T423" s="13"/>
      <c r="U423" s="381"/>
      <c r="V423" s="375"/>
      <c r="W423" s="374"/>
      <c r="X423" s="370"/>
      <c r="Y423" s="376"/>
      <c r="Z423" s="371"/>
      <c r="AA423" s="371"/>
      <c r="AB423" s="675"/>
      <c r="AC423" s="372"/>
      <c r="AD423" s="270"/>
      <c r="AE423" s="270"/>
      <c r="AF423" s="270"/>
      <c r="AG423" s="376"/>
      <c r="AH423" s="272"/>
      <c r="AI423" s="1"/>
      <c r="AJ423" s="21"/>
      <c r="AK423" s="21"/>
      <c r="AL423" s="21"/>
      <c r="AM423" s="21"/>
      <c r="AN423" s="21"/>
      <c r="AO423" s="21"/>
      <c r="AP423" s="21"/>
    </row>
    <row r="424" spans="1:42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6"/>
      <c r="R424" s="383"/>
      <c r="S424" s="21"/>
      <c r="T424" s="13"/>
      <c r="U424" s="381"/>
      <c r="V424" s="375"/>
      <c r="W424" s="374"/>
      <c r="X424" s="370"/>
      <c r="Y424" s="376"/>
      <c r="Z424" s="371"/>
      <c r="AA424" s="371"/>
      <c r="AB424" s="675"/>
      <c r="AC424" s="372"/>
      <c r="AD424" s="270"/>
      <c r="AE424" s="270"/>
      <c r="AF424" s="270"/>
      <c r="AG424" s="376"/>
      <c r="AH424" s="272"/>
      <c r="AI424" s="1"/>
      <c r="AJ424" s="21"/>
      <c r="AK424" s="21"/>
      <c r="AL424" s="21"/>
      <c r="AM424" s="21"/>
      <c r="AN424" s="21"/>
      <c r="AO424" s="21"/>
      <c r="AP424" s="21"/>
    </row>
    <row r="425" spans="1:42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6"/>
      <c r="R425" s="383"/>
      <c r="S425" s="21"/>
      <c r="T425" s="13"/>
      <c r="U425" s="381"/>
      <c r="V425" s="375"/>
      <c r="W425" s="374"/>
      <c r="X425" s="370"/>
      <c r="Y425" s="376"/>
      <c r="Z425" s="371"/>
      <c r="AA425" s="371"/>
      <c r="AB425" s="675"/>
      <c r="AC425" s="372"/>
      <c r="AD425" s="270"/>
      <c r="AE425" s="270"/>
      <c r="AF425" s="270"/>
      <c r="AG425" s="376"/>
      <c r="AH425" s="272"/>
      <c r="AI425" s="1"/>
      <c r="AJ425" s="21"/>
      <c r="AK425" s="21"/>
      <c r="AL425" s="21"/>
      <c r="AM425" s="21"/>
      <c r="AN425" s="21"/>
      <c r="AO425" s="21"/>
      <c r="AP425" s="21"/>
    </row>
    <row r="426" spans="1:42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6"/>
      <c r="R426" s="383"/>
      <c r="S426" s="21"/>
      <c r="T426" s="13"/>
      <c r="U426" s="381"/>
      <c r="V426" s="375"/>
      <c r="W426" s="374"/>
      <c r="X426" s="370"/>
      <c r="Y426" s="376"/>
      <c r="Z426" s="371"/>
      <c r="AA426" s="371"/>
      <c r="AB426" s="675"/>
      <c r="AC426" s="372"/>
      <c r="AD426" s="270"/>
      <c r="AE426" s="270"/>
      <c r="AF426" s="270"/>
      <c r="AG426" s="376"/>
      <c r="AH426" s="272"/>
      <c r="AI426" s="1"/>
      <c r="AJ426" s="21"/>
      <c r="AK426" s="21"/>
      <c r="AL426" s="21"/>
      <c r="AM426" s="21"/>
      <c r="AN426" s="21"/>
      <c r="AO426" s="21"/>
      <c r="AP426" s="21"/>
    </row>
    <row r="427" spans="1:42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62"/>
      <c r="R427" s="383"/>
      <c r="S427" s="21"/>
      <c r="T427" s="13"/>
      <c r="U427" s="381"/>
      <c r="V427" s="375"/>
      <c r="W427" s="374"/>
      <c r="X427" s="370"/>
      <c r="Y427" s="376"/>
      <c r="Z427" s="371"/>
      <c r="AA427" s="371"/>
      <c r="AB427" s="675"/>
      <c r="AC427" s="372"/>
      <c r="AD427" s="270"/>
      <c r="AE427" s="270"/>
      <c r="AF427" s="270"/>
      <c r="AG427" s="376"/>
      <c r="AH427" s="272"/>
      <c r="AI427" s="1"/>
      <c r="AJ427" s="21"/>
      <c r="AK427" s="21"/>
      <c r="AL427" s="21"/>
      <c r="AM427" s="21"/>
      <c r="AN427" s="21"/>
      <c r="AO427" s="21"/>
    </row>
    <row r="428" spans="1:42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R428" s="285"/>
      <c r="S428" s="21"/>
      <c r="T428" s="13"/>
      <c r="U428" s="381"/>
      <c r="V428" s="375"/>
      <c r="W428" s="374"/>
      <c r="X428" s="370"/>
      <c r="Y428" s="376"/>
      <c r="Z428" s="371"/>
      <c r="AA428" s="371"/>
      <c r="AB428" s="675"/>
      <c r="AC428" s="372"/>
      <c r="AD428" s="270"/>
      <c r="AE428" s="270"/>
      <c r="AF428" s="270"/>
      <c r="AG428" s="376"/>
      <c r="AH428" s="272"/>
      <c r="AI428" s="1"/>
      <c r="AJ428" s="21"/>
      <c r="AK428" s="21"/>
      <c r="AL428" s="21"/>
      <c r="AM428" s="21"/>
      <c r="AN428" s="21"/>
      <c r="AO428" s="21"/>
    </row>
    <row r="429" spans="1:42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R429" s="285"/>
      <c r="S429" s="21"/>
      <c r="T429" s="13"/>
      <c r="U429" s="381"/>
      <c r="V429" s="375"/>
      <c r="W429" s="374"/>
      <c r="X429" s="370"/>
      <c r="Y429" s="376"/>
      <c r="Z429" s="371"/>
      <c r="AA429" s="371"/>
      <c r="AB429" s="675"/>
      <c r="AC429" s="372"/>
      <c r="AD429" s="270"/>
      <c r="AE429" s="270"/>
      <c r="AF429" s="270"/>
      <c r="AG429" s="376"/>
      <c r="AH429" s="272"/>
      <c r="AI429" s="1"/>
      <c r="AJ429" s="21"/>
      <c r="AK429" s="21"/>
      <c r="AL429" s="21"/>
      <c r="AM429" s="21"/>
      <c r="AN429" s="21"/>
      <c r="AO429" s="21"/>
    </row>
    <row r="430" spans="1:42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R430" s="285"/>
      <c r="S430" s="21"/>
      <c r="T430" s="13"/>
      <c r="U430" s="381"/>
      <c r="V430" s="375"/>
      <c r="W430" s="374"/>
      <c r="X430" s="370"/>
      <c r="Y430" s="376"/>
      <c r="Z430" s="371"/>
      <c r="AA430" s="371"/>
      <c r="AB430" s="675"/>
      <c r="AC430" s="372"/>
      <c r="AD430" s="270"/>
      <c r="AE430" s="270"/>
      <c r="AF430" s="270"/>
      <c r="AG430" s="376"/>
      <c r="AH430" s="272"/>
      <c r="AI430" s="1"/>
      <c r="AJ430" s="21"/>
      <c r="AK430" s="21"/>
      <c r="AL430" s="21"/>
      <c r="AM430" s="21"/>
      <c r="AN430" s="21"/>
      <c r="AO430" s="21"/>
    </row>
    <row r="431" spans="1:42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R431" s="285"/>
      <c r="S431" s="21"/>
      <c r="T431" s="13"/>
      <c r="U431" s="381"/>
      <c r="V431" s="375"/>
      <c r="W431" s="374"/>
      <c r="X431" s="370"/>
      <c r="Y431" s="376"/>
      <c r="Z431" s="371"/>
      <c r="AA431" s="371"/>
      <c r="AB431" s="675"/>
      <c r="AC431" s="372"/>
      <c r="AD431" s="270"/>
      <c r="AE431" s="270"/>
      <c r="AF431" s="270"/>
      <c r="AG431" s="376"/>
      <c r="AH431" s="272"/>
      <c r="AI431" s="1"/>
      <c r="AJ431" s="21"/>
      <c r="AK431" s="21"/>
      <c r="AL431" s="21"/>
      <c r="AM431" s="21"/>
      <c r="AN431" s="21"/>
      <c r="AO431" s="21"/>
    </row>
    <row r="432" spans="1:42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R432" s="285"/>
      <c r="S432" s="21"/>
      <c r="T432" s="13"/>
      <c r="U432" s="381"/>
      <c r="V432" s="375"/>
      <c r="W432" s="374"/>
      <c r="X432" s="370"/>
      <c r="Y432" s="376"/>
      <c r="Z432" s="371"/>
      <c r="AA432" s="371"/>
      <c r="AB432" s="675"/>
      <c r="AC432" s="372"/>
      <c r="AD432" s="270"/>
      <c r="AE432" s="270"/>
      <c r="AF432" s="270"/>
      <c r="AG432" s="376"/>
      <c r="AH432" s="272"/>
      <c r="AI432" s="1"/>
      <c r="AJ432" s="21"/>
      <c r="AK432" s="21"/>
      <c r="AL432" s="21"/>
      <c r="AM432" s="21"/>
      <c r="AN432" s="21"/>
      <c r="AO432" s="21"/>
    </row>
    <row r="433" spans="1:41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R433" s="285"/>
      <c r="S433" s="21"/>
      <c r="T433" s="13"/>
      <c r="U433" s="381"/>
      <c r="V433" s="375"/>
      <c r="W433" s="374"/>
      <c r="X433" s="370"/>
      <c r="Y433" s="376"/>
      <c r="Z433" s="371"/>
      <c r="AA433" s="371"/>
      <c r="AB433" s="675"/>
      <c r="AC433" s="372"/>
      <c r="AD433" s="270"/>
      <c r="AE433" s="270"/>
      <c r="AF433" s="270"/>
      <c r="AG433" s="376"/>
      <c r="AH433" s="272"/>
      <c r="AI433" s="1"/>
      <c r="AJ433" s="21"/>
      <c r="AK433" s="21"/>
      <c r="AL433" s="21"/>
      <c r="AM433" s="21"/>
      <c r="AN433" s="21"/>
      <c r="AO433" s="21"/>
    </row>
    <row r="434" spans="1:41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R434" s="285"/>
      <c r="S434" s="21"/>
      <c r="T434" s="13"/>
      <c r="U434" s="381"/>
      <c r="V434" s="375"/>
      <c r="W434" s="374"/>
      <c r="X434" s="370"/>
      <c r="Y434" s="376"/>
      <c r="Z434" s="371"/>
      <c r="AA434" s="371"/>
      <c r="AB434" s="675"/>
      <c r="AC434" s="372"/>
      <c r="AD434" s="270"/>
      <c r="AE434" s="270"/>
      <c r="AF434" s="270"/>
      <c r="AG434" s="376"/>
      <c r="AH434" s="272"/>
      <c r="AI434" s="1"/>
      <c r="AJ434" s="21"/>
      <c r="AK434" s="21"/>
      <c r="AL434" s="21"/>
      <c r="AM434" s="21"/>
      <c r="AN434" s="21"/>
      <c r="AO434" s="21"/>
    </row>
    <row r="435" spans="1:41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50"/>
      <c r="Q435" s="316"/>
      <c r="R435" s="285"/>
      <c r="S435" s="21"/>
      <c r="T435" s="13"/>
      <c r="U435" s="381"/>
      <c r="V435" s="375"/>
      <c r="W435" s="374"/>
      <c r="X435" s="370"/>
      <c r="Y435" s="376"/>
      <c r="Z435" s="371"/>
      <c r="AA435" s="371"/>
      <c r="AB435" s="675"/>
      <c r="AC435" s="372"/>
      <c r="AD435" s="270"/>
      <c r="AE435" s="270"/>
      <c r="AF435" s="270"/>
      <c r="AG435" s="376"/>
      <c r="AH435" s="272"/>
      <c r="AI435" s="1"/>
      <c r="AJ435" s="21"/>
      <c r="AK435" s="21"/>
      <c r="AL435" s="21"/>
      <c r="AM435" s="21"/>
      <c r="AN435" s="21"/>
      <c r="AO435" s="21"/>
    </row>
    <row r="436" spans="1:41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50"/>
      <c r="Q436" s="316"/>
      <c r="R436" s="285"/>
      <c r="S436" s="21"/>
      <c r="T436" s="13"/>
      <c r="U436" s="381"/>
      <c r="V436" s="375"/>
      <c r="W436" s="374"/>
      <c r="X436" s="370"/>
      <c r="Y436" s="376"/>
      <c r="Z436" s="371"/>
      <c r="AA436" s="371"/>
      <c r="AB436" s="675"/>
      <c r="AC436" s="372"/>
      <c r="AD436" s="270"/>
      <c r="AE436" s="270"/>
      <c r="AF436" s="270"/>
      <c r="AG436" s="376"/>
      <c r="AH436" s="272"/>
      <c r="AI436" s="1"/>
      <c r="AJ436" s="21"/>
      <c r="AK436" s="21"/>
      <c r="AL436" s="21"/>
      <c r="AM436" s="21"/>
      <c r="AN436" s="21"/>
      <c r="AO436" s="21"/>
    </row>
    <row r="437" spans="1:41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50"/>
      <c r="Q437" s="316"/>
      <c r="R437" s="285"/>
      <c r="S437" s="21"/>
      <c r="T437" s="13"/>
      <c r="U437" s="381"/>
      <c r="V437" s="375"/>
      <c r="W437" s="374"/>
      <c r="X437" s="370"/>
      <c r="Y437" s="376"/>
      <c r="Z437" s="371"/>
      <c r="AA437" s="371"/>
      <c r="AB437" s="675"/>
      <c r="AC437" s="372"/>
      <c r="AD437" s="270"/>
      <c r="AE437" s="270"/>
      <c r="AF437" s="270"/>
      <c r="AG437" s="376"/>
      <c r="AH437" s="272"/>
      <c r="AI437" s="1"/>
      <c r="AJ437" s="21"/>
      <c r="AK437" s="21"/>
      <c r="AL437" s="21"/>
      <c r="AM437" s="21"/>
      <c r="AN437" s="21"/>
      <c r="AO437" s="21"/>
    </row>
    <row r="438" spans="1:41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50"/>
      <c r="Q438" s="316"/>
      <c r="R438" s="285"/>
      <c r="S438" s="21"/>
      <c r="T438" s="13"/>
      <c r="U438" s="381"/>
      <c r="V438" s="375"/>
      <c r="W438" s="374"/>
      <c r="X438" s="370"/>
      <c r="Y438" s="376"/>
      <c r="Z438" s="371"/>
      <c r="AA438" s="371"/>
      <c r="AB438" s="675"/>
      <c r="AC438" s="372"/>
      <c r="AD438" s="270"/>
      <c r="AE438" s="270"/>
      <c r="AF438" s="270"/>
      <c r="AG438" s="376"/>
      <c r="AH438" s="272"/>
      <c r="AI438" s="1"/>
      <c r="AJ438" s="21"/>
      <c r="AK438" s="21"/>
      <c r="AL438" s="21"/>
      <c r="AM438" s="21"/>
      <c r="AN438" s="21"/>
      <c r="AO438" s="21"/>
    </row>
    <row r="439" spans="1:41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50"/>
      <c r="Q439" s="316"/>
      <c r="R439" s="285"/>
      <c r="S439" s="21"/>
      <c r="T439" s="13"/>
      <c r="U439" s="381"/>
      <c r="V439" s="375"/>
      <c r="W439" s="374"/>
      <c r="X439" s="370"/>
      <c r="Y439" s="376"/>
      <c r="Z439" s="371"/>
      <c r="AA439" s="371"/>
      <c r="AB439" s="675"/>
      <c r="AC439" s="372"/>
      <c r="AD439" s="270"/>
      <c r="AE439" s="270"/>
      <c r="AF439" s="270"/>
      <c r="AG439" s="376"/>
      <c r="AH439" s="272"/>
      <c r="AI439" s="1"/>
      <c r="AJ439" s="21"/>
      <c r="AK439" s="21"/>
      <c r="AL439" s="21"/>
      <c r="AM439" s="21"/>
      <c r="AN439" s="21"/>
      <c r="AO439" s="21"/>
    </row>
    <row r="440" spans="1:41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50"/>
      <c r="Q440" s="316"/>
      <c r="R440" s="285"/>
      <c r="S440" s="21"/>
      <c r="T440" s="13"/>
      <c r="U440" s="370"/>
      <c r="V440" s="375"/>
      <c r="W440" s="374"/>
      <c r="X440" s="370"/>
      <c r="Y440" s="376"/>
      <c r="Z440" s="371"/>
      <c r="AA440" s="371"/>
      <c r="AB440" s="675"/>
      <c r="AC440" s="372"/>
      <c r="AD440" s="270"/>
      <c r="AE440" s="270"/>
      <c r="AF440" s="270"/>
      <c r="AG440" s="376"/>
      <c r="AH440" s="272"/>
      <c r="AI440" s="1"/>
      <c r="AJ440" s="21"/>
      <c r="AK440" s="21"/>
      <c r="AL440" s="21"/>
      <c r="AM440" s="21"/>
      <c r="AN440" s="21"/>
      <c r="AO440" s="21"/>
    </row>
    <row r="441" spans="1:41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50"/>
      <c r="Q441" s="316"/>
      <c r="R441" s="285"/>
      <c r="S441" s="21"/>
      <c r="T441" s="13"/>
      <c r="U441" s="370"/>
      <c r="V441" s="375"/>
      <c r="W441" s="374"/>
      <c r="X441" s="370"/>
      <c r="Y441" s="376"/>
      <c r="Z441" s="371"/>
      <c r="AA441" s="371"/>
      <c r="AB441" s="675"/>
      <c r="AC441" s="372"/>
      <c r="AD441" s="270"/>
      <c r="AE441" s="270"/>
      <c r="AF441" s="270"/>
      <c r="AG441" s="376"/>
      <c r="AH441" s="272"/>
      <c r="AI441" s="1"/>
      <c r="AJ441" s="21"/>
      <c r="AK441" s="21"/>
      <c r="AL441" s="21"/>
      <c r="AM441" s="21"/>
      <c r="AN441" s="21"/>
      <c r="AO441" s="21"/>
    </row>
    <row r="442" spans="1:41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50"/>
      <c r="Q442" s="316"/>
      <c r="R442" s="285"/>
      <c r="S442" s="21"/>
      <c r="T442" s="13"/>
      <c r="U442" s="370"/>
      <c r="V442" s="375"/>
      <c r="W442" s="374"/>
      <c r="X442" s="370"/>
      <c r="Y442" s="376"/>
      <c r="Z442" s="371"/>
      <c r="AA442" s="371"/>
      <c r="AB442" s="675"/>
      <c r="AC442" s="372"/>
      <c r="AD442" s="270"/>
      <c r="AE442" s="270"/>
      <c r="AF442" s="270"/>
      <c r="AG442" s="376"/>
      <c r="AH442" s="272"/>
      <c r="AI442" s="1"/>
      <c r="AJ442" s="21"/>
      <c r="AK442" s="21"/>
      <c r="AL442" s="21"/>
      <c r="AM442" s="21"/>
      <c r="AN442" s="21"/>
      <c r="AO442" s="21"/>
    </row>
    <row r="443" spans="1:41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50"/>
      <c r="Q443" s="316"/>
      <c r="R443" s="285"/>
      <c r="S443" s="21"/>
      <c r="T443" s="13"/>
      <c r="U443" s="370"/>
      <c r="V443" s="375"/>
      <c r="W443" s="374"/>
      <c r="X443" s="370"/>
      <c r="Y443" s="376"/>
      <c r="Z443" s="371"/>
      <c r="AA443" s="371"/>
      <c r="AB443" s="675"/>
      <c r="AC443" s="372"/>
      <c r="AD443" s="270"/>
      <c r="AE443" s="270"/>
      <c r="AF443" s="270"/>
      <c r="AG443" s="376"/>
      <c r="AH443" s="272"/>
      <c r="AI443" s="1"/>
      <c r="AJ443" s="21"/>
      <c r="AK443" s="21"/>
      <c r="AL443" s="21"/>
      <c r="AM443" s="21"/>
      <c r="AN443" s="21"/>
      <c r="AO443" s="21"/>
    </row>
    <row r="444" spans="1:41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50"/>
      <c r="Q444" s="316"/>
      <c r="R444" s="285"/>
      <c r="S444" s="21"/>
      <c r="T444" s="13"/>
      <c r="U444" s="370"/>
      <c r="V444" s="375"/>
      <c r="W444" s="374"/>
      <c r="X444" s="370"/>
      <c r="Y444" s="376"/>
      <c r="Z444" s="371"/>
      <c r="AA444" s="371"/>
      <c r="AB444" s="675"/>
      <c r="AC444" s="372"/>
      <c r="AD444" s="270"/>
      <c r="AE444" s="270"/>
      <c r="AF444" s="270"/>
      <c r="AG444" s="376"/>
      <c r="AH444" s="272"/>
      <c r="AI444" s="1"/>
      <c r="AJ444" s="21"/>
      <c r="AK444" s="21"/>
      <c r="AL444" s="21"/>
      <c r="AM444" s="21"/>
      <c r="AN444" s="21"/>
      <c r="AO444" s="21"/>
    </row>
    <row r="445" spans="1:41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50"/>
      <c r="Q445" s="316"/>
      <c r="R445" s="285"/>
      <c r="S445" s="21"/>
      <c r="T445" s="13"/>
      <c r="U445" s="370"/>
      <c r="V445" s="375"/>
      <c r="W445" s="374"/>
      <c r="X445" s="370"/>
      <c r="Y445" s="376"/>
      <c r="Z445" s="371"/>
      <c r="AA445" s="371"/>
      <c r="AB445" s="675"/>
      <c r="AC445" s="372"/>
      <c r="AD445" s="270"/>
      <c r="AE445" s="270"/>
      <c r="AF445" s="270"/>
      <c r="AG445" s="376"/>
      <c r="AH445" s="272"/>
      <c r="AI445" s="1"/>
      <c r="AJ445" s="21"/>
      <c r="AK445" s="21"/>
      <c r="AL445" s="21"/>
      <c r="AM445" s="21"/>
      <c r="AN445" s="21"/>
      <c r="AO445" s="21"/>
    </row>
    <row r="446" spans="1:41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50"/>
      <c r="Q446" s="316"/>
      <c r="R446" s="285"/>
      <c r="S446" s="21"/>
      <c r="T446" s="13"/>
      <c r="U446" s="422"/>
      <c r="V446" s="375"/>
      <c r="W446" s="374"/>
      <c r="X446" s="370"/>
      <c r="Y446" s="376"/>
      <c r="Z446" s="371"/>
      <c r="AA446" s="371"/>
      <c r="AB446" s="675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</row>
    <row r="447" spans="1:41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50"/>
      <c r="Q447" s="316"/>
      <c r="R447" s="285"/>
      <c r="S447" s="21"/>
      <c r="T447" s="13"/>
      <c r="U447" s="422"/>
      <c r="V447" s="375"/>
      <c r="W447" s="374"/>
      <c r="X447" s="370"/>
      <c r="Y447" s="376"/>
      <c r="Z447" s="371"/>
      <c r="AA447" s="371"/>
      <c r="AB447" s="675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</row>
    <row r="448" spans="1:41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50"/>
      <c r="Q448" s="316"/>
      <c r="R448" s="285"/>
      <c r="S448" s="21"/>
      <c r="T448" s="13"/>
      <c r="U448" s="422"/>
      <c r="V448" s="375"/>
      <c r="W448" s="374"/>
      <c r="X448" s="370"/>
      <c r="Y448" s="376"/>
      <c r="Z448" s="371"/>
      <c r="AA448" s="371"/>
      <c r="AB448" s="675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</row>
    <row r="449" spans="1:44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50"/>
      <c r="Q449" s="316"/>
      <c r="R449" s="285"/>
      <c r="S449" s="21"/>
      <c r="T449" s="13"/>
      <c r="U449" s="422"/>
      <c r="V449" s="375"/>
      <c r="W449" s="374"/>
      <c r="X449" s="370"/>
      <c r="Y449" s="376"/>
      <c r="Z449" s="371"/>
      <c r="AA449" s="371"/>
      <c r="AB449" s="675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</row>
    <row r="450" spans="1:44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50"/>
      <c r="Q450" s="316"/>
      <c r="R450" s="285"/>
      <c r="S450" s="21"/>
      <c r="T450" s="13"/>
      <c r="U450" s="422"/>
      <c r="V450" s="375"/>
      <c r="W450" s="374"/>
      <c r="X450" s="370"/>
      <c r="Y450" s="376"/>
      <c r="Z450" s="371"/>
      <c r="AA450" s="371"/>
      <c r="AB450" s="675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</row>
    <row r="451" spans="1:44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50"/>
      <c r="Q451" s="316"/>
      <c r="R451" s="285"/>
      <c r="S451" s="21"/>
      <c r="T451" s="13"/>
      <c r="U451" s="422"/>
      <c r="V451" s="375"/>
      <c r="W451" s="374"/>
      <c r="X451" s="370"/>
      <c r="Y451" s="376"/>
      <c r="Z451" s="371"/>
      <c r="AA451" s="371"/>
      <c r="AB451" s="675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</row>
    <row r="452" spans="1:44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50"/>
      <c r="Q452" s="316"/>
      <c r="R452" s="285"/>
      <c r="S452" s="21"/>
      <c r="T452" s="13"/>
      <c r="U452" s="422"/>
      <c r="V452" s="375"/>
      <c r="W452" s="374"/>
      <c r="X452" s="370"/>
      <c r="Y452" s="376"/>
      <c r="Z452" s="371"/>
      <c r="AA452" s="371"/>
      <c r="AB452" s="675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4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50"/>
      <c r="Q453" s="316"/>
      <c r="R453" s="285"/>
      <c r="S453" s="21"/>
      <c r="T453" s="13"/>
      <c r="U453" s="422"/>
      <c r="V453" s="375"/>
      <c r="W453" s="374"/>
      <c r="X453" s="370"/>
      <c r="Y453" s="376"/>
      <c r="Z453" s="371"/>
      <c r="AA453" s="371"/>
      <c r="AB453" s="675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4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50"/>
      <c r="Q454" s="316"/>
      <c r="R454" s="285"/>
      <c r="S454" s="21"/>
      <c r="T454" s="13"/>
      <c r="U454" s="422"/>
      <c r="V454" s="375"/>
      <c r="W454" s="374"/>
      <c r="X454" s="370"/>
      <c r="Y454" s="376"/>
      <c r="Z454" s="371"/>
      <c r="AA454" s="371"/>
      <c r="AB454" s="675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</row>
    <row r="455" spans="1:44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6"/>
      <c r="R455" s="285"/>
      <c r="S455" s="21"/>
      <c r="T455" s="13"/>
      <c r="U455" s="422"/>
      <c r="V455" s="375"/>
      <c r="W455" s="374"/>
      <c r="X455" s="370"/>
      <c r="Y455" s="376"/>
      <c r="Z455" s="371"/>
      <c r="AA455" s="371"/>
      <c r="AB455" s="675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4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50"/>
      <c r="Q456" s="316"/>
      <c r="R456" s="285"/>
      <c r="S456" s="21"/>
      <c r="T456" s="13"/>
      <c r="U456" s="13"/>
      <c r="V456" s="21"/>
      <c r="W456" s="21"/>
      <c r="X456" s="21"/>
      <c r="Y456" s="260"/>
      <c r="Z456" s="177"/>
      <c r="AA456" s="177"/>
      <c r="AB456" s="676"/>
      <c r="AC456" s="64"/>
      <c r="AD456" s="50"/>
      <c r="AE456" s="50"/>
      <c r="AF456" s="19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4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6"/>
      <c r="R457" s="285"/>
      <c r="S457" s="21"/>
      <c r="T457" s="13"/>
      <c r="U457" s="13"/>
      <c r="V457" s="21"/>
      <c r="W457" s="21"/>
      <c r="X457" s="21"/>
      <c r="Y457" s="260"/>
      <c r="Z457" s="177"/>
      <c r="AA457" s="177"/>
      <c r="AB457" s="676"/>
      <c r="AC457" s="64"/>
      <c r="AD457" s="50"/>
      <c r="AE457" s="50"/>
      <c r="AF457" s="19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4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13"/>
      <c r="V458" s="21"/>
      <c r="W458" s="21"/>
      <c r="X458" s="21"/>
      <c r="Y458" s="260"/>
      <c r="Z458" s="177"/>
      <c r="AA458" s="177"/>
      <c r="AB458" s="676"/>
      <c r="AC458" s="64"/>
      <c r="AD458" s="50"/>
      <c r="AE458" s="50"/>
      <c r="AF458" s="19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4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13"/>
      <c r="V459" s="21"/>
      <c r="W459" s="21"/>
      <c r="X459" s="21"/>
      <c r="Y459" s="260"/>
      <c r="Z459" s="177"/>
      <c r="AA459" s="177"/>
      <c r="AB459" s="676"/>
      <c r="AC459" s="64"/>
      <c r="AD459" s="50"/>
      <c r="AE459" s="50"/>
      <c r="AF459" s="19"/>
      <c r="AG459" s="376"/>
      <c r="AH459" s="272"/>
      <c r="AI459" s="1"/>
      <c r="AJ459" s="21"/>
      <c r="AK459" s="21"/>
      <c r="AL459" s="21"/>
      <c r="AM459" s="21"/>
      <c r="AN459" s="21"/>
      <c r="AO459" s="21"/>
      <c r="AQ459" s="308"/>
      <c r="AR459" s="308"/>
    </row>
    <row r="460" spans="1:44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76"/>
      <c r="AC460" s="64"/>
      <c r="AD460" s="50"/>
      <c r="AE460" s="50"/>
      <c r="AF460" s="19"/>
      <c r="AG460" s="376"/>
      <c r="AH460" s="272"/>
      <c r="AI460" s="1"/>
      <c r="AJ460" s="21"/>
      <c r="AK460" s="21"/>
      <c r="AL460" s="21"/>
      <c r="AM460" s="21"/>
      <c r="AN460" s="21"/>
      <c r="AO460" s="21"/>
      <c r="AQ460" s="308"/>
      <c r="AR460" s="308"/>
    </row>
    <row r="461" spans="1:44" s="308" customFormat="1" x14ac:dyDescent="0.2">
      <c r="A461" s="48"/>
      <c r="B461" s="306"/>
      <c r="C461" s="233"/>
      <c r="D461" s="233"/>
      <c r="E461" s="53"/>
      <c r="F461" s="13"/>
      <c r="G461" s="13"/>
      <c r="H461" s="5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76"/>
      <c r="AC461" s="64"/>
      <c r="AD461" s="50"/>
      <c r="AE461" s="50"/>
      <c r="AF461" s="19"/>
      <c r="AG461" s="376"/>
      <c r="AH461" s="272"/>
      <c r="AI461" s="1"/>
      <c r="AJ461" s="21"/>
      <c r="AK461" s="21"/>
      <c r="AL461" s="21"/>
      <c r="AM461" s="21"/>
      <c r="AN461" s="21"/>
      <c r="AO461" s="21"/>
      <c r="AP461" s="53"/>
    </row>
    <row r="462" spans="1:44" s="308" customFormat="1" x14ac:dyDescent="0.2">
      <c r="A462" s="48"/>
      <c r="B462" s="306"/>
      <c r="C462" s="233"/>
      <c r="D462" s="233"/>
      <c r="E462" s="53"/>
      <c r="F462" s="13"/>
      <c r="G462" s="13"/>
      <c r="H462" s="5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76"/>
      <c r="AC462" s="64"/>
      <c r="AD462" s="50"/>
      <c r="AE462" s="50"/>
      <c r="AF462" s="19"/>
      <c r="AG462" s="376"/>
      <c r="AH462" s="272"/>
      <c r="AI462" s="1"/>
      <c r="AJ462" s="21"/>
      <c r="AK462" s="21"/>
      <c r="AL462" s="21"/>
      <c r="AM462" s="21"/>
      <c r="AN462" s="21"/>
      <c r="AO462" s="21"/>
      <c r="AP462" s="53"/>
    </row>
    <row r="463" spans="1:44" s="308" customFormat="1" x14ac:dyDescent="0.2">
      <c r="A463" s="48"/>
      <c r="B463" s="306"/>
      <c r="C463" s="233"/>
      <c r="D463" s="233"/>
      <c r="E463" s="53"/>
      <c r="F463" s="13"/>
      <c r="G463" s="13"/>
      <c r="H463" s="5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76"/>
      <c r="AC463" s="64"/>
      <c r="AD463" s="50"/>
      <c r="AE463" s="50"/>
      <c r="AF463" s="19"/>
      <c r="AG463" s="120"/>
      <c r="AH463" s="272"/>
      <c r="AI463" s="1"/>
      <c r="AJ463" s="21"/>
      <c r="AK463" s="21"/>
      <c r="AL463" s="21"/>
      <c r="AM463" s="21"/>
      <c r="AN463" s="21"/>
      <c r="AO463" s="21"/>
      <c r="AP463" s="53"/>
    </row>
    <row r="464" spans="1:44" s="308" customFormat="1" x14ac:dyDescent="0.2">
      <c r="A464" s="48"/>
      <c r="B464" s="306"/>
      <c r="C464" s="233"/>
      <c r="D464" s="233"/>
      <c r="E464" s="53"/>
      <c r="F464" s="13"/>
      <c r="G464" s="13"/>
      <c r="H464" s="5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76"/>
      <c r="AC464" s="64"/>
      <c r="AD464" s="50"/>
      <c r="AE464" s="50"/>
      <c r="AF464" s="19"/>
      <c r="AG464" s="120"/>
      <c r="AH464" s="119"/>
      <c r="AI464" s="1"/>
      <c r="AJ464" s="21"/>
      <c r="AK464" s="21"/>
      <c r="AL464" s="21"/>
      <c r="AM464" s="21"/>
      <c r="AN464" s="21"/>
      <c r="AO464" s="21"/>
      <c r="AP464" s="53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76"/>
      <c r="AC465" s="64"/>
      <c r="AD465" s="50"/>
      <c r="AE465" s="50"/>
      <c r="AF465" s="19"/>
      <c r="AG465" s="120"/>
      <c r="AH465" s="119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76"/>
      <c r="AC466" s="64"/>
      <c r="AD466" s="50"/>
      <c r="AE466" s="50"/>
      <c r="AF466" s="19"/>
      <c r="AG466" s="120"/>
      <c r="AH466" s="119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76"/>
      <c r="AC467" s="64"/>
      <c r="AD467" s="50"/>
      <c r="AE467" s="50"/>
      <c r="AF467" s="19"/>
      <c r="AG467" s="120"/>
      <c r="AH467" s="119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76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76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76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76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76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76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76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76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76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76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76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76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76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76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76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76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76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76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76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76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76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76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76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76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76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76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76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76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76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76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76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76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76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76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76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76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76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76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76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76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76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76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76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76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76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76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76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76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76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76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76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76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76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76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76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76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76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76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76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76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76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76"/>
      <c r="AC529" s="64"/>
      <c r="AD529" s="50"/>
      <c r="AE529" s="50"/>
      <c r="AF529" s="19"/>
      <c r="AG529" s="123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76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76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76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76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76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76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76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76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76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76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76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76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76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76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76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76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76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76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76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76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76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76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76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76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76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76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76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76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76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76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76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76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76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76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76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76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76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76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76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76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76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76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76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76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76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76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76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76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76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76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76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76"/>
      <c r="AC581" s="64"/>
      <c r="AD581" s="50"/>
      <c r="AE581" s="50"/>
      <c r="AF581" s="19"/>
      <c r="AG581" s="120"/>
      <c r="AH581" s="123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76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76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76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76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76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76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76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76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76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76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76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76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76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76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76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76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76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76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76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76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76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76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76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C605" s="263"/>
      <c r="D605" s="26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76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C606" s="263"/>
      <c r="D606" s="26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76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C607" s="263"/>
      <c r="D607" s="26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76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C608" s="263"/>
      <c r="D608" s="26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76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76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76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76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76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76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76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76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76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76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76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76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76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76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76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C623" s="263"/>
      <c r="D623" s="26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76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C624" s="263"/>
      <c r="D624" s="26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76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76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76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76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76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76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76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76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76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76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76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76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76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76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76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76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76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76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76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4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76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4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76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4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76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4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76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  <c r="AQ646" s="21"/>
      <c r="AR646" s="21"/>
    </row>
    <row r="647" spans="1:44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76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  <c r="AQ647" s="21"/>
      <c r="AR647" s="21"/>
    </row>
    <row r="648" spans="1:44" x14ac:dyDescent="0.2">
      <c r="A648" s="48"/>
      <c r="AP648" s="308"/>
    </row>
    <row r="649" spans="1:44" x14ac:dyDescent="0.2">
      <c r="A649" s="48"/>
      <c r="AP649" s="308"/>
    </row>
    <row r="650" spans="1:44" x14ac:dyDescent="0.2">
      <c r="A650" s="48"/>
      <c r="AP650" s="308"/>
    </row>
    <row r="651" spans="1:44" x14ac:dyDescent="0.2">
      <c r="A651" s="48"/>
      <c r="AP651" s="308"/>
    </row>
    <row r="652" spans="1:44" x14ac:dyDescent="0.2">
      <c r="A652" s="48"/>
      <c r="AP652" s="308"/>
    </row>
    <row r="653" spans="1:44" x14ac:dyDescent="0.2">
      <c r="A653" s="48"/>
      <c r="AP653" s="308"/>
    </row>
    <row r="654" spans="1:44" x14ac:dyDescent="0.2">
      <c r="A654" s="48"/>
      <c r="AP654" s="308"/>
      <c r="AQ654" s="308"/>
      <c r="AR654" s="308"/>
    </row>
    <row r="655" spans="1:44" x14ac:dyDescent="0.2">
      <c r="A655" s="48"/>
      <c r="AP655" s="308"/>
      <c r="AQ655" s="308"/>
      <c r="AR655" s="308"/>
    </row>
    <row r="656" spans="1:44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76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1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76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1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76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1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76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1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76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1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76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1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76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1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76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1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76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1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76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1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76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</row>
    <row r="667" spans="1:41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76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</row>
    <row r="668" spans="1:41" s="308" customFormat="1" x14ac:dyDescent="0.2">
      <c r="A668" s="48"/>
      <c r="C668" s="263"/>
      <c r="D668" s="263"/>
      <c r="E668" s="53"/>
      <c r="F668" s="13"/>
      <c r="G668" s="13"/>
      <c r="H668" s="53"/>
      <c r="I668" s="298"/>
      <c r="J668" s="21"/>
      <c r="K668" s="21"/>
      <c r="L668" s="13"/>
      <c r="M668" s="50"/>
      <c r="N668" s="97"/>
      <c r="O668" s="50"/>
      <c r="P668" s="50"/>
      <c r="Q668" s="316"/>
      <c r="R668" s="285"/>
      <c r="S668" s="21"/>
      <c r="T668" s="13"/>
      <c r="U668" s="13"/>
      <c r="V668" s="21"/>
      <c r="W668" s="21"/>
      <c r="X668" s="21"/>
      <c r="Y668" s="260"/>
      <c r="Z668" s="177"/>
      <c r="AA668" s="177"/>
      <c r="AB668" s="676"/>
      <c r="AC668" s="64"/>
      <c r="AD668" s="50"/>
      <c r="AE668" s="50"/>
      <c r="AF668" s="19"/>
      <c r="AG668" s="120"/>
      <c r="AH668" s="119"/>
      <c r="AI668" s="1"/>
      <c r="AJ668" s="21"/>
      <c r="AK668" s="21"/>
      <c r="AL668" s="21"/>
      <c r="AM668" s="21"/>
      <c r="AN668" s="21"/>
      <c r="AO668" s="21"/>
    </row>
    <row r="669" spans="1:41" s="308" customFormat="1" x14ac:dyDescent="0.2">
      <c r="A669" s="48"/>
      <c r="C669" s="263"/>
      <c r="D669" s="263"/>
      <c r="E669" s="53"/>
      <c r="F669" s="13"/>
      <c r="G669" s="13"/>
      <c r="H669" s="53"/>
      <c r="I669" s="298"/>
      <c r="J669" s="21"/>
      <c r="K669" s="21"/>
      <c r="L669" s="13"/>
      <c r="M669" s="50"/>
      <c r="N669" s="97"/>
      <c r="O669" s="50"/>
      <c r="P669" s="50"/>
      <c r="Q669" s="316"/>
      <c r="R669" s="285"/>
      <c r="S669" s="21"/>
      <c r="T669" s="13"/>
      <c r="U669" s="13"/>
      <c r="V669" s="21"/>
      <c r="W669" s="21"/>
      <c r="X669" s="21"/>
      <c r="Y669" s="260"/>
      <c r="Z669" s="177"/>
      <c r="AA669" s="177"/>
      <c r="AB669" s="676"/>
      <c r="AC669" s="64"/>
      <c r="AD669" s="50"/>
      <c r="AE669" s="50"/>
      <c r="AF669" s="19"/>
      <c r="AG669" s="120"/>
      <c r="AH669" s="119"/>
      <c r="AI669" s="1"/>
      <c r="AJ669" s="21"/>
      <c r="AK669" s="21"/>
      <c r="AL669" s="21"/>
      <c r="AM669" s="21"/>
      <c r="AN669" s="21"/>
      <c r="AO669" s="21"/>
    </row>
    <row r="670" spans="1:41" s="308" customFormat="1" x14ac:dyDescent="0.2">
      <c r="A670" s="48"/>
      <c r="C670" s="263"/>
      <c r="D670" s="263"/>
      <c r="E670" s="53"/>
      <c r="F670" s="13"/>
      <c r="G670" s="13"/>
      <c r="H670" s="53"/>
      <c r="I670" s="298"/>
      <c r="J670" s="21"/>
      <c r="K670" s="21"/>
      <c r="L670" s="13"/>
      <c r="M670" s="50"/>
      <c r="N670" s="97"/>
      <c r="O670" s="50"/>
      <c r="P670" s="50"/>
      <c r="Q670" s="316"/>
      <c r="R670" s="285"/>
      <c r="S670" s="21"/>
      <c r="T670" s="13"/>
      <c r="U670" s="13"/>
      <c r="V670" s="21"/>
      <c r="W670" s="21"/>
      <c r="X670" s="21"/>
      <c r="Y670" s="260"/>
      <c r="Z670" s="177"/>
      <c r="AA670" s="177"/>
      <c r="AB670" s="676"/>
      <c r="AC670" s="64"/>
      <c r="AD670" s="50"/>
      <c r="AE670" s="50"/>
      <c r="AF670" s="19"/>
      <c r="AG670" s="120"/>
      <c r="AH670" s="119"/>
      <c r="AI670" s="1"/>
      <c r="AJ670" s="21"/>
      <c r="AK670" s="21"/>
      <c r="AL670" s="21"/>
      <c r="AM670" s="21"/>
      <c r="AN670" s="21"/>
      <c r="AO670" s="21"/>
    </row>
    <row r="671" spans="1:41" s="308" customFormat="1" x14ac:dyDescent="0.2">
      <c r="A671" s="48"/>
      <c r="C671" s="263"/>
      <c r="D671" s="263"/>
      <c r="E671" s="53"/>
      <c r="F671" s="13"/>
      <c r="G671" s="13"/>
      <c r="H671" s="53"/>
      <c r="I671" s="298"/>
      <c r="J671" s="21"/>
      <c r="K671" s="21"/>
      <c r="L671" s="13"/>
      <c r="M671" s="50"/>
      <c r="N671" s="97"/>
      <c r="O671" s="50"/>
      <c r="P671" s="50"/>
      <c r="Q671" s="316"/>
      <c r="R671" s="285"/>
      <c r="S671" s="21"/>
      <c r="T671" s="13"/>
      <c r="U671" s="13"/>
      <c r="V671" s="21"/>
      <c r="W671" s="21"/>
      <c r="X671" s="21"/>
      <c r="Y671" s="260"/>
      <c r="Z671" s="177"/>
      <c r="AA671" s="177"/>
      <c r="AB671" s="676"/>
      <c r="AC671" s="64"/>
      <c r="AD671" s="50"/>
      <c r="AE671" s="50"/>
      <c r="AF671" s="19"/>
      <c r="AG671" s="120"/>
      <c r="AH671" s="119"/>
      <c r="AI671" s="1"/>
      <c r="AJ671" s="21"/>
      <c r="AK671" s="21"/>
      <c r="AL671" s="21"/>
      <c r="AM671" s="21"/>
      <c r="AN671" s="21"/>
      <c r="AO671" s="21"/>
    </row>
    <row r="672" spans="1:41" s="308" customFormat="1" x14ac:dyDescent="0.2">
      <c r="A672" s="48"/>
      <c r="C672" s="263"/>
      <c r="D672" s="263"/>
      <c r="E672" s="53"/>
      <c r="F672" s="13"/>
      <c r="G672" s="13"/>
      <c r="H672" s="53"/>
      <c r="I672" s="298"/>
      <c r="J672" s="21"/>
      <c r="K672" s="21"/>
      <c r="L672" s="13"/>
      <c r="M672" s="50"/>
      <c r="N672" s="97"/>
      <c r="O672" s="50"/>
      <c r="P672" s="50"/>
      <c r="Q672" s="316"/>
      <c r="R672" s="285"/>
      <c r="S672" s="21"/>
      <c r="T672" s="13"/>
      <c r="U672" s="13"/>
      <c r="V672" s="21"/>
      <c r="W672" s="21"/>
      <c r="X672" s="21"/>
      <c r="Y672" s="260"/>
      <c r="Z672" s="177"/>
      <c r="AA672" s="177"/>
      <c r="AB672" s="676"/>
      <c r="AC672" s="64"/>
      <c r="AD672" s="50"/>
      <c r="AE672" s="50"/>
      <c r="AF672" s="19"/>
      <c r="AG672" s="120"/>
      <c r="AH672" s="119"/>
      <c r="AI672" s="1"/>
      <c r="AJ672" s="21"/>
      <c r="AK672" s="21"/>
      <c r="AL672" s="21"/>
      <c r="AM672" s="21"/>
      <c r="AN672" s="21"/>
      <c r="AO672" s="21"/>
    </row>
    <row r="673" spans="1:44" s="308" customFormat="1" x14ac:dyDescent="0.2">
      <c r="A673" s="48"/>
      <c r="C673" s="263"/>
      <c r="D673" s="263"/>
      <c r="E673" s="53"/>
      <c r="F673" s="13"/>
      <c r="G673" s="13"/>
      <c r="H673" s="53"/>
      <c r="I673" s="298"/>
      <c r="J673" s="21"/>
      <c r="K673" s="21"/>
      <c r="L673" s="13"/>
      <c r="M673" s="50"/>
      <c r="N673" s="97"/>
      <c r="O673" s="50"/>
      <c r="P673" s="50"/>
      <c r="Q673" s="316"/>
      <c r="R673" s="285"/>
      <c r="S673" s="21"/>
      <c r="T673" s="13"/>
      <c r="U673" s="13"/>
      <c r="V673" s="21"/>
      <c r="W673" s="21"/>
      <c r="X673" s="21"/>
      <c r="Y673" s="260"/>
      <c r="Z673" s="177"/>
      <c r="AA673" s="177"/>
      <c r="AB673" s="676"/>
      <c r="AC673" s="64"/>
      <c r="AD673" s="50"/>
      <c r="AE673" s="50"/>
      <c r="AF673" s="19"/>
      <c r="AG673" s="120"/>
      <c r="AH673" s="119"/>
      <c r="AI673" s="1"/>
      <c r="AJ673" s="21"/>
      <c r="AK673" s="21"/>
      <c r="AL673" s="21"/>
      <c r="AM673" s="21"/>
      <c r="AN673" s="21"/>
      <c r="AO673" s="21"/>
    </row>
    <row r="674" spans="1:44" s="308" customFormat="1" x14ac:dyDescent="0.2">
      <c r="A674" s="48"/>
      <c r="C674" s="263"/>
      <c r="D674" s="263"/>
      <c r="E674" s="53"/>
      <c r="F674" s="13"/>
      <c r="G674" s="13"/>
      <c r="H674" s="53"/>
      <c r="I674" s="298"/>
      <c r="J674" s="21"/>
      <c r="K674" s="21"/>
      <c r="L674" s="13"/>
      <c r="M674" s="50"/>
      <c r="N674" s="97"/>
      <c r="O674" s="50"/>
      <c r="P674" s="50"/>
      <c r="Q674" s="316"/>
      <c r="R674" s="285"/>
      <c r="S674" s="21"/>
      <c r="T674" s="13"/>
      <c r="U674" s="13"/>
      <c r="V674" s="21"/>
      <c r="W674" s="21"/>
      <c r="X674" s="21"/>
      <c r="Y674" s="260"/>
      <c r="Z674" s="177"/>
      <c r="AA674" s="177"/>
      <c r="AB674" s="676"/>
      <c r="AC674" s="64"/>
      <c r="AD674" s="50"/>
      <c r="AE674" s="50"/>
      <c r="AF674" s="19"/>
      <c r="AG674" s="120"/>
      <c r="AH674" s="119"/>
      <c r="AI674" s="1"/>
      <c r="AJ674" s="21"/>
      <c r="AK674" s="21"/>
      <c r="AL674" s="21"/>
      <c r="AM674" s="21"/>
      <c r="AN674" s="21"/>
      <c r="AO674" s="21"/>
    </row>
    <row r="675" spans="1:44" s="308" customFormat="1" x14ac:dyDescent="0.2">
      <c r="A675" s="48"/>
      <c r="C675" s="263"/>
      <c r="D675" s="263"/>
      <c r="E675" s="53"/>
      <c r="F675" s="13"/>
      <c r="G675" s="13"/>
      <c r="H675" s="53"/>
      <c r="I675" s="298"/>
      <c r="J675" s="21"/>
      <c r="K675" s="21"/>
      <c r="L675" s="13"/>
      <c r="M675" s="50"/>
      <c r="N675" s="97"/>
      <c r="O675" s="50"/>
      <c r="P675" s="50"/>
      <c r="Q675" s="316"/>
      <c r="R675" s="285"/>
      <c r="S675" s="21"/>
      <c r="T675" s="13"/>
      <c r="U675" s="13"/>
      <c r="V675" s="21"/>
      <c r="W675" s="21"/>
      <c r="X675" s="21"/>
      <c r="Y675" s="260"/>
      <c r="Z675" s="177"/>
      <c r="AA675" s="177"/>
      <c r="AB675" s="676"/>
      <c r="AC675" s="64"/>
      <c r="AD675" s="50"/>
      <c r="AE675" s="50"/>
      <c r="AF675" s="19"/>
      <c r="AG675" s="120"/>
      <c r="AH675" s="119"/>
      <c r="AI675" s="1"/>
      <c r="AJ675" s="21"/>
      <c r="AK675" s="21"/>
      <c r="AL675" s="21"/>
      <c r="AM675" s="21"/>
      <c r="AN675" s="21"/>
      <c r="AO675" s="21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76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76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76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76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76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76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  <c r="AQ681" s="21"/>
      <c r="AR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76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  <c r="AQ682" s="21"/>
      <c r="AR682" s="21"/>
    </row>
    <row r="683" spans="1:44" x14ac:dyDescent="0.2">
      <c r="A683" s="48"/>
      <c r="AP683" s="308"/>
    </row>
    <row r="684" spans="1:44" x14ac:dyDescent="0.2">
      <c r="A684" s="48"/>
      <c r="AP684" s="308"/>
    </row>
    <row r="685" spans="1:44" x14ac:dyDescent="0.2">
      <c r="A685" s="48"/>
      <c r="AP685" s="308"/>
    </row>
    <row r="686" spans="1:44" x14ac:dyDescent="0.2">
      <c r="A686" s="48"/>
      <c r="AP686" s="308"/>
    </row>
    <row r="687" spans="1:44" x14ac:dyDescent="0.2">
      <c r="A687" s="48"/>
      <c r="AP687" s="308"/>
    </row>
    <row r="688" spans="1:44" x14ac:dyDescent="0.2">
      <c r="A688" s="48"/>
      <c r="AP688" s="308"/>
    </row>
    <row r="689" spans="1:42" x14ac:dyDescent="0.2">
      <c r="A689" s="48"/>
      <c r="AP689" s="308"/>
    </row>
    <row r="690" spans="1:42" x14ac:dyDescent="0.2">
      <c r="A690" s="48"/>
      <c r="AP690" s="308"/>
    </row>
    <row r="691" spans="1:42" x14ac:dyDescent="0.2">
      <c r="A691" s="48"/>
      <c r="AP691" s="308"/>
    </row>
    <row r="692" spans="1:42" x14ac:dyDescent="0.2">
      <c r="A692" s="48"/>
      <c r="AP692" s="308"/>
    </row>
    <row r="693" spans="1:42" x14ac:dyDescent="0.2">
      <c r="A693" s="48"/>
      <c r="AP693" s="308"/>
    </row>
    <row r="694" spans="1:42" x14ac:dyDescent="0.2">
      <c r="A694" s="48"/>
    </row>
    <row r="695" spans="1:42" x14ac:dyDescent="0.2">
      <c r="A695" s="48"/>
    </row>
    <row r="696" spans="1:42" x14ac:dyDescent="0.2">
      <c r="A696" s="48"/>
    </row>
    <row r="697" spans="1:42" x14ac:dyDescent="0.2">
      <c r="A697" s="48"/>
    </row>
    <row r="698" spans="1:42" x14ac:dyDescent="0.2">
      <c r="A698" s="48"/>
    </row>
    <row r="699" spans="1:42" x14ac:dyDescent="0.2">
      <c r="A699" s="48"/>
    </row>
    <row r="700" spans="1:42" x14ac:dyDescent="0.2">
      <c r="A700" s="48"/>
    </row>
    <row r="701" spans="1:42" x14ac:dyDescent="0.2">
      <c r="A701" s="48"/>
    </row>
    <row r="702" spans="1:42" x14ac:dyDescent="0.2">
      <c r="A702" s="48"/>
      <c r="AP702" s="308"/>
    </row>
    <row r="703" spans="1:42" x14ac:dyDescent="0.2">
      <c r="A703" s="48"/>
      <c r="AP703" s="308"/>
    </row>
    <row r="704" spans="1:42" x14ac:dyDescent="0.2">
      <c r="A704" s="48"/>
      <c r="AP704" s="308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  <c r="AP714" s="308"/>
    </row>
    <row r="715" spans="1:42" x14ac:dyDescent="0.2">
      <c r="A715" s="48"/>
      <c r="AP715" s="308"/>
    </row>
    <row r="716" spans="1:42" x14ac:dyDescent="0.2">
      <c r="A716" s="48"/>
      <c r="AP716" s="308"/>
    </row>
    <row r="717" spans="1:42" x14ac:dyDescent="0.2">
      <c r="A717" s="48"/>
      <c r="AP717" s="308"/>
    </row>
    <row r="718" spans="1:42" x14ac:dyDescent="0.2">
      <c r="A718" s="48"/>
      <c r="AP718" s="308"/>
    </row>
    <row r="719" spans="1:42" x14ac:dyDescent="0.2">
      <c r="A719" s="48"/>
      <c r="AP719" s="308"/>
    </row>
    <row r="720" spans="1:42" x14ac:dyDescent="0.2">
      <c r="A720" s="48"/>
      <c r="AP720" s="308"/>
    </row>
    <row r="721" spans="1:45" x14ac:dyDescent="0.2">
      <c r="A721" s="48"/>
      <c r="AP721" s="308"/>
    </row>
    <row r="722" spans="1:45" x14ac:dyDescent="0.2">
      <c r="A722" s="48"/>
      <c r="AP722" s="308"/>
    </row>
    <row r="723" spans="1:45" x14ac:dyDescent="0.2">
      <c r="A723" s="48"/>
      <c r="AP723" s="308"/>
    </row>
    <row r="724" spans="1:45" x14ac:dyDescent="0.2">
      <c r="A724" s="48"/>
      <c r="AP724" s="308"/>
    </row>
    <row r="725" spans="1:45" x14ac:dyDescent="0.2">
      <c r="A725" s="48"/>
      <c r="AP725" s="308"/>
    </row>
    <row r="726" spans="1:45" x14ac:dyDescent="0.2">
      <c r="A726" s="48"/>
      <c r="AP726" s="308"/>
    </row>
    <row r="727" spans="1:45" x14ac:dyDescent="0.2">
      <c r="A727" s="48"/>
      <c r="AP727" s="308"/>
    </row>
    <row r="728" spans="1:45" x14ac:dyDescent="0.2">
      <c r="A728" s="48"/>
      <c r="AP728" s="308"/>
    </row>
    <row r="729" spans="1:45" x14ac:dyDescent="0.2">
      <c r="A729" s="48"/>
    </row>
    <row r="730" spans="1:45" x14ac:dyDescent="0.2">
      <c r="A730" s="48"/>
    </row>
    <row r="731" spans="1:45" x14ac:dyDescent="0.2">
      <c r="A731" s="48"/>
    </row>
    <row r="732" spans="1:45" s="308" customFormat="1" x14ac:dyDescent="0.2">
      <c r="A732" s="48"/>
      <c r="C732" s="263"/>
      <c r="D732" s="263"/>
      <c r="E732" s="53"/>
      <c r="F732" s="13"/>
      <c r="G732" s="13"/>
      <c r="H732" s="53"/>
      <c r="I732" s="298"/>
      <c r="J732" s="21"/>
      <c r="K732" s="21"/>
      <c r="L732" s="13"/>
      <c r="M732" s="50"/>
      <c r="N732" s="97"/>
      <c r="O732" s="50"/>
      <c r="P732" s="50"/>
      <c r="Q732" s="316"/>
      <c r="R732" s="285"/>
      <c r="S732" s="21"/>
      <c r="T732" s="13"/>
      <c r="U732" s="13"/>
      <c r="V732" s="21"/>
      <c r="W732" s="21"/>
      <c r="X732" s="21"/>
      <c r="Y732" s="260"/>
      <c r="Z732" s="177"/>
      <c r="AA732" s="177"/>
      <c r="AB732" s="676"/>
      <c r="AC732" s="64"/>
      <c r="AD732" s="50"/>
      <c r="AE732" s="50"/>
      <c r="AF732" s="19"/>
      <c r="AG732" s="120"/>
      <c r="AH732" s="119"/>
      <c r="AI732" s="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1:45" s="308" customFormat="1" x14ac:dyDescent="0.2">
      <c r="A733" s="48"/>
      <c r="C733" s="263"/>
      <c r="D733" s="263"/>
      <c r="E733" s="53"/>
      <c r="F733" s="13"/>
      <c r="G733" s="13"/>
      <c r="H733" s="53"/>
      <c r="I733" s="298"/>
      <c r="J733" s="21"/>
      <c r="K733" s="21"/>
      <c r="L733" s="13"/>
      <c r="M733" s="50"/>
      <c r="N733" s="97"/>
      <c r="O733" s="50"/>
      <c r="P733" s="50"/>
      <c r="Q733" s="316"/>
      <c r="R733" s="285"/>
      <c r="S733" s="21"/>
      <c r="T733" s="13"/>
      <c r="U733" s="13"/>
      <c r="V733" s="21"/>
      <c r="W733" s="21"/>
      <c r="X733" s="21"/>
      <c r="Y733" s="260"/>
      <c r="Z733" s="177"/>
      <c r="AA733" s="177"/>
      <c r="AB733" s="676"/>
      <c r="AC733" s="64"/>
      <c r="AD733" s="50"/>
      <c r="AE733" s="50"/>
      <c r="AF733" s="19"/>
      <c r="AG733" s="120"/>
      <c r="AH733" s="119"/>
      <c r="AI733" s="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</sheetData>
  <sortState ref="B6:T103">
    <sortCondition ref="C6:C103"/>
  </sortState>
  <mergeCells count="2">
    <mergeCell ref="AC4:AF4"/>
    <mergeCell ref="D5:E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08"/>
  <sheetViews>
    <sheetView topLeftCell="S73" workbookViewId="0">
      <selection activeCell="X95" sqref="X95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3" style="21" customWidth="1" outlineLevel="1"/>
    <col min="12" max="12" width="17.7109375" style="13" bestFit="1" customWidth="1" outlineLevel="1"/>
    <col min="13" max="13" width="12.8554687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9.570312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2" style="177" bestFit="1" customWidth="1" outlineLevel="1"/>
    <col min="28" max="28" width="3.85546875" style="676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63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63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4770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63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4771</v>
      </c>
      <c r="V4" s="67"/>
      <c r="W4" s="67"/>
      <c r="Y4" s="21"/>
      <c r="Z4" s="260"/>
      <c r="AB4" s="63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635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656" t="s">
        <v>5010</v>
      </c>
      <c r="C6" s="655">
        <v>520112</v>
      </c>
      <c r="D6" s="658">
        <v>2593</v>
      </c>
      <c r="E6" s="655" t="s">
        <v>685</v>
      </c>
      <c r="F6" s="539">
        <v>2017</v>
      </c>
      <c r="G6" s="659">
        <v>42922</v>
      </c>
      <c r="H6" s="655" t="s">
        <v>774</v>
      </c>
      <c r="I6" s="655" t="s">
        <v>4834</v>
      </c>
      <c r="J6" s="712"/>
      <c r="K6" s="655" t="s">
        <v>5167</v>
      </c>
      <c r="L6" s="655" t="s">
        <v>5226</v>
      </c>
      <c r="M6" s="660">
        <v>345304.51</v>
      </c>
      <c r="N6" s="660">
        <v>12367.9</v>
      </c>
      <c r="O6" s="660">
        <v>57227.59</v>
      </c>
      <c r="P6" s="660">
        <v>414900</v>
      </c>
      <c r="Q6" s="541"/>
      <c r="R6" s="660">
        <v>299473.02</v>
      </c>
      <c r="S6" s="542">
        <f t="shared" ref="S6:S69" si="0">+P6-R6</f>
        <v>115426.97999999998</v>
      </c>
      <c r="T6" s="113" t="s">
        <v>131</v>
      </c>
      <c r="U6" s="621" t="str">
        <f>+B6</f>
        <v>AA11428</v>
      </c>
      <c r="V6" s="622" t="str">
        <f>+I6</f>
        <v>1554-TCN17</v>
      </c>
      <c r="W6" s="621">
        <f>+C6</f>
        <v>520112</v>
      </c>
      <c r="X6" s="621" t="str">
        <f>+E6</f>
        <v>CAMRY XLE 4 -DOOR</v>
      </c>
      <c r="Y6" s="622">
        <f>+F6</f>
        <v>2017</v>
      </c>
      <c r="Z6" s="623">
        <f>+M6</f>
        <v>345304.51</v>
      </c>
      <c r="AA6" s="624"/>
      <c r="AB6" s="728"/>
      <c r="AC6" s="624">
        <f t="shared" ref="AC6:AC69" si="1">VLOOKUP(Z6,TARIFA,1)</f>
        <v>344993.21</v>
      </c>
      <c r="AD6" s="625">
        <f t="shared" ref="AD6:AD69" si="2">VLOOKUP(Z6,TARIFA,4)</f>
        <v>0.15</v>
      </c>
      <c r="AE6" s="624">
        <f t="shared" ref="AE6:AE69" si="3">VLOOKUP(Z6,TARIFA,3)</f>
        <v>12321.2</v>
      </c>
      <c r="AF6" s="624">
        <f t="shared" ref="AF6:AF24" si="4">IF(Z6&lt;281240.78,(((Z6-AC6)*AD6+AE6)/2),(Z6-AC6)*AD6+AE6)</f>
        <v>12367.894999999999</v>
      </c>
      <c r="AG6" s="632">
        <f>+N6-AF6</f>
        <v>5.0000000010186341E-3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657" t="s">
        <v>5014</v>
      </c>
      <c r="C7" s="655">
        <v>520112</v>
      </c>
      <c r="D7" s="658">
        <v>2593</v>
      </c>
      <c r="E7" s="655" t="s">
        <v>685</v>
      </c>
      <c r="F7" s="546">
        <v>2017</v>
      </c>
      <c r="G7" s="659">
        <v>42947</v>
      </c>
      <c r="H7" s="655" t="s">
        <v>817</v>
      </c>
      <c r="I7" s="655" t="s">
        <v>4835</v>
      </c>
      <c r="J7" s="712"/>
      <c r="K7" s="655" t="s">
        <v>5168</v>
      </c>
      <c r="L7" s="655" t="s">
        <v>5337</v>
      </c>
      <c r="M7" s="660">
        <v>345304.51</v>
      </c>
      <c r="N7" s="660">
        <v>12367.9</v>
      </c>
      <c r="O7" s="660">
        <v>57227.59</v>
      </c>
      <c r="P7" s="660">
        <v>414900</v>
      </c>
      <c r="Q7" s="548"/>
      <c r="R7" s="660">
        <v>289173.23</v>
      </c>
      <c r="S7" s="549">
        <f t="shared" si="0"/>
        <v>125726.77000000002</v>
      </c>
      <c r="T7" s="445" t="s">
        <v>131</v>
      </c>
      <c r="U7" s="626" t="str">
        <f t="shared" ref="U7:U70" si="5">+B7</f>
        <v>AA11575</v>
      </c>
      <c r="V7" s="627" t="str">
        <f t="shared" ref="V7:V70" si="6">+I7</f>
        <v>1033-TCN17</v>
      </c>
      <c r="W7" s="626">
        <f t="shared" ref="W7:W70" si="7">+C7</f>
        <v>520112</v>
      </c>
      <c r="X7" s="626" t="str">
        <f t="shared" ref="X7:Y70" si="8">+E7</f>
        <v>CAMRY XLE 4 -DOOR</v>
      </c>
      <c r="Y7" s="627">
        <f t="shared" si="8"/>
        <v>2017</v>
      </c>
      <c r="Z7" s="628">
        <f t="shared" ref="Z7:Z70" si="9">+M7</f>
        <v>345304.51</v>
      </c>
      <c r="AA7" s="629">
        <f>+Z7+Z6</f>
        <v>690609.02</v>
      </c>
      <c r="AB7" s="664">
        <v>2</v>
      </c>
      <c r="AC7" s="629">
        <v>0</v>
      </c>
      <c r="AD7" s="630">
        <v>0</v>
      </c>
      <c r="AE7" s="629">
        <v>0</v>
      </c>
      <c r="AF7" s="629">
        <f>+N7</f>
        <v>12367.9</v>
      </c>
      <c r="AG7" s="555">
        <f t="shared" ref="AG7:AG70" si="10">+N7-AF7</f>
        <v>0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657" t="s">
        <v>4935</v>
      </c>
      <c r="C8" s="655">
        <v>520220</v>
      </c>
      <c r="D8" s="658">
        <v>1794</v>
      </c>
      <c r="E8" s="655" t="s">
        <v>687</v>
      </c>
      <c r="F8" s="546">
        <v>2017</v>
      </c>
      <c r="G8" s="659">
        <v>42936</v>
      </c>
      <c r="H8" s="655" t="s">
        <v>819</v>
      </c>
      <c r="I8" s="655" t="s">
        <v>4792</v>
      </c>
      <c r="J8" s="712"/>
      <c r="K8" s="655" t="s">
        <v>5140</v>
      </c>
      <c r="L8" s="655" t="s">
        <v>5288</v>
      </c>
      <c r="M8" s="660">
        <v>260376.64</v>
      </c>
      <c r="N8" s="660">
        <v>2813.02</v>
      </c>
      <c r="O8" s="660">
        <v>42110.34</v>
      </c>
      <c r="P8" s="660">
        <v>305300</v>
      </c>
      <c r="Q8" s="548"/>
      <c r="R8" s="660">
        <v>239904.6</v>
      </c>
      <c r="S8" s="549">
        <f t="shared" si="0"/>
        <v>65395.399999999994</v>
      </c>
      <c r="T8" s="113" t="s">
        <v>131</v>
      </c>
      <c r="U8" s="626" t="str">
        <f t="shared" si="5"/>
        <v>AA11505</v>
      </c>
      <c r="V8" s="627" t="str">
        <f t="shared" si="6"/>
        <v>1567-TCN17</v>
      </c>
      <c r="W8" s="626">
        <f t="shared" si="7"/>
        <v>520220</v>
      </c>
      <c r="X8" s="626" t="str">
        <f t="shared" si="8"/>
        <v>COROLLA LE AT</v>
      </c>
      <c r="Y8" s="627">
        <f t="shared" si="8"/>
        <v>2017</v>
      </c>
      <c r="Z8" s="628">
        <f t="shared" si="9"/>
        <v>260376.64</v>
      </c>
      <c r="AA8" s="629"/>
      <c r="AB8" s="664"/>
      <c r="AC8" s="629">
        <f t="shared" si="1"/>
        <v>246423.66</v>
      </c>
      <c r="AD8" s="630">
        <f t="shared" si="2"/>
        <v>0.05</v>
      </c>
      <c r="AE8" s="629">
        <f t="shared" si="3"/>
        <v>4928.3900000000003</v>
      </c>
      <c r="AF8" s="629">
        <f t="shared" si="4"/>
        <v>2813.0195000000003</v>
      </c>
      <c r="AG8" s="555">
        <f t="shared" si="10"/>
        <v>4.9999999964711606E-4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657" t="s">
        <v>4936</v>
      </c>
      <c r="C9" s="655">
        <v>520220</v>
      </c>
      <c r="D9" s="658">
        <v>1794</v>
      </c>
      <c r="E9" s="655" t="s">
        <v>687</v>
      </c>
      <c r="F9" s="546">
        <v>2017</v>
      </c>
      <c r="G9" s="659">
        <v>42938</v>
      </c>
      <c r="H9" s="655" t="s">
        <v>774</v>
      </c>
      <c r="I9" s="655" t="s">
        <v>4793</v>
      </c>
      <c r="J9" s="712"/>
      <c r="K9" s="655" t="s">
        <v>1689</v>
      </c>
      <c r="L9" s="655" t="s">
        <v>5300</v>
      </c>
      <c r="M9" s="660">
        <v>272992.27</v>
      </c>
      <c r="N9" s="660">
        <v>3128.42</v>
      </c>
      <c r="O9" s="660">
        <v>44179.31</v>
      </c>
      <c r="P9" s="660">
        <v>320300</v>
      </c>
      <c r="Q9" s="548"/>
      <c r="R9" s="660">
        <v>239645.98</v>
      </c>
      <c r="S9" s="549">
        <f t="shared" si="0"/>
        <v>80654.01999999999</v>
      </c>
      <c r="T9" s="113" t="s">
        <v>131</v>
      </c>
      <c r="U9" s="626" t="str">
        <f t="shared" si="5"/>
        <v>AA11519</v>
      </c>
      <c r="V9" s="627" t="str">
        <f t="shared" si="6"/>
        <v>1598-TCN17</v>
      </c>
      <c r="W9" s="626">
        <f t="shared" si="7"/>
        <v>520220</v>
      </c>
      <c r="X9" s="626" t="str">
        <f t="shared" si="8"/>
        <v>COROLLA LE AT</v>
      </c>
      <c r="Y9" s="627">
        <f t="shared" si="8"/>
        <v>2017</v>
      </c>
      <c r="Z9" s="628">
        <f t="shared" si="9"/>
        <v>272992.27</v>
      </c>
      <c r="AA9" s="629"/>
      <c r="AB9" s="664"/>
      <c r="AC9" s="629">
        <f t="shared" si="1"/>
        <v>246423.66</v>
      </c>
      <c r="AD9" s="630">
        <f t="shared" si="2"/>
        <v>0.05</v>
      </c>
      <c r="AE9" s="629">
        <f t="shared" si="3"/>
        <v>4928.3900000000003</v>
      </c>
      <c r="AF9" s="629">
        <f t="shared" si="4"/>
        <v>3128.4102500000008</v>
      </c>
      <c r="AG9" s="555">
        <f t="shared" si="10"/>
        <v>9.7499999992578523E-3</v>
      </c>
      <c r="AH9" s="361"/>
      <c r="AI9" s="313"/>
    </row>
    <row r="10" spans="1:45" s="291" customFormat="1" x14ac:dyDescent="0.2">
      <c r="A10" s="423">
        <f t="shared" si="11"/>
        <v>5</v>
      </c>
      <c r="B10" s="657" t="s">
        <v>4943</v>
      </c>
      <c r="C10" s="655">
        <v>520220</v>
      </c>
      <c r="D10" s="658">
        <v>1794</v>
      </c>
      <c r="E10" s="655" t="s">
        <v>687</v>
      </c>
      <c r="F10" s="546">
        <v>2017</v>
      </c>
      <c r="G10" s="659">
        <v>42947</v>
      </c>
      <c r="H10" s="655" t="s">
        <v>2213</v>
      </c>
      <c r="I10" s="655" t="s">
        <v>4796</v>
      </c>
      <c r="J10" s="712"/>
      <c r="K10" s="655" t="s">
        <v>5142</v>
      </c>
      <c r="L10" s="655" t="s">
        <v>5342</v>
      </c>
      <c r="M10" s="660">
        <v>260376.64</v>
      </c>
      <c r="N10" s="660">
        <v>2813.02</v>
      </c>
      <c r="O10" s="660">
        <v>42110.34</v>
      </c>
      <c r="P10" s="660">
        <v>305300</v>
      </c>
      <c r="Q10" s="548"/>
      <c r="R10" s="660">
        <v>230840.41</v>
      </c>
      <c r="S10" s="549">
        <f t="shared" si="0"/>
        <v>74459.59</v>
      </c>
      <c r="T10" s="267" t="s">
        <v>131</v>
      </c>
      <c r="U10" s="626" t="str">
        <f t="shared" si="5"/>
        <v>AA11577</v>
      </c>
      <c r="V10" s="627" t="str">
        <f t="shared" si="6"/>
        <v>1401-TCN17</v>
      </c>
      <c r="W10" s="626">
        <f t="shared" si="7"/>
        <v>520220</v>
      </c>
      <c r="X10" s="626" t="str">
        <f t="shared" si="8"/>
        <v>COROLLA LE AT</v>
      </c>
      <c r="Y10" s="627">
        <f t="shared" si="8"/>
        <v>2017</v>
      </c>
      <c r="Z10" s="628">
        <f t="shared" si="9"/>
        <v>260376.64</v>
      </c>
      <c r="AA10" s="629"/>
      <c r="AB10" s="664"/>
      <c r="AC10" s="629">
        <f t="shared" si="1"/>
        <v>246423.66</v>
      </c>
      <c r="AD10" s="630">
        <f t="shared" si="2"/>
        <v>0.05</v>
      </c>
      <c r="AE10" s="629">
        <f t="shared" si="3"/>
        <v>4928.3900000000003</v>
      </c>
      <c r="AF10" s="629">
        <f t="shared" si="4"/>
        <v>2813.0195000000003</v>
      </c>
      <c r="AG10" s="555">
        <f t="shared" si="10"/>
        <v>4.9999999964711606E-4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657" t="s">
        <v>4941</v>
      </c>
      <c r="C11" s="655">
        <v>520220</v>
      </c>
      <c r="D11" s="658">
        <v>1794</v>
      </c>
      <c r="E11" s="655" t="s">
        <v>687</v>
      </c>
      <c r="F11" s="546">
        <v>2017</v>
      </c>
      <c r="G11" s="659">
        <v>42947</v>
      </c>
      <c r="H11" s="655" t="s">
        <v>817</v>
      </c>
      <c r="I11" s="655" t="s">
        <v>4794</v>
      </c>
      <c r="J11" s="712"/>
      <c r="K11" s="655" t="s">
        <v>5141</v>
      </c>
      <c r="L11" s="655" t="s">
        <v>5329</v>
      </c>
      <c r="M11" s="660">
        <v>260376.64</v>
      </c>
      <c r="N11" s="660">
        <v>2813.02</v>
      </c>
      <c r="O11" s="660">
        <v>42110.34</v>
      </c>
      <c r="P11" s="660">
        <v>305300</v>
      </c>
      <c r="Q11" s="548"/>
      <c r="R11" s="660">
        <v>230475.74</v>
      </c>
      <c r="S11" s="549">
        <f t="shared" si="0"/>
        <v>74824.260000000009</v>
      </c>
      <c r="T11" s="113" t="s">
        <v>1266</v>
      </c>
      <c r="U11" s="626" t="str">
        <f t="shared" si="5"/>
        <v>AA11566</v>
      </c>
      <c r="V11" s="627" t="str">
        <f t="shared" si="6"/>
        <v>0856-TCN17</v>
      </c>
      <c r="W11" s="626">
        <f t="shared" si="7"/>
        <v>520220</v>
      </c>
      <c r="X11" s="626" t="str">
        <f t="shared" si="8"/>
        <v>COROLLA LE AT</v>
      </c>
      <c r="Y11" s="627">
        <f t="shared" si="8"/>
        <v>2017</v>
      </c>
      <c r="Z11" s="628">
        <f t="shared" si="9"/>
        <v>260376.64</v>
      </c>
      <c r="AA11" s="629">
        <f>+Z11+Z10+Z9+Z8</f>
        <v>1054122.19</v>
      </c>
      <c r="AB11" s="664">
        <v>4</v>
      </c>
      <c r="AC11" s="629">
        <f t="shared" si="1"/>
        <v>246423.66</v>
      </c>
      <c r="AD11" s="630">
        <f t="shared" si="2"/>
        <v>0.05</v>
      </c>
      <c r="AE11" s="629">
        <f t="shared" si="3"/>
        <v>4928.3900000000003</v>
      </c>
      <c r="AF11" s="629">
        <f t="shared" si="4"/>
        <v>2813.0195000000003</v>
      </c>
      <c r="AG11" s="555">
        <f t="shared" si="10"/>
        <v>4.9999999964711606E-4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657" t="s">
        <v>4953</v>
      </c>
      <c r="C12" s="655">
        <v>520222</v>
      </c>
      <c r="D12" s="658">
        <v>1797</v>
      </c>
      <c r="E12" s="655" t="s">
        <v>688</v>
      </c>
      <c r="F12" s="546">
        <v>2017</v>
      </c>
      <c r="G12" s="659">
        <v>42930</v>
      </c>
      <c r="H12" s="655" t="s">
        <v>908</v>
      </c>
      <c r="I12" s="655" t="s">
        <v>4802</v>
      </c>
      <c r="J12" s="712"/>
      <c r="K12" s="655" t="s">
        <v>5146</v>
      </c>
      <c r="L12" s="655" t="s">
        <v>5258</v>
      </c>
      <c r="M12" s="660">
        <v>241550.02</v>
      </c>
      <c r="N12" s="660">
        <v>2415.5</v>
      </c>
      <c r="O12" s="660">
        <v>39034.480000000003</v>
      </c>
      <c r="P12" s="660">
        <v>283000</v>
      </c>
      <c r="Q12" s="548"/>
      <c r="R12" s="660">
        <v>212392.62</v>
      </c>
      <c r="S12" s="549">
        <f t="shared" si="0"/>
        <v>70607.38</v>
      </c>
      <c r="T12" s="267" t="s">
        <v>131</v>
      </c>
      <c r="U12" s="626" t="str">
        <f t="shared" si="5"/>
        <v>AA11469</v>
      </c>
      <c r="V12" s="627" t="str">
        <f t="shared" si="6"/>
        <v>1390-TCN17</v>
      </c>
      <c r="W12" s="626">
        <f t="shared" si="7"/>
        <v>520222</v>
      </c>
      <c r="X12" s="626" t="str">
        <f t="shared" si="8"/>
        <v>COROLLA BASE MANUAL</v>
      </c>
      <c r="Y12" s="627">
        <f t="shared" si="8"/>
        <v>2017</v>
      </c>
      <c r="Z12" s="628">
        <f t="shared" si="9"/>
        <v>241550.02</v>
      </c>
      <c r="AA12" s="629">
        <f>+Z12</f>
        <v>241550.02</v>
      </c>
      <c r="AB12" s="664">
        <v>1</v>
      </c>
      <c r="AC12" s="629">
        <f t="shared" si="1"/>
        <v>0.01</v>
      </c>
      <c r="AD12" s="630">
        <f t="shared" si="2"/>
        <v>0.02</v>
      </c>
      <c r="AE12" s="629">
        <f t="shared" si="3"/>
        <v>0</v>
      </c>
      <c r="AF12" s="629">
        <f t="shared" si="4"/>
        <v>2415.5000999999997</v>
      </c>
      <c r="AG12" s="555">
        <f t="shared" si="10"/>
        <v>-9.9999999747524271E-5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657" t="s">
        <v>4947</v>
      </c>
      <c r="C13" s="655">
        <v>520223</v>
      </c>
      <c r="D13" s="658">
        <v>1796</v>
      </c>
      <c r="E13" s="655" t="s">
        <v>689</v>
      </c>
      <c r="F13" s="546">
        <v>2017</v>
      </c>
      <c r="G13" s="659">
        <v>42930</v>
      </c>
      <c r="H13" s="655" t="s">
        <v>5129</v>
      </c>
      <c r="I13" s="655" t="s">
        <v>4799</v>
      </c>
      <c r="J13" s="712"/>
      <c r="K13" s="655" t="s">
        <v>5144</v>
      </c>
      <c r="L13" s="655" t="s">
        <v>5261</v>
      </c>
      <c r="M13" s="660">
        <v>242062.14</v>
      </c>
      <c r="N13" s="660">
        <v>2420.62</v>
      </c>
      <c r="O13" s="660">
        <v>39117.24</v>
      </c>
      <c r="P13" s="660">
        <v>283600</v>
      </c>
      <c r="Q13" s="548"/>
      <c r="R13" s="660">
        <v>220255.74</v>
      </c>
      <c r="S13" s="549">
        <f t="shared" si="0"/>
        <v>63344.260000000009</v>
      </c>
      <c r="T13" s="113" t="s">
        <v>131</v>
      </c>
      <c r="U13" s="626" t="str">
        <f t="shared" si="5"/>
        <v>AA11472</v>
      </c>
      <c r="V13" s="627" t="str">
        <f t="shared" si="6"/>
        <v>1568-TCN17</v>
      </c>
      <c r="W13" s="626">
        <f t="shared" si="7"/>
        <v>520223</v>
      </c>
      <c r="X13" s="626" t="str">
        <f t="shared" si="8"/>
        <v>COROLLA BASE AT</v>
      </c>
      <c r="Y13" s="627">
        <f t="shared" si="8"/>
        <v>2017</v>
      </c>
      <c r="Z13" s="628">
        <f t="shared" si="9"/>
        <v>242062.14</v>
      </c>
      <c r="AA13" s="629"/>
      <c r="AB13" s="664"/>
      <c r="AC13" s="629">
        <f t="shared" si="1"/>
        <v>0.01</v>
      </c>
      <c r="AD13" s="630">
        <f t="shared" si="2"/>
        <v>0.02</v>
      </c>
      <c r="AE13" s="629">
        <f t="shared" si="3"/>
        <v>0</v>
      </c>
      <c r="AF13" s="629">
        <f t="shared" si="4"/>
        <v>2420.6213000000002</v>
      </c>
      <c r="AG13" s="555">
        <f t="shared" si="10"/>
        <v>-1.3000000003557943E-3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657" t="s">
        <v>4946</v>
      </c>
      <c r="C14" s="655">
        <v>520223</v>
      </c>
      <c r="D14" s="658">
        <v>1796</v>
      </c>
      <c r="E14" s="655" t="s">
        <v>689</v>
      </c>
      <c r="F14" s="546">
        <v>2017</v>
      </c>
      <c r="G14" s="659">
        <v>42930</v>
      </c>
      <c r="H14" s="655" t="s">
        <v>727</v>
      </c>
      <c r="I14" s="655" t="s">
        <v>4798</v>
      </c>
      <c r="J14" s="712"/>
      <c r="K14" s="655" t="s">
        <v>5143</v>
      </c>
      <c r="L14" s="655" t="s">
        <v>5262</v>
      </c>
      <c r="M14" s="660">
        <v>242062.14</v>
      </c>
      <c r="N14" s="660">
        <v>2420.62</v>
      </c>
      <c r="O14" s="660">
        <v>39117.24</v>
      </c>
      <c r="P14" s="660">
        <v>283600</v>
      </c>
      <c r="Q14" s="548"/>
      <c r="R14" s="660">
        <v>220255.74</v>
      </c>
      <c r="S14" s="549">
        <f t="shared" si="0"/>
        <v>63344.260000000009</v>
      </c>
      <c r="T14" s="113" t="s">
        <v>131</v>
      </c>
      <c r="U14" s="626" t="str">
        <f t="shared" si="5"/>
        <v>AA11473</v>
      </c>
      <c r="V14" s="627" t="str">
        <f t="shared" si="6"/>
        <v>1560-TCN17</v>
      </c>
      <c r="W14" s="626">
        <f t="shared" si="7"/>
        <v>520223</v>
      </c>
      <c r="X14" s="626" t="str">
        <f t="shared" si="8"/>
        <v>COROLLA BASE AT</v>
      </c>
      <c r="Y14" s="627">
        <f t="shared" si="8"/>
        <v>2017</v>
      </c>
      <c r="Z14" s="628">
        <f t="shared" si="9"/>
        <v>242062.14</v>
      </c>
      <c r="AA14" s="629"/>
      <c r="AB14" s="664"/>
      <c r="AC14" s="629">
        <f t="shared" si="1"/>
        <v>0.01</v>
      </c>
      <c r="AD14" s="630">
        <f t="shared" si="2"/>
        <v>0.02</v>
      </c>
      <c r="AE14" s="629">
        <f t="shared" si="3"/>
        <v>0</v>
      </c>
      <c r="AF14" s="629">
        <f t="shared" si="4"/>
        <v>2420.6213000000002</v>
      </c>
      <c r="AG14" s="555">
        <f t="shared" si="10"/>
        <v>-1.3000000003557943E-3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657" t="s">
        <v>4949</v>
      </c>
      <c r="C15" s="655">
        <v>520223</v>
      </c>
      <c r="D15" s="658">
        <v>1796</v>
      </c>
      <c r="E15" s="655" t="s">
        <v>689</v>
      </c>
      <c r="F15" s="546">
        <v>2017</v>
      </c>
      <c r="G15" s="659">
        <v>42943</v>
      </c>
      <c r="H15" s="655" t="s">
        <v>747</v>
      </c>
      <c r="I15" s="655" t="s">
        <v>4126</v>
      </c>
      <c r="J15" s="712"/>
      <c r="K15" s="655" t="s">
        <v>830</v>
      </c>
      <c r="L15" s="655" t="s">
        <v>4128</v>
      </c>
      <c r="M15" s="660">
        <v>242062.14</v>
      </c>
      <c r="N15" s="660">
        <v>2420.62</v>
      </c>
      <c r="O15" s="660">
        <v>39117.24</v>
      </c>
      <c r="P15" s="660">
        <v>283600</v>
      </c>
      <c r="Q15" s="548"/>
      <c r="R15" s="660">
        <v>211571.1</v>
      </c>
      <c r="S15" s="549">
        <f t="shared" si="0"/>
        <v>72028.899999999994</v>
      </c>
      <c r="T15" s="113" t="s">
        <v>131</v>
      </c>
      <c r="U15" s="626" t="str">
        <f t="shared" si="5"/>
        <v>AA11551</v>
      </c>
      <c r="V15" s="627" t="str">
        <f t="shared" si="6"/>
        <v>0833-TCN17</v>
      </c>
      <c r="W15" s="626">
        <f t="shared" si="7"/>
        <v>520223</v>
      </c>
      <c r="X15" s="626" t="str">
        <f t="shared" si="8"/>
        <v>COROLLA BASE AT</v>
      </c>
      <c r="Y15" s="627">
        <f t="shared" si="8"/>
        <v>2017</v>
      </c>
      <c r="Z15" s="628">
        <f t="shared" si="9"/>
        <v>242062.14</v>
      </c>
      <c r="AA15" s="629"/>
      <c r="AB15" s="664"/>
      <c r="AC15" s="629">
        <f t="shared" si="1"/>
        <v>0.01</v>
      </c>
      <c r="AD15" s="630">
        <f t="shared" si="2"/>
        <v>0.02</v>
      </c>
      <c r="AE15" s="629">
        <f t="shared" si="3"/>
        <v>0</v>
      </c>
      <c r="AF15" s="629">
        <f t="shared" si="4"/>
        <v>2420.6213000000002</v>
      </c>
      <c r="AG15" s="555">
        <f t="shared" si="10"/>
        <v>-1.3000000003557943E-3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657" t="s">
        <v>4950</v>
      </c>
      <c r="C16" s="655">
        <v>520223</v>
      </c>
      <c r="D16" s="658">
        <v>1796</v>
      </c>
      <c r="E16" s="655" t="s">
        <v>689</v>
      </c>
      <c r="F16" s="546">
        <v>2017</v>
      </c>
      <c r="G16" s="659">
        <v>42947</v>
      </c>
      <c r="H16" s="655" t="s">
        <v>5129</v>
      </c>
      <c r="I16" s="655" t="s">
        <v>4801</v>
      </c>
      <c r="J16" s="712"/>
      <c r="K16" s="655" t="s">
        <v>5145</v>
      </c>
      <c r="L16" s="655" t="s">
        <v>5344</v>
      </c>
      <c r="M16" s="660">
        <v>242062.14</v>
      </c>
      <c r="N16" s="660">
        <v>2420.62</v>
      </c>
      <c r="O16" s="660">
        <v>39117.24</v>
      </c>
      <c r="P16" s="660">
        <v>283600</v>
      </c>
      <c r="Q16" s="548"/>
      <c r="R16" s="660">
        <v>211571.1</v>
      </c>
      <c r="S16" s="549">
        <f t="shared" si="0"/>
        <v>72028.899999999994</v>
      </c>
      <c r="T16" s="444" t="s">
        <v>131</v>
      </c>
      <c r="U16" s="626" t="str">
        <f t="shared" si="5"/>
        <v>AA11579</v>
      </c>
      <c r="V16" s="627" t="str">
        <f t="shared" si="6"/>
        <v>0872-TCN17</v>
      </c>
      <c r="W16" s="626">
        <f t="shared" si="7"/>
        <v>520223</v>
      </c>
      <c r="X16" s="626" t="str">
        <f t="shared" si="8"/>
        <v>COROLLA BASE AT</v>
      </c>
      <c r="Y16" s="627">
        <f t="shared" si="8"/>
        <v>2017</v>
      </c>
      <c r="Z16" s="628">
        <f t="shared" si="9"/>
        <v>242062.14</v>
      </c>
      <c r="AA16" s="629"/>
      <c r="AB16" s="664"/>
      <c r="AC16" s="629">
        <f t="shared" si="1"/>
        <v>0.01</v>
      </c>
      <c r="AD16" s="630">
        <f t="shared" si="2"/>
        <v>0.02</v>
      </c>
      <c r="AE16" s="629">
        <f t="shared" si="3"/>
        <v>0</v>
      </c>
      <c r="AF16" s="629">
        <f t="shared" si="4"/>
        <v>2420.6213000000002</v>
      </c>
      <c r="AG16" s="555">
        <f t="shared" si="10"/>
        <v>-1.3000000003557943E-3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657" t="s">
        <v>4944</v>
      </c>
      <c r="C17" s="655">
        <v>520223</v>
      </c>
      <c r="D17" s="658">
        <v>1796</v>
      </c>
      <c r="E17" s="655" t="s">
        <v>689</v>
      </c>
      <c r="F17" s="546">
        <v>2017</v>
      </c>
      <c r="G17" s="659">
        <v>42919</v>
      </c>
      <c r="H17" s="655" t="s">
        <v>792</v>
      </c>
      <c r="I17" s="655" t="s">
        <v>4126</v>
      </c>
      <c r="J17" s="712"/>
      <c r="K17" s="655" t="s">
        <v>4127</v>
      </c>
      <c r="L17" s="655" t="s">
        <v>4128</v>
      </c>
      <c r="M17" s="660">
        <v>-250536.43</v>
      </c>
      <c r="N17" s="660">
        <v>-2567.02</v>
      </c>
      <c r="O17" s="660">
        <v>-40496.550000000003</v>
      </c>
      <c r="P17" s="660">
        <v>-293600</v>
      </c>
      <c r="Q17" s="548"/>
      <c r="R17" s="660">
        <v>-211571.1</v>
      </c>
      <c r="S17" s="549">
        <f t="shared" si="0"/>
        <v>-82028.899999999994</v>
      </c>
      <c r="T17" s="113" t="s">
        <v>1266</v>
      </c>
      <c r="U17" s="626" t="str">
        <f t="shared" si="5"/>
        <v>ZA04165</v>
      </c>
      <c r="V17" s="627" t="str">
        <f t="shared" si="6"/>
        <v>0833-TCN17</v>
      </c>
      <c r="W17" s="626">
        <f t="shared" si="7"/>
        <v>520223</v>
      </c>
      <c r="X17" s="626" t="str">
        <f t="shared" si="8"/>
        <v>COROLLA BASE AT</v>
      </c>
      <c r="Y17" s="627">
        <f t="shared" si="8"/>
        <v>2017</v>
      </c>
      <c r="Z17" s="628">
        <f t="shared" si="9"/>
        <v>-250536.43</v>
      </c>
      <c r="AA17" s="629">
        <f>+Z17+Z16+Z15+Z14+Z13</f>
        <v>717712.13000000012</v>
      </c>
      <c r="AB17" s="664">
        <v>3</v>
      </c>
      <c r="AC17" s="629"/>
      <c r="AD17" s="630"/>
      <c r="AE17" s="629"/>
      <c r="AF17" s="629">
        <f>+N17</f>
        <v>-2567.02</v>
      </c>
      <c r="AG17" s="555">
        <f t="shared" si="10"/>
        <v>0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657" t="s">
        <v>4927</v>
      </c>
      <c r="C18" s="655">
        <v>520224</v>
      </c>
      <c r="D18" s="658">
        <v>1781</v>
      </c>
      <c r="E18" s="655" t="s">
        <v>690</v>
      </c>
      <c r="F18" s="546">
        <v>2017</v>
      </c>
      <c r="G18" s="659">
        <v>42935</v>
      </c>
      <c r="H18" s="655" t="s">
        <v>2213</v>
      </c>
      <c r="I18" s="655" t="s">
        <v>4787</v>
      </c>
      <c r="J18" s="712"/>
      <c r="K18" s="655" t="s">
        <v>5137</v>
      </c>
      <c r="L18" s="655" t="s">
        <v>5279</v>
      </c>
      <c r="M18" s="660">
        <v>267693.71000000002</v>
      </c>
      <c r="N18" s="660">
        <v>2995.95</v>
      </c>
      <c r="O18" s="660">
        <v>43310.34</v>
      </c>
      <c r="P18" s="660">
        <v>314000</v>
      </c>
      <c r="Q18" s="548"/>
      <c r="R18" s="660">
        <v>248134.35</v>
      </c>
      <c r="S18" s="549">
        <f t="shared" si="0"/>
        <v>65865.649999999994</v>
      </c>
      <c r="T18" s="267" t="s">
        <v>131</v>
      </c>
      <c r="U18" s="626" t="str">
        <f t="shared" si="5"/>
        <v>AA11492</v>
      </c>
      <c r="V18" s="627" t="str">
        <f t="shared" si="6"/>
        <v>1489-TCN17</v>
      </c>
      <c r="W18" s="626">
        <f t="shared" si="7"/>
        <v>520224</v>
      </c>
      <c r="X18" s="626" t="str">
        <f t="shared" si="8"/>
        <v>COROLLA SE MT</v>
      </c>
      <c r="Y18" s="627">
        <f t="shared" si="8"/>
        <v>2017</v>
      </c>
      <c r="Z18" s="628">
        <f t="shared" si="9"/>
        <v>267693.71000000002</v>
      </c>
      <c r="AA18" s="629">
        <f>+Z18</f>
        <v>267693.71000000002</v>
      </c>
      <c r="AB18" s="664">
        <v>1</v>
      </c>
      <c r="AC18" s="629">
        <f t="shared" ref="AC18" si="12">VLOOKUP(Z18,TARIFA,1)</f>
        <v>246423.66</v>
      </c>
      <c r="AD18" s="630">
        <f t="shared" ref="AD18" si="13">VLOOKUP(Z18,TARIFA,4)</f>
        <v>0.05</v>
      </c>
      <c r="AE18" s="629">
        <f t="shared" ref="AE18" si="14">VLOOKUP(Z18,TARIFA,3)</f>
        <v>4928.3900000000003</v>
      </c>
      <c r="AF18" s="629">
        <f t="shared" ref="AF18" si="15">IF(Z18&lt;281240.78,(((Z18-AC18)*AD18+AE18)/2),(Z18-AC18)*AD18+AE18)</f>
        <v>2995.9462500000009</v>
      </c>
      <c r="AG18" s="555">
        <f t="shared" si="10"/>
        <v>3.7499999989449861E-3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657" t="s">
        <v>4930</v>
      </c>
      <c r="C19" s="655">
        <v>520225</v>
      </c>
      <c r="D19" s="658">
        <v>1782</v>
      </c>
      <c r="E19" s="655" t="s">
        <v>691</v>
      </c>
      <c r="F19" s="546">
        <v>2017</v>
      </c>
      <c r="G19" s="659">
        <v>42933</v>
      </c>
      <c r="H19" s="655" t="s">
        <v>722</v>
      </c>
      <c r="I19" s="655" t="s">
        <v>4789</v>
      </c>
      <c r="J19" s="712"/>
      <c r="K19" s="655" t="s">
        <v>970</v>
      </c>
      <c r="L19" s="655" t="s">
        <v>5272</v>
      </c>
      <c r="M19" s="660">
        <v>284850.98</v>
      </c>
      <c r="N19" s="660">
        <v>3424.88</v>
      </c>
      <c r="O19" s="660">
        <v>46124.14</v>
      </c>
      <c r="P19" s="660">
        <v>334400</v>
      </c>
      <c r="Q19" s="548"/>
      <c r="R19" s="660">
        <v>260686.11</v>
      </c>
      <c r="S19" s="549">
        <f t="shared" si="0"/>
        <v>73713.890000000014</v>
      </c>
      <c r="T19" s="113" t="s">
        <v>131</v>
      </c>
      <c r="U19" s="626" t="str">
        <f t="shared" si="5"/>
        <v>AA11484</v>
      </c>
      <c r="V19" s="627" t="str">
        <f t="shared" si="6"/>
        <v>1583-TCN17</v>
      </c>
      <c r="W19" s="626">
        <f t="shared" si="7"/>
        <v>520225</v>
      </c>
      <c r="X19" s="626" t="str">
        <f t="shared" si="8"/>
        <v>COROLLA SE CVT</v>
      </c>
      <c r="Y19" s="627">
        <f t="shared" si="8"/>
        <v>2017</v>
      </c>
      <c r="Z19" s="628">
        <f t="shared" si="9"/>
        <v>284850.98</v>
      </c>
      <c r="AA19" s="629">
        <f>+Z19</f>
        <v>284850.98</v>
      </c>
      <c r="AB19" s="664">
        <v>1</v>
      </c>
      <c r="AC19" s="629">
        <f t="shared" ref="AC19:AC20" si="16">VLOOKUP(Z19,TARIFA,1)</f>
        <v>246423.66</v>
      </c>
      <c r="AD19" s="630">
        <f t="shared" ref="AD19:AD20" si="17">VLOOKUP(Z19,TARIFA,4)</f>
        <v>0.05</v>
      </c>
      <c r="AE19" s="629">
        <f t="shared" ref="AE19:AE20" si="18">VLOOKUP(Z19,TARIFA,3)</f>
        <v>4928.3900000000003</v>
      </c>
      <c r="AF19" s="629">
        <f t="shared" ref="AF19:AF20" si="19">IF(Z19&lt;281240.78,(((Z19-AC19)*AD19+AE19)/2),(Z19-AC19)*AD19+AE19)</f>
        <v>6849.7559999999994</v>
      </c>
      <c r="AG19" s="555">
        <f t="shared" si="10"/>
        <v>-3424.8759999999993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657" t="s">
        <v>4931</v>
      </c>
      <c r="C20" s="655">
        <v>520227</v>
      </c>
      <c r="D20" s="658">
        <v>1782</v>
      </c>
      <c r="E20" s="655" t="s">
        <v>691</v>
      </c>
      <c r="F20" s="546">
        <v>2017</v>
      </c>
      <c r="G20" s="659">
        <v>42940</v>
      </c>
      <c r="H20" s="655" t="s">
        <v>3694</v>
      </c>
      <c r="I20" s="655" t="s">
        <v>4790</v>
      </c>
      <c r="J20" s="712"/>
      <c r="K20" s="655" t="s">
        <v>5138</v>
      </c>
      <c r="L20" s="655" t="s">
        <v>5307</v>
      </c>
      <c r="M20" s="660">
        <v>284850.98</v>
      </c>
      <c r="N20" s="660">
        <v>3424.88</v>
      </c>
      <c r="O20" s="660">
        <v>46124.14</v>
      </c>
      <c r="P20" s="660">
        <v>334400</v>
      </c>
      <c r="Q20" s="548"/>
      <c r="R20" s="660">
        <v>260686.11</v>
      </c>
      <c r="S20" s="549">
        <f t="shared" si="0"/>
        <v>73713.890000000014</v>
      </c>
      <c r="T20" s="113" t="s">
        <v>131</v>
      </c>
      <c r="U20" s="626" t="str">
        <f t="shared" si="5"/>
        <v>AA11529</v>
      </c>
      <c r="V20" s="627" t="str">
        <f t="shared" si="6"/>
        <v>1631-TCN17</v>
      </c>
      <c r="W20" s="626">
        <f t="shared" si="7"/>
        <v>520227</v>
      </c>
      <c r="X20" s="626" t="str">
        <f t="shared" si="8"/>
        <v>COROLLA SE CVT</v>
      </c>
      <c r="Y20" s="627">
        <f t="shared" si="8"/>
        <v>2017</v>
      </c>
      <c r="Z20" s="628">
        <f t="shared" si="9"/>
        <v>284850.98</v>
      </c>
      <c r="AA20" s="629">
        <f>+Z20</f>
        <v>284850.98</v>
      </c>
      <c r="AB20" s="664">
        <v>1</v>
      </c>
      <c r="AC20" s="629">
        <f t="shared" si="16"/>
        <v>246423.66</v>
      </c>
      <c r="AD20" s="630">
        <f t="shared" si="17"/>
        <v>0.05</v>
      </c>
      <c r="AE20" s="629">
        <f t="shared" si="18"/>
        <v>4928.3900000000003</v>
      </c>
      <c r="AF20" s="629">
        <f t="shared" si="19"/>
        <v>6849.7559999999994</v>
      </c>
      <c r="AG20" s="555">
        <f t="shared" si="10"/>
        <v>-3424.8759999999993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657" t="s">
        <v>5028</v>
      </c>
      <c r="C21" s="655">
        <v>520513</v>
      </c>
      <c r="D21" s="658">
        <v>5396</v>
      </c>
      <c r="E21" s="655" t="s">
        <v>132</v>
      </c>
      <c r="F21" s="546">
        <v>2017</v>
      </c>
      <c r="G21" s="659">
        <v>42922</v>
      </c>
      <c r="H21" s="655" t="s">
        <v>810</v>
      </c>
      <c r="I21" s="655" t="s">
        <v>3765</v>
      </c>
      <c r="J21" s="712"/>
      <c r="K21" s="655" t="s">
        <v>5173</v>
      </c>
      <c r="L21" s="655" t="s">
        <v>4024</v>
      </c>
      <c r="M21" s="660">
        <v>459093.66</v>
      </c>
      <c r="N21" s="660">
        <v>29746.86</v>
      </c>
      <c r="O21" s="660">
        <v>78214.48</v>
      </c>
      <c r="P21" s="660">
        <v>567055</v>
      </c>
      <c r="Q21" s="548"/>
      <c r="R21" s="660">
        <v>425866.63</v>
      </c>
      <c r="S21" s="549">
        <f t="shared" si="0"/>
        <v>141188.37</v>
      </c>
      <c r="T21" s="113" t="s">
        <v>131</v>
      </c>
      <c r="U21" s="626" t="str">
        <f t="shared" si="5"/>
        <v>AA11426</v>
      </c>
      <c r="V21" s="627" t="str">
        <f t="shared" si="6"/>
        <v>1263-TCN17</v>
      </c>
      <c r="W21" s="626">
        <f t="shared" si="7"/>
        <v>520513</v>
      </c>
      <c r="X21" s="626" t="str">
        <f t="shared" si="8"/>
        <v>SIENNA XLE</v>
      </c>
      <c r="Y21" s="627">
        <f t="shared" si="8"/>
        <v>2017</v>
      </c>
      <c r="Z21" s="628">
        <f t="shared" si="9"/>
        <v>459093.66</v>
      </c>
      <c r="AA21" s="629"/>
      <c r="AB21" s="664"/>
      <c r="AC21" s="629">
        <f t="shared" si="1"/>
        <v>443562.4</v>
      </c>
      <c r="AD21" s="630">
        <f t="shared" si="2"/>
        <v>0.17</v>
      </c>
      <c r="AE21" s="629">
        <f t="shared" si="3"/>
        <v>27106.55</v>
      </c>
      <c r="AF21" s="629">
        <f t="shared" si="4"/>
        <v>29746.864199999993</v>
      </c>
      <c r="AG21" s="555">
        <f t="shared" si="10"/>
        <v>-4.1999999921245035E-3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657" t="s">
        <v>5029</v>
      </c>
      <c r="C22" s="655">
        <v>520513</v>
      </c>
      <c r="D22" s="658">
        <v>5396</v>
      </c>
      <c r="E22" s="655" t="s">
        <v>132</v>
      </c>
      <c r="F22" s="546">
        <v>2017</v>
      </c>
      <c r="G22" s="659">
        <v>42923</v>
      </c>
      <c r="H22" s="655" t="s">
        <v>774</v>
      </c>
      <c r="I22" s="655" t="s">
        <v>4845</v>
      </c>
      <c r="J22" s="712"/>
      <c r="K22" s="655" t="s">
        <v>4369</v>
      </c>
      <c r="L22" s="655" t="s">
        <v>5232</v>
      </c>
      <c r="M22" s="660">
        <v>481083.78</v>
      </c>
      <c r="N22" s="660">
        <v>33485.19</v>
      </c>
      <c r="O22" s="660">
        <v>82331.03</v>
      </c>
      <c r="P22" s="660">
        <v>596900</v>
      </c>
      <c r="Q22" s="548"/>
      <c r="R22" s="660">
        <v>425866.63</v>
      </c>
      <c r="S22" s="549">
        <f t="shared" si="0"/>
        <v>171033.37</v>
      </c>
      <c r="T22" s="267" t="s">
        <v>131</v>
      </c>
      <c r="U22" s="626" t="str">
        <f t="shared" si="5"/>
        <v>AA11435</v>
      </c>
      <c r="V22" s="627" t="str">
        <f t="shared" si="6"/>
        <v>1480-TCN17</v>
      </c>
      <c r="W22" s="626">
        <f t="shared" si="7"/>
        <v>520513</v>
      </c>
      <c r="X22" s="626" t="str">
        <f t="shared" si="8"/>
        <v>SIENNA XLE</v>
      </c>
      <c r="Y22" s="627">
        <f t="shared" si="8"/>
        <v>2017</v>
      </c>
      <c r="Z22" s="628">
        <f t="shared" si="9"/>
        <v>481083.78</v>
      </c>
      <c r="AA22" s="629"/>
      <c r="AB22" s="664"/>
      <c r="AC22" s="629">
        <f t="shared" si="1"/>
        <v>443562.4</v>
      </c>
      <c r="AD22" s="630">
        <f t="shared" si="2"/>
        <v>0.17</v>
      </c>
      <c r="AE22" s="629">
        <f t="shared" si="3"/>
        <v>27106.55</v>
      </c>
      <c r="AF22" s="629">
        <f>IF(Z22&lt;281240.78,(((Z22-AC22)*AD22+AE22)/2),(Z22-AC22)*AD22+AE22)</f>
        <v>33485.184600000001</v>
      </c>
      <c r="AG22" s="555">
        <f t="shared" si="10"/>
        <v>5.4000000018277206E-3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657" t="s">
        <v>5030</v>
      </c>
      <c r="C23" s="655">
        <v>520513</v>
      </c>
      <c r="D23" s="658">
        <v>5396</v>
      </c>
      <c r="E23" s="655" t="s">
        <v>132</v>
      </c>
      <c r="F23" s="546">
        <v>2017</v>
      </c>
      <c r="G23" s="659">
        <v>42933</v>
      </c>
      <c r="H23" s="655" t="s">
        <v>819</v>
      </c>
      <c r="I23" s="655" t="s">
        <v>4846</v>
      </c>
      <c r="J23" s="712"/>
      <c r="K23" s="655" t="s">
        <v>5174</v>
      </c>
      <c r="L23" s="655" t="s">
        <v>5269</v>
      </c>
      <c r="M23" s="660">
        <v>481083.78</v>
      </c>
      <c r="N23" s="660">
        <v>33485.19</v>
      </c>
      <c r="O23" s="660">
        <v>82331.03</v>
      </c>
      <c r="P23" s="660">
        <v>596900</v>
      </c>
      <c r="Q23" s="548"/>
      <c r="R23" s="660">
        <v>426222.11</v>
      </c>
      <c r="S23" s="549">
        <f t="shared" si="0"/>
        <v>170677.89</v>
      </c>
      <c r="T23" s="113" t="s">
        <v>131</v>
      </c>
      <c r="U23" s="626" t="str">
        <f t="shared" si="5"/>
        <v>AA11481</v>
      </c>
      <c r="V23" s="627" t="str">
        <f t="shared" si="6"/>
        <v>1584-TCN17</v>
      </c>
      <c r="W23" s="626">
        <f t="shared" si="7"/>
        <v>520513</v>
      </c>
      <c r="X23" s="626" t="str">
        <f t="shared" si="8"/>
        <v>SIENNA XLE</v>
      </c>
      <c r="Y23" s="627">
        <f t="shared" si="8"/>
        <v>2017</v>
      </c>
      <c r="Z23" s="628">
        <f t="shared" si="9"/>
        <v>481083.78</v>
      </c>
      <c r="AA23" s="629">
        <f>+Z23+Z22+Z21</f>
        <v>1421261.22</v>
      </c>
      <c r="AB23" s="664">
        <v>3</v>
      </c>
      <c r="AC23" s="629">
        <f t="shared" si="1"/>
        <v>443562.4</v>
      </c>
      <c r="AD23" s="630">
        <f t="shared" si="2"/>
        <v>0.17</v>
      </c>
      <c r="AE23" s="629">
        <f t="shared" si="3"/>
        <v>27106.55</v>
      </c>
      <c r="AF23" s="629">
        <f>IF(Z23&lt;281240.78,(((Z23-AC23)*AD23+AE23)/2),(Z23-AC23)*AD23+AE23)</f>
        <v>33485.184600000001</v>
      </c>
      <c r="AG23" s="555">
        <f t="shared" si="10"/>
        <v>5.4000000018277206E-3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657" t="s">
        <v>5033</v>
      </c>
      <c r="C24" s="655">
        <v>520514</v>
      </c>
      <c r="D24" s="658">
        <v>5398</v>
      </c>
      <c r="E24" s="655" t="s">
        <v>117</v>
      </c>
      <c r="F24" s="546">
        <v>2017</v>
      </c>
      <c r="G24" s="659">
        <v>42928</v>
      </c>
      <c r="H24" s="655" t="s">
        <v>747</v>
      </c>
      <c r="I24" s="655" t="s">
        <v>4847</v>
      </c>
      <c r="J24" s="712"/>
      <c r="K24" s="655" t="s">
        <v>5175</v>
      </c>
      <c r="L24" s="655" t="s">
        <v>5252</v>
      </c>
      <c r="M24" s="660">
        <v>527208.15</v>
      </c>
      <c r="N24" s="660">
        <v>41326.33</v>
      </c>
      <c r="O24" s="660">
        <v>90965.52</v>
      </c>
      <c r="P24" s="660">
        <v>659500</v>
      </c>
      <c r="Q24" s="548"/>
      <c r="R24" s="660">
        <v>466810.56</v>
      </c>
      <c r="S24" s="549">
        <f t="shared" si="0"/>
        <v>192689.44</v>
      </c>
      <c r="T24" s="113" t="s">
        <v>131</v>
      </c>
      <c r="U24" s="626" t="str">
        <f t="shared" si="5"/>
        <v>AA11461</v>
      </c>
      <c r="V24" s="627" t="str">
        <f t="shared" si="6"/>
        <v>1569-TCN17</v>
      </c>
      <c r="W24" s="626">
        <f t="shared" si="7"/>
        <v>520514</v>
      </c>
      <c r="X24" s="626" t="str">
        <f t="shared" si="8"/>
        <v>SIENNA XLE PIEL</v>
      </c>
      <c r="Y24" s="627">
        <f t="shared" si="8"/>
        <v>2017</v>
      </c>
      <c r="Z24" s="628">
        <f t="shared" si="9"/>
        <v>527208.15</v>
      </c>
      <c r="AA24" s="629">
        <f>+Z24</f>
        <v>527208.15</v>
      </c>
      <c r="AB24" s="664">
        <v>1</v>
      </c>
      <c r="AC24" s="629">
        <f t="shared" si="1"/>
        <v>443562.4</v>
      </c>
      <c r="AD24" s="630">
        <f t="shared" si="2"/>
        <v>0.17</v>
      </c>
      <c r="AE24" s="629">
        <f t="shared" si="3"/>
        <v>27106.55</v>
      </c>
      <c r="AF24" s="629">
        <f t="shared" si="4"/>
        <v>41326.327499999999</v>
      </c>
      <c r="AG24" s="555">
        <f t="shared" si="10"/>
        <v>2.5000000023283064E-3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657" t="s">
        <v>5015</v>
      </c>
      <c r="C25" s="655">
        <v>520815</v>
      </c>
      <c r="D25" s="658">
        <v>4492</v>
      </c>
      <c r="E25" s="655" t="s">
        <v>694</v>
      </c>
      <c r="F25" s="546">
        <v>2017</v>
      </c>
      <c r="G25" s="659">
        <v>42924</v>
      </c>
      <c r="H25" s="655" t="s">
        <v>747</v>
      </c>
      <c r="I25" s="655" t="s">
        <v>4836</v>
      </c>
      <c r="J25" s="712"/>
      <c r="K25" s="655" t="s">
        <v>1674</v>
      </c>
      <c r="L25" s="655" t="s">
        <v>5239</v>
      </c>
      <c r="M25" s="660">
        <v>355799.27</v>
      </c>
      <c r="N25" s="660">
        <v>13942.11</v>
      </c>
      <c r="O25" s="660">
        <v>59158.62</v>
      </c>
      <c r="P25" s="660">
        <v>428900</v>
      </c>
      <c r="Q25" s="548"/>
      <c r="R25" s="660">
        <v>311605.18</v>
      </c>
      <c r="S25" s="549">
        <f t="shared" si="0"/>
        <v>117294.82</v>
      </c>
      <c r="T25" s="113" t="s">
        <v>131</v>
      </c>
      <c r="U25" s="626" t="str">
        <f t="shared" si="5"/>
        <v>AA11444</v>
      </c>
      <c r="V25" s="627" t="str">
        <f t="shared" si="6"/>
        <v>1271-TCN17</v>
      </c>
      <c r="W25" s="626">
        <f t="shared" si="7"/>
        <v>520815</v>
      </c>
      <c r="X25" s="626" t="str">
        <f t="shared" si="8"/>
        <v>RAV4 L4 AWD XLE</v>
      </c>
      <c r="Y25" s="627">
        <f t="shared" si="8"/>
        <v>2017</v>
      </c>
      <c r="Z25" s="628">
        <f t="shared" si="9"/>
        <v>355799.27</v>
      </c>
      <c r="AA25" s="629"/>
      <c r="AB25" s="664"/>
      <c r="AC25" s="629">
        <f>VLOOKUP(Z25,TARIFA,1)</f>
        <v>344993.21</v>
      </c>
      <c r="AD25" s="630">
        <f>VLOOKUP(Z25,TARIFA,4)</f>
        <v>0.15</v>
      </c>
      <c r="AE25" s="629">
        <f>VLOOKUP(Z25,TARIFA,3)</f>
        <v>12321.2</v>
      </c>
      <c r="AF25" s="629">
        <f>IF(Z25&lt;281240.78,(((Z25-AC25)*AD25+AE25)/2),(Z25-AC25)*AD25+AE25)</f>
        <v>13942.109</v>
      </c>
      <c r="AG25" s="555">
        <f>+N25-AF25</f>
        <v>1.0000000002037268E-3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657" t="s">
        <v>5016</v>
      </c>
      <c r="C26" s="655">
        <v>520815</v>
      </c>
      <c r="D26" s="658">
        <v>4492</v>
      </c>
      <c r="E26" s="655" t="s">
        <v>694</v>
      </c>
      <c r="F26" s="546">
        <v>2017</v>
      </c>
      <c r="G26" s="659">
        <v>42936</v>
      </c>
      <c r="H26" s="655" t="s">
        <v>747</v>
      </c>
      <c r="I26" s="655" t="s">
        <v>4837</v>
      </c>
      <c r="J26" s="712"/>
      <c r="K26" s="655" t="s">
        <v>5169</v>
      </c>
      <c r="L26" s="655" t="s">
        <v>5286</v>
      </c>
      <c r="M26" s="660">
        <v>355799.27</v>
      </c>
      <c r="N26" s="660">
        <v>13942.11</v>
      </c>
      <c r="O26" s="660">
        <v>59158.62</v>
      </c>
      <c r="P26" s="660">
        <v>428900</v>
      </c>
      <c r="Q26" s="548"/>
      <c r="R26" s="660">
        <v>311959.65999999997</v>
      </c>
      <c r="S26" s="549">
        <f t="shared" si="0"/>
        <v>116940.34000000003</v>
      </c>
      <c r="T26" s="113" t="s">
        <v>131</v>
      </c>
      <c r="U26" s="626" t="str">
        <f t="shared" si="5"/>
        <v>AA11502</v>
      </c>
      <c r="V26" s="627" t="str">
        <f t="shared" si="6"/>
        <v>1622-TCN17</v>
      </c>
      <c r="W26" s="626">
        <f t="shared" si="7"/>
        <v>520815</v>
      </c>
      <c r="X26" s="626" t="str">
        <f t="shared" si="8"/>
        <v>RAV4 L4 AWD XLE</v>
      </c>
      <c r="Y26" s="627">
        <f t="shared" si="8"/>
        <v>2017</v>
      </c>
      <c r="Z26" s="628">
        <f t="shared" si="9"/>
        <v>355799.27</v>
      </c>
      <c r="AA26" s="629">
        <f>+Z26+Z25</f>
        <v>711598.54</v>
      </c>
      <c r="AB26" s="664">
        <v>2</v>
      </c>
      <c r="AC26" s="629">
        <f t="shared" ref="AC26" si="20">VLOOKUP(Z26,TARIFA,1)</f>
        <v>344993.21</v>
      </c>
      <c r="AD26" s="630">
        <f t="shared" ref="AD26" si="21">VLOOKUP(Z26,TARIFA,4)</f>
        <v>0.15</v>
      </c>
      <c r="AE26" s="629">
        <f t="shared" ref="AE26" si="22">VLOOKUP(Z26,TARIFA,3)</f>
        <v>12321.2</v>
      </c>
      <c r="AF26" s="629">
        <f t="shared" ref="AF26" si="23">IF(Z26&lt;281240.78,(((Z26-AC26)*AD26+AE26)/2),(Z26-AC26)*AD26+AE26)</f>
        <v>13942.109</v>
      </c>
      <c r="AG26" s="555">
        <f t="shared" ref="AG26:AG29" si="24">+N26-AF26</f>
        <v>1.0000000002037268E-3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657" t="s">
        <v>5019</v>
      </c>
      <c r="C27" s="655">
        <v>520818</v>
      </c>
      <c r="D27" s="658">
        <v>4495</v>
      </c>
      <c r="E27" s="655" t="s">
        <v>1519</v>
      </c>
      <c r="F27" s="546">
        <v>2017</v>
      </c>
      <c r="G27" s="659">
        <v>42937</v>
      </c>
      <c r="H27" s="655" t="s">
        <v>747</v>
      </c>
      <c r="I27" s="655" t="s">
        <v>4840</v>
      </c>
      <c r="J27" s="712"/>
      <c r="K27" s="655" t="s">
        <v>5170</v>
      </c>
      <c r="L27" s="655" t="s">
        <v>5294</v>
      </c>
      <c r="M27" s="660">
        <v>418767.78</v>
      </c>
      <c r="N27" s="660">
        <v>23387.39</v>
      </c>
      <c r="O27" s="660">
        <v>70744.83</v>
      </c>
      <c r="P27" s="660">
        <v>512900</v>
      </c>
      <c r="Q27" s="548"/>
      <c r="R27" s="660">
        <v>366387.78</v>
      </c>
      <c r="S27" s="549">
        <f t="shared" si="0"/>
        <v>146512.21999999997</v>
      </c>
      <c r="T27" s="113" t="s">
        <v>131</v>
      </c>
      <c r="U27" s="626" t="str">
        <f t="shared" si="5"/>
        <v>AA11511</v>
      </c>
      <c r="V27" s="627" t="str">
        <f t="shared" si="6"/>
        <v>1625-TCN17</v>
      </c>
      <c r="W27" s="626">
        <f t="shared" si="7"/>
        <v>520818</v>
      </c>
      <c r="X27" s="626" t="str">
        <f t="shared" si="8"/>
        <v>RAV4 SE 4WD 2.5L</v>
      </c>
      <c r="Y27" s="627">
        <f t="shared" si="8"/>
        <v>2017</v>
      </c>
      <c r="Z27" s="628">
        <f t="shared" si="9"/>
        <v>418767.78</v>
      </c>
      <c r="AA27" s="629"/>
      <c r="AB27" s="664"/>
      <c r="AC27" s="629">
        <f t="shared" ref="AC27:AC28" si="25">VLOOKUP(Z27,TARIFA,1)</f>
        <v>344993.21</v>
      </c>
      <c r="AD27" s="630">
        <f t="shared" ref="AD27:AD28" si="26">VLOOKUP(Z27,TARIFA,4)</f>
        <v>0.15</v>
      </c>
      <c r="AE27" s="629">
        <f t="shared" ref="AE27:AE28" si="27">VLOOKUP(Z27,TARIFA,3)</f>
        <v>12321.2</v>
      </c>
      <c r="AF27" s="629">
        <f t="shared" ref="AF27:AF28" si="28">IF(Z27&lt;281240.78,(((Z27-AC27)*AD27+AE27)/2),(Z27-AC27)*AD27+AE27)</f>
        <v>23387.385500000004</v>
      </c>
      <c r="AG27" s="555">
        <f t="shared" si="24"/>
        <v>4.4999999954598024E-3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657" t="s">
        <v>5021</v>
      </c>
      <c r="C28" s="655">
        <v>520818</v>
      </c>
      <c r="D28" s="658">
        <v>4495</v>
      </c>
      <c r="E28" s="655" t="s">
        <v>1519</v>
      </c>
      <c r="F28" s="546">
        <v>2017</v>
      </c>
      <c r="G28" s="659">
        <v>42943</v>
      </c>
      <c r="H28" s="655" t="s">
        <v>792</v>
      </c>
      <c r="I28" s="655" t="s">
        <v>4841</v>
      </c>
      <c r="J28" s="712"/>
      <c r="K28" s="655" t="s">
        <v>5171</v>
      </c>
      <c r="L28" s="655" t="s">
        <v>5324</v>
      </c>
      <c r="M28" s="660">
        <v>407523.41</v>
      </c>
      <c r="N28" s="660">
        <v>21700.73</v>
      </c>
      <c r="O28" s="660">
        <v>68675.86</v>
      </c>
      <c r="P28" s="660">
        <v>497900</v>
      </c>
      <c r="Q28" s="548"/>
      <c r="R28" s="660">
        <v>348922.18</v>
      </c>
      <c r="S28" s="549">
        <f t="shared" si="0"/>
        <v>148977.82</v>
      </c>
      <c r="T28" s="267" t="s">
        <v>131</v>
      </c>
      <c r="U28" s="626" t="str">
        <f t="shared" si="5"/>
        <v>AA11552</v>
      </c>
      <c r="V28" s="627" t="str">
        <f t="shared" si="6"/>
        <v>1403-TCN17</v>
      </c>
      <c r="W28" s="626">
        <f t="shared" si="7"/>
        <v>520818</v>
      </c>
      <c r="X28" s="626" t="str">
        <f t="shared" si="8"/>
        <v>RAV4 SE 4WD 2.5L</v>
      </c>
      <c r="Y28" s="627">
        <f t="shared" si="8"/>
        <v>2017</v>
      </c>
      <c r="Z28" s="628">
        <f t="shared" si="9"/>
        <v>407523.41</v>
      </c>
      <c r="AA28" s="629"/>
      <c r="AB28" s="664"/>
      <c r="AC28" s="629">
        <f t="shared" si="25"/>
        <v>344993.21</v>
      </c>
      <c r="AD28" s="630">
        <f t="shared" si="26"/>
        <v>0.15</v>
      </c>
      <c r="AE28" s="629">
        <f t="shared" si="27"/>
        <v>12321.2</v>
      </c>
      <c r="AF28" s="629">
        <f t="shared" si="28"/>
        <v>21700.729999999996</v>
      </c>
      <c r="AG28" s="555">
        <f t="shared" si="24"/>
        <v>0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657" t="s">
        <v>5020</v>
      </c>
      <c r="C29" s="655">
        <v>520818</v>
      </c>
      <c r="D29" s="658">
        <v>4495</v>
      </c>
      <c r="E29" s="655" t="s">
        <v>1519</v>
      </c>
      <c r="F29" s="546">
        <v>2017</v>
      </c>
      <c r="G29" s="659">
        <v>42940</v>
      </c>
      <c r="H29" s="655" t="s">
        <v>2213</v>
      </c>
      <c r="I29" s="655" t="s">
        <v>4174</v>
      </c>
      <c r="J29" s="712"/>
      <c r="K29" s="655" t="s">
        <v>4175</v>
      </c>
      <c r="L29" s="655" t="s">
        <v>5346</v>
      </c>
      <c r="M29" s="660">
        <v>-418767.78</v>
      </c>
      <c r="N29" s="660">
        <v>-23387.39</v>
      </c>
      <c r="O29" s="660">
        <v>-70744.83</v>
      </c>
      <c r="P29" s="660">
        <v>-512900</v>
      </c>
      <c r="Q29" s="548"/>
      <c r="R29" s="660">
        <v>-356939.06</v>
      </c>
      <c r="S29" s="549">
        <f t="shared" si="0"/>
        <v>-155960.94</v>
      </c>
      <c r="T29" s="113" t="s">
        <v>1266</v>
      </c>
      <c r="U29" s="626" t="str">
        <f t="shared" si="5"/>
        <v>ZA04200</v>
      </c>
      <c r="V29" s="627" t="str">
        <f t="shared" si="6"/>
        <v>1490-TCN17</v>
      </c>
      <c r="W29" s="626">
        <f t="shared" si="7"/>
        <v>520818</v>
      </c>
      <c r="X29" s="626" t="str">
        <f t="shared" si="8"/>
        <v>RAV4 SE 4WD 2.5L</v>
      </c>
      <c r="Y29" s="627">
        <f t="shared" si="8"/>
        <v>2017</v>
      </c>
      <c r="Z29" s="628">
        <f t="shared" si="9"/>
        <v>-418767.78</v>
      </c>
      <c r="AA29" s="629">
        <f>+Z29+Z28+Z27</f>
        <v>407523.41</v>
      </c>
      <c r="AB29" s="664">
        <v>1</v>
      </c>
      <c r="AC29" s="629"/>
      <c r="AD29" s="630"/>
      <c r="AE29" s="629"/>
      <c r="AF29" s="629">
        <f>+N29</f>
        <v>-23387.39</v>
      </c>
      <c r="AG29" s="555">
        <f t="shared" si="24"/>
        <v>0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657" t="s">
        <v>5022</v>
      </c>
      <c r="C30" s="655">
        <v>520819</v>
      </c>
      <c r="D30" s="658">
        <v>4498</v>
      </c>
      <c r="E30" s="655" t="s">
        <v>696</v>
      </c>
      <c r="F30" s="546">
        <v>2017</v>
      </c>
      <c r="G30" s="659">
        <v>42919</v>
      </c>
      <c r="H30" s="655" t="s">
        <v>778</v>
      </c>
      <c r="I30" s="655" t="s">
        <v>4842</v>
      </c>
      <c r="J30" s="712"/>
      <c r="K30" s="655" t="s">
        <v>5172</v>
      </c>
      <c r="L30" s="655" t="s">
        <v>5214</v>
      </c>
      <c r="M30" s="660">
        <v>370491.92</v>
      </c>
      <c r="N30" s="660">
        <v>16146.01</v>
      </c>
      <c r="O30" s="660">
        <v>61862.07</v>
      </c>
      <c r="P30" s="660">
        <v>448500</v>
      </c>
      <c r="Q30" s="548"/>
      <c r="R30" s="660">
        <v>327257.34999999998</v>
      </c>
      <c r="S30" s="549">
        <f t="shared" si="0"/>
        <v>121242.65000000002</v>
      </c>
      <c r="T30" s="113" t="s">
        <v>131</v>
      </c>
      <c r="U30" s="626" t="str">
        <f t="shared" si="5"/>
        <v>AA11409</v>
      </c>
      <c r="V30" s="627" t="str">
        <f t="shared" si="6"/>
        <v>1091-TCN17</v>
      </c>
      <c r="W30" s="626">
        <f t="shared" si="7"/>
        <v>520819</v>
      </c>
      <c r="X30" s="626" t="str">
        <f t="shared" si="8"/>
        <v>RAV4 XLE PLUS</v>
      </c>
      <c r="Y30" s="627">
        <f t="shared" si="8"/>
        <v>2017</v>
      </c>
      <c r="Z30" s="628">
        <f t="shared" si="9"/>
        <v>370491.92</v>
      </c>
      <c r="AA30" s="629">
        <f>+Z30</f>
        <v>370491.92</v>
      </c>
      <c r="AB30" s="664">
        <v>1</v>
      </c>
      <c r="AC30" s="629">
        <f t="shared" ref="AC30:AC34" si="29">VLOOKUP(Z30,TARIFA,1)</f>
        <v>344993.21</v>
      </c>
      <c r="AD30" s="630">
        <f t="shared" ref="AD30:AD34" si="30">VLOOKUP(Z30,TARIFA,4)</f>
        <v>0.15</v>
      </c>
      <c r="AE30" s="629">
        <f t="shared" ref="AE30:AE34" si="31">VLOOKUP(Z30,TARIFA,3)</f>
        <v>12321.2</v>
      </c>
      <c r="AF30" s="629">
        <f t="shared" ref="AF30" si="32">IF(Z30&lt;281240.78,(((Z30-AC30)*AD30+AE30)/2),(Z30-AC30)*AD30+AE30)</f>
        <v>16146.006499999996</v>
      </c>
      <c r="AG30" s="555">
        <f t="shared" si="10"/>
        <v>3.5000000043510227E-3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657" t="s">
        <v>4987</v>
      </c>
      <c r="C31" s="655">
        <v>520908</v>
      </c>
      <c r="D31" s="658">
        <v>2008</v>
      </c>
      <c r="E31" s="655" t="s">
        <v>697</v>
      </c>
      <c r="F31" s="546">
        <v>2017</v>
      </c>
      <c r="G31" s="659">
        <v>42938</v>
      </c>
      <c r="H31" s="655" t="s">
        <v>2215</v>
      </c>
      <c r="I31" s="655" t="s">
        <v>4820</v>
      </c>
      <c r="J31" s="712"/>
      <c r="K31" s="655" t="s">
        <v>5161</v>
      </c>
      <c r="L31" s="655" t="s">
        <v>5299</v>
      </c>
      <c r="M31" s="660">
        <v>208534.48</v>
      </c>
      <c r="N31" s="660">
        <v>0</v>
      </c>
      <c r="O31" s="660">
        <v>33365.519999999997</v>
      </c>
      <c r="P31" s="660">
        <v>241900</v>
      </c>
      <c r="Q31" s="548"/>
      <c r="R31" s="660">
        <v>188753.05</v>
      </c>
      <c r="S31" s="549">
        <f t="shared" si="0"/>
        <v>53146.950000000012</v>
      </c>
      <c r="T31" s="113" t="s">
        <v>131</v>
      </c>
      <c r="U31" s="626" t="str">
        <f t="shared" si="5"/>
        <v>AA11518</v>
      </c>
      <c r="V31" s="627" t="str">
        <f t="shared" si="6"/>
        <v>1613-TCN17</v>
      </c>
      <c r="W31" s="626">
        <f t="shared" si="7"/>
        <v>520908</v>
      </c>
      <c r="X31" s="626" t="str">
        <f t="shared" si="8"/>
        <v>YARIS HB S MT</v>
      </c>
      <c r="Y31" s="627">
        <f t="shared" si="8"/>
        <v>2017</v>
      </c>
      <c r="Z31" s="628">
        <f t="shared" si="9"/>
        <v>208534.48</v>
      </c>
      <c r="AA31" s="629"/>
      <c r="AB31" s="664"/>
      <c r="AC31" s="629">
        <f t="shared" si="29"/>
        <v>0.01</v>
      </c>
      <c r="AD31" s="630">
        <f t="shared" si="30"/>
        <v>0.02</v>
      </c>
      <c r="AE31" s="629">
        <f t="shared" si="31"/>
        <v>0</v>
      </c>
      <c r="AF31" s="629">
        <v>0</v>
      </c>
      <c r="AG31" s="555">
        <f>+N31-AF31</f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657" t="s">
        <v>4988</v>
      </c>
      <c r="C32" s="655">
        <v>520908</v>
      </c>
      <c r="D32" s="658">
        <v>2008</v>
      </c>
      <c r="E32" s="655" t="s">
        <v>697</v>
      </c>
      <c r="F32" s="546">
        <v>2017</v>
      </c>
      <c r="G32" s="659">
        <v>42945</v>
      </c>
      <c r="H32" s="655" t="s">
        <v>774</v>
      </c>
      <c r="I32" s="655" t="s">
        <v>4821</v>
      </c>
      <c r="J32" s="712"/>
      <c r="K32" s="655" t="s">
        <v>5162</v>
      </c>
      <c r="L32" s="655" t="s">
        <v>5330</v>
      </c>
      <c r="M32" s="660">
        <v>208534.48</v>
      </c>
      <c r="N32" s="660">
        <v>0</v>
      </c>
      <c r="O32" s="660">
        <v>33365.519999999997</v>
      </c>
      <c r="P32" s="660">
        <v>241900</v>
      </c>
      <c r="Q32" s="548"/>
      <c r="R32" s="660">
        <v>188753.05</v>
      </c>
      <c r="S32" s="549">
        <f t="shared" si="0"/>
        <v>53146.950000000012</v>
      </c>
      <c r="T32" s="113" t="s">
        <v>131</v>
      </c>
      <c r="U32" s="626" t="str">
        <f t="shared" si="5"/>
        <v>AA11559</v>
      </c>
      <c r="V32" s="627" t="str">
        <f t="shared" si="6"/>
        <v>1614-TCN17</v>
      </c>
      <c r="W32" s="626">
        <f t="shared" si="7"/>
        <v>520908</v>
      </c>
      <c r="X32" s="626" t="str">
        <f t="shared" si="8"/>
        <v>YARIS HB S MT</v>
      </c>
      <c r="Y32" s="627">
        <f t="shared" si="8"/>
        <v>2017</v>
      </c>
      <c r="Z32" s="628">
        <f t="shared" si="9"/>
        <v>208534.48</v>
      </c>
      <c r="AA32" s="629">
        <f>+Z32+Z31</f>
        <v>417068.96</v>
      </c>
      <c r="AB32" s="665">
        <v>2</v>
      </c>
      <c r="AC32" s="629">
        <f t="shared" si="29"/>
        <v>0.01</v>
      </c>
      <c r="AD32" s="630">
        <f t="shared" si="30"/>
        <v>0.02</v>
      </c>
      <c r="AE32" s="629">
        <f t="shared" si="31"/>
        <v>0</v>
      </c>
      <c r="AF32" s="629"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657" t="s">
        <v>4920</v>
      </c>
      <c r="C33" s="655">
        <v>521101</v>
      </c>
      <c r="D33" s="658">
        <v>1253</v>
      </c>
      <c r="E33" s="655" t="s">
        <v>30</v>
      </c>
      <c r="F33" s="546">
        <v>2017</v>
      </c>
      <c r="G33" s="659">
        <v>42936</v>
      </c>
      <c r="H33" s="655" t="s">
        <v>810</v>
      </c>
      <c r="I33" s="655" t="s">
        <v>4784</v>
      </c>
      <c r="J33" s="712"/>
      <c r="K33" s="655" t="s">
        <v>5136</v>
      </c>
      <c r="L33" s="655" t="s">
        <v>5291</v>
      </c>
      <c r="M33" s="660">
        <v>388793.1</v>
      </c>
      <c r="N33" s="660">
        <v>0</v>
      </c>
      <c r="O33" s="660">
        <v>62206.9</v>
      </c>
      <c r="P33" s="660">
        <v>451000</v>
      </c>
      <c r="Q33" s="548"/>
      <c r="R33" s="660">
        <v>345188.84</v>
      </c>
      <c r="S33" s="549">
        <f t="shared" si="0"/>
        <v>105811.15999999997</v>
      </c>
      <c r="T33" s="113" t="s">
        <v>131</v>
      </c>
      <c r="U33" s="626" t="str">
        <f t="shared" si="5"/>
        <v>AA11508</v>
      </c>
      <c r="V33" s="627" t="str">
        <f t="shared" si="6"/>
        <v>1623-TCN17</v>
      </c>
      <c r="W33" s="626">
        <f t="shared" si="7"/>
        <v>521101</v>
      </c>
      <c r="X33" s="626" t="str">
        <f t="shared" si="8"/>
        <v>PRIUS</v>
      </c>
      <c r="Y33" s="627">
        <f t="shared" si="8"/>
        <v>2017</v>
      </c>
      <c r="Z33" s="628">
        <f t="shared" si="9"/>
        <v>388793.1</v>
      </c>
      <c r="AA33" s="629"/>
      <c r="AB33" s="664"/>
      <c r="AC33" s="629">
        <f t="shared" si="29"/>
        <v>344993.21</v>
      </c>
      <c r="AD33" s="630">
        <f t="shared" si="30"/>
        <v>0.15</v>
      </c>
      <c r="AE33" s="629">
        <f t="shared" si="31"/>
        <v>12321.2</v>
      </c>
      <c r="AF33" s="629"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657" t="s">
        <v>4923</v>
      </c>
      <c r="C34" s="655">
        <v>521101</v>
      </c>
      <c r="D34" s="658">
        <v>1253</v>
      </c>
      <c r="E34" s="655" t="s">
        <v>30</v>
      </c>
      <c r="F34" s="546">
        <v>2017</v>
      </c>
      <c r="G34" s="659">
        <v>42937</v>
      </c>
      <c r="H34" s="655" t="s">
        <v>774</v>
      </c>
      <c r="I34" s="655" t="s">
        <v>4783</v>
      </c>
      <c r="J34" s="712"/>
      <c r="K34" s="655" t="s">
        <v>3119</v>
      </c>
      <c r="L34" s="655" t="s">
        <v>5289</v>
      </c>
      <c r="M34" s="660">
        <v>388793.1</v>
      </c>
      <c r="N34" s="660">
        <v>0</v>
      </c>
      <c r="O34" s="660">
        <v>62206.9</v>
      </c>
      <c r="P34" s="660">
        <v>451000</v>
      </c>
      <c r="Q34" s="548"/>
      <c r="R34" s="660">
        <v>344834.35</v>
      </c>
      <c r="S34" s="549">
        <f t="shared" si="0"/>
        <v>106165.65000000002</v>
      </c>
      <c r="T34" s="113" t="s">
        <v>131</v>
      </c>
      <c r="U34" s="626" t="str">
        <f t="shared" si="5"/>
        <v>AA11513</v>
      </c>
      <c r="V34" s="627" t="str">
        <f t="shared" si="6"/>
        <v>1548-TCN17</v>
      </c>
      <c r="W34" s="626">
        <f t="shared" si="7"/>
        <v>521101</v>
      </c>
      <c r="X34" s="626" t="str">
        <f t="shared" si="8"/>
        <v>PRIUS</v>
      </c>
      <c r="Y34" s="627">
        <f t="shared" si="8"/>
        <v>2017</v>
      </c>
      <c r="Z34" s="628">
        <f t="shared" si="9"/>
        <v>388793.1</v>
      </c>
      <c r="AA34" s="629">
        <f>+Z34+Z33</f>
        <v>777586.2</v>
      </c>
      <c r="AB34" s="679">
        <v>2</v>
      </c>
      <c r="AC34" s="629">
        <f t="shared" si="29"/>
        <v>344993.21</v>
      </c>
      <c r="AD34" s="630">
        <f t="shared" si="30"/>
        <v>0.15</v>
      </c>
      <c r="AE34" s="629">
        <f t="shared" si="31"/>
        <v>12321.2</v>
      </c>
      <c r="AF34" s="629"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657" t="s">
        <v>5039</v>
      </c>
      <c r="C35" s="655">
        <v>521502</v>
      </c>
      <c r="D35" s="658">
        <v>5611</v>
      </c>
      <c r="E35" s="655" t="s">
        <v>225</v>
      </c>
      <c r="F35" s="546">
        <v>2018</v>
      </c>
      <c r="G35" s="659">
        <v>42921</v>
      </c>
      <c r="H35" s="655" t="s">
        <v>727</v>
      </c>
      <c r="I35" s="655" t="s">
        <v>4851</v>
      </c>
      <c r="J35" s="712"/>
      <c r="K35" s="655" t="s">
        <v>5177</v>
      </c>
      <c r="L35" s="655" t="s">
        <v>5215</v>
      </c>
      <c r="M35" s="660">
        <v>390506.91</v>
      </c>
      <c r="N35" s="660">
        <v>19148.259999999998</v>
      </c>
      <c r="O35" s="660">
        <v>65544.83</v>
      </c>
      <c r="P35" s="660">
        <v>475200</v>
      </c>
      <c r="Q35" s="548"/>
      <c r="R35" s="660">
        <v>345842.5</v>
      </c>
      <c r="S35" s="549">
        <f t="shared" si="0"/>
        <v>129357.5</v>
      </c>
      <c r="T35" s="113" t="s">
        <v>131</v>
      </c>
      <c r="U35" s="626" t="str">
        <f t="shared" si="5"/>
        <v>AA11414</v>
      </c>
      <c r="V35" s="627" t="str">
        <f t="shared" si="6"/>
        <v>0019-TCN18</v>
      </c>
      <c r="W35" s="626">
        <f t="shared" si="7"/>
        <v>521502</v>
      </c>
      <c r="X35" s="626" t="str">
        <f t="shared" si="8"/>
        <v>HIACE PANEL 15 PASAJ AC</v>
      </c>
      <c r="Y35" s="627">
        <f t="shared" si="8"/>
        <v>2018</v>
      </c>
      <c r="Z35" s="628">
        <f t="shared" si="9"/>
        <v>390506.91</v>
      </c>
      <c r="AA35" s="629"/>
      <c r="AB35" s="664"/>
      <c r="AC35" s="629">
        <f t="shared" si="1"/>
        <v>344993.21</v>
      </c>
      <c r="AD35" s="630">
        <f t="shared" si="2"/>
        <v>0.15</v>
      </c>
      <c r="AE35" s="629">
        <f t="shared" si="3"/>
        <v>12321.2</v>
      </c>
      <c r="AF35" s="629">
        <f t="shared" ref="AF35:AF36" si="33">IF(Z35&lt;281240.78,(((Z35-AC35)*AD35+AE35)/2),(Z35-AC35)*AD35+AE35)</f>
        <v>19148.254999999994</v>
      </c>
      <c r="AG35" s="555">
        <f t="shared" si="10"/>
        <v>5.0000000046566129E-3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657" t="s">
        <v>5038</v>
      </c>
      <c r="C36" s="655">
        <v>521502</v>
      </c>
      <c r="D36" s="658">
        <v>5611</v>
      </c>
      <c r="E36" s="655" t="s">
        <v>225</v>
      </c>
      <c r="F36" s="546">
        <v>2018</v>
      </c>
      <c r="G36" s="659">
        <v>42921</v>
      </c>
      <c r="H36" s="655" t="s">
        <v>747</v>
      </c>
      <c r="I36" s="655" t="s">
        <v>4850</v>
      </c>
      <c r="J36" s="712"/>
      <c r="K36" s="655" t="s">
        <v>2460</v>
      </c>
      <c r="L36" s="655" t="s">
        <v>5216</v>
      </c>
      <c r="M36" s="660">
        <v>390506.91</v>
      </c>
      <c r="N36" s="660">
        <v>19148.259999999998</v>
      </c>
      <c r="O36" s="660">
        <v>65544.83</v>
      </c>
      <c r="P36" s="660">
        <v>475200</v>
      </c>
      <c r="Q36" s="548"/>
      <c r="R36" s="660">
        <v>345842.5</v>
      </c>
      <c r="S36" s="549">
        <f t="shared" si="0"/>
        <v>129357.5</v>
      </c>
      <c r="T36" s="113" t="s">
        <v>131</v>
      </c>
      <c r="U36" s="626" t="str">
        <f t="shared" si="5"/>
        <v>AA11415</v>
      </c>
      <c r="V36" s="627" t="str">
        <f t="shared" si="6"/>
        <v>0018-TCN18</v>
      </c>
      <c r="W36" s="626">
        <f t="shared" si="7"/>
        <v>521502</v>
      </c>
      <c r="X36" s="626" t="str">
        <f t="shared" si="8"/>
        <v>HIACE PANEL 15 PASAJ AC</v>
      </c>
      <c r="Y36" s="627">
        <f t="shared" si="8"/>
        <v>2018</v>
      </c>
      <c r="Z36" s="628">
        <f t="shared" si="9"/>
        <v>390506.91</v>
      </c>
      <c r="AA36" s="629"/>
      <c r="AB36" s="664"/>
      <c r="AC36" s="629">
        <f t="shared" si="1"/>
        <v>344993.21</v>
      </c>
      <c r="AD36" s="630">
        <f t="shared" si="2"/>
        <v>0.15</v>
      </c>
      <c r="AE36" s="629">
        <f t="shared" si="3"/>
        <v>12321.2</v>
      </c>
      <c r="AF36" s="629">
        <f t="shared" si="33"/>
        <v>19148.254999999994</v>
      </c>
      <c r="AG36" s="555">
        <f t="shared" si="10"/>
        <v>5.0000000046566129E-3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657" t="s">
        <v>5042</v>
      </c>
      <c r="C37" s="655">
        <v>521502</v>
      </c>
      <c r="D37" s="658">
        <v>5611</v>
      </c>
      <c r="E37" s="655" t="s">
        <v>225</v>
      </c>
      <c r="F37" s="546">
        <v>2018</v>
      </c>
      <c r="G37" s="659">
        <v>42936</v>
      </c>
      <c r="H37" s="655" t="s">
        <v>908</v>
      </c>
      <c r="I37" s="655" t="s">
        <v>4852</v>
      </c>
      <c r="J37" s="712"/>
      <c r="K37" s="655" t="s">
        <v>5178</v>
      </c>
      <c r="L37" s="655" t="s">
        <v>5285</v>
      </c>
      <c r="M37" s="660">
        <v>390506.91</v>
      </c>
      <c r="N37" s="660">
        <v>19148.259999999998</v>
      </c>
      <c r="O37" s="660">
        <v>65544.83</v>
      </c>
      <c r="P37" s="660">
        <v>475200</v>
      </c>
      <c r="Q37" s="548"/>
      <c r="R37" s="660">
        <v>345842.5</v>
      </c>
      <c r="S37" s="549">
        <f t="shared" si="0"/>
        <v>129357.5</v>
      </c>
      <c r="T37" s="113" t="s">
        <v>131</v>
      </c>
      <c r="U37" s="626" t="str">
        <f t="shared" si="5"/>
        <v>AA11499</v>
      </c>
      <c r="V37" s="627" t="str">
        <f t="shared" si="6"/>
        <v>0026-TCN18</v>
      </c>
      <c r="W37" s="626">
        <f t="shared" si="7"/>
        <v>521502</v>
      </c>
      <c r="X37" s="626" t="str">
        <f t="shared" si="8"/>
        <v>HIACE PANEL 15 PASAJ AC</v>
      </c>
      <c r="Y37" s="627">
        <f t="shared" si="8"/>
        <v>2018</v>
      </c>
      <c r="Z37" s="628">
        <f t="shared" si="9"/>
        <v>390506.91</v>
      </c>
      <c r="AA37" s="629">
        <f>+Z37+Z36+Z35</f>
        <v>1171520.73</v>
      </c>
      <c r="AB37" s="664">
        <v>3</v>
      </c>
      <c r="AC37" s="629">
        <f t="shared" ref="AC37" si="34">VLOOKUP(Z37,TARIFA,1)</f>
        <v>344993.21</v>
      </c>
      <c r="AD37" s="630">
        <f t="shared" ref="AD37" si="35">VLOOKUP(Z37,TARIFA,4)</f>
        <v>0.15</v>
      </c>
      <c r="AE37" s="629">
        <f t="shared" ref="AE37" si="36">VLOOKUP(Z37,TARIFA,3)</f>
        <v>12321.2</v>
      </c>
      <c r="AF37" s="629">
        <f t="shared" ref="AF37" si="37">IF(Z37&lt;281240.78,(((Z37-AC37)*AD37+AE37)/2),(Z37-AC37)*AD37+AE37)</f>
        <v>19148.254999999994</v>
      </c>
      <c r="AG37" s="555">
        <f t="shared" si="10"/>
        <v>5.0000000046566129E-3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657" t="s">
        <v>4962</v>
      </c>
      <c r="C38" s="655">
        <v>521702</v>
      </c>
      <c r="D38" s="658">
        <v>2005</v>
      </c>
      <c r="E38" s="655" t="s">
        <v>701</v>
      </c>
      <c r="F38" s="546">
        <v>2017</v>
      </c>
      <c r="G38" s="659">
        <v>42921</v>
      </c>
      <c r="H38" s="655" t="s">
        <v>722</v>
      </c>
      <c r="I38" s="655" t="s">
        <v>4807</v>
      </c>
      <c r="J38" s="712"/>
      <c r="K38" s="655" t="s">
        <v>5147</v>
      </c>
      <c r="L38" s="655" t="s">
        <v>5218</v>
      </c>
      <c r="M38" s="660">
        <v>183620.69</v>
      </c>
      <c r="N38" s="660">
        <v>0</v>
      </c>
      <c r="O38" s="660">
        <v>29379.31</v>
      </c>
      <c r="P38" s="660">
        <v>213000</v>
      </c>
      <c r="Q38" s="548"/>
      <c r="R38" s="660">
        <v>166508.04</v>
      </c>
      <c r="S38" s="549">
        <f t="shared" si="0"/>
        <v>46491.959999999992</v>
      </c>
      <c r="T38" s="267" t="s">
        <v>131</v>
      </c>
      <c r="U38" s="626" t="str">
        <f t="shared" si="5"/>
        <v>AA11417</v>
      </c>
      <c r="V38" s="627" t="str">
        <f t="shared" si="6"/>
        <v>1540-TCN17</v>
      </c>
      <c r="W38" s="626">
        <f t="shared" si="7"/>
        <v>521702</v>
      </c>
      <c r="X38" s="626" t="str">
        <f t="shared" si="8"/>
        <v>YARIS CORE MT, SEDAN</v>
      </c>
      <c r="Y38" s="627">
        <f t="shared" si="8"/>
        <v>2017</v>
      </c>
      <c r="Z38" s="628">
        <f t="shared" si="9"/>
        <v>183620.69</v>
      </c>
      <c r="AA38" s="629"/>
      <c r="AB38" s="664"/>
      <c r="AC38" s="629">
        <f t="shared" si="1"/>
        <v>0.01</v>
      </c>
      <c r="AD38" s="630">
        <f t="shared" si="2"/>
        <v>0.02</v>
      </c>
      <c r="AE38" s="629">
        <f t="shared" si="3"/>
        <v>0</v>
      </c>
      <c r="AF38" s="629"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657" t="s">
        <v>4961</v>
      </c>
      <c r="C39" s="655">
        <v>521702</v>
      </c>
      <c r="D39" s="658">
        <v>2005</v>
      </c>
      <c r="E39" s="655" t="s">
        <v>701</v>
      </c>
      <c r="F39" s="546">
        <v>2017</v>
      </c>
      <c r="G39" s="659">
        <v>42921</v>
      </c>
      <c r="H39" s="655" t="s">
        <v>817</v>
      </c>
      <c r="I39" s="655" t="s">
        <v>4806</v>
      </c>
      <c r="J39" s="712"/>
      <c r="K39" s="655" t="s">
        <v>897</v>
      </c>
      <c r="L39" s="655" t="s">
        <v>5220</v>
      </c>
      <c r="M39" s="660">
        <v>183620.69</v>
      </c>
      <c r="N39" s="660">
        <v>0</v>
      </c>
      <c r="O39" s="660">
        <v>29379.31</v>
      </c>
      <c r="P39" s="660">
        <v>213000</v>
      </c>
      <c r="Q39" s="548"/>
      <c r="R39" s="660">
        <v>166508.04</v>
      </c>
      <c r="S39" s="549">
        <f t="shared" si="0"/>
        <v>46491.959999999992</v>
      </c>
      <c r="T39" s="267" t="s">
        <v>131</v>
      </c>
      <c r="U39" s="626" t="str">
        <f t="shared" si="5"/>
        <v>AA11420</v>
      </c>
      <c r="V39" s="627" t="str">
        <f t="shared" si="6"/>
        <v>1539-TCN17</v>
      </c>
      <c r="W39" s="626">
        <f t="shared" si="7"/>
        <v>521702</v>
      </c>
      <c r="X39" s="626" t="str">
        <f t="shared" si="8"/>
        <v>YARIS CORE MT, SEDAN</v>
      </c>
      <c r="Y39" s="627">
        <f t="shared" si="8"/>
        <v>2017</v>
      </c>
      <c r="Z39" s="628">
        <f t="shared" si="9"/>
        <v>183620.69</v>
      </c>
      <c r="AA39" s="629"/>
      <c r="AB39" s="664"/>
      <c r="AC39" s="629">
        <f t="shared" si="1"/>
        <v>0.01</v>
      </c>
      <c r="AD39" s="630">
        <f t="shared" si="2"/>
        <v>0.02</v>
      </c>
      <c r="AE39" s="629">
        <f t="shared" si="3"/>
        <v>0</v>
      </c>
      <c r="AF39" s="629"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657" t="s">
        <v>4965</v>
      </c>
      <c r="C40" s="655">
        <v>521702</v>
      </c>
      <c r="D40" s="658">
        <v>2005</v>
      </c>
      <c r="E40" s="655" t="s">
        <v>701</v>
      </c>
      <c r="F40" s="546">
        <v>2017</v>
      </c>
      <c r="G40" s="659">
        <v>42930</v>
      </c>
      <c r="H40" s="655" t="s">
        <v>810</v>
      </c>
      <c r="I40" s="655" t="s">
        <v>4808</v>
      </c>
      <c r="J40" s="712"/>
      <c r="K40" s="655" t="s">
        <v>5148</v>
      </c>
      <c r="L40" s="655" t="s">
        <v>5259</v>
      </c>
      <c r="M40" s="660">
        <v>183620.69</v>
      </c>
      <c r="N40" s="660">
        <v>0</v>
      </c>
      <c r="O40" s="660">
        <v>29379.31</v>
      </c>
      <c r="P40" s="660">
        <v>213000</v>
      </c>
      <c r="Q40" s="548"/>
      <c r="R40" s="660">
        <v>166508.03</v>
      </c>
      <c r="S40" s="549">
        <f t="shared" si="0"/>
        <v>46491.97</v>
      </c>
      <c r="T40" s="113" t="s">
        <v>131</v>
      </c>
      <c r="U40" s="626" t="str">
        <f t="shared" si="5"/>
        <v>AA11470</v>
      </c>
      <c r="V40" s="627" t="str">
        <f t="shared" si="6"/>
        <v>1578-TCN17</v>
      </c>
      <c r="W40" s="626">
        <f t="shared" si="7"/>
        <v>521702</v>
      </c>
      <c r="X40" s="626" t="str">
        <f t="shared" si="8"/>
        <v>YARIS CORE MT, SEDAN</v>
      </c>
      <c r="Y40" s="627">
        <f t="shared" si="8"/>
        <v>2017</v>
      </c>
      <c r="Z40" s="628">
        <f t="shared" si="9"/>
        <v>183620.69</v>
      </c>
      <c r="AA40" s="629"/>
      <c r="AB40" s="664"/>
      <c r="AC40" s="629">
        <f t="shared" si="1"/>
        <v>0.01</v>
      </c>
      <c r="AD40" s="630">
        <f t="shared" si="2"/>
        <v>0.02</v>
      </c>
      <c r="AE40" s="629">
        <f t="shared" si="3"/>
        <v>0</v>
      </c>
      <c r="AF40" s="629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657" t="s">
        <v>4967</v>
      </c>
      <c r="C41" s="655">
        <v>521702</v>
      </c>
      <c r="D41" s="658">
        <v>2005</v>
      </c>
      <c r="E41" s="655" t="s">
        <v>701</v>
      </c>
      <c r="F41" s="546">
        <v>2017</v>
      </c>
      <c r="G41" s="659">
        <v>42931</v>
      </c>
      <c r="H41" s="655" t="s">
        <v>2216</v>
      </c>
      <c r="I41" s="655" t="s">
        <v>4810</v>
      </c>
      <c r="J41" s="712"/>
      <c r="K41" s="655" t="s">
        <v>5150</v>
      </c>
      <c r="L41" s="655" t="s">
        <v>5264</v>
      </c>
      <c r="M41" s="660">
        <v>183620.69</v>
      </c>
      <c r="N41" s="660">
        <v>0</v>
      </c>
      <c r="O41" s="660">
        <v>29379.31</v>
      </c>
      <c r="P41" s="660">
        <v>213000</v>
      </c>
      <c r="Q41" s="548"/>
      <c r="R41" s="660">
        <v>166508.04</v>
      </c>
      <c r="S41" s="549">
        <f t="shared" si="0"/>
        <v>46491.959999999992</v>
      </c>
      <c r="T41" s="113" t="s">
        <v>131</v>
      </c>
      <c r="U41" s="626" t="str">
        <f t="shared" si="5"/>
        <v>AA11475</v>
      </c>
      <c r="V41" s="627" t="str">
        <f t="shared" si="6"/>
        <v>1582-TCN17</v>
      </c>
      <c r="W41" s="626">
        <f t="shared" si="7"/>
        <v>521702</v>
      </c>
      <c r="X41" s="626" t="str">
        <f t="shared" si="8"/>
        <v>YARIS CORE MT, SEDAN</v>
      </c>
      <c r="Y41" s="627">
        <f t="shared" si="8"/>
        <v>2017</v>
      </c>
      <c r="Z41" s="628">
        <f t="shared" si="9"/>
        <v>183620.69</v>
      </c>
      <c r="AA41" s="629"/>
      <c r="AB41" s="664"/>
      <c r="AC41" s="629">
        <f t="shared" si="1"/>
        <v>0.01</v>
      </c>
      <c r="AD41" s="630">
        <f t="shared" si="2"/>
        <v>0.02</v>
      </c>
      <c r="AE41" s="629">
        <f t="shared" si="3"/>
        <v>0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657" t="s">
        <v>4966</v>
      </c>
      <c r="C42" s="655">
        <v>521702</v>
      </c>
      <c r="D42" s="658">
        <v>2005</v>
      </c>
      <c r="E42" s="655" t="s">
        <v>701</v>
      </c>
      <c r="F42" s="546">
        <v>2017</v>
      </c>
      <c r="G42" s="659">
        <v>42931</v>
      </c>
      <c r="H42" s="655" t="s">
        <v>774</v>
      </c>
      <c r="I42" s="655" t="s">
        <v>4809</v>
      </c>
      <c r="J42" s="712"/>
      <c r="K42" s="655" t="s">
        <v>5149</v>
      </c>
      <c r="L42" s="655" t="s">
        <v>5265</v>
      </c>
      <c r="M42" s="660">
        <v>183620.69</v>
      </c>
      <c r="N42" s="660">
        <v>0</v>
      </c>
      <c r="O42" s="660">
        <v>29379.31</v>
      </c>
      <c r="P42" s="660">
        <v>213000</v>
      </c>
      <c r="Q42" s="548"/>
      <c r="R42" s="660">
        <v>166508.04</v>
      </c>
      <c r="S42" s="549">
        <f t="shared" si="0"/>
        <v>46491.959999999992</v>
      </c>
      <c r="T42" s="113" t="s">
        <v>131</v>
      </c>
      <c r="U42" s="626" t="str">
        <f t="shared" si="5"/>
        <v>AA11476</v>
      </c>
      <c r="V42" s="627" t="str">
        <f t="shared" si="6"/>
        <v>1581-TCN17</v>
      </c>
      <c r="W42" s="626">
        <f t="shared" si="7"/>
        <v>521702</v>
      </c>
      <c r="X42" s="626" t="str">
        <f t="shared" si="8"/>
        <v>YARIS CORE MT, SEDAN</v>
      </c>
      <c r="Y42" s="627">
        <f t="shared" si="8"/>
        <v>2017</v>
      </c>
      <c r="Z42" s="628">
        <f t="shared" si="9"/>
        <v>183620.69</v>
      </c>
      <c r="AA42" s="629"/>
      <c r="AB42" s="664"/>
      <c r="AC42" s="629">
        <f t="shared" si="1"/>
        <v>0.01</v>
      </c>
      <c r="AD42" s="630">
        <f t="shared" si="2"/>
        <v>0.02</v>
      </c>
      <c r="AE42" s="629">
        <f t="shared" si="3"/>
        <v>0</v>
      </c>
      <c r="AF42" s="629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657" t="s">
        <v>4970</v>
      </c>
      <c r="C43" s="655">
        <v>521702</v>
      </c>
      <c r="D43" s="658">
        <v>2005</v>
      </c>
      <c r="E43" s="655" t="s">
        <v>701</v>
      </c>
      <c r="F43" s="546">
        <v>2017</v>
      </c>
      <c r="G43" s="659">
        <v>42940</v>
      </c>
      <c r="H43" s="655" t="s">
        <v>817</v>
      </c>
      <c r="I43" s="655" t="s">
        <v>4811</v>
      </c>
      <c r="J43" s="712"/>
      <c r="K43" s="655" t="s">
        <v>5151</v>
      </c>
      <c r="L43" s="655" t="s">
        <v>5303</v>
      </c>
      <c r="M43" s="660">
        <v>183620.69</v>
      </c>
      <c r="N43" s="660">
        <v>0</v>
      </c>
      <c r="O43" s="660">
        <v>29379.31</v>
      </c>
      <c r="P43" s="660">
        <v>213000</v>
      </c>
      <c r="Q43" s="548"/>
      <c r="R43" s="660">
        <v>166863.51999999999</v>
      </c>
      <c r="S43" s="549">
        <f t="shared" si="0"/>
        <v>46136.48000000001</v>
      </c>
      <c r="T43" s="113" t="s">
        <v>131</v>
      </c>
      <c r="U43" s="626" t="str">
        <f t="shared" si="5"/>
        <v>AA11523</v>
      </c>
      <c r="V43" s="627" t="str">
        <f t="shared" si="6"/>
        <v>1572-TCN17</v>
      </c>
      <c r="W43" s="626">
        <f t="shared" si="7"/>
        <v>521702</v>
      </c>
      <c r="X43" s="626" t="str">
        <f t="shared" si="8"/>
        <v>YARIS CORE MT, SEDAN</v>
      </c>
      <c r="Y43" s="627">
        <f t="shared" si="8"/>
        <v>2017</v>
      </c>
      <c r="Z43" s="628">
        <f t="shared" si="9"/>
        <v>183620.69</v>
      </c>
      <c r="AA43" s="629"/>
      <c r="AB43" s="664"/>
      <c r="AC43" s="629">
        <f t="shared" si="1"/>
        <v>0.01</v>
      </c>
      <c r="AD43" s="630">
        <f t="shared" si="2"/>
        <v>0.02</v>
      </c>
      <c r="AE43" s="629">
        <f t="shared" si="3"/>
        <v>0</v>
      </c>
      <c r="AF43" s="629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657" t="s">
        <v>4973</v>
      </c>
      <c r="C44" s="655">
        <v>521702</v>
      </c>
      <c r="D44" s="658">
        <v>2005</v>
      </c>
      <c r="E44" s="655" t="s">
        <v>701</v>
      </c>
      <c r="F44" s="546">
        <v>2017</v>
      </c>
      <c r="G44" s="659">
        <v>42944</v>
      </c>
      <c r="H44" s="655" t="s">
        <v>3694</v>
      </c>
      <c r="I44" s="655" t="s">
        <v>4812</v>
      </c>
      <c r="J44" s="712"/>
      <c r="K44" s="655" t="s">
        <v>5153</v>
      </c>
      <c r="L44" s="655" t="s">
        <v>5325</v>
      </c>
      <c r="M44" s="660">
        <v>183620.69</v>
      </c>
      <c r="N44" s="660">
        <v>0</v>
      </c>
      <c r="O44" s="660">
        <v>29379.31</v>
      </c>
      <c r="P44" s="660">
        <v>213000</v>
      </c>
      <c r="Q44" s="548"/>
      <c r="R44" s="660">
        <v>166508.04</v>
      </c>
      <c r="S44" s="549">
        <f t="shared" si="0"/>
        <v>46491.959999999992</v>
      </c>
      <c r="T44" s="113" t="s">
        <v>131</v>
      </c>
      <c r="U44" s="626" t="str">
        <f t="shared" si="5"/>
        <v>AA11553</v>
      </c>
      <c r="V44" s="627" t="str">
        <f t="shared" si="6"/>
        <v>1650-TCN17</v>
      </c>
      <c r="W44" s="626">
        <f t="shared" si="7"/>
        <v>521702</v>
      </c>
      <c r="X44" s="626" t="str">
        <f t="shared" si="8"/>
        <v>YARIS CORE MT, SEDAN</v>
      </c>
      <c r="Y44" s="627">
        <f t="shared" si="8"/>
        <v>2017</v>
      </c>
      <c r="Z44" s="628">
        <f t="shared" si="9"/>
        <v>183620.69</v>
      </c>
      <c r="AA44" s="629">
        <f>+Z44+Z43+Z42+Z41+Z40+Z39+Z38</f>
        <v>1285344.8299999998</v>
      </c>
      <c r="AB44" s="665">
        <v>7</v>
      </c>
      <c r="AC44" s="629">
        <f t="shared" si="1"/>
        <v>0.01</v>
      </c>
      <c r="AD44" s="630">
        <f t="shared" si="2"/>
        <v>0.02</v>
      </c>
      <c r="AE44" s="629">
        <f t="shared" si="3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657" t="s">
        <v>4978</v>
      </c>
      <c r="C45" s="655">
        <v>521707</v>
      </c>
      <c r="D45" s="658">
        <v>2006</v>
      </c>
      <c r="E45" s="655" t="s">
        <v>702</v>
      </c>
      <c r="F45" s="546">
        <v>2017</v>
      </c>
      <c r="G45" s="659">
        <v>42926</v>
      </c>
      <c r="H45" s="655" t="s">
        <v>774</v>
      </c>
      <c r="I45" s="655" t="s">
        <v>4814</v>
      </c>
      <c r="J45" s="712"/>
      <c r="K45" s="655" t="s">
        <v>5156</v>
      </c>
      <c r="L45" s="655" t="s">
        <v>5242</v>
      </c>
      <c r="M45" s="660">
        <v>201982.76</v>
      </c>
      <c r="N45" s="660">
        <v>0</v>
      </c>
      <c r="O45" s="660">
        <v>32317.24</v>
      </c>
      <c r="P45" s="660">
        <v>234300</v>
      </c>
      <c r="Q45" s="548"/>
      <c r="R45" s="660">
        <v>183052.26</v>
      </c>
      <c r="S45" s="549">
        <f t="shared" si="0"/>
        <v>51247.739999999991</v>
      </c>
      <c r="T45" s="267" t="s">
        <v>131</v>
      </c>
      <c r="U45" s="626" t="str">
        <f t="shared" si="5"/>
        <v>AA11448</v>
      </c>
      <c r="V45" s="627" t="str">
        <f t="shared" si="6"/>
        <v>1499-TCN17</v>
      </c>
      <c r="W45" s="626">
        <f t="shared" si="7"/>
        <v>521707</v>
      </c>
      <c r="X45" s="626" t="str">
        <f t="shared" si="8"/>
        <v>YARIS CORE,SEDAN CVT.</v>
      </c>
      <c r="Y45" s="627">
        <f t="shared" si="8"/>
        <v>2017</v>
      </c>
      <c r="Z45" s="628">
        <f t="shared" si="9"/>
        <v>201982.76</v>
      </c>
      <c r="AA45" s="629"/>
      <c r="AB45" s="664"/>
      <c r="AC45" s="629">
        <f t="shared" si="1"/>
        <v>0.01</v>
      </c>
      <c r="AD45" s="630">
        <f t="shared" si="2"/>
        <v>0.02</v>
      </c>
      <c r="AE45" s="629">
        <f t="shared" si="3"/>
        <v>0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657" t="s">
        <v>4977</v>
      </c>
      <c r="C46" s="655">
        <v>521707</v>
      </c>
      <c r="D46" s="658">
        <v>2006</v>
      </c>
      <c r="E46" s="655" t="s">
        <v>702</v>
      </c>
      <c r="F46" s="546">
        <v>2017</v>
      </c>
      <c r="G46" s="659">
        <v>42926</v>
      </c>
      <c r="H46" s="655" t="s">
        <v>817</v>
      </c>
      <c r="I46" s="655" t="s">
        <v>4813</v>
      </c>
      <c r="J46" s="712"/>
      <c r="K46" s="655" t="s">
        <v>5155</v>
      </c>
      <c r="L46" s="655" t="s">
        <v>5245</v>
      </c>
      <c r="M46" s="660">
        <v>201982.76</v>
      </c>
      <c r="N46" s="660">
        <v>0</v>
      </c>
      <c r="O46" s="660">
        <v>32317.24</v>
      </c>
      <c r="P46" s="660">
        <v>234300</v>
      </c>
      <c r="Q46" s="548"/>
      <c r="R46" s="660">
        <v>183052.26</v>
      </c>
      <c r="S46" s="549">
        <f t="shared" si="0"/>
        <v>51247.739999999991</v>
      </c>
      <c r="T46" s="267" t="s">
        <v>131</v>
      </c>
      <c r="U46" s="626" t="str">
        <f t="shared" si="5"/>
        <v>AA11451</v>
      </c>
      <c r="V46" s="627" t="str">
        <f t="shared" si="6"/>
        <v>1338-TCN17</v>
      </c>
      <c r="W46" s="626">
        <f t="shared" si="7"/>
        <v>521707</v>
      </c>
      <c r="X46" s="626" t="str">
        <f t="shared" si="8"/>
        <v>YARIS CORE,SEDAN CVT.</v>
      </c>
      <c r="Y46" s="627">
        <f t="shared" si="8"/>
        <v>2017</v>
      </c>
      <c r="Z46" s="628">
        <f t="shared" si="9"/>
        <v>201982.76</v>
      </c>
      <c r="AA46" s="629"/>
      <c r="AB46" s="664"/>
      <c r="AC46" s="629">
        <f t="shared" si="1"/>
        <v>0.01</v>
      </c>
      <c r="AD46" s="630">
        <f t="shared" si="2"/>
        <v>0.02</v>
      </c>
      <c r="AE46" s="629">
        <f t="shared" si="3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657" t="s">
        <v>4981</v>
      </c>
      <c r="C47" s="655">
        <v>521707</v>
      </c>
      <c r="D47" s="658">
        <v>2006</v>
      </c>
      <c r="E47" s="655" t="s">
        <v>702</v>
      </c>
      <c r="F47" s="546">
        <v>2017</v>
      </c>
      <c r="G47" s="659">
        <v>42928</v>
      </c>
      <c r="H47" s="655" t="s">
        <v>4285</v>
      </c>
      <c r="I47" s="655" t="s">
        <v>4815</v>
      </c>
      <c r="J47" s="712"/>
      <c r="K47" s="655" t="s">
        <v>5157</v>
      </c>
      <c r="L47" s="655" t="s">
        <v>5256</v>
      </c>
      <c r="M47" s="660">
        <v>201982.76</v>
      </c>
      <c r="N47" s="660">
        <v>0</v>
      </c>
      <c r="O47" s="660">
        <v>32317.24</v>
      </c>
      <c r="P47" s="660">
        <v>234300</v>
      </c>
      <c r="Q47" s="548"/>
      <c r="R47" s="660">
        <v>183052.26</v>
      </c>
      <c r="S47" s="549">
        <f t="shared" si="0"/>
        <v>51247.739999999991</v>
      </c>
      <c r="T47" s="113" t="s">
        <v>131</v>
      </c>
      <c r="U47" s="626" t="str">
        <f t="shared" si="5"/>
        <v>AA11465</v>
      </c>
      <c r="V47" s="627" t="str">
        <f t="shared" si="6"/>
        <v>1475-TCN17</v>
      </c>
      <c r="W47" s="626">
        <f t="shared" si="7"/>
        <v>521707</v>
      </c>
      <c r="X47" s="626" t="str">
        <f t="shared" si="8"/>
        <v>YARIS CORE,SEDAN CVT.</v>
      </c>
      <c r="Y47" s="627">
        <f t="shared" si="8"/>
        <v>2017</v>
      </c>
      <c r="Z47" s="628">
        <f t="shared" si="9"/>
        <v>201982.76</v>
      </c>
      <c r="AA47" s="629"/>
      <c r="AB47" s="664"/>
      <c r="AC47" s="629">
        <f t="shared" si="1"/>
        <v>0.01</v>
      </c>
      <c r="AD47" s="630">
        <f t="shared" si="2"/>
        <v>0.02</v>
      </c>
      <c r="AE47" s="629">
        <f t="shared" si="3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657" t="s">
        <v>4982</v>
      </c>
      <c r="C48" s="655">
        <v>521707</v>
      </c>
      <c r="D48" s="658">
        <v>2006</v>
      </c>
      <c r="E48" s="655" t="s">
        <v>702</v>
      </c>
      <c r="F48" s="546">
        <v>2017</v>
      </c>
      <c r="G48" s="659">
        <v>42935</v>
      </c>
      <c r="H48" s="655" t="s">
        <v>788</v>
      </c>
      <c r="I48" s="655" t="s">
        <v>4816</v>
      </c>
      <c r="J48" s="712"/>
      <c r="K48" s="655" t="s">
        <v>5158</v>
      </c>
      <c r="L48" s="655" t="s">
        <v>5282</v>
      </c>
      <c r="M48" s="660">
        <v>201982.76</v>
      </c>
      <c r="N48" s="660">
        <v>0</v>
      </c>
      <c r="O48" s="660">
        <v>32317.24</v>
      </c>
      <c r="P48" s="660">
        <v>234300</v>
      </c>
      <c r="Q48" s="548"/>
      <c r="R48" s="660">
        <v>183052.26</v>
      </c>
      <c r="S48" s="549">
        <f t="shared" si="0"/>
        <v>51247.739999999991</v>
      </c>
      <c r="T48" s="113" t="s">
        <v>131</v>
      </c>
      <c r="U48" s="626" t="str">
        <f t="shared" si="5"/>
        <v>AA11496</v>
      </c>
      <c r="V48" s="627" t="str">
        <f t="shared" si="6"/>
        <v>1341-TCN17</v>
      </c>
      <c r="W48" s="626">
        <f t="shared" si="7"/>
        <v>521707</v>
      </c>
      <c r="X48" s="626" t="str">
        <f t="shared" si="8"/>
        <v>YARIS CORE,SEDAN CVT.</v>
      </c>
      <c r="Y48" s="627">
        <f t="shared" si="8"/>
        <v>2017</v>
      </c>
      <c r="Z48" s="628">
        <f t="shared" si="9"/>
        <v>201982.76</v>
      </c>
      <c r="AA48" s="629"/>
      <c r="AB48" s="664"/>
      <c r="AC48" s="629">
        <f t="shared" si="1"/>
        <v>0.01</v>
      </c>
      <c r="AD48" s="630">
        <f t="shared" si="2"/>
        <v>0.02</v>
      </c>
      <c r="AE48" s="629">
        <f t="shared" si="3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657" t="s">
        <v>4983</v>
      </c>
      <c r="C49" s="655">
        <v>521707</v>
      </c>
      <c r="D49" s="658">
        <v>2006</v>
      </c>
      <c r="E49" s="655" t="s">
        <v>702</v>
      </c>
      <c r="F49" s="546">
        <v>2017</v>
      </c>
      <c r="G49" s="659">
        <v>42935</v>
      </c>
      <c r="H49" s="655" t="s">
        <v>1038</v>
      </c>
      <c r="I49" s="655" t="s">
        <v>4817</v>
      </c>
      <c r="J49" s="712"/>
      <c r="K49" s="655" t="s">
        <v>5159</v>
      </c>
      <c r="L49" s="655" t="s">
        <v>5283</v>
      </c>
      <c r="M49" s="660">
        <v>201982.76</v>
      </c>
      <c r="N49" s="660">
        <v>0</v>
      </c>
      <c r="O49" s="660">
        <v>32317.24</v>
      </c>
      <c r="P49" s="660">
        <v>234300</v>
      </c>
      <c r="Q49" s="548"/>
      <c r="R49" s="660">
        <v>183052.26</v>
      </c>
      <c r="S49" s="549">
        <f t="shared" si="0"/>
        <v>51247.739999999991</v>
      </c>
      <c r="T49" s="267" t="s">
        <v>131</v>
      </c>
      <c r="U49" s="626" t="str">
        <f t="shared" si="5"/>
        <v>AA11497</v>
      </c>
      <c r="V49" s="627" t="str">
        <f t="shared" si="6"/>
        <v>1501-TCN17</v>
      </c>
      <c r="W49" s="626">
        <f t="shared" si="7"/>
        <v>521707</v>
      </c>
      <c r="X49" s="626" t="str">
        <f t="shared" si="8"/>
        <v>YARIS CORE,SEDAN CVT.</v>
      </c>
      <c r="Y49" s="627">
        <f t="shared" si="8"/>
        <v>2017</v>
      </c>
      <c r="Z49" s="628">
        <f t="shared" si="9"/>
        <v>201982.76</v>
      </c>
      <c r="AA49" s="629"/>
      <c r="AB49" s="664"/>
      <c r="AC49" s="629">
        <f t="shared" si="1"/>
        <v>0.01</v>
      </c>
      <c r="AD49" s="630">
        <f t="shared" si="2"/>
        <v>0.02</v>
      </c>
      <c r="AE49" s="629">
        <f t="shared" si="3"/>
        <v>0</v>
      </c>
      <c r="AF49" s="629">
        <v>0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657" t="s">
        <v>4984</v>
      </c>
      <c r="C50" s="655">
        <v>521707</v>
      </c>
      <c r="D50" s="658">
        <v>2006</v>
      </c>
      <c r="E50" s="655" t="s">
        <v>702</v>
      </c>
      <c r="F50" s="546">
        <v>2017</v>
      </c>
      <c r="G50" s="659">
        <v>42947</v>
      </c>
      <c r="H50" s="655" t="s">
        <v>2215</v>
      </c>
      <c r="I50" s="655" t="s">
        <v>4818</v>
      </c>
      <c r="J50" s="712"/>
      <c r="K50" s="655" t="s">
        <v>5160</v>
      </c>
      <c r="L50" s="655" t="s">
        <v>5343</v>
      </c>
      <c r="M50" s="660">
        <v>201982.76</v>
      </c>
      <c r="N50" s="660">
        <v>0</v>
      </c>
      <c r="O50" s="660">
        <v>32317.24</v>
      </c>
      <c r="P50" s="660">
        <v>234300</v>
      </c>
      <c r="Q50" s="548"/>
      <c r="R50" s="660">
        <v>183052.26</v>
      </c>
      <c r="S50" s="549">
        <f t="shared" si="0"/>
        <v>51247.739999999991</v>
      </c>
      <c r="T50" s="113" t="s">
        <v>131</v>
      </c>
      <c r="U50" s="626" t="str">
        <f t="shared" si="5"/>
        <v>AA11578</v>
      </c>
      <c r="V50" s="627" t="str">
        <f t="shared" si="6"/>
        <v>1500-TCN17</v>
      </c>
      <c r="W50" s="626">
        <f t="shared" si="7"/>
        <v>521707</v>
      </c>
      <c r="X50" s="626" t="str">
        <f t="shared" si="8"/>
        <v>YARIS CORE,SEDAN CVT.</v>
      </c>
      <c r="Y50" s="627">
        <f t="shared" si="8"/>
        <v>2017</v>
      </c>
      <c r="Z50" s="628">
        <f t="shared" si="9"/>
        <v>201982.76</v>
      </c>
      <c r="AA50" s="629"/>
      <c r="AB50" s="664"/>
      <c r="AC50" s="629">
        <f t="shared" si="1"/>
        <v>0.01</v>
      </c>
      <c r="AD50" s="630">
        <f t="shared" si="2"/>
        <v>0.02</v>
      </c>
      <c r="AE50" s="629">
        <f t="shared" si="3"/>
        <v>0</v>
      </c>
      <c r="AF50" s="629"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657" t="s">
        <v>4974</v>
      </c>
      <c r="C51" s="655">
        <v>521707</v>
      </c>
      <c r="D51" s="658">
        <v>2006</v>
      </c>
      <c r="E51" s="655" t="s">
        <v>702</v>
      </c>
      <c r="F51" s="546">
        <v>2017</v>
      </c>
      <c r="G51" s="659">
        <v>42921</v>
      </c>
      <c r="H51" s="655" t="s">
        <v>817</v>
      </c>
      <c r="I51" s="655" t="s">
        <v>4258</v>
      </c>
      <c r="J51" s="712"/>
      <c r="K51" s="655" t="s">
        <v>897</v>
      </c>
      <c r="L51" s="655" t="s">
        <v>4259</v>
      </c>
      <c r="M51" s="660">
        <v>-201982.76</v>
      </c>
      <c r="N51" s="660">
        <v>0</v>
      </c>
      <c r="O51" s="660">
        <v>-32317.24</v>
      </c>
      <c r="P51" s="660">
        <v>-234300</v>
      </c>
      <c r="Q51" s="548"/>
      <c r="R51" s="660">
        <v>-183052.26</v>
      </c>
      <c r="S51" s="549">
        <f t="shared" si="0"/>
        <v>-51247.739999999991</v>
      </c>
      <c r="T51" s="113" t="s">
        <v>1266</v>
      </c>
      <c r="U51" s="626" t="str">
        <f t="shared" si="5"/>
        <v>ZA04171</v>
      </c>
      <c r="V51" s="627" t="str">
        <f t="shared" si="6"/>
        <v>1469-TCN17</v>
      </c>
      <c r="W51" s="626">
        <f t="shared" si="7"/>
        <v>521707</v>
      </c>
      <c r="X51" s="626" t="str">
        <f t="shared" si="8"/>
        <v>YARIS CORE,SEDAN CVT.</v>
      </c>
      <c r="Y51" s="627">
        <f t="shared" si="8"/>
        <v>2017</v>
      </c>
      <c r="Z51" s="628">
        <f t="shared" si="9"/>
        <v>-201982.76</v>
      </c>
      <c r="AA51" s="629">
        <f>+Z51+Z50+Z49+Z48+Z47+Z46+Z45</f>
        <v>1009913.8</v>
      </c>
      <c r="AB51" s="665">
        <v>5</v>
      </c>
      <c r="AC51" s="629"/>
      <c r="AD51" s="630"/>
      <c r="AE51" s="629"/>
      <c r="AF51" s="629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657" t="s">
        <v>4990</v>
      </c>
      <c r="C52" s="655">
        <v>521801</v>
      </c>
      <c r="D52" s="658">
        <v>2201</v>
      </c>
      <c r="E52" s="655" t="s">
        <v>704</v>
      </c>
      <c r="F52" s="546">
        <v>2017</v>
      </c>
      <c r="G52" s="659">
        <v>42923</v>
      </c>
      <c r="H52" s="655" t="s">
        <v>908</v>
      </c>
      <c r="I52" s="655" t="s">
        <v>4823</v>
      </c>
      <c r="J52" s="712"/>
      <c r="K52" s="655" t="s">
        <v>5163</v>
      </c>
      <c r="L52" s="655" t="s">
        <v>5229</v>
      </c>
      <c r="M52" s="660">
        <v>202844.83</v>
      </c>
      <c r="N52" s="660">
        <v>0</v>
      </c>
      <c r="O52" s="660">
        <v>32455.17</v>
      </c>
      <c r="P52" s="660">
        <v>235300</v>
      </c>
      <c r="Q52" s="548"/>
      <c r="R52" s="660">
        <v>183632.36</v>
      </c>
      <c r="S52" s="549">
        <f t="shared" si="0"/>
        <v>51667.640000000014</v>
      </c>
      <c r="T52" s="267" t="s">
        <v>131</v>
      </c>
      <c r="U52" s="626" t="str">
        <f t="shared" si="5"/>
        <v>AA11432</v>
      </c>
      <c r="V52" s="627" t="str">
        <f t="shared" si="6"/>
        <v>1556-TCN17</v>
      </c>
      <c r="W52" s="626">
        <f t="shared" si="7"/>
        <v>521801</v>
      </c>
      <c r="X52" s="626" t="str">
        <f t="shared" si="8"/>
        <v>AVANZA HI 5MT</v>
      </c>
      <c r="Y52" s="627">
        <f t="shared" si="8"/>
        <v>2017</v>
      </c>
      <c r="Z52" s="628">
        <f t="shared" si="9"/>
        <v>202844.83</v>
      </c>
      <c r="AA52" s="629"/>
      <c r="AB52" s="664"/>
      <c r="AC52" s="629">
        <f t="shared" si="1"/>
        <v>0.01</v>
      </c>
      <c r="AD52" s="630">
        <f t="shared" si="2"/>
        <v>0.02</v>
      </c>
      <c r="AE52" s="629">
        <f t="shared" si="3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657" t="s">
        <v>4992</v>
      </c>
      <c r="C53" s="655">
        <v>521801</v>
      </c>
      <c r="D53" s="658">
        <v>2201</v>
      </c>
      <c r="E53" s="655" t="s">
        <v>704</v>
      </c>
      <c r="F53" s="546">
        <v>2017</v>
      </c>
      <c r="G53" s="659">
        <v>42934</v>
      </c>
      <c r="H53" s="655" t="s">
        <v>3694</v>
      </c>
      <c r="I53" s="655" t="s">
        <v>4825</v>
      </c>
      <c r="J53" s="712"/>
      <c r="K53" s="655" t="s">
        <v>5164</v>
      </c>
      <c r="L53" s="655" t="s">
        <v>5276</v>
      </c>
      <c r="M53" s="660">
        <v>202844.83</v>
      </c>
      <c r="N53" s="660">
        <v>0</v>
      </c>
      <c r="O53" s="660">
        <v>32455.17</v>
      </c>
      <c r="P53" s="660">
        <v>235300</v>
      </c>
      <c r="Q53" s="548"/>
      <c r="R53" s="660">
        <v>183986.84</v>
      </c>
      <c r="S53" s="549">
        <f t="shared" si="0"/>
        <v>51313.16</v>
      </c>
      <c r="T53" s="113" t="s">
        <v>131</v>
      </c>
      <c r="U53" s="626" t="str">
        <f t="shared" si="5"/>
        <v>AA11489</v>
      </c>
      <c r="V53" s="627" t="str">
        <f t="shared" si="6"/>
        <v>1586-TCN17</v>
      </c>
      <c r="W53" s="626">
        <f t="shared" si="7"/>
        <v>521801</v>
      </c>
      <c r="X53" s="626" t="str">
        <f t="shared" si="8"/>
        <v>AVANZA HI 5MT</v>
      </c>
      <c r="Y53" s="627">
        <f t="shared" si="8"/>
        <v>2017</v>
      </c>
      <c r="Z53" s="628">
        <f t="shared" si="9"/>
        <v>202844.83</v>
      </c>
      <c r="AA53" s="629"/>
      <c r="AB53" s="664"/>
      <c r="AC53" s="629">
        <f t="shared" si="1"/>
        <v>0.01</v>
      </c>
      <c r="AD53" s="630">
        <f t="shared" si="2"/>
        <v>0.02</v>
      </c>
      <c r="AE53" s="629">
        <f t="shared" si="3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657" t="s">
        <v>4993</v>
      </c>
      <c r="C54" s="655">
        <v>521801</v>
      </c>
      <c r="D54" s="658">
        <v>2201</v>
      </c>
      <c r="E54" s="655" t="s">
        <v>704</v>
      </c>
      <c r="F54" s="546">
        <v>2017</v>
      </c>
      <c r="G54" s="659">
        <v>42937</v>
      </c>
      <c r="H54" s="655" t="s">
        <v>727</v>
      </c>
      <c r="I54" s="655" t="s">
        <v>4826</v>
      </c>
      <c r="J54" s="712"/>
      <c r="K54" s="655" t="s">
        <v>5165</v>
      </c>
      <c r="L54" s="655" t="s">
        <v>5292</v>
      </c>
      <c r="M54" s="660">
        <v>202844.83</v>
      </c>
      <c r="N54" s="660">
        <v>0</v>
      </c>
      <c r="O54" s="660">
        <v>32455.17</v>
      </c>
      <c r="P54" s="660">
        <v>235300</v>
      </c>
      <c r="Q54" s="548"/>
      <c r="R54" s="660">
        <v>183987.84</v>
      </c>
      <c r="S54" s="549">
        <f t="shared" si="0"/>
        <v>51312.160000000003</v>
      </c>
      <c r="T54" s="267" t="s">
        <v>131</v>
      </c>
      <c r="U54" s="626" t="str">
        <f t="shared" si="5"/>
        <v>AA11509</v>
      </c>
      <c r="V54" s="627" t="str">
        <f t="shared" si="6"/>
        <v>1524-TCN17</v>
      </c>
      <c r="W54" s="626">
        <f t="shared" si="7"/>
        <v>521801</v>
      </c>
      <c r="X54" s="626" t="str">
        <f t="shared" si="8"/>
        <v>AVANZA HI 5MT</v>
      </c>
      <c r="Y54" s="627">
        <f t="shared" si="8"/>
        <v>2017</v>
      </c>
      <c r="Z54" s="628">
        <f t="shared" si="9"/>
        <v>202844.83</v>
      </c>
      <c r="AA54" s="629">
        <f>+Z54+Z53+Z52</f>
        <v>608534.49</v>
      </c>
      <c r="AB54" s="665">
        <v>3</v>
      </c>
      <c r="AC54" s="629">
        <f t="shared" si="1"/>
        <v>0.01</v>
      </c>
      <c r="AD54" s="630">
        <f t="shared" si="2"/>
        <v>0.02</v>
      </c>
      <c r="AE54" s="629">
        <f t="shared" si="3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657" t="s">
        <v>5001</v>
      </c>
      <c r="C55" s="655">
        <v>521802</v>
      </c>
      <c r="D55" s="658">
        <v>2204</v>
      </c>
      <c r="E55" s="655" t="s">
        <v>705</v>
      </c>
      <c r="F55" s="546">
        <v>2017</v>
      </c>
      <c r="G55" s="659">
        <v>42919</v>
      </c>
      <c r="H55" s="655" t="s">
        <v>792</v>
      </c>
      <c r="I55" s="655" t="s">
        <v>4832</v>
      </c>
      <c r="J55" s="712"/>
      <c r="K55" s="655" t="s">
        <v>4127</v>
      </c>
      <c r="L55" s="655" t="s">
        <v>5212</v>
      </c>
      <c r="M55" s="660">
        <v>229941.96</v>
      </c>
      <c r="N55" s="660">
        <v>2299.42</v>
      </c>
      <c r="O55" s="660">
        <v>37158.620000000003</v>
      </c>
      <c r="P55" s="660">
        <v>269400</v>
      </c>
      <c r="Q55" s="548"/>
      <c r="R55" s="660">
        <v>208019.78</v>
      </c>
      <c r="S55" s="549">
        <f t="shared" si="0"/>
        <v>61380.22</v>
      </c>
      <c r="T55" s="267" t="s">
        <v>131</v>
      </c>
      <c r="U55" s="626" t="str">
        <f t="shared" si="5"/>
        <v>AA11407</v>
      </c>
      <c r="V55" s="627" t="str">
        <f t="shared" si="6"/>
        <v>1347-TCN17</v>
      </c>
      <c r="W55" s="626">
        <f t="shared" si="7"/>
        <v>521802</v>
      </c>
      <c r="X55" s="626" t="str">
        <f t="shared" si="8"/>
        <v>AVANZA LIMITED</v>
      </c>
      <c r="Y55" s="627">
        <f t="shared" si="8"/>
        <v>2017</v>
      </c>
      <c r="Z55" s="628">
        <f t="shared" si="9"/>
        <v>229941.96</v>
      </c>
      <c r="AA55" s="629"/>
      <c r="AB55" s="664"/>
      <c r="AC55" s="629">
        <f t="shared" si="1"/>
        <v>0.01</v>
      </c>
      <c r="AD55" s="630">
        <f t="shared" si="2"/>
        <v>0.02</v>
      </c>
      <c r="AE55" s="629">
        <f t="shared" si="3"/>
        <v>0</v>
      </c>
      <c r="AF55" s="629">
        <f t="shared" ref="AF55" si="38">IF(Z55&lt;281240.78,(((Z55-AC55)*AD55+AE55)/2),(Z55-AC55)*AD55+AE55)</f>
        <v>2299.4195</v>
      </c>
      <c r="AG55" s="555">
        <f t="shared" si="10"/>
        <v>5.0000000010186341E-4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657" t="s">
        <v>4997</v>
      </c>
      <c r="C56" s="655">
        <v>521802</v>
      </c>
      <c r="D56" s="658">
        <v>2202</v>
      </c>
      <c r="E56" s="655" t="s">
        <v>703</v>
      </c>
      <c r="F56" s="546">
        <v>2017</v>
      </c>
      <c r="G56" s="659">
        <v>42924</v>
      </c>
      <c r="H56" s="655" t="s">
        <v>778</v>
      </c>
      <c r="I56" s="655" t="s">
        <v>4829</v>
      </c>
      <c r="J56" s="712"/>
      <c r="K56" s="655" t="s">
        <v>830</v>
      </c>
      <c r="L56" s="655" t="s">
        <v>5237</v>
      </c>
      <c r="M56" s="660">
        <v>207327.59</v>
      </c>
      <c r="N56" s="660">
        <v>0</v>
      </c>
      <c r="O56" s="660">
        <v>33172.410000000003</v>
      </c>
      <c r="P56" s="660">
        <v>240500</v>
      </c>
      <c r="Q56" s="548"/>
      <c r="R56" s="660">
        <v>187666.84</v>
      </c>
      <c r="S56" s="549">
        <f t="shared" si="0"/>
        <v>52833.16</v>
      </c>
      <c r="T56" s="113" t="s">
        <v>131</v>
      </c>
      <c r="U56" s="626" t="str">
        <f t="shared" si="5"/>
        <v>AA11442</v>
      </c>
      <c r="V56" s="627" t="str">
        <f t="shared" si="6"/>
        <v>1552-TCN17</v>
      </c>
      <c r="W56" s="626">
        <f t="shared" si="7"/>
        <v>521802</v>
      </c>
      <c r="X56" s="626" t="str">
        <f t="shared" si="8"/>
        <v>AVANZA HI 4AT</v>
      </c>
      <c r="Y56" s="627">
        <f t="shared" si="8"/>
        <v>2017</v>
      </c>
      <c r="Z56" s="628">
        <f t="shared" si="9"/>
        <v>207327.59</v>
      </c>
      <c r="AA56" s="629"/>
      <c r="AB56" s="664"/>
      <c r="AC56" s="629">
        <f t="shared" si="1"/>
        <v>0.01</v>
      </c>
      <c r="AD56" s="630">
        <f t="shared" si="2"/>
        <v>0.02</v>
      </c>
      <c r="AE56" s="629">
        <f t="shared" si="3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657" t="s">
        <v>4996</v>
      </c>
      <c r="C57" s="655">
        <v>521802</v>
      </c>
      <c r="D57" s="658">
        <v>2202</v>
      </c>
      <c r="E57" s="655" t="s">
        <v>703</v>
      </c>
      <c r="F57" s="546">
        <v>2017</v>
      </c>
      <c r="G57" s="659">
        <v>42924</v>
      </c>
      <c r="H57" s="655" t="s">
        <v>778</v>
      </c>
      <c r="I57" s="655" t="s">
        <v>4828</v>
      </c>
      <c r="J57" s="712"/>
      <c r="K57" s="655" t="s">
        <v>830</v>
      </c>
      <c r="L57" s="655" t="s">
        <v>5238</v>
      </c>
      <c r="M57" s="660">
        <v>207327.59</v>
      </c>
      <c r="N57" s="660">
        <v>0</v>
      </c>
      <c r="O57" s="660">
        <v>33172.410000000003</v>
      </c>
      <c r="P57" s="660">
        <v>240500</v>
      </c>
      <c r="Q57" s="548"/>
      <c r="R57" s="660">
        <v>188022.32</v>
      </c>
      <c r="S57" s="549">
        <f t="shared" si="0"/>
        <v>52477.679999999993</v>
      </c>
      <c r="T57" s="267" t="s">
        <v>131</v>
      </c>
      <c r="U57" s="626" t="str">
        <f t="shared" si="5"/>
        <v>AA11443</v>
      </c>
      <c r="V57" s="627" t="str">
        <f t="shared" si="6"/>
        <v>1446-TCN17</v>
      </c>
      <c r="W57" s="626">
        <f t="shared" si="7"/>
        <v>521802</v>
      </c>
      <c r="X57" s="626" t="str">
        <f t="shared" si="8"/>
        <v>AVANZA HI 4AT</v>
      </c>
      <c r="Y57" s="627">
        <f t="shared" si="8"/>
        <v>2017</v>
      </c>
      <c r="Z57" s="628">
        <f t="shared" si="9"/>
        <v>207327.59</v>
      </c>
      <c r="AA57" s="629"/>
      <c r="AB57" s="664"/>
      <c r="AC57" s="629">
        <f>VLOOKUP(Z57,TARIFA,1)</f>
        <v>0.01</v>
      </c>
      <c r="AD57" s="630">
        <f>VLOOKUP(Z57,TARIFA,4)</f>
        <v>0.02</v>
      </c>
      <c r="AE57" s="629">
        <f>VLOOKUP(Z57,TARIFA,3)</f>
        <v>0</v>
      </c>
      <c r="AF57" s="629">
        <f>+N57</f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657" t="s">
        <v>5000</v>
      </c>
      <c r="C58" s="655">
        <v>521802</v>
      </c>
      <c r="D58" s="658">
        <v>2202</v>
      </c>
      <c r="E58" s="655" t="s">
        <v>703</v>
      </c>
      <c r="F58" s="546">
        <v>2017</v>
      </c>
      <c r="G58" s="659">
        <v>42947</v>
      </c>
      <c r="H58" s="655" t="s">
        <v>2954</v>
      </c>
      <c r="I58" s="655" t="s">
        <v>4831</v>
      </c>
      <c r="J58" s="712"/>
      <c r="K58" s="655" t="s">
        <v>5166</v>
      </c>
      <c r="L58" s="655" t="s">
        <v>5345</v>
      </c>
      <c r="M58" s="660">
        <v>198275.86</v>
      </c>
      <c r="N58" s="660">
        <v>0</v>
      </c>
      <c r="O58" s="660">
        <v>31724.14</v>
      </c>
      <c r="P58" s="660">
        <v>230000</v>
      </c>
      <c r="Q58" s="548"/>
      <c r="R58" s="660">
        <v>182856.5</v>
      </c>
      <c r="S58" s="549">
        <f t="shared" si="0"/>
        <v>47143.5</v>
      </c>
      <c r="T58" s="444" t="s">
        <v>131</v>
      </c>
      <c r="U58" s="626" t="str">
        <f t="shared" si="5"/>
        <v>AA11580</v>
      </c>
      <c r="V58" s="627" t="str">
        <f t="shared" si="6"/>
        <v>0749-TCN17</v>
      </c>
      <c r="W58" s="626">
        <f t="shared" si="7"/>
        <v>521802</v>
      </c>
      <c r="X58" s="626" t="str">
        <f t="shared" si="8"/>
        <v>AVANZA HI 4AT</v>
      </c>
      <c r="Y58" s="627">
        <f t="shared" si="8"/>
        <v>2017</v>
      </c>
      <c r="Z58" s="628">
        <f t="shared" si="9"/>
        <v>198275.86</v>
      </c>
      <c r="AA58" s="629">
        <f>+Z58+Z57+Z56+Z55</f>
        <v>842872.99999999988</v>
      </c>
      <c r="AB58" s="665">
        <v>4</v>
      </c>
      <c r="AC58" s="629">
        <f t="shared" si="1"/>
        <v>0.01</v>
      </c>
      <c r="AD58" s="630">
        <f t="shared" si="2"/>
        <v>0.02</v>
      </c>
      <c r="AE58" s="629">
        <f t="shared" si="3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657" t="s">
        <v>5045</v>
      </c>
      <c r="C59" s="655">
        <v>521908</v>
      </c>
      <c r="D59" s="658">
        <v>6980</v>
      </c>
      <c r="E59" s="655" t="s">
        <v>706</v>
      </c>
      <c r="F59" s="546">
        <v>2017</v>
      </c>
      <c r="G59" s="659">
        <v>42944</v>
      </c>
      <c r="H59" s="655" t="s">
        <v>908</v>
      </c>
      <c r="I59" s="655" t="s">
        <v>4853</v>
      </c>
      <c r="J59" s="712"/>
      <c r="K59" s="655" t="s">
        <v>3187</v>
      </c>
      <c r="L59" s="655" t="s">
        <v>5328</v>
      </c>
      <c r="M59" s="660">
        <v>520282.13</v>
      </c>
      <c r="N59" s="660">
        <v>40148.9</v>
      </c>
      <c r="O59" s="660">
        <v>89668.97</v>
      </c>
      <c r="P59" s="660">
        <v>650100</v>
      </c>
      <c r="Q59" s="548"/>
      <c r="R59" s="660">
        <v>469336.35</v>
      </c>
      <c r="S59" s="549">
        <f t="shared" si="0"/>
        <v>180763.65000000002</v>
      </c>
      <c r="T59" s="113" t="s">
        <v>131</v>
      </c>
      <c r="U59" s="626" t="str">
        <f t="shared" si="5"/>
        <v>AA11557</v>
      </c>
      <c r="V59" s="627" t="str">
        <f t="shared" si="6"/>
        <v>1651-TCN17</v>
      </c>
      <c r="W59" s="626">
        <f t="shared" si="7"/>
        <v>521908</v>
      </c>
      <c r="X59" s="626" t="str">
        <f t="shared" si="8"/>
        <v>HIGHLANDER  XLE</v>
      </c>
      <c r="Y59" s="627">
        <f t="shared" si="8"/>
        <v>2017</v>
      </c>
      <c r="Z59" s="628">
        <f t="shared" si="9"/>
        <v>520282.13</v>
      </c>
      <c r="AA59" s="629">
        <f>+Z59</f>
        <v>520282.13</v>
      </c>
      <c r="AB59" s="664">
        <v>1</v>
      </c>
      <c r="AC59" s="629">
        <f t="shared" si="1"/>
        <v>443562.4</v>
      </c>
      <c r="AD59" s="630">
        <f t="shared" si="2"/>
        <v>0.17</v>
      </c>
      <c r="AE59" s="629">
        <f t="shared" si="3"/>
        <v>27106.55</v>
      </c>
      <c r="AF59" s="629">
        <f t="shared" ref="AF59" si="39">IF(Z59&lt;281240.78,(((Z59-AC59)*AD59+AE59)/2),(Z59-AC59)*AD59+AE59)</f>
        <v>40148.9041</v>
      </c>
      <c r="AG59" s="555">
        <f t="shared" si="10"/>
        <v>-4.0999999982886948E-3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657" t="s">
        <v>5046</v>
      </c>
      <c r="C60" s="655">
        <v>521909</v>
      </c>
      <c r="D60" s="658">
        <v>6986</v>
      </c>
      <c r="E60" s="655" t="s">
        <v>707</v>
      </c>
      <c r="F60" s="546">
        <v>2017</v>
      </c>
      <c r="G60" s="659">
        <v>42923</v>
      </c>
      <c r="H60" s="655" t="s">
        <v>792</v>
      </c>
      <c r="I60" s="655" t="s">
        <v>4854</v>
      </c>
      <c r="J60" s="712"/>
      <c r="K60" s="655" t="s">
        <v>4442</v>
      </c>
      <c r="L60" s="655" t="s">
        <v>5233</v>
      </c>
      <c r="M60" s="660">
        <v>583795.25</v>
      </c>
      <c r="N60" s="660">
        <v>50946.13</v>
      </c>
      <c r="O60" s="660">
        <v>101558.62</v>
      </c>
      <c r="P60" s="660">
        <v>736300</v>
      </c>
      <c r="Q60" s="548"/>
      <c r="R60" s="660">
        <v>516608.21</v>
      </c>
      <c r="S60" s="549">
        <f t="shared" si="0"/>
        <v>219691.78999999998</v>
      </c>
      <c r="T60" s="113" t="s">
        <v>131</v>
      </c>
      <c r="U60" s="626" t="str">
        <f t="shared" si="5"/>
        <v>AA11436</v>
      </c>
      <c r="V60" s="627" t="str">
        <f t="shared" si="6"/>
        <v>1558-TCN17</v>
      </c>
      <c r="W60" s="626">
        <f t="shared" si="7"/>
        <v>521909</v>
      </c>
      <c r="X60" s="626" t="str">
        <f t="shared" si="8"/>
        <v>HIGHLANDER LIMITED BLUE- RAY</v>
      </c>
      <c r="Y60" s="627">
        <f t="shared" si="8"/>
        <v>2017</v>
      </c>
      <c r="Z60" s="628">
        <f t="shared" si="9"/>
        <v>583795.25</v>
      </c>
      <c r="AA60" s="629"/>
      <c r="AB60" s="664"/>
      <c r="AC60" s="629">
        <f>VLOOKUP(Z60,TARIFA,1)</f>
        <v>443562.4</v>
      </c>
      <c r="AD60" s="630">
        <f>VLOOKUP(Z60,TARIFA,4)</f>
        <v>0.17</v>
      </c>
      <c r="AE60" s="629">
        <f>VLOOKUP(Z60,TARIFA,3)</f>
        <v>27106.55</v>
      </c>
      <c r="AF60" s="629">
        <f>+N60</f>
        <v>50946.13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657" t="s">
        <v>5047</v>
      </c>
      <c r="C61" s="655">
        <v>521909</v>
      </c>
      <c r="D61" s="658">
        <v>6987</v>
      </c>
      <c r="E61" s="655" t="s">
        <v>708</v>
      </c>
      <c r="F61" s="546">
        <v>2017</v>
      </c>
      <c r="G61" s="659">
        <v>42926</v>
      </c>
      <c r="H61" s="655" t="s">
        <v>3694</v>
      </c>
      <c r="I61" s="655" t="s">
        <v>4855</v>
      </c>
      <c r="J61" s="712"/>
      <c r="K61" s="655" t="s">
        <v>4442</v>
      </c>
      <c r="L61" s="655" t="s">
        <v>5243</v>
      </c>
      <c r="M61" s="660">
        <v>566553.87</v>
      </c>
      <c r="N61" s="660">
        <v>48015.1</v>
      </c>
      <c r="O61" s="660">
        <v>98331.03</v>
      </c>
      <c r="P61" s="660">
        <v>712900</v>
      </c>
      <c r="Q61" s="548"/>
      <c r="R61" s="660">
        <v>501434.78</v>
      </c>
      <c r="S61" s="549">
        <f t="shared" si="0"/>
        <v>211465.21999999997</v>
      </c>
      <c r="T61" s="267" t="s">
        <v>131</v>
      </c>
      <c r="U61" s="626" t="str">
        <f t="shared" si="5"/>
        <v>AA11449</v>
      </c>
      <c r="V61" s="627" t="str">
        <f t="shared" si="6"/>
        <v>1532-TCN17</v>
      </c>
      <c r="W61" s="626">
        <f t="shared" si="7"/>
        <v>521909</v>
      </c>
      <c r="X61" s="626" t="str">
        <f t="shared" si="8"/>
        <v>HIGHLANDER LIMITED PANORAMIC ROOF</v>
      </c>
      <c r="Y61" s="627">
        <f t="shared" si="8"/>
        <v>2017</v>
      </c>
      <c r="Z61" s="628">
        <f t="shared" si="9"/>
        <v>566553.87</v>
      </c>
      <c r="AA61" s="629">
        <f>+Z61+Z60</f>
        <v>1150349.1200000001</v>
      </c>
      <c r="AB61" s="664">
        <v>2</v>
      </c>
      <c r="AC61" s="629">
        <f t="shared" ref="AC61" si="40">VLOOKUP(Z61,TARIFA,1)</f>
        <v>443562.4</v>
      </c>
      <c r="AD61" s="630">
        <f t="shared" ref="AD61" si="41">VLOOKUP(Z61,TARIFA,4)</f>
        <v>0.17</v>
      </c>
      <c r="AE61" s="629">
        <f t="shared" ref="AE61" si="42">VLOOKUP(Z61,TARIFA,3)</f>
        <v>27106.55</v>
      </c>
      <c r="AF61" s="629">
        <f t="shared" ref="AF61" si="43">IF(Z61&lt;281240.78,(((Z61-AC61)*AD61+AE61)/2),(Z61-AC61)*AD61+AE61)</f>
        <v>48015.099900000001</v>
      </c>
      <c r="AG61" s="555">
        <f t="shared" si="10"/>
        <v>9.9999997473787516E-5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657" t="s">
        <v>4911</v>
      </c>
      <c r="C62" s="655">
        <v>522401</v>
      </c>
      <c r="D62" s="658">
        <v>1062</v>
      </c>
      <c r="E62" s="655" t="s">
        <v>709</v>
      </c>
      <c r="F62" s="546">
        <v>2017</v>
      </c>
      <c r="G62" s="659">
        <v>42935</v>
      </c>
      <c r="H62" s="655" t="s">
        <v>2215</v>
      </c>
      <c r="I62" s="655" t="s">
        <v>4775</v>
      </c>
      <c r="J62" s="712"/>
      <c r="K62" s="655" t="s">
        <v>5135</v>
      </c>
      <c r="L62" s="655" t="s">
        <v>5284</v>
      </c>
      <c r="M62" s="660">
        <v>230112.66</v>
      </c>
      <c r="N62" s="660">
        <v>2301.13</v>
      </c>
      <c r="O62" s="660">
        <v>37186.21</v>
      </c>
      <c r="P62" s="660">
        <v>269600</v>
      </c>
      <c r="Q62" s="548"/>
      <c r="R62" s="660">
        <v>208035.7</v>
      </c>
      <c r="S62" s="549">
        <f t="shared" si="0"/>
        <v>61564.299999999988</v>
      </c>
      <c r="T62" s="267" t="s">
        <v>131</v>
      </c>
      <c r="U62" s="626" t="str">
        <f t="shared" si="5"/>
        <v>AA11498</v>
      </c>
      <c r="V62" s="627" t="str">
        <f t="shared" si="6"/>
        <v>1411-TCN17</v>
      </c>
      <c r="W62" s="626">
        <f t="shared" si="7"/>
        <v>522401</v>
      </c>
      <c r="X62" s="626" t="str">
        <f t="shared" si="8"/>
        <v>YARIS XLE R AT</v>
      </c>
      <c r="Y62" s="627">
        <f t="shared" si="8"/>
        <v>2017</v>
      </c>
      <c r="Z62" s="628">
        <f t="shared" si="9"/>
        <v>230112.66</v>
      </c>
      <c r="AA62" s="629">
        <f>+Z62</f>
        <v>230112.66</v>
      </c>
      <c r="AB62" s="664">
        <v>1</v>
      </c>
      <c r="AC62" s="629">
        <f>VLOOKUP(Z62,TARIFA,1)</f>
        <v>0.01</v>
      </c>
      <c r="AD62" s="630">
        <f>VLOOKUP(Z62,TARIFA,4)</f>
        <v>0.02</v>
      </c>
      <c r="AE62" s="629">
        <f>VLOOKUP(Z62,TARIFA,3)</f>
        <v>0</v>
      </c>
      <c r="AF62" s="629">
        <f>+N62</f>
        <v>2301.13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657" t="s">
        <v>4908</v>
      </c>
      <c r="C63" s="655">
        <v>522403</v>
      </c>
      <c r="D63" s="658">
        <v>1060</v>
      </c>
      <c r="E63" s="655" t="s">
        <v>3419</v>
      </c>
      <c r="F63" s="546">
        <v>2017</v>
      </c>
      <c r="G63" s="659">
        <v>42938</v>
      </c>
      <c r="H63" s="655" t="s">
        <v>1038</v>
      </c>
      <c r="I63" s="655" t="s">
        <v>4772</v>
      </c>
      <c r="J63" s="712"/>
      <c r="K63" s="655" t="s">
        <v>5134</v>
      </c>
      <c r="L63" s="655" t="s">
        <v>5301</v>
      </c>
      <c r="M63" s="660">
        <v>212241.38</v>
      </c>
      <c r="N63" s="660">
        <v>0</v>
      </c>
      <c r="O63" s="660">
        <v>33958.620000000003</v>
      </c>
      <c r="P63" s="660">
        <v>246200</v>
      </c>
      <c r="Q63" s="548"/>
      <c r="R63" s="660">
        <v>192306.99</v>
      </c>
      <c r="S63" s="549">
        <f t="shared" si="0"/>
        <v>53893.010000000009</v>
      </c>
      <c r="T63" s="113" t="s">
        <v>131</v>
      </c>
      <c r="U63" s="626" t="str">
        <f t="shared" si="5"/>
        <v>AA11520</v>
      </c>
      <c r="V63" s="627" t="str">
        <f t="shared" si="6"/>
        <v>1380-TCN17</v>
      </c>
      <c r="W63" s="626">
        <f t="shared" si="7"/>
        <v>522403</v>
      </c>
      <c r="X63" s="626" t="str">
        <f t="shared" si="8"/>
        <v>YARIS R</v>
      </c>
      <c r="Y63" s="627">
        <f t="shared" si="8"/>
        <v>2017</v>
      </c>
      <c r="Z63" s="628">
        <f t="shared" si="9"/>
        <v>212241.38</v>
      </c>
      <c r="AA63" s="629">
        <f>+Z63</f>
        <v>212241.38</v>
      </c>
      <c r="AB63" s="664">
        <v>1</v>
      </c>
      <c r="AC63" s="629">
        <f t="shared" si="1"/>
        <v>0.01</v>
      </c>
      <c r="AD63" s="630">
        <f t="shared" si="2"/>
        <v>0.02</v>
      </c>
      <c r="AE63" s="629">
        <f t="shared" si="3"/>
        <v>0</v>
      </c>
      <c r="AF63" s="629">
        <v>0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657" t="s">
        <v>5052</v>
      </c>
      <c r="C64" s="655">
        <v>1520104</v>
      </c>
      <c r="D64" s="658">
        <v>7493</v>
      </c>
      <c r="E64" s="655" t="s">
        <v>711</v>
      </c>
      <c r="F64" s="546">
        <v>2017</v>
      </c>
      <c r="G64" s="659">
        <v>42923</v>
      </c>
      <c r="H64" s="655" t="s">
        <v>817</v>
      </c>
      <c r="I64" s="655" t="s">
        <v>4859</v>
      </c>
      <c r="J64" s="712"/>
      <c r="K64" s="655" t="s">
        <v>1737</v>
      </c>
      <c r="L64" s="655" t="s">
        <v>5234</v>
      </c>
      <c r="M64" s="660">
        <v>250000</v>
      </c>
      <c r="N64" s="660">
        <v>12500</v>
      </c>
      <c r="O64" s="660">
        <v>42000</v>
      </c>
      <c r="P64" s="660">
        <v>304500</v>
      </c>
      <c r="Q64" s="548"/>
      <c r="R64" s="660">
        <v>229061.05</v>
      </c>
      <c r="S64" s="549">
        <f t="shared" si="0"/>
        <v>75438.950000000012</v>
      </c>
      <c r="T64" s="267" t="s">
        <v>131</v>
      </c>
      <c r="U64" s="626" t="str">
        <f t="shared" si="5"/>
        <v>AA11437</v>
      </c>
      <c r="V64" s="627" t="str">
        <f t="shared" si="6"/>
        <v>1327-TCN17</v>
      </c>
      <c r="W64" s="626">
        <f t="shared" si="7"/>
        <v>1520104</v>
      </c>
      <c r="X64" s="626" t="str">
        <f t="shared" si="8"/>
        <v>HILUX PICK UP BASIC CAB L4 16V AC</v>
      </c>
      <c r="Y64" s="627">
        <f t="shared" si="8"/>
        <v>2017</v>
      </c>
      <c r="Z64" s="628">
        <f t="shared" si="9"/>
        <v>250000</v>
      </c>
      <c r="AA64" s="629"/>
      <c r="AB64" s="664"/>
      <c r="AC64" s="629">
        <f t="shared" ref="AC64" si="44">VLOOKUP(Z64,TARIFA,1)</f>
        <v>246423.66</v>
      </c>
      <c r="AD64" s="630">
        <f t="shared" ref="AD64" si="45">VLOOKUP(Z64,TARIFA,4)</f>
        <v>0.05</v>
      </c>
      <c r="AE64" s="629">
        <f t="shared" ref="AE64" si="46">VLOOKUP(Z64,TARIFA,3)</f>
        <v>4928.3900000000003</v>
      </c>
      <c r="AF64" s="629">
        <f t="shared" ref="AF64:AF70" si="47">+N64</f>
        <v>12500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657" t="s">
        <v>5053</v>
      </c>
      <c r="C65" s="655">
        <v>1520104</v>
      </c>
      <c r="D65" s="658">
        <v>7493</v>
      </c>
      <c r="E65" s="655" t="s">
        <v>711</v>
      </c>
      <c r="F65" s="546">
        <v>2017</v>
      </c>
      <c r="G65" s="659">
        <v>42927</v>
      </c>
      <c r="H65" s="655" t="s">
        <v>819</v>
      </c>
      <c r="I65" s="655" t="s">
        <v>4860</v>
      </c>
      <c r="J65" s="712"/>
      <c r="K65" s="655" t="s">
        <v>830</v>
      </c>
      <c r="L65" s="655" t="s">
        <v>5248</v>
      </c>
      <c r="M65" s="660">
        <v>250000</v>
      </c>
      <c r="N65" s="660">
        <v>12500</v>
      </c>
      <c r="O65" s="660">
        <v>42000</v>
      </c>
      <c r="P65" s="660">
        <v>304500</v>
      </c>
      <c r="Q65" s="548"/>
      <c r="R65" s="660">
        <v>229061.05</v>
      </c>
      <c r="S65" s="549">
        <f t="shared" si="0"/>
        <v>75438.950000000012</v>
      </c>
      <c r="T65" s="444" t="s">
        <v>131</v>
      </c>
      <c r="U65" s="626" t="str">
        <f t="shared" si="5"/>
        <v>AA11455</v>
      </c>
      <c r="V65" s="627" t="str">
        <f t="shared" si="6"/>
        <v>1378-TCN17</v>
      </c>
      <c r="W65" s="626">
        <f t="shared" si="7"/>
        <v>1520104</v>
      </c>
      <c r="X65" s="626" t="str">
        <f t="shared" si="8"/>
        <v>HILUX PICK UP BASIC CAB L4 16V AC</v>
      </c>
      <c r="Y65" s="627">
        <f t="shared" si="8"/>
        <v>2017</v>
      </c>
      <c r="Z65" s="628">
        <f t="shared" si="9"/>
        <v>250000</v>
      </c>
      <c r="AA65" s="629"/>
      <c r="AB65" s="664"/>
      <c r="AC65" s="629">
        <f t="shared" si="1"/>
        <v>246423.66</v>
      </c>
      <c r="AD65" s="630">
        <f t="shared" si="2"/>
        <v>0.05</v>
      </c>
      <c r="AE65" s="629">
        <f t="shared" si="3"/>
        <v>4928.3900000000003</v>
      </c>
      <c r="AF65" s="629">
        <f t="shared" si="47"/>
        <v>12500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657" t="s">
        <v>5054</v>
      </c>
      <c r="C66" s="655">
        <v>1520104</v>
      </c>
      <c r="D66" s="658">
        <v>7493</v>
      </c>
      <c r="E66" s="655" t="s">
        <v>711</v>
      </c>
      <c r="F66" s="546">
        <v>2017</v>
      </c>
      <c r="G66" s="659">
        <v>42944</v>
      </c>
      <c r="H66" s="655" t="s">
        <v>819</v>
      </c>
      <c r="I66" s="655" t="s">
        <v>4861</v>
      </c>
      <c r="J66" s="712"/>
      <c r="K66" s="655" t="s">
        <v>5180</v>
      </c>
      <c r="L66" s="655" t="s">
        <v>5327</v>
      </c>
      <c r="M66" s="660">
        <v>250000</v>
      </c>
      <c r="N66" s="660">
        <v>12500</v>
      </c>
      <c r="O66" s="660">
        <v>42000</v>
      </c>
      <c r="P66" s="660">
        <v>304500</v>
      </c>
      <c r="Q66" s="548"/>
      <c r="R66" s="660">
        <v>229061.05</v>
      </c>
      <c r="S66" s="549">
        <f t="shared" si="0"/>
        <v>75438.950000000012</v>
      </c>
      <c r="T66" s="445" t="s">
        <v>131</v>
      </c>
      <c r="U66" s="626" t="str">
        <f t="shared" si="5"/>
        <v>AA11555</v>
      </c>
      <c r="V66" s="627" t="str">
        <f t="shared" si="6"/>
        <v>1349-TCN17</v>
      </c>
      <c r="W66" s="626">
        <f t="shared" si="7"/>
        <v>1520104</v>
      </c>
      <c r="X66" s="626" t="str">
        <f t="shared" si="8"/>
        <v>HILUX PICK UP BASIC CAB L4 16V AC</v>
      </c>
      <c r="Y66" s="627">
        <f t="shared" si="8"/>
        <v>2017</v>
      </c>
      <c r="Z66" s="628">
        <f t="shared" si="9"/>
        <v>250000</v>
      </c>
      <c r="AA66" s="629"/>
      <c r="AB66" s="664"/>
      <c r="AC66" s="629">
        <f t="shared" si="1"/>
        <v>246423.66</v>
      </c>
      <c r="AD66" s="630">
        <f t="shared" si="2"/>
        <v>0.05</v>
      </c>
      <c r="AE66" s="629">
        <f t="shared" si="3"/>
        <v>4928.3900000000003</v>
      </c>
      <c r="AF66" s="629">
        <f t="shared" si="47"/>
        <v>12500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657" t="s">
        <v>5055</v>
      </c>
      <c r="C67" s="655">
        <v>1520104</v>
      </c>
      <c r="D67" s="658">
        <v>7493</v>
      </c>
      <c r="E67" s="655" t="s">
        <v>711</v>
      </c>
      <c r="F67" s="546">
        <v>2017</v>
      </c>
      <c r="G67" s="659">
        <v>42947</v>
      </c>
      <c r="H67" s="655" t="s">
        <v>819</v>
      </c>
      <c r="I67" s="655" t="s">
        <v>4862</v>
      </c>
      <c r="J67" s="712"/>
      <c r="K67" s="655" t="s">
        <v>1008</v>
      </c>
      <c r="L67" s="655" t="s">
        <v>5334</v>
      </c>
      <c r="M67" s="660">
        <v>250000</v>
      </c>
      <c r="N67" s="660">
        <v>12500</v>
      </c>
      <c r="O67" s="660">
        <v>42000</v>
      </c>
      <c r="P67" s="660">
        <v>304500</v>
      </c>
      <c r="Q67" s="548"/>
      <c r="R67" s="660">
        <v>229061.05</v>
      </c>
      <c r="S67" s="549">
        <f t="shared" si="0"/>
        <v>75438.950000000012</v>
      </c>
      <c r="T67" s="267" t="s">
        <v>131</v>
      </c>
      <c r="U67" s="626" t="str">
        <f t="shared" si="5"/>
        <v>AA11565</v>
      </c>
      <c r="V67" s="627" t="str">
        <f t="shared" si="6"/>
        <v>1483-TCN17</v>
      </c>
      <c r="W67" s="626">
        <f t="shared" si="7"/>
        <v>1520104</v>
      </c>
      <c r="X67" s="626" t="str">
        <f t="shared" si="8"/>
        <v>HILUX PICK UP BASIC CAB L4 16V AC</v>
      </c>
      <c r="Y67" s="627">
        <f t="shared" si="8"/>
        <v>2017</v>
      </c>
      <c r="Z67" s="628">
        <f t="shared" si="9"/>
        <v>250000</v>
      </c>
      <c r="AA67" s="629">
        <f>+Z67+Z66+Z65+Z64</f>
        <v>1000000</v>
      </c>
      <c r="AB67" s="677">
        <v>4</v>
      </c>
      <c r="AC67" s="629">
        <f t="shared" si="1"/>
        <v>246423.66</v>
      </c>
      <c r="AD67" s="630">
        <f t="shared" si="2"/>
        <v>0.05</v>
      </c>
      <c r="AE67" s="629">
        <f t="shared" si="3"/>
        <v>4928.3900000000003</v>
      </c>
      <c r="AF67" s="629">
        <f t="shared" si="47"/>
        <v>12500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657" t="s">
        <v>5056</v>
      </c>
      <c r="C68" s="655">
        <v>1520105</v>
      </c>
      <c r="D68" s="658">
        <v>7494</v>
      </c>
      <c r="E68" s="655" t="s">
        <v>712</v>
      </c>
      <c r="F68" s="546">
        <v>2017</v>
      </c>
      <c r="G68" s="659">
        <v>42919</v>
      </c>
      <c r="H68" s="655" t="s">
        <v>727</v>
      </c>
      <c r="I68" s="655" t="s">
        <v>4863</v>
      </c>
      <c r="J68" s="712"/>
      <c r="K68" s="655" t="s">
        <v>5181</v>
      </c>
      <c r="L68" s="655" t="s">
        <v>5213</v>
      </c>
      <c r="M68" s="660">
        <v>235139.57</v>
      </c>
      <c r="N68" s="660">
        <v>11756.98</v>
      </c>
      <c r="O68" s="660">
        <v>39503.449999999997</v>
      </c>
      <c r="P68" s="660">
        <v>286400</v>
      </c>
      <c r="Q68" s="548"/>
      <c r="R68" s="660">
        <v>215512.69</v>
      </c>
      <c r="S68" s="549">
        <f t="shared" si="0"/>
        <v>70887.31</v>
      </c>
      <c r="T68" s="113" t="s">
        <v>131</v>
      </c>
      <c r="U68" s="626" t="str">
        <f t="shared" si="5"/>
        <v>AA11408</v>
      </c>
      <c r="V68" s="627" t="str">
        <f t="shared" si="6"/>
        <v>1492-TCN17</v>
      </c>
      <c r="W68" s="626">
        <f t="shared" si="7"/>
        <v>1520105</v>
      </c>
      <c r="X68" s="626" t="str">
        <f t="shared" si="8"/>
        <v>HILUX PICK UP CHASSIS CAB</v>
      </c>
      <c r="Y68" s="627">
        <f t="shared" si="8"/>
        <v>2017</v>
      </c>
      <c r="Z68" s="628">
        <f t="shared" si="9"/>
        <v>235139.57</v>
      </c>
      <c r="AA68" s="629"/>
      <c r="AB68" s="664"/>
      <c r="AC68" s="629">
        <f t="shared" si="1"/>
        <v>0.01</v>
      </c>
      <c r="AD68" s="630">
        <f t="shared" si="2"/>
        <v>0.02</v>
      </c>
      <c r="AE68" s="629">
        <f t="shared" si="3"/>
        <v>0</v>
      </c>
      <c r="AF68" s="629">
        <f t="shared" si="47"/>
        <v>11756.98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657" t="s">
        <v>5060</v>
      </c>
      <c r="C69" s="655">
        <v>1520105</v>
      </c>
      <c r="D69" s="658">
        <v>7494</v>
      </c>
      <c r="E69" s="655" t="s">
        <v>712</v>
      </c>
      <c r="F69" s="546">
        <v>2017</v>
      </c>
      <c r="G69" s="659">
        <v>42927</v>
      </c>
      <c r="H69" s="655" t="s">
        <v>819</v>
      </c>
      <c r="I69" s="655" t="s">
        <v>4864</v>
      </c>
      <c r="J69" s="712"/>
      <c r="K69" s="655" t="s">
        <v>830</v>
      </c>
      <c r="L69" s="655" t="s">
        <v>5246</v>
      </c>
      <c r="M69" s="660">
        <v>235139.57</v>
      </c>
      <c r="N69" s="660">
        <v>11756.98</v>
      </c>
      <c r="O69" s="660">
        <v>39503.449999999997</v>
      </c>
      <c r="P69" s="660">
        <v>286400</v>
      </c>
      <c r="Q69" s="548"/>
      <c r="R69" s="660">
        <v>215512.69</v>
      </c>
      <c r="S69" s="549">
        <f t="shared" si="0"/>
        <v>70887.31</v>
      </c>
      <c r="T69" s="113" t="s">
        <v>131</v>
      </c>
      <c r="U69" s="626" t="str">
        <f t="shared" si="5"/>
        <v>AA11453</v>
      </c>
      <c r="V69" s="627" t="str">
        <f t="shared" si="6"/>
        <v>1494-TCN17</v>
      </c>
      <c r="W69" s="626">
        <f t="shared" si="7"/>
        <v>1520105</v>
      </c>
      <c r="X69" s="626" t="str">
        <f t="shared" si="8"/>
        <v>HILUX PICK UP CHASSIS CAB</v>
      </c>
      <c r="Y69" s="627">
        <f t="shared" si="8"/>
        <v>2017</v>
      </c>
      <c r="Z69" s="628">
        <f t="shared" si="9"/>
        <v>235139.57</v>
      </c>
      <c r="AA69" s="629">
        <f>+Z69+Z68</f>
        <v>470279.14</v>
      </c>
      <c r="AB69" s="677">
        <v>2</v>
      </c>
      <c r="AC69" s="629">
        <f t="shared" si="1"/>
        <v>0.01</v>
      </c>
      <c r="AD69" s="630">
        <f t="shared" si="2"/>
        <v>0.02</v>
      </c>
      <c r="AE69" s="629">
        <f t="shared" si="3"/>
        <v>0</v>
      </c>
      <c r="AF69" s="629">
        <f t="shared" si="47"/>
        <v>11756.98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657" t="s">
        <v>5035</v>
      </c>
      <c r="C70" s="655">
        <v>1520202</v>
      </c>
      <c r="D70" s="658">
        <v>5601</v>
      </c>
      <c r="E70" s="655" t="s">
        <v>221</v>
      </c>
      <c r="F70" s="546">
        <v>2018</v>
      </c>
      <c r="G70" s="659">
        <v>42928</v>
      </c>
      <c r="H70" s="655" t="s">
        <v>1038</v>
      </c>
      <c r="I70" s="655" t="s">
        <v>4849</v>
      </c>
      <c r="J70" s="712"/>
      <c r="K70" s="655" t="s">
        <v>5176</v>
      </c>
      <c r="L70" s="655" t="s">
        <v>5254</v>
      </c>
      <c r="M70" s="660">
        <v>325615.76</v>
      </c>
      <c r="N70" s="660">
        <v>16280.79</v>
      </c>
      <c r="O70" s="660">
        <v>54703.45</v>
      </c>
      <c r="P70" s="660">
        <v>396600</v>
      </c>
      <c r="Q70" s="548"/>
      <c r="R70" s="660">
        <v>288738.28999999998</v>
      </c>
      <c r="S70" s="549">
        <f t="shared" ref="S70:S133" si="48">+P70-R70</f>
        <v>107861.71000000002</v>
      </c>
      <c r="T70" s="267" t="s">
        <v>131</v>
      </c>
      <c r="U70" s="626" t="str">
        <f t="shared" si="5"/>
        <v>AA11463</v>
      </c>
      <c r="V70" s="627" t="str">
        <f t="shared" si="6"/>
        <v>0020-TCN18</v>
      </c>
      <c r="W70" s="626">
        <f t="shared" si="7"/>
        <v>1520202</v>
      </c>
      <c r="X70" s="626" t="str">
        <f t="shared" si="8"/>
        <v>HIACE PANEL SUPER LARGA</v>
      </c>
      <c r="Y70" s="627">
        <f t="shared" si="8"/>
        <v>2018</v>
      </c>
      <c r="Z70" s="628">
        <f t="shared" si="9"/>
        <v>325615.76</v>
      </c>
      <c r="AA70" s="629">
        <f>+Z70</f>
        <v>325615.76</v>
      </c>
      <c r="AB70" s="677">
        <v>1</v>
      </c>
      <c r="AC70" s="629">
        <f t="shared" ref="AC70" si="49">VLOOKUP(Z70,TARIFA,1)</f>
        <v>295708.34000000003</v>
      </c>
      <c r="AD70" s="630">
        <f t="shared" ref="AD70" si="50">VLOOKUP(Z70,TARIFA,4)</f>
        <v>0.1</v>
      </c>
      <c r="AE70" s="629">
        <f t="shared" ref="AE70" si="51">VLOOKUP(Z70,TARIFA,3)</f>
        <v>7392.74</v>
      </c>
      <c r="AF70" s="629">
        <f t="shared" si="47"/>
        <v>16280.79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657" t="s">
        <v>5051</v>
      </c>
      <c r="C71" s="655">
        <v>1520302</v>
      </c>
      <c r="D71" s="658">
        <v>7441</v>
      </c>
      <c r="E71" s="655" t="s">
        <v>715</v>
      </c>
      <c r="F71" s="546">
        <v>2017</v>
      </c>
      <c r="G71" s="659">
        <v>42941</v>
      </c>
      <c r="H71" s="655" t="s">
        <v>727</v>
      </c>
      <c r="I71" s="655" t="s">
        <v>4858</v>
      </c>
      <c r="J71" s="712"/>
      <c r="K71" s="655" t="s">
        <v>3199</v>
      </c>
      <c r="L71" s="655" t="s">
        <v>5310</v>
      </c>
      <c r="M71" s="660">
        <v>525451.56000000006</v>
      </c>
      <c r="N71" s="660">
        <v>26272.58</v>
      </c>
      <c r="O71" s="660">
        <v>88275.86</v>
      </c>
      <c r="P71" s="660">
        <v>640000</v>
      </c>
      <c r="Q71" s="548"/>
      <c r="R71" s="660">
        <v>465264.76</v>
      </c>
      <c r="S71" s="549">
        <f t="shared" si="48"/>
        <v>174735.24</v>
      </c>
      <c r="T71" s="113" t="s">
        <v>131</v>
      </c>
      <c r="U71" s="626" t="str">
        <f t="shared" ref="U71:U81" si="52">+B71</f>
        <v>AA11532</v>
      </c>
      <c r="V71" s="627" t="str">
        <f t="shared" ref="V71:V81" si="53">+I71</f>
        <v>1633-TCN17</v>
      </c>
      <c r="W71" s="626">
        <f t="shared" ref="W71:W81" si="54">+C71</f>
        <v>1520302</v>
      </c>
      <c r="X71" s="626" t="str">
        <f t="shared" ref="X71:Y81" si="55">+E71</f>
        <v>TACOMA 4X4</v>
      </c>
      <c r="Y71" s="627">
        <f t="shared" si="55"/>
        <v>2017</v>
      </c>
      <c r="Z71" s="628">
        <f t="shared" ref="Z71:Z81" si="56">+M71</f>
        <v>525451.56000000006</v>
      </c>
      <c r="AA71" s="629">
        <f>+Z71</f>
        <v>525451.56000000006</v>
      </c>
      <c r="AB71" s="677">
        <v>1</v>
      </c>
      <c r="AC71" s="629">
        <f t="shared" ref="AC71:AC81" si="57">VLOOKUP(Z71,TARIFA,1)</f>
        <v>443562.4</v>
      </c>
      <c r="AD71" s="630">
        <f t="shared" ref="AD71:AD81" si="58">VLOOKUP(Z71,TARIFA,4)</f>
        <v>0.17</v>
      </c>
      <c r="AE71" s="629">
        <f t="shared" ref="AE71:AE81" si="59">VLOOKUP(Z71,TARIFA,3)</f>
        <v>27106.55</v>
      </c>
      <c r="AF71" s="629">
        <f t="shared" ref="AF71:AF81" si="60">+N71</f>
        <v>26272.58</v>
      </c>
      <c r="AG71" s="555">
        <f t="shared" ref="AG71:AG81" si="61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62">+A71+1</f>
        <v>67</v>
      </c>
      <c r="B72" s="657" t="s">
        <v>5050</v>
      </c>
      <c r="C72" s="655">
        <v>1520304</v>
      </c>
      <c r="D72" s="658">
        <v>7440</v>
      </c>
      <c r="E72" s="655" t="s">
        <v>1520</v>
      </c>
      <c r="F72" s="546">
        <v>2017</v>
      </c>
      <c r="G72" s="659">
        <v>42941</v>
      </c>
      <c r="H72" s="655" t="s">
        <v>774</v>
      </c>
      <c r="I72" s="655" t="s">
        <v>4857</v>
      </c>
      <c r="J72" s="712"/>
      <c r="K72" s="655" t="s">
        <v>5179</v>
      </c>
      <c r="L72" s="655" t="s">
        <v>5308</v>
      </c>
      <c r="M72" s="660">
        <v>579556.65</v>
      </c>
      <c r="N72" s="660">
        <v>28977.83</v>
      </c>
      <c r="O72" s="660">
        <v>97365.52</v>
      </c>
      <c r="P72" s="660">
        <v>705900</v>
      </c>
      <c r="Q72" s="548"/>
      <c r="R72" s="660">
        <v>512878.1</v>
      </c>
      <c r="S72" s="549">
        <f t="shared" si="48"/>
        <v>193021.90000000002</v>
      </c>
      <c r="T72" s="113" t="s">
        <v>131</v>
      </c>
      <c r="U72" s="626" t="str">
        <f t="shared" si="52"/>
        <v>AA11530</v>
      </c>
      <c r="V72" s="627" t="str">
        <f t="shared" si="53"/>
        <v>1634-TCN17</v>
      </c>
      <c r="W72" s="626">
        <f t="shared" si="54"/>
        <v>1520304</v>
      </c>
      <c r="X72" s="626" t="str">
        <f t="shared" si="55"/>
        <v>TACOMA EDICION ESPECIAL</v>
      </c>
      <c r="Y72" s="627">
        <f t="shared" si="55"/>
        <v>2017</v>
      </c>
      <c r="Z72" s="628">
        <f t="shared" si="56"/>
        <v>579556.65</v>
      </c>
      <c r="AA72" s="629">
        <f>+Z72</f>
        <v>579556.65</v>
      </c>
      <c r="AB72" s="677">
        <v>1</v>
      </c>
      <c r="AC72" s="629">
        <f t="shared" si="57"/>
        <v>443562.4</v>
      </c>
      <c r="AD72" s="630">
        <f t="shared" si="58"/>
        <v>0.17</v>
      </c>
      <c r="AE72" s="629">
        <f t="shared" si="59"/>
        <v>27106.55</v>
      </c>
      <c r="AF72" s="629">
        <f t="shared" si="60"/>
        <v>28977.83</v>
      </c>
      <c r="AG72" s="555">
        <f t="shared" si="61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62"/>
        <v>68</v>
      </c>
      <c r="B73" s="657" t="s">
        <v>5078</v>
      </c>
      <c r="C73" s="655">
        <v>1520603</v>
      </c>
      <c r="D73" s="658">
        <v>7497</v>
      </c>
      <c r="E73" s="655" t="s">
        <v>717</v>
      </c>
      <c r="F73" s="546">
        <v>2017</v>
      </c>
      <c r="G73" s="659">
        <v>42921</v>
      </c>
      <c r="H73" s="655" t="s">
        <v>727</v>
      </c>
      <c r="I73" s="655" t="s">
        <v>4880</v>
      </c>
      <c r="J73" s="712"/>
      <c r="K73" s="655" t="s">
        <v>5188</v>
      </c>
      <c r="L73" s="655" t="s">
        <v>5219</v>
      </c>
      <c r="M73" s="660">
        <v>271264.37</v>
      </c>
      <c r="N73" s="660">
        <v>13563.22</v>
      </c>
      <c r="O73" s="660">
        <v>45572.41</v>
      </c>
      <c r="P73" s="660">
        <v>330400</v>
      </c>
      <c r="Q73" s="548"/>
      <c r="R73" s="660">
        <v>257187.57</v>
      </c>
      <c r="S73" s="549">
        <f t="shared" si="48"/>
        <v>73212.429999999993</v>
      </c>
      <c r="T73" s="113" t="s">
        <v>131</v>
      </c>
      <c r="U73" s="626" t="str">
        <f t="shared" si="52"/>
        <v>AA11419</v>
      </c>
      <c r="V73" s="627" t="str">
        <f t="shared" si="53"/>
        <v>1541-TCN17</v>
      </c>
      <c r="W73" s="626">
        <f t="shared" si="54"/>
        <v>1520603</v>
      </c>
      <c r="X73" s="626" t="str">
        <f t="shared" si="55"/>
        <v>HILUX BASE CON VIDRIOS ELECTRICOS</v>
      </c>
      <c r="Y73" s="627">
        <f t="shared" si="55"/>
        <v>2017</v>
      </c>
      <c r="Z73" s="628">
        <f t="shared" si="56"/>
        <v>271264.37</v>
      </c>
      <c r="AA73" s="629"/>
      <c r="AB73" s="664"/>
      <c r="AC73" s="629">
        <f t="shared" si="57"/>
        <v>246423.66</v>
      </c>
      <c r="AD73" s="630">
        <f t="shared" si="58"/>
        <v>0.05</v>
      </c>
      <c r="AE73" s="629">
        <f t="shared" si="59"/>
        <v>4928.3900000000003</v>
      </c>
      <c r="AF73" s="629">
        <f t="shared" si="60"/>
        <v>13563.22</v>
      </c>
      <c r="AG73" s="555">
        <f t="shared" si="61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62"/>
        <v>69</v>
      </c>
      <c r="B74" s="657" t="s">
        <v>5082</v>
      </c>
      <c r="C74" s="655">
        <v>1520603</v>
      </c>
      <c r="D74" s="658">
        <v>7497</v>
      </c>
      <c r="E74" s="655" t="s">
        <v>717</v>
      </c>
      <c r="F74" s="546">
        <v>2017</v>
      </c>
      <c r="G74" s="659">
        <v>42934</v>
      </c>
      <c r="H74" s="655" t="s">
        <v>5131</v>
      </c>
      <c r="I74" s="655" t="s">
        <v>4883</v>
      </c>
      <c r="J74" s="712"/>
      <c r="K74" s="655" t="s">
        <v>830</v>
      </c>
      <c r="L74" s="655" t="s">
        <v>5278</v>
      </c>
      <c r="M74" s="660">
        <v>271264.37</v>
      </c>
      <c r="N74" s="660">
        <v>13563.22</v>
      </c>
      <c r="O74" s="660">
        <v>45572.41</v>
      </c>
      <c r="P74" s="660">
        <v>330400</v>
      </c>
      <c r="Q74" s="548"/>
      <c r="R74" s="660">
        <v>256833.09</v>
      </c>
      <c r="S74" s="549">
        <f t="shared" si="48"/>
        <v>73566.91</v>
      </c>
      <c r="T74" s="113" t="s">
        <v>131</v>
      </c>
      <c r="U74" s="626" t="str">
        <f t="shared" si="52"/>
        <v>AA11491</v>
      </c>
      <c r="V74" s="627" t="str">
        <f t="shared" si="53"/>
        <v>1310-TCN17</v>
      </c>
      <c r="W74" s="626">
        <f t="shared" si="54"/>
        <v>1520603</v>
      </c>
      <c r="X74" s="626" t="str">
        <f t="shared" si="55"/>
        <v>HILUX BASE CON VIDRIOS ELECTRICOS</v>
      </c>
      <c r="Y74" s="627">
        <f t="shared" si="55"/>
        <v>2017</v>
      </c>
      <c r="Z74" s="628">
        <f t="shared" si="56"/>
        <v>271264.37</v>
      </c>
      <c r="AA74" s="629"/>
      <c r="AB74" s="664"/>
      <c r="AC74" s="629">
        <f t="shared" si="57"/>
        <v>246423.66</v>
      </c>
      <c r="AD74" s="630">
        <f t="shared" si="58"/>
        <v>0.05</v>
      </c>
      <c r="AE74" s="629">
        <f t="shared" si="59"/>
        <v>4928.3900000000003</v>
      </c>
      <c r="AF74" s="629">
        <f t="shared" si="60"/>
        <v>13563.22</v>
      </c>
      <c r="AG74" s="555">
        <f t="shared" si="61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62"/>
        <v>70</v>
      </c>
      <c r="B75" s="657" t="s">
        <v>5083</v>
      </c>
      <c r="C75" s="655">
        <v>1520603</v>
      </c>
      <c r="D75" s="658">
        <v>7497</v>
      </c>
      <c r="E75" s="655" t="s">
        <v>717</v>
      </c>
      <c r="F75" s="546">
        <v>2017</v>
      </c>
      <c r="G75" s="659">
        <v>42944</v>
      </c>
      <c r="H75" s="655" t="s">
        <v>819</v>
      </c>
      <c r="I75" s="655" t="s">
        <v>4421</v>
      </c>
      <c r="J75" s="712"/>
      <c r="K75" s="655" t="s">
        <v>5180</v>
      </c>
      <c r="L75" s="655" t="s">
        <v>4422</v>
      </c>
      <c r="M75" s="660">
        <v>271264.37</v>
      </c>
      <c r="N75" s="660">
        <v>13563.22</v>
      </c>
      <c r="O75" s="660">
        <v>45572.41</v>
      </c>
      <c r="P75" s="660">
        <v>330400</v>
      </c>
      <c r="Q75" s="548"/>
      <c r="R75" s="660">
        <v>256833.09</v>
      </c>
      <c r="S75" s="549">
        <f t="shared" si="48"/>
        <v>73566.91</v>
      </c>
      <c r="T75" s="267" t="s">
        <v>131</v>
      </c>
      <c r="U75" s="626" t="str">
        <f t="shared" si="52"/>
        <v>AA11556</v>
      </c>
      <c r="V75" s="627" t="str">
        <f t="shared" si="53"/>
        <v>1371-TCN17</v>
      </c>
      <c r="W75" s="626">
        <f t="shared" si="54"/>
        <v>1520603</v>
      </c>
      <c r="X75" s="626" t="str">
        <f t="shared" si="55"/>
        <v>HILUX BASE CON VIDRIOS ELECTRICOS</v>
      </c>
      <c r="Y75" s="627">
        <f t="shared" si="55"/>
        <v>2017</v>
      </c>
      <c r="Z75" s="628">
        <f t="shared" si="56"/>
        <v>271264.37</v>
      </c>
      <c r="AA75" s="629"/>
      <c r="AB75" s="664"/>
      <c r="AC75" s="629">
        <f t="shared" si="57"/>
        <v>246423.66</v>
      </c>
      <c r="AD75" s="630">
        <f t="shared" si="58"/>
        <v>0.05</v>
      </c>
      <c r="AE75" s="629">
        <f t="shared" si="59"/>
        <v>4928.3900000000003</v>
      </c>
      <c r="AF75" s="629">
        <f t="shared" si="60"/>
        <v>13563.22</v>
      </c>
      <c r="AG75" s="555">
        <f t="shared" si="61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62"/>
        <v>71</v>
      </c>
      <c r="B76" s="657" t="s">
        <v>5081</v>
      </c>
      <c r="C76" s="655">
        <v>1520603</v>
      </c>
      <c r="D76" s="658">
        <v>7497</v>
      </c>
      <c r="E76" s="655" t="s">
        <v>717</v>
      </c>
      <c r="F76" s="546">
        <v>2017</v>
      </c>
      <c r="G76" s="659">
        <v>42923</v>
      </c>
      <c r="H76" s="655" t="s">
        <v>908</v>
      </c>
      <c r="I76" s="655" t="s">
        <v>4421</v>
      </c>
      <c r="J76" s="712"/>
      <c r="K76" s="655" t="s">
        <v>1708</v>
      </c>
      <c r="L76" s="655" t="s">
        <v>4422</v>
      </c>
      <c r="M76" s="660">
        <v>-275369.46000000002</v>
      </c>
      <c r="N76" s="660">
        <v>-13768.47</v>
      </c>
      <c r="O76" s="660">
        <v>-46262.07</v>
      </c>
      <c r="P76" s="660">
        <v>-335400</v>
      </c>
      <c r="Q76" s="548"/>
      <c r="R76" s="660">
        <v>-256833.09</v>
      </c>
      <c r="S76" s="549">
        <f t="shared" si="48"/>
        <v>-78566.91</v>
      </c>
      <c r="T76" s="113" t="s">
        <v>1266</v>
      </c>
      <c r="U76" s="626" t="str">
        <f t="shared" si="52"/>
        <v>ZA04174</v>
      </c>
      <c r="V76" s="627" t="str">
        <f t="shared" si="53"/>
        <v>1371-TCN17</v>
      </c>
      <c r="W76" s="626">
        <f t="shared" si="54"/>
        <v>1520603</v>
      </c>
      <c r="X76" s="626" t="str">
        <f t="shared" si="55"/>
        <v>HILUX BASE CON VIDRIOS ELECTRICOS</v>
      </c>
      <c r="Y76" s="627">
        <f t="shared" si="55"/>
        <v>2017</v>
      </c>
      <c r="Z76" s="628">
        <f t="shared" si="56"/>
        <v>-275369.46000000002</v>
      </c>
      <c r="AA76" s="629">
        <f>+Z76+Z75+Z74+Z73</f>
        <v>538423.64999999991</v>
      </c>
      <c r="AB76" s="677">
        <v>2</v>
      </c>
      <c r="AC76" s="629"/>
      <c r="AD76" s="630"/>
      <c r="AE76" s="629"/>
      <c r="AF76" s="629">
        <f t="shared" si="60"/>
        <v>-13768.47</v>
      </c>
      <c r="AG76" s="555">
        <f t="shared" si="61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62"/>
        <v>72</v>
      </c>
      <c r="B77" s="657" t="s">
        <v>5067</v>
      </c>
      <c r="C77" s="655">
        <v>1520604</v>
      </c>
      <c r="D77" s="658">
        <v>7495</v>
      </c>
      <c r="E77" s="655" t="s">
        <v>718</v>
      </c>
      <c r="F77" s="546">
        <v>2017</v>
      </c>
      <c r="G77" s="659">
        <v>42933</v>
      </c>
      <c r="H77" s="655" t="s">
        <v>5131</v>
      </c>
      <c r="I77" s="655" t="s">
        <v>3079</v>
      </c>
      <c r="J77" s="712"/>
      <c r="K77" s="655" t="s">
        <v>5183</v>
      </c>
      <c r="L77" s="655" t="s">
        <v>3345</v>
      </c>
      <c r="M77" s="660">
        <v>296880.13</v>
      </c>
      <c r="N77" s="660">
        <v>14844.01</v>
      </c>
      <c r="O77" s="660">
        <v>49875.86</v>
      </c>
      <c r="P77" s="660">
        <v>361600</v>
      </c>
      <c r="Q77" s="548"/>
      <c r="R77" s="660">
        <v>255426.86</v>
      </c>
      <c r="S77" s="549">
        <f t="shared" si="48"/>
        <v>106173.14000000001</v>
      </c>
      <c r="T77" s="444" t="s">
        <v>131</v>
      </c>
      <c r="U77" s="626" t="str">
        <f t="shared" si="52"/>
        <v>AA11479</v>
      </c>
      <c r="V77" s="627" t="str">
        <f t="shared" si="53"/>
        <v>1151-TCN17</v>
      </c>
      <c r="W77" s="626">
        <f t="shared" si="54"/>
        <v>1520604</v>
      </c>
      <c r="X77" s="626" t="str">
        <f t="shared" si="55"/>
        <v>HILUX PICK UP D CAB SR A/C</v>
      </c>
      <c r="Y77" s="627">
        <f t="shared" si="55"/>
        <v>2017</v>
      </c>
      <c r="Z77" s="628">
        <f t="shared" si="56"/>
        <v>296880.13</v>
      </c>
      <c r="AA77" s="629"/>
      <c r="AB77" s="664"/>
      <c r="AC77" s="629">
        <f t="shared" si="57"/>
        <v>295708.34000000003</v>
      </c>
      <c r="AD77" s="630">
        <f t="shared" si="58"/>
        <v>0.1</v>
      </c>
      <c r="AE77" s="629">
        <f t="shared" si="59"/>
        <v>7392.74</v>
      </c>
      <c r="AF77" s="629">
        <f t="shared" si="60"/>
        <v>14844.01</v>
      </c>
      <c r="AG77" s="555">
        <f t="shared" si="61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62"/>
        <v>73</v>
      </c>
      <c r="B78" s="657" t="s">
        <v>5069</v>
      </c>
      <c r="C78" s="655">
        <v>1520604</v>
      </c>
      <c r="D78" s="658">
        <v>7495</v>
      </c>
      <c r="E78" s="655" t="s">
        <v>718</v>
      </c>
      <c r="F78" s="546">
        <v>2017</v>
      </c>
      <c r="G78" s="659">
        <v>42938</v>
      </c>
      <c r="H78" s="655" t="s">
        <v>788</v>
      </c>
      <c r="I78" s="655" t="s">
        <v>4871</v>
      </c>
      <c r="J78" s="712"/>
      <c r="K78" s="655" t="s">
        <v>5184</v>
      </c>
      <c r="L78" s="655" t="s">
        <v>5298</v>
      </c>
      <c r="M78" s="660">
        <v>296880.13</v>
      </c>
      <c r="N78" s="660">
        <v>14844.01</v>
      </c>
      <c r="O78" s="660">
        <v>49875.86</v>
      </c>
      <c r="P78" s="660">
        <v>361600</v>
      </c>
      <c r="Q78" s="548"/>
      <c r="R78" s="660">
        <v>262450.93</v>
      </c>
      <c r="S78" s="549">
        <f t="shared" si="48"/>
        <v>99149.07</v>
      </c>
      <c r="T78" s="113" t="s">
        <v>131</v>
      </c>
      <c r="U78" s="626" t="str">
        <f t="shared" si="52"/>
        <v>AA11517</v>
      </c>
      <c r="V78" s="627" t="str">
        <f t="shared" si="53"/>
        <v>1366-TCN17</v>
      </c>
      <c r="W78" s="626">
        <f t="shared" si="54"/>
        <v>1520604</v>
      </c>
      <c r="X78" s="626" t="str">
        <f t="shared" si="55"/>
        <v>HILUX PICK UP D CAB SR A/C</v>
      </c>
      <c r="Y78" s="627">
        <f t="shared" si="55"/>
        <v>2017</v>
      </c>
      <c r="Z78" s="628">
        <f t="shared" si="56"/>
        <v>296880.13</v>
      </c>
      <c r="AA78" s="629"/>
      <c r="AB78" s="664"/>
      <c r="AC78" s="629">
        <f t="shared" si="57"/>
        <v>295708.34000000003</v>
      </c>
      <c r="AD78" s="630">
        <f t="shared" si="58"/>
        <v>0.1</v>
      </c>
      <c r="AE78" s="629">
        <f t="shared" si="59"/>
        <v>7392.74</v>
      </c>
      <c r="AF78" s="629">
        <f t="shared" si="60"/>
        <v>14844.01</v>
      </c>
      <c r="AG78" s="555">
        <f t="shared" si="61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62"/>
        <v>74</v>
      </c>
      <c r="B79" s="657" t="s">
        <v>5071</v>
      </c>
      <c r="C79" s="655">
        <v>1520604</v>
      </c>
      <c r="D79" s="658">
        <v>7495</v>
      </c>
      <c r="E79" s="655" t="s">
        <v>718</v>
      </c>
      <c r="F79" s="546">
        <v>2017</v>
      </c>
      <c r="G79" s="659">
        <v>42940</v>
      </c>
      <c r="H79" s="655" t="s">
        <v>819</v>
      </c>
      <c r="I79" s="655" t="s">
        <v>4873</v>
      </c>
      <c r="J79" s="712"/>
      <c r="K79" s="655" t="s">
        <v>5185</v>
      </c>
      <c r="L79" s="655" t="s">
        <v>5304</v>
      </c>
      <c r="M79" s="660">
        <v>296880.13</v>
      </c>
      <c r="N79" s="660">
        <v>14844.01</v>
      </c>
      <c r="O79" s="660">
        <v>49875.86</v>
      </c>
      <c r="P79" s="660">
        <v>361600</v>
      </c>
      <c r="Q79" s="548"/>
      <c r="R79" s="660">
        <v>262450.93</v>
      </c>
      <c r="S79" s="549">
        <f t="shared" si="48"/>
        <v>99149.07</v>
      </c>
      <c r="T79" s="113" t="s">
        <v>131</v>
      </c>
      <c r="U79" s="626" t="str">
        <f t="shared" si="52"/>
        <v>AA11524</v>
      </c>
      <c r="V79" s="627" t="str">
        <f t="shared" si="53"/>
        <v>1298-TCN17</v>
      </c>
      <c r="W79" s="626">
        <f t="shared" si="54"/>
        <v>1520604</v>
      </c>
      <c r="X79" s="626" t="str">
        <f t="shared" si="55"/>
        <v>HILUX PICK UP D CAB SR A/C</v>
      </c>
      <c r="Y79" s="627">
        <f t="shared" si="55"/>
        <v>2017</v>
      </c>
      <c r="Z79" s="628">
        <f t="shared" si="56"/>
        <v>296880.13</v>
      </c>
      <c r="AA79" s="629"/>
      <c r="AB79" s="664"/>
      <c r="AC79" s="629">
        <f t="shared" si="57"/>
        <v>295708.34000000003</v>
      </c>
      <c r="AD79" s="630">
        <f t="shared" si="58"/>
        <v>0.1</v>
      </c>
      <c r="AE79" s="629">
        <f t="shared" si="59"/>
        <v>7392.74</v>
      </c>
      <c r="AF79" s="629">
        <f t="shared" si="60"/>
        <v>14844.01</v>
      </c>
      <c r="AG79" s="555">
        <f t="shared" si="61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62"/>
        <v>75</v>
      </c>
      <c r="B80" s="657" t="s">
        <v>5073</v>
      </c>
      <c r="C80" s="655">
        <v>1520604</v>
      </c>
      <c r="D80" s="658">
        <v>7495</v>
      </c>
      <c r="E80" s="655" t="s">
        <v>718</v>
      </c>
      <c r="F80" s="546">
        <v>2017</v>
      </c>
      <c r="G80" s="659">
        <v>42941</v>
      </c>
      <c r="H80" s="655" t="s">
        <v>1207</v>
      </c>
      <c r="I80" s="655" t="s">
        <v>4875</v>
      </c>
      <c r="J80" s="712"/>
      <c r="K80" s="655" t="s">
        <v>5186</v>
      </c>
      <c r="L80" s="655" t="s">
        <v>5313</v>
      </c>
      <c r="M80" s="660">
        <v>296880.13</v>
      </c>
      <c r="N80" s="660">
        <v>14844.01</v>
      </c>
      <c r="O80" s="660">
        <v>49875.86</v>
      </c>
      <c r="P80" s="660">
        <v>361600</v>
      </c>
      <c r="Q80" s="548"/>
      <c r="R80" s="660">
        <v>262450.93</v>
      </c>
      <c r="S80" s="549">
        <f t="shared" si="48"/>
        <v>99149.07</v>
      </c>
      <c r="T80" s="267" t="s">
        <v>131</v>
      </c>
      <c r="U80" s="626" t="str">
        <f t="shared" si="52"/>
        <v>AA11535</v>
      </c>
      <c r="V80" s="627" t="str">
        <f t="shared" si="53"/>
        <v>1352-TCN17</v>
      </c>
      <c r="W80" s="626">
        <f t="shared" si="54"/>
        <v>1520604</v>
      </c>
      <c r="X80" s="626" t="str">
        <f t="shared" si="55"/>
        <v>HILUX PICK UP D CAB SR A/C</v>
      </c>
      <c r="Y80" s="627">
        <f t="shared" si="55"/>
        <v>2017</v>
      </c>
      <c r="Z80" s="628">
        <f t="shared" si="56"/>
        <v>296880.13</v>
      </c>
      <c r="AA80" s="629"/>
      <c r="AB80" s="664"/>
      <c r="AC80" s="629">
        <f t="shared" si="57"/>
        <v>295708.34000000003</v>
      </c>
      <c r="AD80" s="630">
        <f t="shared" si="58"/>
        <v>0.1</v>
      </c>
      <c r="AE80" s="629">
        <f t="shared" si="59"/>
        <v>7392.74</v>
      </c>
      <c r="AF80" s="629">
        <f t="shared" si="60"/>
        <v>14844.01</v>
      </c>
      <c r="AG80" s="555">
        <f t="shared" si="61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62"/>
        <v>76</v>
      </c>
      <c r="B81" s="657" t="s">
        <v>5075</v>
      </c>
      <c r="C81" s="655">
        <v>1520604</v>
      </c>
      <c r="D81" s="658">
        <v>7495</v>
      </c>
      <c r="E81" s="655" t="s">
        <v>718</v>
      </c>
      <c r="F81" s="546">
        <v>2017</v>
      </c>
      <c r="G81" s="659">
        <v>42944</v>
      </c>
      <c r="H81" s="655" t="s">
        <v>1207</v>
      </c>
      <c r="I81" s="655" t="s">
        <v>4877</v>
      </c>
      <c r="J81" s="712"/>
      <c r="K81" s="655" t="s">
        <v>5187</v>
      </c>
      <c r="L81" s="655" t="s">
        <v>5326</v>
      </c>
      <c r="M81" s="660">
        <v>296880.13</v>
      </c>
      <c r="N81" s="660">
        <v>14844.01</v>
      </c>
      <c r="O81" s="660">
        <v>49875.86</v>
      </c>
      <c r="P81" s="660">
        <v>361600</v>
      </c>
      <c r="Q81" s="548"/>
      <c r="R81" s="660">
        <v>262450.93</v>
      </c>
      <c r="S81" s="549">
        <f t="shared" si="48"/>
        <v>99149.07</v>
      </c>
      <c r="T81" s="113" t="s">
        <v>131</v>
      </c>
      <c r="U81" s="722" t="str">
        <f t="shared" si="52"/>
        <v>AA11554</v>
      </c>
      <c r="V81" s="723" t="str">
        <f t="shared" si="53"/>
        <v>1356-TCN17</v>
      </c>
      <c r="W81" s="722">
        <f t="shared" si="54"/>
        <v>1520604</v>
      </c>
      <c r="X81" s="722" t="str">
        <f t="shared" si="55"/>
        <v>HILUX PICK UP D CAB SR A/C</v>
      </c>
      <c r="Y81" s="723">
        <f t="shared" si="55"/>
        <v>2017</v>
      </c>
      <c r="Z81" s="724">
        <f t="shared" si="56"/>
        <v>296880.13</v>
      </c>
      <c r="AA81" s="725">
        <f>+Z81+Z80+Z79+Z78+Z77</f>
        <v>1484400.65</v>
      </c>
      <c r="AB81" s="736">
        <v>5</v>
      </c>
      <c r="AC81" s="725">
        <f t="shared" si="57"/>
        <v>295708.34000000003</v>
      </c>
      <c r="AD81" s="726">
        <f t="shared" si="58"/>
        <v>0.1</v>
      </c>
      <c r="AE81" s="725">
        <f t="shared" si="59"/>
        <v>7392.74</v>
      </c>
      <c r="AF81" s="725">
        <f t="shared" si="60"/>
        <v>14844.01</v>
      </c>
      <c r="AG81" s="727">
        <f t="shared" si="61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62"/>
        <v>77</v>
      </c>
      <c r="B82" s="657" t="s">
        <v>5024</v>
      </c>
      <c r="C82" s="655">
        <v>520819</v>
      </c>
      <c r="D82" s="658">
        <v>4498</v>
      </c>
      <c r="E82" s="655" t="s">
        <v>696</v>
      </c>
      <c r="F82" s="546">
        <v>2017</v>
      </c>
      <c r="G82" s="659">
        <v>42920</v>
      </c>
      <c r="H82" s="655" t="s">
        <v>778</v>
      </c>
      <c r="I82" s="655" t="s">
        <v>4842</v>
      </c>
      <c r="J82" s="712"/>
      <c r="K82" s="655" t="s">
        <v>5172</v>
      </c>
      <c r="L82" s="655" t="s">
        <v>5214</v>
      </c>
      <c r="M82" s="660">
        <v>370491.92</v>
      </c>
      <c r="N82" s="660">
        <v>16146.01</v>
      </c>
      <c r="O82" s="660">
        <v>61862.07</v>
      </c>
      <c r="P82" s="660">
        <v>448500</v>
      </c>
      <c r="Q82" s="548"/>
      <c r="R82" s="660">
        <v>327257.34999999998</v>
      </c>
      <c r="S82" s="549">
        <f t="shared" si="48"/>
        <v>121242.65000000002</v>
      </c>
      <c r="T82" s="113" t="s">
        <v>1268</v>
      </c>
      <c r="U82" s="267"/>
      <c r="V82" s="93"/>
      <c r="W82" s="267"/>
      <c r="X82" s="267"/>
      <c r="Y82" s="93"/>
      <c r="Z82" s="618"/>
      <c r="AA82" s="424"/>
      <c r="AB82" s="480"/>
      <c r="AC82" s="424"/>
      <c r="AD82" s="425"/>
      <c r="AE82" s="424"/>
      <c r="AF82" s="424"/>
      <c r="AG82" s="396"/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3">
        <f t="shared" si="62"/>
        <v>78</v>
      </c>
      <c r="B83" s="657" t="s">
        <v>5058</v>
      </c>
      <c r="C83" s="655">
        <v>1520105</v>
      </c>
      <c r="D83" s="658">
        <v>7494</v>
      </c>
      <c r="E83" s="655" t="s">
        <v>712</v>
      </c>
      <c r="F83" s="546">
        <v>2017</v>
      </c>
      <c r="G83" s="659">
        <v>42920</v>
      </c>
      <c r="H83" s="655" t="s">
        <v>727</v>
      </c>
      <c r="I83" s="655" t="s">
        <v>4863</v>
      </c>
      <c r="J83" s="712"/>
      <c r="K83" s="655" t="s">
        <v>5181</v>
      </c>
      <c r="L83" s="655" t="s">
        <v>5213</v>
      </c>
      <c r="M83" s="660">
        <v>235139.57</v>
      </c>
      <c r="N83" s="660">
        <v>11756.98</v>
      </c>
      <c r="O83" s="660">
        <v>39503.449999999997</v>
      </c>
      <c r="P83" s="660">
        <v>286400</v>
      </c>
      <c r="Q83" s="548"/>
      <c r="R83" s="660">
        <v>215512.69</v>
      </c>
      <c r="S83" s="549">
        <f t="shared" si="48"/>
        <v>70887.31</v>
      </c>
      <c r="T83" s="113" t="s">
        <v>1268</v>
      </c>
      <c r="U83" s="267"/>
      <c r="V83" s="93"/>
      <c r="W83" s="267"/>
      <c r="X83" s="267"/>
      <c r="Y83" s="93"/>
      <c r="Z83" s="618"/>
      <c r="AA83" s="424"/>
      <c r="AB83" s="735"/>
      <c r="AC83" s="424"/>
      <c r="AD83" s="425"/>
      <c r="AE83" s="424"/>
      <c r="AF83" s="424"/>
      <c r="AG83" s="396"/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x14ac:dyDescent="0.2">
      <c r="A84" s="423">
        <f t="shared" si="62"/>
        <v>79</v>
      </c>
      <c r="B84" s="657" t="s">
        <v>5004</v>
      </c>
      <c r="C84" s="655">
        <v>521802</v>
      </c>
      <c r="D84" s="658">
        <v>2204</v>
      </c>
      <c r="E84" s="655" t="s">
        <v>705</v>
      </c>
      <c r="F84" s="546">
        <v>2017</v>
      </c>
      <c r="G84" s="659">
        <v>42920</v>
      </c>
      <c r="H84" s="655" t="s">
        <v>792</v>
      </c>
      <c r="I84" s="655" t="s">
        <v>4832</v>
      </c>
      <c r="J84" s="712"/>
      <c r="K84" s="655" t="s">
        <v>4127</v>
      </c>
      <c r="L84" s="655" t="s">
        <v>5212</v>
      </c>
      <c r="M84" s="660">
        <v>229941.96</v>
      </c>
      <c r="N84" s="660">
        <v>2299.42</v>
      </c>
      <c r="O84" s="660">
        <v>37158.620000000003</v>
      </c>
      <c r="P84" s="660">
        <v>269400</v>
      </c>
      <c r="Q84" s="548"/>
      <c r="R84" s="660">
        <v>208019.78</v>
      </c>
      <c r="S84" s="549">
        <f t="shared" si="48"/>
        <v>61380.22</v>
      </c>
      <c r="T84" s="267" t="s">
        <v>1268</v>
      </c>
      <c r="U84" s="267"/>
      <c r="V84" s="93"/>
      <c r="W84" s="267"/>
      <c r="X84" s="267"/>
      <c r="Y84" s="93"/>
      <c r="Z84" s="618"/>
      <c r="AA84" s="424"/>
      <c r="AB84" s="480"/>
      <c r="AC84" s="424"/>
      <c r="AD84" s="425"/>
      <c r="AE84" s="424"/>
      <c r="AF84" s="424"/>
      <c r="AG84" s="396"/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ht="13.5" thickBot="1" x14ac:dyDescent="0.25">
      <c r="A85" s="423">
        <f t="shared" si="62"/>
        <v>80</v>
      </c>
      <c r="B85" s="657" t="s">
        <v>5005</v>
      </c>
      <c r="C85" s="655">
        <v>521802</v>
      </c>
      <c r="D85" s="658">
        <v>2204</v>
      </c>
      <c r="E85" s="655" t="s">
        <v>705</v>
      </c>
      <c r="F85" s="546">
        <v>2017</v>
      </c>
      <c r="G85" s="659">
        <v>42920</v>
      </c>
      <c r="H85" s="655" t="s">
        <v>792</v>
      </c>
      <c r="I85" s="655" t="s">
        <v>4832</v>
      </c>
      <c r="J85" s="712"/>
      <c r="K85" s="655" t="s">
        <v>4127</v>
      </c>
      <c r="L85" s="655" t="s">
        <v>5212</v>
      </c>
      <c r="M85" s="660">
        <v>229941.96</v>
      </c>
      <c r="N85" s="660">
        <v>2299.42</v>
      </c>
      <c r="O85" s="660">
        <v>37158.620000000003</v>
      </c>
      <c r="P85" s="660">
        <v>269400</v>
      </c>
      <c r="Q85" s="548"/>
      <c r="R85" s="660">
        <v>208019.78</v>
      </c>
      <c r="S85" s="549">
        <f t="shared" si="48"/>
        <v>61380.22</v>
      </c>
      <c r="T85" s="113" t="s">
        <v>1268</v>
      </c>
      <c r="U85" s="267"/>
      <c r="V85" s="93"/>
      <c r="W85" s="267"/>
      <c r="X85" s="267"/>
      <c r="Y85" s="93"/>
      <c r="Z85" s="618"/>
      <c r="AA85" s="424"/>
      <c r="AB85" s="480"/>
      <c r="AC85" s="424"/>
      <c r="AD85" s="425"/>
      <c r="AE85" s="424"/>
      <c r="AF85" s="424"/>
      <c r="AG85" s="396"/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ht="13.5" thickBot="1" x14ac:dyDescent="0.25">
      <c r="A86" s="423">
        <f t="shared" si="62"/>
        <v>81</v>
      </c>
      <c r="B86" s="657" t="s">
        <v>5007</v>
      </c>
      <c r="C86" s="655">
        <v>521802</v>
      </c>
      <c r="D86" s="658">
        <v>2204</v>
      </c>
      <c r="E86" s="655" t="s">
        <v>705</v>
      </c>
      <c r="F86" s="546">
        <v>2017</v>
      </c>
      <c r="G86" s="659">
        <v>42921</v>
      </c>
      <c r="H86" s="655" t="s">
        <v>792</v>
      </c>
      <c r="I86" s="655" t="s">
        <v>4832</v>
      </c>
      <c r="J86" s="712"/>
      <c r="K86" s="655" t="s">
        <v>4127</v>
      </c>
      <c r="L86" s="655" t="s">
        <v>5212</v>
      </c>
      <c r="M86" s="660">
        <v>229941.96</v>
      </c>
      <c r="N86" s="660">
        <v>2299.42</v>
      </c>
      <c r="O86" s="660">
        <v>37158.620000000003</v>
      </c>
      <c r="P86" s="660">
        <v>269400</v>
      </c>
      <c r="Q86" s="548"/>
      <c r="R86" s="660">
        <v>208019.78</v>
      </c>
      <c r="S86" s="549">
        <f t="shared" si="48"/>
        <v>61380.22</v>
      </c>
      <c r="T86" s="113" t="s">
        <v>1268</v>
      </c>
      <c r="U86" s="267"/>
      <c r="V86" s="423"/>
      <c r="W86" s="362"/>
      <c r="X86" s="362"/>
      <c r="Y86" s="619"/>
      <c r="Z86" s="620">
        <f ca="1">+SUM(Z6:Z103)</f>
        <v>20129026.979999993</v>
      </c>
      <c r="AA86" s="620">
        <f ca="1">+SUM(AA6:AA103)</f>
        <v>20129026.98</v>
      </c>
      <c r="AB86" s="739">
        <f>+SUM(AB7:AB81)</f>
        <v>68</v>
      </c>
      <c r="AC86" s="620"/>
      <c r="AD86" s="620"/>
      <c r="AE86" s="620"/>
      <c r="AF86" s="737">
        <f>+SUM(AF6:AF81)</f>
        <v>713646.04669999995</v>
      </c>
      <c r="AG86" s="379"/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ht="13.5" thickTop="1" x14ac:dyDescent="0.2">
      <c r="A87" s="423">
        <f t="shared" si="62"/>
        <v>82</v>
      </c>
      <c r="B87" s="657" t="s">
        <v>4964</v>
      </c>
      <c r="C87" s="655">
        <v>521702</v>
      </c>
      <c r="D87" s="658">
        <v>2005</v>
      </c>
      <c r="E87" s="655" t="s">
        <v>701</v>
      </c>
      <c r="F87" s="546">
        <v>2017</v>
      </c>
      <c r="G87" s="659">
        <v>42922</v>
      </c>
      <c r="H87" s="655" t="s">
        <v>722</v>
      </c>
      <c r="I87" s="655" t="s">
        <v>4807</v>
      </c>
      <c r="J87" s="712"/>
      <c r="K87" s="655" t="s">
        <v>5147</v>
      </c>
      <c r="L87" s="655" t="s">
        <v>5218</v>
      </c>
      <c r="M87" s="660">
        <v>183620.69</v>
      </c>
      <c r="N87" s="660">
        <v>0</v>
      </c>
      <c r="O87" s="660">
        <v>29379.31</v>
      </c>
      <c r="P87" s="660">
        <v>213000</v>
      </c>
      <c r="Q87" s="548"/>
      <c r="R87" s="660">
        <v>166508.04</v>
      </c>
      <c r="S87" s="549">
        <f t="shared" si="48"/>
        <v>46491.959999999992</v>
      </c>
      <c r="T87" s="267" t="s">
        <v>1268</v>
      </c>
      <c r="U87" s="267"/>
      <c r="V87" s="427"/>
      <c r="W87" s="428"/>
      <c r="X87" s="428"/>
      <c r="Y87" s="93"/>
      <c r="Z87" s="260"/>
      <c r="AA87" s="431"/>
      <c r="AB87" s="480"/>
      <c r="AC87" s="431"/>
      <c r="AD87" s="436"/>
      <c r="AE87" s="431"/>
      <c r="AF87" s="431">
        <f>+N235</f>
        <v>706796.34000000008</v>
      </c>
      <c r="AG87" s="440"/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x14ac:dyDescent="0.2">
      <c r="A88" s="423">
        <f t="shared" si="62"/>
        <v>83</v>
      </c>
      <c r="B88" s="657" t="s">
        <v>5011</v>
      </c>
      <c r="C88" s="655">
        <v>520112</v>
      </c>
      <c r="D88" s="658">
        <v>2593</v>
      </c>
      <c r="E88" s="655" t="s">
        <v>685</v>
      </c>
      <c r="F88" s="546">
        <v>2017</v>
      </c>
      <c r="G88" s="659">
        <v>42922</v>
      </c>
      <c r="H88" s="655" t="s">
        <v>774</v>
      </c>
      <c r="I88" s="655" t="s">
        <v>4834</v>
      </c>
      <c r="J88" s="712"/>
      <c r="K88" s="655" t="s">
        <v>5167</v>
      </c>
      <c r="L88" s="655" t="s">
        <v>5226</v>
      </c>
      <c r="M88" s="660">
        <v>345304.51</v>
      </c>
      <c r="N88" s="660">
        <v>12367.9</v>
      </c>
      <c r="O88" s="660">
        <v>57227.59</v>
      </c>
      <c r="P88" s="660">
        <v>414900</v>
      </c>
      <c r="Q88" s="548"/>
      <c r="R88" s="660">
        <v>299473.02</v>
      </c>
      <c r="S88" s="549">
        <f t="shared" si="48"/>
        <v>115426.97999999998</v>
      </c>
      <c r="T88" s="113" t="s">
        <v>1268</v>
      </c>
      <c r="U88" s="267"/>
      <c r="V88" s="93"/>
      <c r="W88" s="267"/>
      <c r="X88" s="271"/>
      <c r="Y88" s="469"/>
      <c r="Z88" s="470"/>
      <c r="AA88" s="431"/>
      <c r="AB88" s="480"/>
      <c r="AC88" s="396"/>
      <c r="AD88" s="425"/>
      <c r="AE88" s="395"/>
      <c r="AF88" s="738"/>
      <c r="AG88" s="395"/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x14ac:dyDescent="0.2">
      <c r="A89" s="423">
        <f t="shared" si="62"/>
        <v>84</v>
      </c>
      <c r="B89" s="657" t="s">
        <v>4976</v>
      </c>
      <c r="C89" s="655">
        <v>521707</v>
      </c>
      <c r="D89" s="658">
        <v>2006</v>
      </c>
      <c r="E89" s="655" t="s">
        <v>702</v>
      </c>
      <c r="F89" s="546">
        <v>2017</v>
      </c>
      <c r="G89" s="659">
        <v>42924</v>
      </c>
      <c r="H89" s="655" t="s">
        <v>722</v>
      </c>
      <c r="I89" s="655" t="s">
        <v>4281</v>
      </c>
      <c r="J89" s="712"/>
      <c r="K89" s="655" t="s">
        <v>5154</v>
      </c>
      <c r="L89" s="655" t="s">
        <v>4283</v>
      </c>
      <c r="M89" s="660">
        <v>201982.76</v>
      </c>
      <c r="N89" s="660">
        <v>0</v>
      </c>
      <c r="O89" s="660">
        <v>32317.24</v>
      </c>
      <c r="P89" s="660">
        <v>234300</v>
      </c>
      <c r="Q89" s="548"/>
      <c r="R89" s="660">
        <v>183052.26</v>
      </c>
      <c r="S89" s="549">
        <f t="shared" si="48"/>
        <v>51247.739999999991</v>
      </c>
      <c r="T89" s="267" t="s">
        <v>1268</v>
      </c>
      <c r="U89" s="267"/>
      <c r="V89" s="298" t="s">
        <v>250</v>
      </c>
      <c r="W89" s="437" t="s">
        <v>5008</v>
      </c>
      <c r="X89" s="382"/>
      <c r="Y89" s="441"/>
      <c r="Z89" s="438"/>
      <c r="AA89" s="439"/>
      <c r="AB89" s="480"/>
      <c r="AC89" s="396"/>
      <c r="AD89" s="425"/>
      <c r="AE89" s="440"/>
      <c r="AF89" s="439">
        <f>+AF86-AF87</f>
        <v>6849.7066999998642</v>
      </c>
      <c r="AG89" s="424">
        <f>SUM(AG6:AG88)</f>
        <v>-6849.7066999999743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x14ac:dyDescent="0.2">
      <c r="A90" s="423">
        <f t="shared" si="62"/>
        <v>85</v>
      </c>
      <c r="B90" s="657" t="s">
        <v>4980</v>
      </c>
      <c r="C90" s="655">
        <v>521707</v>
      </c>
      <c r="D90" s="658">
        <v>2006</v>
      </c>
      <c r="E90" s="655" t="s">
        <v>702</v>
      </c>
      <c r="F90" s="546">
        <v>2017</v>
      </c>
      <c r="G90" s="659">
        <v>42928</v>
      </c>
      <c r="H90" s="655" t="s">
        <v>817</v>
      </c>
      <c r="I90" s="655" t="s">
        <v>4813</v>
      </c>
      <c r="J90" s="712"/>
      <c r="K90" s="655" t="s">
        <v>5155</v>
      </c>
      <c r="L90" s="655" t="s">
        <v>5245</v>
      </c>
      <c r="M90" s="660">
        <v>201982.76</v>
      </c>
      <c r="N90" s="660">
        <v>0</v>
      </c>
      <c r="O90" s="660">
        <v>32317.24</v>
      </c>
      <c r="P90" s="660">
        <v>234300</v>
      </c>
      <c r="Q90" s="548"/>
      <c r="R90" s="660">
        <v>183052.26</v>
      </c>
      <c r="S90" s="549">
        <f t="shared" si="48"/>
        <v>51247.739999999991</v>
      </c>
      <c r="T90" s="267" t="s">
        <v>1268</v>
      </c>
      <c r="U90" s="267"/>
      <c r="V90" s="298" t="s">
        <v>251</v>
      </c>
      <c r="W90" s="437" t="s">
        <v>5000</v>
      </c>
      <c r="X90" s="271"/>
      <c r="Y90" s="441"/>
      <c r="Z90" s="471">
        <f>+AB81+AB76+AB72+AB71+AB70+AB69+AB67</f>
        <v>16</v>
      </c>
      <c r="AA90" s="472">
        <f>+AA81+AA76+AA72+AA71+AA70+AA69+AA67</f>
        <v>4923727.41</v>
      </c>
      <c r="AB90" s="646"/>
      <c r="AC90" s="741" t="s">
        <v>1269</v>
      </c>
      <c r="AD90" s="436"/>
      <c r="AE90" s="431"/>
      <c r="AF90" s="431"/>
      <c r="AG90" s="440"/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62"/>
        <v>86</v>
      </c>
      <c r="B91" s="657" t="s">
        <v>4998</v>
      </c>
      <c r="C91" s="655">
        <v>521802</v>
      </c>
      <c r="D91" s="658">
        <v>2202</v>
      </c>
      <c r="E91" s="655" t="s">
        <v>703</v>
      </c>
      <c r="F91" s="546">
        <v>2017</v>
      </c>
      <c r="G91" s="659">
        <v>42928</v>
      </c>
      <c r="H91" s="655" t="s">
        <v>817</v>
      </c>
      <c r="I91" s="655" t="s">
        <v>4318</v>
      </c>
      <c r="J91" s="712"/>
      <c r="K91" s="655" t="s">
        <v>4319</v>
      </c>
      <c r="L91" s="655" t="s">
        <v>5250</v>
      </c>
      <c r="M91" s="660">
        <v>207327.59</v>
      </c>
      <c r="N91" s="660">
        <v>0</v>
      </c>
      <c r="O91" s="660">
        <v>33172.410000000003</v>
      </c>
      <c r="P91" s="660">
        <v>240500</v>
      </c>
      <c r="Q91" s="548"/>
      <c r="R91" s="660">
        <v>187666.84</v>
      </c>
      <c r="S91" s="549">
        <f t="shared" si="48"/>
        <v>52833.16</v>
      </c>
      <c r="T91" s="113" t="s">
        <v>1268</v>
      </c>
      <c r="U91" s="267"/>
      <c r="V91" s="93"/>
      <c r="W91" s="267"/>
      <c r="X91" s="271"/>
      <c r="Y91" s="94"/>
      <c r="Z91" s="475">
        <f>+AB58+AB54+AB51+AB44+AB32</f>
        <v>21</v>
      </c>
      <c r="AA91" s="472">
        <f>+AA58+AA54+AA51+AA44+AA32</f>
        <v>4163735.08</v>
      </c>
      <c r="AB91" s="646"/>
      <c r="AC91" s="741" t="s">
        <v>1270</v>
      </c>
      <c r="AD91" s="425"/>
      <c r="AE91" s="424"/>
      <c r="AF91" s="424"/>
      <c r="AG91" s="346"/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62"/>
        <v>87</v>
      </c>
      <c r="B92" s="657" t="s">
        <v>4985</v>
      </c>
      <c r="C92" s="655">
        <v>520908</v>
      </c>
      <c r="D92" s="658">
        <v>2008</v>
      </c>
      <c r="E92" s="655" t="s">
        <v>697</v>
      </c>
      <c r="F92" s="546">
        <v>2017</v>
      </c>
      <c r="G92" s="659">
        <v>42928</v>
      </c>
      <c r="H92" s="655" t="s">
        <v>2215</v>
      </c>
      <c r="I92" s="655" t="s">
        <v>4819</v>
      </c>
      <c r="J92" s="712"/>
      <c r="K92" s="655" t="s">
        <v>5135</v>
      </c>
      <c r="L92" s="655" t="s">
        <v>5255</v>
      </c>
      <c r="M92" s="660">
        <v>208534.48</v>
      </c>
      <c r="N92" s="660">
        <v>0</v>
      </c>
      <c r="O92" s="660">
        <v>33365.519999999997</v>
      </c>
      <c r="P92" s="660">
        <v>241900</v>
      </c>
      <c r="Q92" s="548"/>
      <c r="R92" s="660">
        <v>188753.04</v>
      </c>
      <c r="S92" s="549">
        <f t="shared" si="48"/>
        <v>53146.959999999992</v>
      </c>
      <c r="T92" s="113" t="s">
        <v>1268</v>
      </c>
      <c r="U92" s="267"/>
      <c r="V92" s="429"/>
      <c r="W92" s="426"/>
      <c r="X92" s="382"/>
      <c r="Y92" s="442"/>
      <c r="Z92" s="476">
        <f>+AB7+AB11+AB12+AB17+AB18+AB19+AB20+AB23+AB24+AB26+AB29+AB30+AB37+AB59+AB61+AB62+AB63</f>
        <v>29</v>
      </c>
      <c r="AA92" s="472">
        <f>+AA63+AA62+AA61+AA59+AA37+AA30+AA29+AA26+AA24+AA23+AA20+AA19+AA18+AA17+AA12+AA11+AA7</f>
        <v>10263978.289999999</v>
      </c>
      <c r="AB92" s="646"/>
      <c r="AC92" s="741" t="s">
        <v>1271</v>
      </c>
      <c r="AD92" s="443"/>
      <c r="AE92" s="439"/>
      <c r="AF92" s="439"/>
      <c r="AH92" s="361"/>
      <c r="AI92" s="740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ht="13.5" thickBot="1" x14ac:dyDescent="0.25">
      <c r="A93" s="423">
        <f t="shared" si="62"/>
        <v>88</v>
      </c>
      <c r="B93" s="657" t="s">
        <v>5037</v>
      </c>
      <c r="C93" s="655">
        <v>1520202</v>
      </c>
      <c r="D93" s="658">
        <v>5601</v>
      </c>
      <c r="E93" s="655" t="s">
        <v>221</v>
      </c>
      <c r="F93" s="546">
        <v>2018</v>
      </c>
      <c r="G93" s="659">
        <v>42929</v>
      </c>
      <c r="H93" s="655" t="s">
        <v>1038</v>
      </c>
      <c r="I93" s="655" t="s">
        <v>4849</v>
      </c>
      <c r="J93" s="712"/>
      <c r="K93" s="655" t="s">
        <v>5176</v>
      </c>
      <c r="L93" s="655" t="s">
        <v>5254</v>
      </c>
      <c r="M93" s="660">
        <v>325615.76</v>
      </c>
      <c r="N93" s="660">
        <v>16280.79</v>
      </c>
      <c r="O93" s="660">
        <v>54703.45</v>
      </c>
      <c r="P93" s="660">
        <v>396600</v>
      </c>
      <c r="Q93" s="548"/>
      <c r="R93" s="660">
        <v>288738.28999999998</v>
      </c>
      <c r="S93" s="549">
        <f t="shared" si="48"/>
        <v>107861.71000000002</v>
      </c>
      <c r="T93" s="113" t="s">
        <v>1268</v>
      </c>
      <c r="U93" s="267"/>
      <c r="V93" s="351"/>
      <c r="W93" s="351"/>
      <c r="X93" s="351"/>
      <c r="Y93" s="352"/>
      <c r="Z93" s="477">
        <f>+AB34</f>
        <v>2</v>
      </c>
      <c r="AA93" s="478">
        <f>+AA34</f>
        <v>777586.2</v>
      </c>
      <c r="AB93" s="646"/>
      <c r="AC93" s="741" t="s">
        <v>1272</v>
      </c>
      <c r="AD93" s="351"/>
      <c r="AE93" s="351"/>
      <c r="AF93" s="351"/>
      <c r="AG93" s="351"/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ht="13.5" thickTop="1" x14ac:dyDescent="0.2">
      <c r="A94" s="423">
        <f t="shared" si="62"/>
        <v>89</v>
      </c>
      <c r="B94" s="657" t="s">
        <v>4951</v>
      </c>
      <c r="C94" s="655">
        <v>520222</v>
      </c>
      <c r="D94" s="658">
        <v>1797</v>
      </c>
      <c r="E94" s="655" t="s">
        <v>688</v>
      </c>
      <c r="F94" s="546">
        <v>2017</v>
      </c>
      <c r="G94" s="659">
        <v>42929</v>
      </c>
      <c r="H94" s="655" t="s">
        <v>908</v>
      </c>
      <c r="I94" s="655" t="s">
        <v>4802</v>
      </c>
      <c r="J94" s="712"/>
      <c r="K94" s="655" t="s">
        <v>5146</v>
      </c>
      <c r="L94" s="655" t="s">
        <v>5258</v>
      </c>
      <c r="M94" s="660">
        <v>234721.75</v>
      </c>
      <c r="N94" s="660">
        <v>2347.2199999999998</v>
      </c>
      <c r="O94" s="660">
        <v>37931.03</v>
      </c>
      <c r="P94" s="660">
        <v>275000</v>
      </c>
      <c r="Q94" s="548"/>
      <c r="R94" s="660">
        <v>212392.62</v>
      </c>
      <c r="S94" s="549">
        <f t="shared" si="48"/>
        <v>62607.380000000005</v>
      </c>
      <c r="T94" s="267" t="s">
        <v>1268</v>
      </c>
      <c r="U94" s="267"/>
      <c r="V94" s="348"/>
      <c r="W94" s="348"/>
      <c r="X94" s="348"/>
      <c r="Y94" s="348"/>
      <c r="Z94" s="479">
        <f>+SUM(Z90:Z93)</f>
        <v>68</v>
      </c>
      <c r="AA94" s="480">
        <f>SUM(AA90:AA93)</f>
        <v>20129026.98</v>
      </c>
      <c r="AB94" s="646"/>
      <c r="AC94" s="472"/>
      <c r="AD94" s="348"/>
      <c r="AE94" s="348"/>
      <c r="AF94" s="348"/>
      <c r="AG94" s="348"/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62"/>
        <v>90</v>
      </c>
      <c r="B95" s="657" t="s">
        <v>4928</v>
      </c>
      <c r="C95" s="655">
        <v>520225</v>
      </c>
      <c r="D95" s="658">
        <v>1782</v>
      </c>
      <c r="E95" s="655" t="s">
        <v>691</v>
      </c>
      <c r="F95" s="546">
        <v>2017</v>
      </c>
      <c r="G95" s="659">
        <v>42931</v>
      </c>
      <c r="H95" s="655" t="s">
        <v>722</v>
      </c>
      <c r="I95" s="655" t="s">
        <v>4788</v>
      </c>
      <c r="J95" s="712"/>
      <c r="K95" s="655" t="s">
        <v>970</v>
      </c>
      <c r="L95" s="655" t="s">
        <v>5266</v>
      </c>
      <c r="M95" s="660">
        <v>284850.98</v>
      </c>
      <c r="N95" s="660">
        <v>3424.88</v>
      </c>
      <c r="O95" s="660">
        <v>46124.14</v>
      </c>
      <c r="P95" s="660">
        <v>334400</v>
      </c>
      <c r="Q95" s="548"/>
      <c r="R95" s="660">
        <v>253141.85</v>
      </c>
      <c r="S95" s="549">
        <f t="shared" si="48"/>
        <v>81258.149999999994</v>
      </c>
      <c r="T95" s="267" t="s">
        <v>1268</v>
      </c>
      <c r="U95" s="267"/>
      <c r="V95" s="93"/>
      <c r="W95" s="267"/>
      <c r="X95" s="267"/>
      <c r="Y95" s="93"/>
      <c r="Z95" s="618"/>
      <c r="AA95" s="424"/>
      <c r="AB95" s="480"/>
      <c r="AC95" s="424"/>
      <c r="AD95" s="425"/>
      <c r="AE95" s="424"/>
      <c r="AF95" s="424"/>
      <c r="AG95" s="396"/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62"/>
        <v>91</v>
      </c>
      <c r="B96" s="657" t="s">
        <v>4969</v>
      </c>
      <c r="C96" s="655">
        <v>521702</v>
      </c>
      <c r="D96" s="658">
        <v>2005</v>
      </c>
      <c r="E96" s="655" t="s">
        <v>701</v>
      </c>
      <c r="F96" s="546">
        <v>2017</v>
      </c>
      <c r="G96" s="659">
        <v>42934</v>
      </c>
      <c r="H96" s="655" t="s">
        <v>774</v>
      </c>
      <c r="I96" s="655" t="s">
        <v>4809</v>
      </c>
      <c r="J96" s="712"/>
      <c r="K96" s="655" t="s">
        <v>5149</v>
      </c>
      <c r="L96" s="655" t="s">
        <v>5265</v>
      </c>
      <c r="M96" s="660">
        <v>183620.69</v>
      </c>
      <c r="N96" s="660">
        <v>0</v>
      </c>
      <c r="O96" s="660">
        <v>29379.31</v>
      </c>
      <c r="P96" s="660">
        <v>213000</v>
      </c>
      <c r="Q96" s="548"/>
      <c r="R96" s="660">
        <v>166508.04</v>
      </c>
      <c r="S96" s="549">
        <f t="shared" si="48"/>
        <v>46491.959999999992</v>
      </c>
      <c r="T96" s="113" t="s">
        <v>1268</v>
      </c>
      <c r="U96" s="267"/>
      <c r="V96" s="93"/>
      <c r="W96" s="267"/>
      <c r="X96" s="267"/>
      <c r="Y96" s="93"/>
      <c r="Z96" s="618"/>
      <c r="AA96" s="424"/>
      <c r="AB96" s="480"/>
      <c r="AC96" s="424"/>
      <c r="AD96" s="425"/>
      <c r="AE96" s="424"/>
      <c r="AF96" s="424"/>
      <c r="AG96" s="396"/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62"/>
        <v>92</v>
      </c>
      <c r="B97" s="657" t="s">
        <v>5062</v>
      </c>
      <c r="C97" s="655">
        <v>1520105</v>
      </c>
      <c r="D97" s="658">
        <v>7494</v>
      </c>
      <c r="E97" s="655" t="s">
        <v>712</v>
      </c>
      <c r="F97" s="546">
        <v>2017</v>
      </c>
      <c r="G97" s="659">
        <v>42936</v>
      </c>
      <c r="H97" s="655" t="s">
        <v>2215</v>
      </c>
      <c r="I97" s="655" t="s">
        <v>4864</v>
      </c>
      <c r="J97" s="712"/>
      <c r="K97" s="655" t="s">
        <v>5182</v>
      </c>
      <c r="L97" s="655" t="s">
        <v>5246</v>
      </c>
      <c r="M97" s="660">
        <v>235139.57</v>
      </c>
      <c r="N97" s="660">
        <v>11756.98</v>
      </c>
      <c r="O97" s="660">
        <v>39503.449999999997</v>
      </c>
      <c r="P97" s="660">
        <v>286400</v>
      </c>
      <c r="Q97" s="548"/>
      <c r="R97" s="660">
        <v>215512.69</v>
      </c>
      <c r="S97" s="549">
        <f t="shared" si="48"/>
        <v>70887.31</v>
      </c>
      <c r="T97" s="113" t="s">
        <v>1268</v>
      </c>
      <c r="U97" s="267"/>
      <c r="V97" s="93"/>
      <c r="W97" s="267"/>
      <c r="X97" s="267"/>
      <c r="Y97" s="93"/>
      <c r="Z97" s="618"/>
      <c r="AA97" s="424"/>
      <c r="AB97" s="480"/>
      <c r="AC97" s="424"/>
      <c r="AD97" s="425"/>
      <c r="AE97" s="424"/>
      <c r="AF97" s="424"/>
      <c r="AG97" s="396"/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62"/>
        <v>93</v>
      </c>
      <c r="B98" s="657" t="s">
        <v>5043</v>
      </c>
      <c r="C98" s="655">
        <v>521502</v>
      </c>
      <c r="D98" s="658">
        <v>5611</v>
      </c>
      <c r="E98" s="655" t="s">
        <v>225</v>
      </c>
      <c r="F98" s="546">
        <v>2018</v>
      </c>
      <c r="G98" s="659">
        <v>42936</v>
      </c>
      <c r="H98" s="655" t="s">
        <v>5130</v>
      </c>
      <c r="I98" s="655" t="s">
        <v>4852</v>
      </c>
      <c r="J98" s="712"/>
      <c r="K98" s="655" t="s">
        <v>830</v>
      </c>
      <c r="L98" s="655" t="s">
        <v>5285</v>
      </c>
      <c r="M98" s="660">
        <v>390506.91</v>
      </c>
      <c r="N98" s="660">
        <v>19148.259999999998</v>
      </c>
      <c r="O98" s="660">
        <v>65544.83</v>
      </c>
      <c r="P98" s="660">
        <v>475200</v>
      </c>
      <c r="Q98" s="548"/>
      <c r="R98" s="660">
        <v>345842.5</v>
      </c>
      <c r="S98" s="549">
        <f t="shared" si="48"/>
        <v>129357.5</v>
      </c>
      <c r="T98" s="113" t="s">
        <v>1268</v>
      </c>
      <c r="U98" s="267"/>
      <c r="V98" s="93"/>
      <c r="W98" s="267"/>
      <c r="X98" s="267"/>
      <c r="Y98" s="93"/>
      <c r="Z98" s="618"/>
      <c r="AA98" s="424"/>
      <c r="AB98" s="480"/>
      <c r="AC98" s="424"/>
      <c r="AD98" s="425"/>
      <c r="AE98" s="424"/>
      <c r="AF98" s="424"/>
      <c r="AG98" s="396"/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3">
        <f t="shared" si="62"/>
        <v>94</v>
      </c>
      <c r="B99" s="657" t="s">
        <v>5044</v>
      </c>
      <c r="C99" s="655">
        <v>521502</v>
      </c>
      <c r="D99" s="658">
        <v>5611</v>
      </c>
      <c r="E99" s="655" t="s">
        <v>225</v>
      </c>
      <c r="F99" s="546">
        <v>2018</v>
      </c>
      <c r="G99" s="659">
        <v>42936</v>
      </c>
      <c r="H99" s="655" t="s">
        <v>908</v>
      </c>
      <c r="I99" s="655" t="s">
        <v>4852</v>
      </c>
      <c r="J99" s="712"/>
      <c r="K99" s="655" t="s">
        <v>830</v>
      </c>
      <c r="L99" s="655" t="s">
        <v>5285</v>
      </c>
      <c r="M99" s="660">
        <v>390506.91</v>
      </c>
      <c r="N99" s="660">
        <v>19148.259999999998</v>
      </c>
      <c r="O99" s="660">
        <v>65544.83</v>
      </c>
      <c r="P99" s="660">
        <v>475200</v>
      </c>
      <c r="Q99" s="548"/>
      <c r="R99" s="660">
        <v>345842.5</v>
      </c>
      <c r="S99" s="549">
        <f t="shared" si="48"/>
        <v>129357.5</v>
      </c>
      <c r="T99" s="113" t="s">
        <v>1268</v>
      </c>
      <c r="U99" s="267"/>
      <c r="V99" s="93"/>
      <c r="W99" s="267"/>
      <c r="X99" s="267"/>
      <c r="Y99" s="93"/>
      <c r="Z99" s="618"/>
      <c r="AA99" s="424"/>
      <c r="AB99" s="480"/>
      <c r="AC99" s="424"/>
      <c r="AD99" s="425"/>
      <c r="AE99" s="424"/>
      <c r="AF99" s="424"/>
      <c r="AG99" s="396"/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3">
        <f t="shared" si="62"/>
        <v>95</v>
      </c>
      <c r="B100" s="657" t="s">
        <v>4919</v>
      </c>
      <c r="C100" s="655">
        <v>521101</v>
      </c>
      <c r="D100" s="658">
        <v>1253</v>
      </c>
      <c r="E100" s="655" t="s">
        <v>30</v>
      </c>
      <c r="F100" s="546">
        <v>2017</v>
      </c>
      <c r="G100" s="659">
        <v>42936</v>
      </c>
      <c r="H100" s="655" t="s">
        <v>774</v>
      </c>
      <c r="I100" s="655" t="s">
        <v>4783</v>
      </c>
      <c r="J100" s="712"/>
      <c r="K100" s="655" t="s">
        <v>3119</v>
      </c>
      <c r="L100" s="655" t="s">
        <v>5289</v>
      </c>
      <c r="M100" s="660">
        <v>371551.72</v>
      </c>
      <c r="N100" s="660">
        <v>0</v>
      </c>
      <c r="O100" s="660">
        <v>59448.28</v>
      </c>
      <c r="P100" s="660">
        <v>431000</v>
      </c>
      <c r="Q100" s="548"/>
      <c r="R100" s="660">
        <v>344834.35</v>
      </c>
      <c r="S100" s="549">
        <f t="shared" si="48"/>
        <v>86165.650000000023</v>
      </c>
      <c r="T100" s="113" t="s">
        <v>1268</v>
      </c>
      <c r="U100" s="267"/>
      <c r="V100" s="93"/>
      <c r="W100" s="267"/>
      <c r="X100" s="267"/>
      <c r="Y100" s="93"/>
      <c r="Z100" s="618"/>
      <c r="AA100" s="424"/>
      <c r="AB100" s="480"/>
      <c r="AC100" s="424"/>
      <c r="AD100" s="425"/>
      <c r="AE100" s="424"/>
      <c r="AF100" s="424"/>
      <c r="AG100" s="396"/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3">
        <f t="shared" si="62"/>
        <v>96</v>
      </c>
      <c r="B101" s="657" t="s">
        <v>5048</v>
      </c>
      <c r="C101" s="655">
        <v>521907</v>
      </c>
      <c r="D101" s="658">
        <v>6987</v>
      </c>
      <c r="E101" s="655" t="s">
        <v>708</v>
      </c>
      <c r="F101" s="546">
        <v>2017</v>
      </c>
      <c r="G101" s="659">
        <v>42936</v>
      </c>
      <c r="H101" s="655" t="s">
        <v>792</v>
      </c>
      <c r="I101" s="655" t="s">
        <v>4856</v>
      </c>
      <c r="J101" s="712"/>
      <c r="K101" s="655" t="s">
        <v>5171</v>
      </c>
      <c r="L101" s="655" t="s">
        <v>5290</v>
      </c>
      <c r="M101" s="660">
        <v>566553.87</v>
      </c>
      <c r="N101" s="660">
        <v>48015.1</v>
      </c>
      <c r="O101" s="660">
        <v>98331.03</v>
      </c>
      <c r="P101" s="660">
        <v>712900</v>
      </c>
      <c r="Q101" s="548"/>
      <c r="R101" s="660">
        <v>501080.3</v>
      </c>
      <c r="S101" s="549">
        <f t="shared" si="48"/>
        <v>211819.7</v>
      </c>
      <c r="T101" s="113" t="s">
        <v>1268</v>
      </c>
      <c r="U101" s="267"/>
      <c r="V101" s="93"/>
      <c r="W101" s="267"/>
      <c r="X101" s="267"/>
      <c r="Y101" s="93"/>
      <c r="Z101" s="618"/>
      <c r="AA101" s="424"/>
      <c r="AB101" s="480"/>
      <c r="AC101" s="424"/>
      <c r="AD101" s="425"/>
      <c r="AE101" s="424"/>
      <c r="AF101" s="424"/>
      <c r="AG101" s="396"/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62"/>
        <v>97</v>
      </c>
      <c r="B102" s="657" t="s">
        <v>4924</v>
      </c>
      <c r="C102" s="655">
        <v>521101</v>
      </c>
      <c r="D102" s="658">
        <v>1253</v>
      </c>
      <c r="E102" s="655" t="s">
        <v>30</v>
      </c>
      <c r="F102" s="546">
        <v>2017</v>
      </c>
      <c r="G102" s="659">
        <v>42937</v>
      </c>
      <c r="H102" s="655" t="s">
        <v>774</v>
      </c>
      <c r="I102" s="655" t="s">
        <v>4783</v>
      </c>
      <c r="J102" s="712"/>
      <c r="K102" s="655" t="s">
        <v>3119</v>
      </c>
      <c r="L102" s="655" t="s">
        <v>5289</v>
      </c>
      <c r="M102" s="660">
        <v>388793.1</v>
      </c>
      <c r="N102" s="660">
        <v>0</v>
      </c>
      <c r="O102" s="660">
        <v>62206.9</v>
      </c>
      <c r="P102" s="660">
        <v>451000</v>
      </c>
      <c r="Q102" s="548"/>
      <c r="R102" s="660">
        <v>344834.35</v>
      </c>
      <c r="S102" s="549">
        <f t="shared" si="48"/>
        <v>106165.65000000002</v>
      </c>
      <c r="T102" s="267" t="s">
        <v>1268</v>
      </c>
      <c r="U102" s="267"/>
      <c r="V102" s="93"/>
      <c r="W102" s="267"/>
      <c r="X102" s="267"/>
      <c r="Y102" s="93"/>
      <c r="Z102" s="618"/>
      <c r="AA102" s="424"/>
      <c r="AB102" s="480"/>
      <c r="AC102" s="424"/>
      <c r="AD102" s="425"/>
      <c r="AE102" s="424"/>
      <c r="AF102" s="424"/>
      <c r="AG102" s="396"/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x14ac:dyDescent="0.2">
      <c r="A103" s="423">
        <f t="shared" si="62"/>
        <v>98</v>
      </c>
      <c r="B103" s="657" t="s">
        <v>4972</v>
      </c>
      <c r="C103" s="655">
        <v>521702</v>
      </c>
      <c r="D103" s="658">
        <v>2005</v>
      </c>
      <c r="E103" s="655" t="s">
        <v>701</v>
      </c>
      <c r="F103" s="546">
        <v>2017</v>
      </c>
      <c r="G103" s="659">
        <v>42940</v>
      </c>
      <c r="H103" s="655" t="s">
        <v>2213</v>
      </c>
      <c r="I103" s="655" t="s">
        <v>4810</v>
      </c>
      <c r="J103" s="712"/>
      <c r="K103" s="655" t="s">
        <v>5152</v>
      </c>
      <c r="L103" s="655" t="s">
        <v>5264</v>
      </c>
      <c r="M103" s="660">
        <v>183620.69</v>
      </c>
      <c r="N103" s="660">
        <v>0</v>
      </c>
      <c r="O103" s="660">
        <v>29379.31</v>
      </c>
      <c r="P103" s="660">
        <v>213000</v>
      </c>
      <c r="Q103" s="548"/>
      <c r="R103" s="660">
        <v>166508.04</v>
      </c>
      <c r="S103" s="549">
        <f t="shared" si="48"/>
        <v>46491.959999999992</v>
      </c>
      <c r="T103" s="113" t="s">
        <v>1268</v>
      </c>
      <c r="U103" s="267"/>
      <c r="V103" s="93"/>
      <c r="W103" s="267"/>
      <c r="X103" s="267"/>
      <c r="Y103" s="93"/>
      <c r="Z103" s="618"/>
      <c r="AA103" s="424"/>
      <c r="AB103" s="735"/>
      <c r="AC103" s="424"/>
      <c r="AD103" s="425"/>
      <c r="AE103" s="424"/>
      <c r="AF103" s="424"/>
      <c r="AG103" s="396"/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x14ac:dyDescent="0.2">
      <c r="A104" s="423">
        <f t="shared" si="62"/>
        <v>99</v>
      </c>
      <c r="B104" s="657" t="s">
        <v>5032</v>
      </c>
      <c r="C104" s="655">
        <v>520513</v>
      </c>
      <c r="D104" s="658">
        <v>5396</v>
      </c>
      <c r="E104" s="655" t="s">
        <v>132</v>
      </c>
      <c r="F104" s="546">
        <v>2017</v>
      </c>
      <c r="G104" s="659">
        <v>42941</v>
      </c>
      <c r="H104" s="655" t="s">
        <v>2213</v>
      </c>
      <c r="I104" s="655" t="s">
        <v>4146</v>
      </c>
      <c r="J104" s="712"/>
      <c r="K104" s="655" t="s">
        <v>4147</v>
      </c>
      <c r="L104" s="655" t="s">
        <v>4148</v>
      </c>
      <c r="M104" s="660">
        <v>481083.78</v>
      </c>
      <c r="N104" s="660">
        <v>33485.19</v>
      </c>
      <c r="O104" s="660">
        <v>82331.03</v>
      </c>
      <c r="P104" s="660">
        <v>596900</v>
      </c>
      <c r="Q104" s="548"/>
      <c r="R104" s="660">
        <v>425866.63</v>
      </c>
      <c r="S104" s="549">
        <f t="shared" si="48"/>
        <v>171033.37</v>
      </c>
      <c r="T104" s="113" t="s">
        <v>1268</v>
      </c>
      <c r="U104" s="267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x14ac:dyDescent="0.2">
      <c r="A105" s="423">
        <f t="shared" si="62"/>
        <v>100</v>
      </c>
      <c r="B105" s="657" t="s">
        <v>4956</v>
      </c>
      <c r="C105" s="655">
        <v>520222</v>
      </c>
      <c r="D105" s="658">
        <v>1797</v>
      </c>
      <c r="E105" s="655" t="s">
        <v>688</v>
      </c>
      <c r="F105" s="546">
        <v>2017</v>
      </c>
      <c r="G105" s="659">
        <v>42942</v>
      </c>
      <c r="H105" s="655" t="s">
        <v>908</v>
      </c>
      <c r="I105" s="655" t="s">
        <v>4802</v>
      </c>
      <c r="J105" s="712"/>
      <c r="K105" s="655" t="s">
        <v>5146</v>
      </c>
      <c r="L105" s="655" t="s">
        <v>5258</v>
      </c>
      <c r="M105" s="660">
        <v>241550.02</v>
      </c>
      <c r="N105" s="660">
        <v>2415.5</v>
      </c>
      <c r="O105" s="660">
        <v>39034.480000000003</v>
      </c>
      <c r="P105" s="660">
        <v>283000</v>
      </c>
      <c r="Q105" s="548"/>
      <c r="R105" s="660">
        <v>212392.62</v>
      </c>
      <c r="S105" s="549">
        <f t="shared" si="48"/>
        <v>70607.38</v>
      </c>
      <c r="T105" s="113" t="s">
        <v>1268</v>
      </c>
      <c r="U105" s="267"/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3">
        <f t="shared" si="62"/>
        <v>101</v>
      </c>
      <c r="B106" s="657" t="s">
        <v>4937</v>
      </c>
      <c r="C106" s="655">
        <v>520220</v>
      </c>
      <c r="D106" s="658">
        <v>1794</v>
      </c>
      <c r="E106" s="655" t="s">
        <v>687</v>
      </c>
      <c r="F106" s="546">
        <v>2017</v>
      </c>
      <c r="G106" s="659">
        <v>42944</v>
      </c>
      <c r="H106" s="655" t="s">
        <v>817</v>
      </c>
      <c r="I106" s="655" t="s">
        <v>4794</v>
      </c>
      <c r="J106" s="712"/>
      <c r="K106" s="655" t="s">
        <v>5141</v>
      </c>
      <c r="L106" s="655" t="s">
        <v>5329</v>
      </c>
      <c r="M106" s="660">
        <v>272992.27</v>
      </c>
      <c r="N106" s="660">
        <v>3128.42</v>
      </c>
      <c r="O106" s="660">
        <v>44179.31</v>
      </c>
      <c r="P106" s="660">
        <v>320300</v>
      </c>
      <c r="Q106" s="548"/>
      <c r="R106" s="660">
        <v>230475.74</v>
      </c>
      <c r="S106" s="549">
        <f t="shared" si="48"/>
        <v>89824.260000000009</v>
      </c>
      <c r="T106" s="113" t="s">
        <v>1268</v>
      </c>
      <c r="U106" s="307"/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3">
        <f t="shared" si="62"/>
        <v>102</v>
      </c>
      <c r="B107" s="657" t="s">
        <v>4939</v>
      </c>
      <c r="C107" s="655">
        <v>520220</v>
      </c>
      <c r="D107" s="658">
        <v>1794</v>
      </c>
      <c r="E107" s="655" t="s">
        <v>687</v>
      </c>
      <c r="F107" s="546">
        <v>2017</v>
      </c>
      <c r="G107" s="659">
        <v>42945</v>
      </c>
      <c r="H107" s="655" t="s">
        <v>817</v>
      </c>
      <c r="I107" s="655" t="s">
        <v>4794</v>
      </c>
      <c r="J107" s="712"/>
      <c r="K107" s="655" t="s">
        <v>5141</v>
      </c>
      <c r="L107" s="655" t="s">
        <v>5329</v>
      </c>
      <c r="M107" s="660">
        <v>272992.27</v>
      </c>
      <c r="N107" s="660">
        <v>3128.42</v>
      </c>
      <c r="O107" s="660">
        <v>44179.31</v>
      </c>
      <c r="P107" s="660">
        <v>320300</v>
      </c>
      <c r="Q107" s="548"/>
      <c r="R107" s="660">
        <v>230475.74</v>
      </c>
      <c r="S107" s="549">
        <f t="shared" si="48"/>
        <v>89824.260000000009</v>
      </c>
      <c r="T107" s="113" t="s">
        <v>1268</v>
      </c>
      <c r="U107" s="434"/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3">
        <f t="shared" si="62"/>
        <v>103</v>
      </c>
      <c r="B108" s="657" t="s">
        <v>4933</v>
      </c>
      <c r="C108" s="655">
        <v>520227</v>
      </c>
      <c r="D108" s="658">
        <v>1782</v>
      </c>
      <c r="E108" s="655" t="s">
        <v>691</v>
      </c>
      <c r="F108" s="546">
        <v>2017</v>
      </c>
      <c r="G108" s="659">
        <v>42947</v>
      </c>
      <c r="H108" s="655" t="s">
        <v>3694</v>
      </c>
      <c r="I108" s="655" t="s">
        <v>4790</v>
      </c>
      <c r="J108" s="712"/>
      <c r="K108" s="655" t="s">
        <v>5139</v>
      </c>
      <c r="L108" s="655" t="s">
        <v>5307</v>
      </c>
      <c r="M108" s="660">
        <v>284850.98</v>
      </c>
      <c r="N108" s="660">
        <v>3424.88</v>
      </c>
      <c r="O108" s="660">
        <v>46124.14</v>
      </c>
      <c r="P108" s="660">
        <v>334400</v>
      </c>
      <c r="Q108" s="548"/>
      <c r="R108" s="660">
        <v>260686.11</v>
      </c>
      <c r="S108" s="549">
        <f t="shared" si="48"/>
        <v>73713.890000000014</v>
      </c>
      <c r="T108" s="113" t="s">
        <v>1268</v>
      </c>
      <c r="U108" s="93"/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62"/>
        <v>104</v>
      </c>
      <c r="B109" s="657" t="s">
        <v>5013</v>
      </c>
      <c r="C109" s="655">
        <v>520112</v>
      </c>
      <c r="D109" s="658">
        <v>2593</v>
      </c>
      <c r="E109" s="655" t="s">
        <v>685</v>
      </c>
      <c r="F109" s="546">
        <v>2017</v>
      </c>
      <c r="G109" s="659">
        <v>42947</v>
      </c>
      <c r="H109" s="655" t="s">
        <v>817</v>
      </c>
      <c r="I109" s="655" t="s">
        <v>4835</v>
      </c>
      <c r="J109" s="712"/>
      <c r="K109" s="655" t="s">
        <v>5168</v>
      </c>
      <c r="L109" s="655" t="s">
        <v>5337</v>
      </c>
      <c r="M109" s="660">
        <v>325726.17</v>
      </c>
      <c r="N109" s="660">
        <v>10394.52</v>
      </c>
      <c r="O109" s="660">
        <v>53779.31</v>
      </c>
      <c r="P109" s="660">
        <v>389900</v>
      </c>
      <c r="Q109" s="548"/>
      <c r="R109" s="660">
        <v>289173.23</v>
      </c>
      <c r="S109" s="549">
        <f t="shared" si="48"/>
        <v>100726.77000000002</v>
      </c>
      <c r="T109" s="267" t="s">
        <v>1268</v>
      </c>
      <c r="U109" s="429"/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62"/>
        <v>105</v>
      </c>
      <c r="B110" s="657" t="s">
        <v>5023</v>
      </c>
      <c r="C110" s="655">
        <v>520819</v>
      </c>
      <c r="D110" s="658">
        <v>4498</v>
      </c>
      <c r="E110" s="655" t="s">
        <v>696</v>
      </c>
      <c r="F110" s="546">
        <v>2017</v>
      </c>
      <c r="G110" s="659">
        <v>42920</v>
      </c>
      <c r="H110" s="655" t="s">
        <v>778</v>
      </c>
      <c r="I110" s="655" t="s">
        <v>4842</v>
      </c>
      <c r="J110" s="712"/>
      <c r="K110" s="655" t="s">
        <v>5172</v>
      </c>
      <c r="L110" s="655" t="s">
        <v>5214</v>
      </c>
      <c r="M110" s="660">
        <v>-370491.92</v>
      </c>
      <c r="N110" s="660">
        <v>-16146.01</v>
      </c>
      <c r="O110" s="660">
        <v>-61862.07</v>
      </c>
      <c r="P110" s="660">
        <v>-448500</v>
      </c>
      <c r="Q110" s="548"/>
      <c r="R110" s="660">
        <v>-327257.34999999998</v>
      </c>
      <c r="S110" s="549">
        <f t="shared" si="48"/>
        <v>-121242.65000000002</v>
      </c>
      <c r="T110" s="267" t="s">
        <v>1268</v>
      </c>
      <c r="U110" s="93"/>
      <c r="AH110" s="361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x14ac:dyDescent="0.2">
      <c r="A111" s="423">
        <f t="shared" si="62"/>
        <v>106</v>
      </c>
      <c r="B111" s="657" t="s">
        <v>5057</v>
      </c>
      <c r="C111" s="655">
        <v>1520105</v>
      </c>
      <c r="D111" s="658">
        <v>7494</v>
      </c>
      <c r="E111" s="655" t="s">
        <v>712</v>
      </c>
      <c r="F111" s="546">
        <v>2017</v>
      </c>
      <c r="G111" s="659">
        <v>42920</v>
      </c>
      <c r="H111" s="655" t="s">
        <v>727</v>
      </c>
      <c r="I111" s="655" t="s">
        <v>4863</v>
      </c>
      <c r="J111" s="712"/>
      <c r="K111" s="655" t="s">
        <v>5181</v>
      </c>
      <c r="L111" s="655" t="s">
        <v>5213</v>
      </c>
      <c r="M111" s="660">
        <v>-235139.57</v>
      </c>
      <c r="N111" s="660">
        <v>-11756.98</v>
      </c>
      <c r="O111" s="660">
        <v>-39503.449999999997</v>
      </c>
      <c r="P111" s="660">
        <v>-286400</v>
      </c>
      <c r="Q111" s="548"/>
      <c r="R111" s="660">
        <v>-215512.69</v>
      </c>
      <c r="S111" s="549">
        <f t="shared" si="48"/>
        <v>-70887.31</v>
      </c>
      <c r="T111" s="267" t="s">
        <v>1268</v>
      </c>
      <c r="U111" s="93"/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x14ac:dyDescent="0.2">
      <c r="A112" s="423">
        <f t="shared" si="62"/>
        <v>107</v>
      </c>
      <c r="B112" s="657" t="s">
        <v>5002</v>
      </c>
      <c r="C112" s="655">
        <v>521802</v>
      </c>
      <c r="D112" s="658">
        <v>2204</v>
      </c>
      <c r="E112" s="655" t="s">
        <v>705</v>
      </c>
      <c r="F112" s="546">
        <v>2017</v>
      </c>
      <c r="G112" s="659">
        <v>42920</v>
      </c>
      <c r="H112" s="655" t="s">
        <v>792</v>
      </c>
      <c r="I112" s="655" t="s">
        <v>4832</v>
      </c>
      <c r="J112" s="712"/>
      <c r="K112" s="655" t="s">
        <v>4127</v>
      </c>
      <c r="L112" s="655" t="s">
        <v>5212</v>
      </c>
      <c r="M112" s="660">
        <v>-229941.96</v>
      </c>
      <c r="N112" s="660">
        <v>-2299.42</v>
      </c>
      <c r="O112" s="660">
        <v>-37158.620000000003</v>
      </c>
      <c r="P112" s="660">
        <v>-269400</v>
      </c>
      <c r="Q112" s="548"/>
      <c r="R112" s="660">
        <v>-208019.78</v>
      </c>
      <c r="S112" s="549">
        <f t="shared" si="48"/>
        <v>-61380.22</v>
      </c>
      <c r="T112" s="267" t="s">
        <v>1268</v>
      </c>
      <c r="U112" s="429"/>
      <c r="AH112" s="361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3">
        <f t="shared" si="62"/>
        <v>108</v>
      </c>
      <c r="B113" s="657" t="s">
        <v>5003</v>
      </c>
      <c r="C113" s="655">
        <v>521802</v>
      </c>
      <c r="D113" s="658">
        <v>2204</v>
      </c>
      <c r="E113" s="655" t="s">
        <v>705</v>
      </c>
      <c r="F113" s="546">
        <v>2017</v>
      </c>
      <c r="G113" s="659">
        <v>42920</v>
      </c>
      <c r="H113" s="655" t="s">
        <v>792</v>
      </c>
      <c r="I113" s="655" t="s">
        <v>4832</v>
      </c>
      <c r="J113" s="712"/>
      <c r="K113" s="655" t="s">
        <v>4127</v>
      </c>
      <c r="L113" s="655" t="s">
        <v>5212</v>
      </c>
      <c r="M113" s="660">
        <v>-229941.96</v>
      </c>
      <c r="N113" s="660">
        <v>-2299.42</v>
      </c>
      <c r="O113" s="660">
        <v>-37158.620000000003</v>
      </c>
      <c r="P113" s="660">
        <v>-269400</v>
      </c>
      <c r="Q113" s="548"/>
      <c r="R113" s="660">
        <v>-208019.78</v>
      </c>
      <c r="S113" s="549">
        <f t="shared" si="48"/>
        <v>-61380.22</v>
      </c>
      <c r="T113" s="113" t="s">
        <v>1268</v>
      </c>
      <c r="U113" s="351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3">
        <f t="shared" si="62"/>
        <v>109</v>
      </c>
      <c r="B114" s="657" t="s">
        <v>5006</v>
      </c>
      <c r="C114" s="655">
        <v>521802</v>
      </c>
      <c r="D114" s="658">
        <v>2204</v>
      </c>
      <c r="E114" s="655" t="s">
        <v>705</v>
      </c>
      <c r="F114" s="546">
        <v>2017</v>
      </c>
      <c r="G114" s="659">
        <v>42921</v>
      </c>
      <c r="H114" s="655" t="s">
        <v>792</v>
      </c>
      <c r="I114" s="655" t="s">
        <v>4832</v>
      </c>
      <c r="J114" s="712"/>
      <c r="K114" s="655" t="s">
        <v>4127</v>
      </c>
      <c r="L114" s="655" t="s">
        <v>5212</v>
      </c>
      <c r="M114" s="660">
        <v>-229941.96</v>
      </c>
      <c r="N114" s="660">
        <v>-2299.42</v>
      </c>
      <c r="O114" s="660">
        <v>-37158.620000000003</v>
      </c>
      <c r="P114" s="660">
        <v>-269400</v>
      </c>
      <c r="Q114" s="548"/>
      <c r="R114" s="660">
        <v>-208019.78</v>
      </c>
      <c r="S114" s="549">
        <f t="shared" si="48"/>
        <v>-61380.22</v>
      </c>
      <c r="T114" s="267" t="s">
        <v>1268</v>
      </c>
      <c r="U114" s="348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62"/>
        <v>110</v>
      </c>
      <c r="B115" s="657" t="s">
        <v>4963</v>
      </c>
      <c r="C115" s="655">
        <v>521702</v>
      </c>
      <c r="D115" s="658">
        <v>2005</v>
      </c>
      <c r="E115" s="655" t="s">
        <v>701</v>
      </c>
      <c r="F115" s="546">
        <v>2017</v>
      </c>
      <c r="G115" s="659">
        <v>42922</v>
      </c>
      <c r="H115" s="655" t="s">
        <v>722</v>
      </c>
      <c r="I115" s="655" t="s">
        <v>4807</v>
      </c>
      <c r="J115" s="712"/>
      <c r="K115" s="655" t="s">
        <v>5147</v>
      </c>
      <c r="L115" s="655" t="s">
        <v>5218</v>
      </c>
      <c r="M115" s="660">
        <v>-183620.69</v>
      </c>
      <c r="N115" s="660">
        <v>0</v>
      </c>
      <c r="O115" s="660">
        <v>-29379.31</v>
      </c>
      <c r="P115" s="660">
        <v>-213000</v>
      </c>
      <c r="Q115" s="548"/>
      <c r="R115" s="660">
        <v>-166508.04</v>
      </c>
      <c r="S115" s="549">
        <f t="shared" si="48"/>
        <v>-46491.959999999992</v>
      </c>
      <c r="T115" s="113" t="s">
        <v>1268</v>
      </c>
      <c r="U115" s="267"/>
      <c r="V115" s="93"/>
      <c r="W115" s="267"/>
      <c r="X115" s="267"/>
      <c r="Y115" s="93"/>
      <c r="Z115" s="618"/>
      <c r="AA115" s="424"/>
      <c r="AB115" s="480"/>
      <c r="AC115" s="424"/>
      <c r="AD115" s="425"/>
      <c r="AE115" s="424"/>
      <c r="AF115" s="424"/>
      <c r="AG115" s="396"/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62"/>
        <v>111</v>
      </c>
      <c r="B116" s="657" t="s">
        <v>5009</v>
      </c>
      <c r="C116" s="655">
        <v>520112</v>
      </c>
      <c r="D116" s="658">
        <v>2593</v>
      </c>
      <c r="E116" s="655" t="s">
        <v>685</v>
      </c>
      <c r="F116" s="546">
        <v>2017</v>
      </c>
      <c r="G116" s="659">
        <v>42922</v>
      </c>
      <c r="H116" s="655" t="s">
        <v>774</v>
      </c>
      <c r="I116" s="655" t="s">
        <v>4834</v>
      </c>
      <c r="J116" s="712"/>
      <c r="K116" s="655" t="s">
        <v>5167</v>
      </c>
      <c r="L116" s="655" t="s">
        <v>5226</v>
      </c>
      <c r="M116" s="660">
        <v>-345304.51</v>
      </c>
      <c r="N116" s="660">
        <v>-12367.9</v>
      </c>
      <c r="O116" s="660">
        <v>-57227.59</v>
      </c>
      <c r="P116" s="660">
        <v>-414900</v>
      </c>
      <c r="Q116" s="548"/>
      <c r="R116" s="660">
        <v>-299473.02</v>
      </c>
      <c r="S116" s="549">
        <f t="shared" si="48"/>
        <v>-115426.97999999998</v>
      </c>
      <c r="T116" s="113" t="s">
        <v>1268</v>
      </c>
      <c r="U116" s="267"/>
      <c r="V116" s="93"/>
      <c r="W116" s="267"/>
      <c r="X116" s="267"/>
      <c r="Y116" s="93"/>
      <c r="Z116" s="618"/>
      <c r="AA116" s="424"/>
      <c r="AB116" s="480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62"/>
        <v>112</v>
      </c>
      <c r="B117" s="657" t="s">
        <v>4994</v>
      </c>
      <c r="C117" s="655">
        <v>521802</v>
      </c>
      <c r="D117" s="658">
        <v>2202</v>
      </c>
      <c r="E117" s="655" t="s">
        <v>703</v>
      </c>
      <c r="F117" s="546">
        <v>2017</v>
      </c>
      <c r="G117" s="659">
        <v>42923</v>
      </c>
      <c r="H117" s="655" t="s">
        <v>817</v>
      </c>
      <c r="I117" s="655" t="s">
        <v>4318</v>
      </c>
      <c r="J117" s="712"/>
      <c r="K117" s="655" t="s">
        <v>4319</v>
      </c>
      <c r="L117" s="655" t="s">
        <v>5250</v>
      </c>
      <c r="M117" s="660">
        <v>-207327.59</v>
      </c>
      <c r="N117" s="660">
        <v>0</v>
      </c>
      <c r="O117" s="660">
        <v>-33172.410000000003</v>
      </c>
      <c r="P117" s="660">
        <v>-240500</v>
      </c>
      <c r="Q117" s="548"/>
      <c r="R117" s="660">
        <v>-187666.84</v>
      </c>
      <c r="S117" s="549">
        <f t="shared" si="48"/>
        <v>-52833.16</v>
      </c>
      <c r="T117" s="113" t="s">
        <v>1268</v>
      </c>
      <c r="U117" s="267"/>
      <c r="V117" s="93"/>
      <c r="W117" s="267"/>
      <c r="X117" s="267"/>
      <c r="Y117" s="93"/>
      <c r="Z117" s="618"/>
      <c r="AA117" s="424"/>
      <c r="AB117" s="480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62"/>
        <v>113</v>
      </c>
      <c r="B118" s="657" t="s">
        <v>4975</v>
      </c>
      <c r="C118" s="655">
        <v>521707</v>
      </c>
      <c r="D118" s="658">
        <v>2006</v>
      </c>
      <c r="E118" s="655" t="s">
        <v>702</v>
      </c>
      <c r="F118" s="546">
        <v>2017</v>
      </c>
      <c r="G118" s="659">
        <v>42924</v>
      </c>
      <c r="H118" s="655" t="s">
        <v>2213</v>
      </c>
      <c r="I118" s="655" t="s">
        <v>4281</v>
      </c>
      <c r="J118" s="712"/>
      <c r="K118" s="655" t="s">
        <v>4282</v>
      </c>
      <c r="L118" s="655" t="s">
        <v>4283</v>
      </c>
      <c r="M118" s="660">
        <v>-201982.76</v>
      </c>
      <c r="N118" s="660">
        <v>0</v>
      </c>
      <c r="O118" s="660">
        <v>-32317.24</v>
      </c>
      <c r="P118" s="660">
        <v>-234300</v>
      </c>
      <c r="Q118" s="548"/>
      <c r="R118" s="660">
        <v>-183052.26</v>
      </c>
      <c r="S118" s="549">
        <f t="shared" si="48"/>
        <v>-51247.739999999991</v>
      </c>
      <c r="T118" s="267" t="s">
        <v>1268</v>
      </c>
      <c r="U118" s="267"/>
      <c r="V118" s="93"/>
      <c r="W118" s="267"/>
      <c r="X118" s="267"/>
      <c r="Y118" s="93"/>
      <c r="Z118" s="618"/>
      <c r="AA118" s="424"/>
      <c r="AB118" s="480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3">
        <f t="shared" si="62"/>
        <v>114</v>
      </c>
      <c r="B119" s="657" t="s">
        <v>5059</v>
      </c>
      <c r="C119" s="655">
        <v>1520105</v>
      </c>
      <c r="D119" s="658">
        <v>7494</v>
      </c>
      <c r="E119" s="655" t="s">
        <v>712</v>
      </c>
      <c r="F119" s="546">
        <v>2017</v>
      </c>
      <c r="G119" s="659">
        <v>42927</v>
      </c>
      <c r="H119" s="655" t="s">
        <v>819</v>
      </c>
      <c r="I119" s="655" t="s">
        <v>4864</v>
      </c>
      <c r="J119" s="712"/>
      <c r="K119" s="655" t="s">
        <v>830</v>
      </c>
      <c r="L119" s="655" t="s">
        <v>5246</v>
      </c>
      <c r="M119" s="660">
        <v>-235139.57</v>
      </c>
      <c r="N119" s="660">
        <v>-11756.98</v>
      </c>
      <c r="O119" s="660">
        <v>-39503.449999999997</v>
      </c>
      <c r="P119" s="660">
        <v>-286400</v>
      </c>
      <c r="Q119" s="548"/>
      <c r="R119" s="660">
        <v>-215512.69</v>
      </c>
      <c r="S119" s="549">
        <f t="shared" si="48"/>
        <v>-70887.31</v>
      </c>
      <c r="T119" s="113" t="s">
        <v>1268</v>
      </c>
      <c r="U119" s="267"/>
      <c r="V119" s="93"/>
      <c r="W119" s="267"/>
      <c r="X119" s="267"/>
      <c r="Y119" s="93"/>
      <c r="Z119" s="618"/>
      <c r="AA119" s="424"/>
      <c r="AB119" s="480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3">
        <f t="shared" si="62"/>
        <v>115</v>
      </c>
      <c r="B120" s="657" t="s">
        <v>4979</v>
      </c>
      <c r="C120" s="655">
        <v>521707</v>
      </c>
      <c r="D120" s="658">
        <v>2006</v>
      </c>
      <c r="E120" s="655" t="s">
        <v>702</v>
      </c>
      <c r="F120" s="546">
        <v>2017</v>
      </c>
      <c r="G120" s="659">
        <v>42928</v>
      </c>
      <c r="H120" s="655" t="s">
        <v>817</v>
      </c>
      <c r="I120" s="655" t="s">
        <v>4813</v>
      </c>
      <c r="J120" s="712"/>
      <c r="K120" s="655" t="s">
        <v>5155</v>
      </c>
      <c r="L120" s="655" t="s">
        <v>5245</v>
      </c>
      <c r="M120" s="660">
        <v>-201982.76</v>
      </c>
      <c r="N120" s="660">
        <v>0</v>
      </c>
      <c r="O120" s="660">
        <v>-32317.24</v>
      </c>
      <c r="P120" s="660">
        <v>-234300</v>
      </c>
      <c r="Q120" s="548"/>
      <c r="R120" s="660">
        <v>-183052.26</v>
      </c>
      <c r="S120" s="549">
        <f t="shared" si="48"/>
        <v>-51247.739999999991</v>
      </c>
      <c r="T120" s="113" t="s">
        <v>1268</v>
      </c>
      <c r="U120" s="267"/>
      <c r="V120" s="93"/>
      <c r="W120" s="267"/>
      <c r="X120" s="267"/>
      <c r="Y120" s="93"/>
      <c r="Z120" s="618"/>
      <c r="AA120" s="424"/>
      <c r="AB120" s="480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3">
        <f t="shared" si="62"/>
        <v>116</v>
      </c>
      <c r="B121" s="657" t="s">
        <v>5036</v>
      </c>
      <c r="C121" s="655">
        <v>1520202</v>
      </c>
      <c r="D121" s="658">
        <v>5601</v>
      </c>
      <c r="E121" s="655" t="s">
        <v>221</v>
      </c>
      <c r="F121" s="546">
        <v>2018</v>
      </c>
      <c r="G121" s="659">
        <v>42929</v>
      </c>
      <c r="H121" s="655" t="s">
        <v>1038</v>
      </c>
      <c r="I121" s="655" t="s">
        <v>4849</v>
      </c>
      <c r="J121" s="712"/>
      <c r="K121" s="655" t="s">
        <v>5176</v>
      </c>
      <c r="L121" s="655" t="s">
        <v>5254</v>
      </c>
      <c r="M121" s="660">
        <v>-325615.76</v>
      </c>
      <c r="N121" s="660">
        <v>-16280.79</v>
      </c>
      <c r="O121" s="660">
        <v>-54703.45</v>
      </c>
      <c r="P121" s="660">
        <v>-396600</v>
      </c>
      <c r="Q121" s="548"/>
      <c r="R121" s="660">
        <v>-288738.28999999998</v>
      </c>
      <c r="S121" s="549">
        <f t="shared" si="48"/>
        <v>-107861.71000000002</v>
      </c>
      <c r="T121" s="113" t="s">
        <v>1268</v>
      </c>
      <c r="U121" s="267"/>
      <c r="V121" s="93"/>
      <c r="W121" s="267"/>
      <c r="X121" s="267"/>
      <c r="Y121" s="93"/>
      <c r="Z121" s="618"/>
      <c r="AA121" s="424"/>
      <c r="AB121" s="480"/>
      <c r="AC121" s="424"/>
      <c r="AD121" s="425"/>
      <c r="AE121" s="424"/>
      <c r="AF121" s="424"/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62"/>
        <v>117</v>
      </c>
      <c r="B122" s="657" t="s">
        <v>4952</v>
      </c>
      <c r="C122" s="655">
        <v>520222</v>
      </c>
      <c r="D122" s="658">
        <v>1797</v>
      </c>
      <c r="E122" s="655" t="s">
        <v>688</v>
      </c>
      <c r="F122" s="546">
        <v>2017</v>
      </c>
      <c r="G122" s="659">
        <v>42930</v>
      </c>
      <c r="H122" s="655" t="s">
        <v>908</v>
      </c>
      <c r="I122" s="655" t="s">
        <v>4802</v>
      </c>
      <c r="J122" s="712"/>
      <c r="K122" s="655" t="s">
        <v>5146</v>
      </c>
      <c r="L122" s="655" t="s">
        <v>5258</v>
      </c>
      <c r="M122" s="660">
        <v>-234721.75</v>
      </c>
      <c r="N122" s="660">
        <v>-2347.2199999999998</v>
      </c>
      <c r="O122" s="660">
        <v>-37931.03</v>
      </c>
      <c r="P122" s="660">
        <v>-275000</v>
      </c>
      <c r="Q122" s="548"/>
      <c r="R122" s="660">
        <v>-212392.62</v>
      </c>
      <c r="S122" s="549">
        <f t="shared" si="48"/>
        <v>-62607.380000000005</v>
      </c>
      <c r="T122" s="444" t="s">
        <v>1268</v>
      </c>
      <c r="U122" s="267"/>
      <c r="V122" s="93"/>
      <c r="W122" s="267"/>
      <c r="X122" s="267"/>
      <c r="Y122" s="93"/>
      <c r="Z122" s="618"/>
      <c r="AA122" s="424"/>
      <c r="AB122" s="480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62"/>
        <v>118</v>
      </c>
      <c r="B123" s="657" t="s">
        <v>4929</v>
      </c>
      <c r="C123" s="655">
        <v>520225</v>
      </c>
      <c r="D123" s="658">
        <v>1782</v>
      </c>
      <c r="E123" s="655" t="s">
        <v>691</v>
      </c>
      <c r="F123" s="546">
        <v>2017</v>
      </c>
      <c r="G123" s="659">
        <v>42933</v>
      </c>
      <c r="H123" s="655" t="s">
        <v>722</v>
      </c>
      <c r="I123" s="655" t="s">
        <v>4788</v>
      </c>
      <c r="J123" s="712"/>
      <c r="K123" s="655" t="s">
        <v>970</v>
      </c>
      <c r="L123" s="655" t="s">
        <v>5266</v>
      </c>
      <c r="M123" s="660">
        <v>-284850.98</v>
      </c>
      <c r="N123" s="660">
        <v>-3424.88</v>
      </c>
      <c r="O123" s="660">
        <v>-46124.14</v>
      </c>
      <c r="P123" s="660">
        <v>-334400</v>
      </c>
      <c r="Q123" s="548"/>
      <c r="R123" s="660">
        <v>-253141.85</v>
      </c>
      <c r="S123" s="549">
        <f t="shared" si="48"/>
        <v>-81258.149999999994</v>
      </c>
      <c r="T123" s="113" t="s">
        <v>1268</v>
      </c>
      <c r="U123" s="267"/>
      <c r="V123" s="93"/>
      <c r="W123" s="267"/>
      <c r="X123" s="267"/>
      <c r="Y123" s="93"/>
      <c r="Z123" s="618"/>
      <c r="AA123" s="424"/>
      <c r="AB123" s="480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62"/>
        <v>119</v>
      </c>
      <c r="B124" s="657" t="s">
        <v>4968</v>
      </c>
      <c r="C124" s="655">
        <v>521702</v>
      </c>
      <c r="D124" s="658">
        <v>2005</v>
      </c>
      <c r="E124" s="655" t="s">
        <v>701</v>
      </c>
      <c r="F124" s="546">
        <v>2017</v>
      </c>
      <c r="G124" s="659">
        <v>42934</v>
      </c>
      <c r="H124" s="655" t="s">
        <v>774</v>
      </c>
      <c r="I124" s="655" t="s">
        <v>4809</v>
      </c>
      <c r="J124" s="712"/>
      <c r="K124" s="655" t="s">
        <v>5149</v>
      </c>
      <c r="L124" s="655" t="s">
        <v>5265</v>
      </c>
      <c r="M124" s="660">
        <v>-183620.69</v>
      </c>
      <c r="N124" s="660">
        <v>0</v>
      </c>
      <c r="O124" s="660">
        <v>-29379.31</v>
      </c>
      <c r="P124" s="660">
        <v>-213000</v>
      </c>
      <c r="Q124" s="548"/>
      <c r="R124" s="660">
        <v>-166508.04</v>
      </c>
      <c r="S124" s="549">
        <f t="shared" si="48"/>
        <v>-46491.959999999992</v>
      </c>
      <c r="T124" s="113" t="s">
        <v>1268</v>
      </c>
      <c r="U124" s="267"/>
      <c r="V124" s="93"/>
      <c r="W124" s="267"/>
      <c r="X124" s="267"/>
      <c r="Y124" s="93"/>
      <c r="Z124" s="618"/>
      <c r="AA124" s="424"/>
      <c r="AB124" s="480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62"/>
        <v>120</v>
      </c>
      <c r="B125" s="657" t="s">
        <v>4986</v>
      </c>
      <c r="C125" s="655">
        <v>520908</v>
      </c>
      <c r="D125" s="658">
        <v>2008</v>
      </c>
      <c r="E125" s="655" t="s">
        <v>697</v>
      </c>
      <c r="F125" s="546">
        <v>2017</v>
      </c>
      <c r="G125" s="659">
        <v>42935</v>
      </c>
      <c r="H125" s="655" t="s">
        <v>2215</v>
      </c>
      <c r="I125" s="655" t="s">
        <v>4819</v>
      </c>
      <c r="J125" s="712"/>
      <c r="K125" s="655" t="s">
        <v>5135</v>
      </c>
      <c r="L125" s="655" t="s">
        <v>5255</v>
      </c>
      <c r="M125" s="660">
        <v>-208534.48</v>
      </c>
      <c r="N125" s="660">
        <v>0</v>
      </c>
      <c r="O125" s="660">
        <v>-33365.519999999997</v>
      </c>
      <c r="P125" s="660">
        <v>-241900</v>
      </c>
      <c r="Q125" s="548"/>
      <c r="R125" s="660">
        <v>-188753.04</v>
      </c>
      <c r="S125" s="549">
        <f t="shared" si="48"/>
        <v>-53146.959999999992</v>
      </c>
      <c r="T125" s="113" t="s">
        <v>1268</v>
      </c>
      <c r="U125" s="267"/>
      <c r="V125" s="93"/>
      <c r="W125" s="267"/>
      <c r="X125" s="267"/>
      <c r="Y125" s="93"/>
      <c r="Z125" s="618"/>
      <c r="AA125" s="424"/>
      <c r="AB125" s="480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62"/>
        <v>121</v>
      </c>
      <c r="B126" s="657" t="s">
        <v>5040</v>
      </c>
      <c r="C126" s="655">
        <v>521502</v>
      </c>
      <c r="D126" s="658">
        <v>5611</v>
      </c>
      <c r="E126" s="655" t="s">
        <v>225</v>
      </c>
      <c r="F126" s="546">
        <v>2018</v>
      </c>
      <c r="G126" s="659">
        <v>42936</v>
      </c>
      <c r="H126" s="655" t="s">
        <v>908</v>
      </c>
      <c r="I126" s="655" t="s">
        <v>4852</v>
      </c>
      <c r="J126" s="712"/>
      <c r="K126" s="655" t="s">
        <v>5178</v>
      </c>
      <c r="L126" s="655" t="s">
        <v>5285</v>
      </c>
      <c r="M126" s="660">
        <v>-390506.91</v>
      </c>
      <c r="N126" s="660">
        <v>-19148.259999999998</v>
      </c>
      <c r="O126" s="660">
        <v>-65544.83</v>
      </c>
      <c r="P126" s="660">
        <v>-475200</v>
      </c>
      <c r="Q126" s="548"/>
      <c r="R126" s="660">
        <v>-345842.5</v>
      </c>
      <c r="S126" s="549">
        <f t="shared" si="48"/>
        <v>-129357.5</v>
      </c>
      <c r="T126" s="113" t="s">
        <v>1268</v>
      </c>
      <c r="U126" s="267"/>
      <c r="V126" s="93"/>
      <c r="W126" s="267"/>
      <c r="X126" s="267"/>
      <c r="Y126" s="93"/>
      <c r="Z126" s="618"/>
      <c r="AA126" s="424"/>
      <c r="AB126" s="480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3">
        <f t="shared" si="62"/>
        <v>122</v>
      </c>
      <c r="B127" s="657" t="s">
        <v>5041</v>
      </c>
      <c r="C127" s="655">
        <v>521502</v>
      </c>
      <c r="D127" s="658">
        <v>5611</v>
      </c>
      <c r="E127" s="655" t="s">
        <v>225</v>
      </c>
      <c r="F127" s="546">
        <v>2018</v>
      </c>
      <c r="G127" s="659">
        <v>42936</v>
      </c>
      <c r="H127" s="655" t="s">
        <v>5130</v>
      </c>
      <c r="I127" s="655" t="s">
        <v>4852</v>
      </c>
      <c r="J127" s="712"/>
      <c r="K127" s="655" t="s">
        <v>830</v>
      </c>
      <c r="L127" s="655" t="s">
        <v>5285</v>
      </c>
      <c r="M127" s="660">
        <v>-390506.91</v>
      </c>
      <c r="N127" s="660">
        <v>-19148.259999999998</v>
      </c>
      <c r="O127" s="660">
        <v>-65544.83</v>
      </c>
      <c r="P127" s="660">
        <v>-475200</v>
      </c>
      <c r="Q127" s="548"/>
      <c r="R127" s="660">
        <v>-345842.5</v>
      </c>
      <c r="S127" s="549">
        <f t="shared" si="48"/>
        <v>-129357.5</v>
      </c>
      <c r="T127" s="267" t="s">
        <v>1268</v>
      </c>
      <c r="U127" s="267"/>
      <c r="V127" s="93"/>
      <c r="W127" s="267"/>
      <c r="X127" s="267"/>
      <c r="Y127" s="93"/>
      <c r="Z127" s="618"/>
      <c r="AA127" s="424"/>
      <c r="AB127" s="480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3">
        <f t="shared" si="62"/>
        <v>123</v>
      </c>
      <c r="B128" s="657" t="s">
        <v>5031</v>
      </c>
      <c r="C128" s="655">
        <v>520513</v>
      </c>
      <c r="D128" s="658">
        <v>5396</v>
      </c>
      <c r="E128" s="655" t="s">
        <v>132</v>
      </c>
      <c r="F128" s="546">
        <v>2017</v>
      </c>
      <c r="G128" s="659">
        <v>42937</v>
      </c>
      <c r="H128" s="655" t="s">
        <v>2213</v>
      </c>
      <c r="I128" s="655" t="s">
        <v>4146</v>
      </c>
      <c r="J128" s="712"/>
      <c r="K128" s="655" t="s">
        <v>4147</v>
      </c>
      <c r="L128" s="655" t="s">
        <v>4148</v>
      </c>
      <c r="M128" s="660">
        <v>-481083.78</v>
      </c>
      <c r="N128" s="660">
        <v>-33485.19</v>
      </c>
      <c r="O128" s="660">
        <v>-82331.03</v>
      </c>
      <c r="P128" s="660">
        <v>-596900</v>
      </c>
      <c r="Q128" s="548"/>
      <c r="R128" s="660">
        <v>-425866.63</v>
      </c>
      <c r="S128" s="549">
        <f t="shared" si="48"/>
        <v>-171033.37</v>
      </c>
      <c r="T128" s="444" t="s">
        <v>1268</v>
      </c>
      <c r="U128" s="267"/>
      <c r="V128" s="93"/>
      <c r="W128" s="267"/>
      <c r="X128" s="267"/>
      <c r="Y128" s="93"/>
      <c r="Z128" s="618"/>
      <c r="AA128" s="424"/>
      <c r="AB128" s="480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62"/>
        <v>124</v>
      </c>
      <c r="B129" s="657" t="s">
        <v>4921</v>
      </c>
      <c r="C129" s="655">
        <v>521101</v>
      </c>
      <c r="D129" s="658">
        <v>1253</v>
      </c>
      <c r="E129" s="655" t="s">
        <v>30</v>
      </c>
      <c r="F129" s="546">
        <v>2017</v>
      </c>
      <c r="G129" s="659">
        <v>42937</v>
      </c>
      <c r="H129" s="655" t="s">
        <v>774</v>
      </c>
      <c r="I129" s="655" t="s">
        <v>4783</v>
      </c>
      <c r="J129" s="712"/>
      <c r="K129" s="655" t="s">
        <v>3119</v>
      </c>
      <c r="L129" s="655" t="s">
        <v>5289</v>
      </c>
      <c r="M129" s="660">
        <v>-371551.72</v>
      </c>
      <c r="N129" s="660">
        <v>0</v>
      </c>
      <c r="O129" s="660">
        <v>-59448.28</v>
      </c>
      <c r="P129" s="660">
        <v>-431000</v>
      </c>
      <c r="Q129" s="548"/>
      <c r="R129" s="660">
        <v>-344834.35</v>
      </c>
      <c r="S129" s="549">
        <f t="shared" si="48"/>
        <v>-86165.650000000023</v>
      </c>
      <c r="T129" s="113" t="s">
        <v>1268</v>
      </c>
      <c r="U129" s="267"/>
      <c r="V129" s="93"/>
      <c r="W129" s="267"/>
      <c r="X129" s="267"/>
      <c r="Y129" s="93"/>
      <c r="Z129" s="618"/>
      <c r="AA129" s="424"/>
      <c r="AB129" s="480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62"/>
        <v>125</v>
      </c>
      <c r="B130" s="657" t="s">
        <v>4922</v>
      </c>
      <c r="C130" s="655">
        <v>521101</v>
      </c>
      <c r="D130" s="658">
        <v>1253</v>
      </c>
      <c r="E130" s="655" t="s">
        <v>30</v>
      </c>
      <c r="F130" s="546">
        <v>2017</v>
      </c>
      <c r="G130" s="659">
        <v>42937</v>
      </c>
      <c r="H130" s="655" t="s">
        <v>774</v>
      </c>
      <c r="I130" s="655" t="s">
        <v>4783</v>
      </c>
      <c r="J130" s="712"/>
      <c r="K130" s="655" t="s">
        <v>3119</v>
      </c>
      <c r="L130" s="655" t="s">
        <v>5289</v>
      </c>
      <c r="M130" s="660">
        <v>-388793.1</v>
      </c>
      <c r="N130" s="660">
        <v>0</v>
      </c>
      <c r="O130" s="660">
        <v>-62206.9</v>
      </c>
      <c r="P130" s="660">
        <v>-451000</v>
      </c>
      <c r="Q130" s="548"/>
      <c r="R130" s="660">
        <v>-344834.35</v>
      </c>
      <c r="S130" s="549">
        <f t="shared" si="48"/>
        <v>-106165.65000000002</v>
      </c>
      <c r="T130" s="267" t="s">
        <v>1268</v>
      </c>
      <c r="U130" s="267"/>
      <c r="V130" s="93"/>
      <c r="W130" s="267"/>
      <c r="X130" s="267"/>
      <c r="Y130" s="93"/>
      <c r="Z130" s="618"/>
      <c r="AA130" s="424"/>
      <c r="AB130" s="480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62"/>
        <v>126</v>
      </c>
      <c r="B131" s="657" t="s">
        <v>4971</v>
      </c>
      <c r="C131" s="655">
        <v>521702</v>
      </c>
      <c r="D131" s="658">
        <v>2005</v>
      </c>
      <c r="E131" s="655" t="s">
        <v>701</v>
      </c>
      <c r="F131" s="546">
        <v>2017</v>
      </c>
      <c r="G131" s="659">
        <v>42940</v>
      </c>
      <c r="H131" s="655" t="s">
        <v>2216</v>
      </c>
      <c r="I131" s="655" t="s">
        <v>4810</v>
      </c>
      <c r="J131" s="712"/>
      <c r="K131" s="655" t="s">
        <v>5150</v>
      </c>
      <c r="L131" s="655" t="s">
        <v>5264</v>
      </c>
      <c r="M131" s="660">
        <v>-183620.69</v>
      </c>
      <c r="N131" s="660">
        <v>0</v>
      </c>
      <c r="O131" s="660">
        <v>-29379.31</v>
      </c>
      <c r="P131" s="660">
        <v>-213000</v>
      </c>
      <c r="Q131" s="548"/>
      <c r="R131" s="660">
        <v>-166508.04</v>
      </c>
      <c r="S131" s="549">
        <f t="shared" si="48"/>
        <v>-46491.959999999992</v>
      </c>
      <c r="T131" s="113" t="s">
        <v>1268</v>
      </c>
      <c r="U131" s="267"/>
      <c r="V131" s="93"/>
      <c r="W131" s="267"/>
      <c r="X131" s="267"/>
      <c r="Y131" s="93"/>
      <c r="Z131" s="618"/>
      <c r="AA131" s="424"/>
      <c r="AB131" s="480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62"/>
        <v>127</v>
      </c>
      <c r="B132" s="657" t="s">
        <v>4955</v>
      </c>
      <c r="C132" s="655">
        <v>520222</v>
      </c>
      <c r="D132" s="658">
        <v>1797</v>
      </c>
      <c r="E132" s="655" t="s">
        <v>688</v>
      </c>
      <c r="F132" s="546">
        <v>2017</v>
      </c>
      <c r="G132" s="659">
        <v>42942</v>
      </c>
      <c r="H132" s="655" t="s">
        <v>908</v>
      </c>
      <c r="I132" s="655" t="s">
        <v>4802</v>
      </c>
      <c r="J132" s="712"/>
      <c r="K132" s="655" t="s">
        <v>5146</v>
      </c>
      <c r="L132" s="655" t="s">
        <v>5258</v>
      </c>
      <c r="M132" s="660">
        <v>-241550.02</v>
      </c>
      <c r="N132" s="660">
        <v>-2415.5</v>
      </c>
      <c r="O132" s="660">
        <v>-39034.480000000003</v>
      </c>
      <c r="P132" s="660">
        <v>-283000</v>
      </c>
      <c r="Q132" s="548"/>
      <c r="R132" s="660">
        <v>-212392.62</v>
      </c>
      <c r="S132" s="549">
        <f t="shared" si="48"/>
        <v>-70607.38</v>
      </c>
      <c r="T132" s="113" t="s">
        <v>1268</v>
      </c>
      <c r="U132" s="267"/>
      <c r="V132" s="93"/>
      <c r="W132" s="267"/>
      <c r="X132" s="267"/>
      <c r="Y132" s="93"/>
      <c r="Z132" s="618"/>
      <c r="AA132" s="424"/>
      <c r="AB132" s="480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62"/>
        <v>128</v>
      </c>
      <c r="B133" s="657" t="s">
        <v>5049</v>
      </c>
      <c r="C133" s="655">
        <v>521907</v>
      </c>
      <c r="D133" s="658">
        <v>6987</v>
      </c>
      <c r="E133" s="655" t="s">
        <v>708</v>
      </c>
      <c r="F133" s="546">
        <v>2017</v>
      </c>
      <c r="G133" s="659">
        <v>42943</v>
      </c>
      <c r="H133" s="655" t="s">
        <v>792</v>
      </c>
      <c r="I133" s="655" t="s">
        <v>4856</v>
      </c>
      <c r="J133" s="712"/>
      <c r="K133" s="655" t="s">
        <v>5171</v>
      </c>
      <c r="L133" s="655" t="s">
        <v>5290</v>
      </c>
      <c r="M133" s="660">
        <v>-566553.87</v>
      </c>
      <c r="N133" s="660">
        <v>-48015.1</v>
      </c>
      <c r="O133" s="660">
        <v>-98331.03</v>
      </c>
      <c r="P133" s="660">
        <v>-712900</v>
      </c>
      <c r="Q133" s="548"/>
      <c r="R133" s="660">
        <v>-501080.3</v>
      </c>
      <c r="S133" s="549">
        <f t="shared" si="48"/>
        <v>-211819.7</v>
      </c>
      <c r="T133" s="113" t="s">
        <v>1268</v>
      </c>
      <c r="U133" s="267"/>
      <c r="V133" s="93"/>
      <c r="W133" s="267"/>
      <c r="X133" s="267"/>
      <c r="Y133" s="93"/>
      <c r="Z133" s="618"/>
      <c r="AA133" s="424"/>
      <c r="AB133" s="480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62"/>
        <v>129</v>
      </c>
      <c r="B134" s="657" t="s">
        <v>4938</v>
      </c>
      <c r="C134" s="655">
        <v>520220</v>
      </c>
      <c r="D134" s="658">
        <v>1794</v>
      </c>
      <c r="E134" s="655" t="s">
        <v>687</v>
      </c>
      <c r="F134" s="546">
        <v>2017</v>
      </c>
      <c r="G134" s="659">
        <v>42945</v>
      </c>
      <c r="H134" s="655" t="s">
        <v>817</v>
      </c>
      <c r="I134" s="655" t="s">
        <v>4794</v>
      </c>
      <c r="J134" s="712"/>
      <c r="K134" s="655" t="s">
        <v>5141</v>
      </c>
      <c r="L134" s="655" t="s">
        <v>5329</v>
      </c>
      <c r="M134" s="660">
        <v>-272992.27</v>
      </c>
      <c r="N134" s="660">
        <v>-3128.42</v>
      </c>
      <c r="O134" s="660">
        <v>-44179.31</v>
      </c>
      <c r="P134" s="660">
        <v>-320300</v>
      </c>
      <c r="Q134" s="548"/>
      <c r="R134" s="660">
        <v>-230475.74</v>
      </c>
      <c r="S134" s="549">
        <f t="shared" ref="S134:S197" si="63">+P134-R134</f>
        <v>-89824.260000000009</v>
      </c>
      <c r="T134" s="267" t="s">
        <v>1268</v>
      </c>
      <c r="U134" s="267"/>
      <c r="V134" s="93"/>
      <c r="W134" s="267"/>
      <c r="X134" s="267"/>
      <c r="Y134" s="93"/>
      <c r="Z134" s="618"/>
      <c r="AA134" s="424"/>
      <c r="AB134" s="480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62"/>
        <v>130</v>
      </c>
      <c r="B135" s="657" t="s">
        <v>4940</v>
      </c>
      <c r="C135" s="655">
        <v>520220</v>
      </c>
      <c r="D135" s="658">
        <v>1794</v>
      </c>
      <c r="E135" s="655" t="s">
        <v>687</v>
      </c>
      <c r="F135" s="546">
        <v>2017</v>
      </c>
      <c r="G135" s="659">
        <v>42947</v>
      </c>
      <c r="H135" s="655" t="s">
        <v>817</v>
      </c>
      <c r="I135" s="655" t="s">
        <v>4794</v>
      </c>
      <c r="J135" s="712"/>
      <c r="K135" s="655" t="s">
        <v>5141</v>
      </c>
      <c r="L135" s="655" t="s">
        <v>5329</v>
      </c>
      <c r="M135" s="660">
        <v>-272992.27</v>
      </c>
      <c r="N135" s="660">
        <v>-3128.42</v>
      </c>
      <c r="O135" s="660">
        <v>-44179.31</v>
      </c>
      <c r="P135" s="660">
        <v>-320300</v>
      </c>
      <c r="Q135" s="548"/>
      <c r="R135" s="660">
        <v>-230475.74</v>
      </c>
      <c r="S135" s="549">
        <f t="shared" si="63"/>
        <v>-89824.260000000009</v>
      </c>
      <c r="T135" s="113" t="s">
        <v>1268</v>
      </c>
      <c r="U135" s="267"/>
      <c r="V135" s="93"/>
      <c r="W135" s="267"/>
      <c r="X135" s="267"/>
      <c r="Y135" s="93"/>
      <c r="Z135" s="618"/>
      <c r="AA135" s="424"/>
      <c r="AB135" s="480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199" si="64">+A135+1</f>
        <v>131</v>
      </c>
      <c r="B136" s="657" t="s">
        <v>4932</v>
      </c>
      <c r="C136" s="655">
        <v>520227</v>
      </c>
      <c r="D136" s="658">
        <v>1782</v>
      </c>
      <c r="E136" s="655" t="s">
        <v>691</v>
      </c>
      <c r="F136" s="546">
        <v>2017</v>
      </c>
      <c r="G136" s="659">
        <v>42947</v>
      </c>
      <c r="H136" s="655" t="s">
        <v>3694</v>
      </c>
      <c r="I136" s="655" t="s">
        <v>4790</v>
      </c>
      <c r="J136" s="712"/>
      <c r="K136" s="655" t="s">
        <v>5138</v>
      </c>
      <c r="L136" s="655" t="s">
        <v>5307</v>
      </c>
      <c r="M136" s="660">
        <v>-284850.98</v>
      </c>
      <c r="N136" s="660">
        <v>-3424.88</v>
      </c>
      <c r="O136" s="660">
        <v>-46124.14</v>
      </c>
      <c r="P136" s="660">
        <v>-334400</v>
      </c>
      <c r="Q136" s="548"/>
      <c r="R136" s="660">
        <v>-260686.11</v>
      </c>
      <c r="S136" s="549">
        <f t="shared" si="63"/>
        <v>-73713.890000000014</v>
      </c>
      <c r="T136" s="113" t="s">
        <v>1268</v>
      </c>
      <c r="U136" s="267"/>
      <c r="V136" s="93"/>
      <c r="W136" s="267"/>
      <c r="X136" s="267"/>
      <c r="Y136" s="93"/>
      <c r="Z136" s="618"/>
      <c r="AA136" s="424"/>
      <c r="AB136" s="480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64"/>
        <v>132</v>
      </c>
      <c r="B137" s="657" t="s">
        <v>5012</v>
      </c>
      <c r="C137" s="655">
        <v>520112</v>
      </c>
      <c r="D137" s="658">
        <v>2593</v>
      </c>
      <c r="E137" s="655" t="s">
        <v>685</v>
      </c>
      <c r="F137" s="546">
        <v>2017</v>
      </c>
      <c r="G137" s="659">
        <v>42947</v>
      </c>
      <c r="H137" s="655" t="s">
        <v>817</v>
      </c>
      <c r="I137" s="655" t="s">
        <v>4835</v>
      </c>
      <c r="J137" s="712"/>
      <c r="K137" s="655" t="s">
        <v>5168</v>
      </c>
      <c r="L137" s="655" t="s">
        <v>5337</v>
      </c>
      <c r="M137" s="660">
        <v>-325726.17</v>
      </c>
      <c r="N137" s="660">
        <v>-10394.52</v>
      </c>
      <c r="O137" s="660">
        <v>-53779.31</v>
      </c>
      <c r="P137" s="660">
        <v>-389900</v>
      </c>
      <c r="Q137" s="548"/>
      <c r="R137" s="660">
        <v>-289173.23</v>
      </c>
      <c r="S137" s="549">
        <f t="shared" si="63"/>
        <v>-100726.77000000002</v>
      </c>
      <c r="T137" s="113" t="s">
        <v>1268</v>
      </c>
      <c r="U137" s="267"/>
      <c r="V137" s="93"/>
      <c r="W137" s="267"/>
      <c r="X137" s="267"/>
      <c r="Y137" s="93"/>
      <c r="Z137" s="618"/>
      <c r="AA137" s="424"/>
      <c r="AB137" s="480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64"/>
        <v>133</v>
      </c>
      <c r="B138" s="657" t="s">
        <v>5008</v>
      </c>
      <c r="C138" s="655">
        <v>520111</v>
      </c>
      <c r="D138" s="658">
        <v>2592</v>
      </c>
      <c r="E138" s="655" t="s">
        <v>684</v>
      </c>
      <c r="F138" s="546">
        <v>2017</v>
      </c>
      <c r="G138" s="659">
        <v>42917</v>
      </c>
      <c r="H138" s="655"/>
      <c r="I138" s="655" t="s">
        <v>4833</v>
      </c>
      <c r="J138" s="712"/>
      <c r="K138" s="655" t="s">
        <v>59</v>
      </c>
      <c r="L138" s="655" t="s">
        <v>5211</v>
      </c>
      <c r="M138" s="660">
        <v>272073.46000000002</v>
      </c>
      <c r="N138" s="660">
        <v>0</v>
      </c>
      <c r="O138" s="660">
        <v>43531.75</v>
      </c>
      <c r="P138" s="660">
        <v>315605.21000000002</v>
      </c>
      <c r="Q138" s="548"/>
      <c r="R138" s="660">
        <v>272072.59000000003</v>
      </c>
      <c r="S138" s="549">
        <f t="shared" si="63"/>
        <v>43532.619999999995</v>
      </c>
      <c r="T138" s="267" t="s">
        <v>283</v>
      </c>
      <c r="U138" s="267"/>
      <c r="V138" s="93"/>
      <c r="W138" s="267"/>
      <c r="X138" s="267"/>
      <c r="Y138" s="93"/>
      <c r="Z138" s="618"/>
      <c r="AA138" s="424"/>
      <c r="AB138" s="480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64"/>
        <v>134</v>
      </c>
      <c r="B139" s="657" t="s">
        <v>4945</v>
      </c>
      <c r="C139" s="655">
        <v>520223</v>
      </c>
      <c r="D139" s="658">
        <v>1796</v>
      </c>
      <c r="E139" s="655" t="s">
        <v>689</v>
      </c>
      <c r="F139" s="546">
        <v>2017</v>
      </c>
      <c r="G139" s="659">
        <v>42921</v>
      </c>
      <c r="H139" s="655"/>
      <c r="I139" s="655" t="s">
        <v>4797</v>
      </c>
      <c r="J139" s="712"/>
      <c r="K139" s="655" t="s">
        <v>3871</v>
      </c>
      <c r="L139" s="655" t="s">
        <v>5221</v>
      </c>
      <c r="M139" s="660">
        <v>220611.09</v>
      </c>
      <c r="N139" s="660">
        <v>0</v>
      </c>
      <c r="O139" s="660">
        <v>35297.769999999997</v>
      </c>
      <c r="P139" s="660">
        <v>255908.86</v>
      </c>
      <c r="Q139" s="548"/>
      <c r="R139" s="660">
        <v>220255.74</v>
      </c>
      <c r="S139" s="549">
        <f t="shared" si="63"/>
        <v>35653.119999999995</v>
      </c>
      <c r="T139" s="267" t="s">
        <v>283</v>
      </c>
      <c r="U139" s="267"/>
      <c r="V139" s="93"/>
      <c r="W139" s="267"/>
      <c r="X139" s="267"/>
      <c r="Y139" s="93"/>
      <c r="Z139" s="618"/>
      <c r="AA139" s="424"/>
      <c r="AB139" s="480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64"/>
        <v>135</v>
      </c>
      <c r="B140" s="657" t="s">
        <v>5065</v>
      </c>
      <c r="C140" s="655">
        <v>1520604</v>
      </c>
      <c r="D140" s="658">
        <v>7495</v>
      </c>
      <c r="E140" s="655" t="s">
        <v>718</v>
      </c>
      <c r="F140" s="546">
        <v>2017</v>
      </c>
      <c r="G140" s="659">
        <v>42921</v>
      </c>
      <c r="H140" s="655"/>
      <c r="I140" s="655" t="s">
        <v>4868</v>
      </c>
      <c r="J140" s="712"/>
      <c r="K140" s="655" t="s">
        <v>2404</v>
      </c>
      <c r="L140" s="655" t="s">
        <v>5222</v>
      </c>
      <c r="M140" s="660">
        <v>262806.28000000003</v>
      </c>
      <c r="N140" s="660">
        <v>0</v>
      </c>
      <c r="O140" s="660">
        <v>42049</v>
      </c>
      <c r="P140" s="660">
        <v>304855.28000000003</v>
      </c>
      <c r="Q140" s="548"/>
      <c r="R140" s="660">
        <v>262450.93</v>
      </c>
      <c r="S140" s="549">
        <f t="shared" si="63"/>
        <v>42404.350000000035</v>
      </c>
      <c r="T140" s="267" t="s">
        <v>283</v>
      </c>
      <c r="U140" s="267"/>
      <c r="V140" s="93"/>
      <c r="W140" s="267"/>
      <c r="X140" s="267"/>
      <c r="Y140" s="93"/>
      <c r="Z140" s="618"/>
      <c r="AA140" s="424"/>
      <c r="AB140" s="480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64"/>
        <v>136</v>
      </c>
      <c r="B141" s="657" t="s">
        <v>5064</v>
      </c>
      <c r="C141" s="655">
        <v>1520604</v>
      </c>
      <c r="D141" s="658">
        <v>7495</v>
      </c>
      <c r="E141" s="655" t="s">
        <v>718</v>
      </c>
      <c r="F141" s="546">
        <v>2017</v>
      </c>
      <c r="G141" s="659">
        <v>42921</v>
      </c>
      <c r="H141" s="655"/>
      <c r="I141" s="655" t="s">
        <v>4867</v>
      </c>
      <c r="J141" s="712"/>
      <c r="K141" s="655" t="s">
        <v>2404</v>
      </c>
      <c r="L141" s="655" t="s">
        <v>5223</v>
      </c>
      <c r="M141" s="660">
        <v>262806.28000000003</v>
      </c>
      <c r="N141" s="660">
        <v>0</v>
      </c>
      <c r="O141" s="660">
        <v>42049</v>
      </c>
      <c r="P141" s="660">
        <v>304855.28000000003</v>
      </c>
      <c r="Q141" s="548"/>
      <c r="R141" s="660">
        <v>262450.93</v>
      </c>
      <c r="S141" s="549">
        <f t="shared" si="63"/>
        <v>42404.350000000035</v>
      </c>
      <c r="T141" s="267" t="s">
        <v>283</v>
      </c>
      <c r="U141" s="267"/>
      <c r="V141" s="93"/>
      <c r="W141" s="267"/>
      <c r="X141" s="267"/>
      <c r="Y141" s="93"/>
      <c r="Z141" s="618"/>
      <c r="AA141" s="424"/>
      <c r="AB141" s="480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3">
        <f t="shared" si="64"/>
        <v>137</v>
      </c>
      <c r="B142" s="657" t="s">
        <v>5063</v>
      </c>
      <c r="C142" s="655">
        <v>1520604</v>
      </c>
      <c r="D142" s="658">
        <v>7495</v>
      </c>
      <c r="E142" s="655" t="s">
        <v>718</v>
      </c>
      <c r="F142" s="546">
        <v>2017</v>
      </c>
      <c r="G142" s="659">
        <v>42921</v>
      </c>
      <c r="H142" s="655"/>
      <c r="I142" s="655" t="s">
        <v>4866</v>
      </c>
      <c r="J142" s="712"/>
      <c r="K142" s="655" t="s">
        <v>2404</v>
      </c>
      <c r="L142" s="655" t="s">
        <v>5224</v>
      </c>
      <c r="M142" s="660">
        <v>262806.28000000003</v>
      </c>
      <c r="N142" s="660">
        <v>0</v>
      </c>
      <c r="O142" s="660">
        <v>42049</v>
      </c>
      <c r="P142" s="660">
        <v>304855.28000000003</v>
      </c>
      <c r="Q142" s="548"/>
      <c r="R142" s="660">
        <v>262450.93</v>
      </c>
      <c r="S142" s="549">
        <f t="shared" si="63"/>
        <v>42404.350000000035</v>
      </c>
      <c r="T142" s="267" t="s">
        <v>283</v>
      </c>
      <c r="U142" s="267"/>
      <c r="V142" s="93"/>
      <c r="W142" s="267"/>
      <c r="X142" s="267"/>
      <c r="Y142" s="93"/>
      <c r="Z142" s="618"/>
      <c r="AA142" s="424"/>
      <c r="AB142" s="480"/>
      <c r="AC142" s="424"/>
      <c r="AD142" s="425"/>
      <c r="AE142" s="424"/>
      <c r="AF142" s="424"/>
      <c r="AG142" s="396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x14ac:dyDescent="0.2">
      <c r="A143" s="423">
        <f t="shared" si="64"/>
        <v>138</v>
      </c>
      <c r="B143" s="657" t="s">
        <v>4909</v>
      </c>
      <c r="C143" s="655">
        <v>522401</v>
      </c>
      <c r="D143" s="658">
        <v>1062</v>
      </c>
      <c r="E143" s="655" t="s">
        <v>709</v>
      </c>
      <c r="F143" s="546">
        <v>2017</v>
      </c>
      <c r="G143" s="659">
        <v>42921</v>
      </c>
      <c r="H143" s="655"/>
      <c r="I143" s="655" t="s">
        <v>4773</v>
      </c>
      <c r="J143" s="712"/>
      <c r="K143" s="655" t="s">
        <v>365</v>
      </c>
      <c r="L143" s="655" t="s">
        <v>5225</v>
      </c>
      <c r="M143" s="660">
        <v>208392.04</v>
      </c>
      <c r="N143" s="660">
        <v>0</v>
      </c>
      <c r="O143" s="660">
        <v>33342.730000000003</v>
      </c>
      <c r="P143" s="660">
        <v>241734.77</v>
      </c>
      <c r="Q143" s="548"/>
      <c r="R143" s="660">
        <v>208391.18</v>
      </c>
      <c r="S143" s="549">
        <f t="shared" si="63"/>
        <v>33343.589999999997</v>
      </c>
      <c r="T143" s="267" t="s">
        <v>283</v>
      </c>
      <c r="U143" s="267"/>
      <c r="V143" s="93"/>
      <c r="W143" s="267"/>
      <c r="X143" s="267"/>
      <c r="Y143" s="93"/>
      <c r="Z143" s="618"/>
      <c r="AA143" s="424"/>
      <c r="AB143" s="480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x14ac:dyDescent="0.2">
      <c r="A144" s="423">
        <f t="shared" si="64"/>
        <v>139</v>
      </c>
      <c r="B144" s="657" t="s">
        <v>4989</v>
      </c>
      <c r="C144" s="655">
        <v>521801</v>
      </c>
      <c r="D144" s="658">
        <v>2201</v>
      </c>
      <c r="E144" s="655" t="s">
        <v>704</v>
      </c>
      <c r="F144" s="546">
        <v>2017</v>
      </c>
      <c r="G144" s="659">
        <v>42923</v>
      </c>
      <c r="H144" s="655"/>
      <c r="I144" s="655" t="s">
        <v>4822</v>
      </c>
      <c r="J144" s="712"/>
      <c r="K144" s="655" t="s">
        <v>1672</v>
      </c>
      <c r="L144" s="655" t="s">
        <v>5228</v>
      </c>
      <c r="M144" s="660">
        <v>183987.71</v>
      </c>
      <c r="N144" s="660">
        <v>0</v>
      </c>
      <c r="O144" s="660">
        <v>29438.03</v>
      </c>
      <c r="P144" s="660">
        <v>213425.74</v>
      </c>
      <c r="Q144" s="548"/>
      <c r="R144" s="660">
        <v>183632.36</v>
      </c>
      <c r="S144" s="549">
        <f t="shared" si="63"/>
        <v>29793.380000000005</v>
      </c>
      <c r="T144" s="267" t="s">
        <v>283</v>
      </c>
      <c r="U144" s="267"/>
      <c r="V144" s="93"/>
      <c r="W144" s="267"/>
      <c r="X144" s="267"/>
      <c r="Y144" s="93"/>
      <c r="Z144" s="618"/>
      <c r="AA144" s="424"/>
      <c r="AB144" s="480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x14ac:dyDescent="0.2">
      <c r="A145" s="423">
        <f t="shared" si="64"/>
        <v>140</v>
      </c>
      <c r="B145" s="657" t="s">
        <v>4995</v>
      </c>
      <c r="C145" s="655">
        <v>521802</v>
      </c>
      <c r="D145" s="658">
        <v>2202</v>
      </c>
      <c r="E145" s="655" t="s">
        <v>703</v>
      </c>
      <c r="F145" s="546">
        <v>2017</v>
      </c>
      <c r="G145" s="659">
        <v>42923</v>
      </c>
      <c r="H145" s="655"/>
      <c r="I145" s="655" t="s">
        <v>4827</v>
      </c>
      <c r="J145" s="712"/>
      <c r="K145" s="655" t="s">
        <v>1670</v>
      </c>
      <c r="L145" s="655" t="s">
        <v>5230</v>
      </c>
      <c r="M145" s="660">
        <v>188022.18</v>
      </c>
      <c r="N145" s="660">
        <v>0</v>
      </c>
      <c r="O145" s="660">
        <v>30083.55</v>
      </c>
      <c r="P145" s="660">
        <v>218105.73</v>
      </c>
      <c r="Q145" s="548"/>
      <c r="R145" s="660">
        <v>187666.84</v>
      </c>
      <c r="S145" s="549">
        <f t="shared" si="63"/>
        <v>30438.890000000014</v>
      </c>
      <c r="T145" s="267" t="s">
        <v>283</v>
      </c>
      <c r="U145" s="267"/>
      <c r="V145" s="93"/>
      <c r="W145" s="267"/>
      <c r="X145" s="267"/>
      <c r="Y145" s="93"/>
      <c r="Z145" s="618"/>
      <c r="AA145" s="424"/>
      <c r="AB145" s="480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x14ac:dyDescent="0.2">
      <c r="A146" s="423">
        <f t="shared" si="64"/>
        <v>141</v>
      </c>
      <c r="B146" s="657" t="s">
        <v>4910</v>
      </c>
      <c r="C146" s="655">
        <v>522401</v>
      </c>
      <c r="D146" s="658">
        <v>1062</v>
      </c>
      <c r="E146" s="655" t="s">
        <v>709</v>
      </c>
      <c r="F146" s="546">
        <v>2017</v>
      </c>
      <c r="G146" s="659">
        <v>42923</v>
      </c>
      <c r="H146" s="655"/>
      <c r="I146" s="655" t="s">
        <v>4774</v>
      </c>
      <c r="J146" s="712"/>
      <c r="K146" s="655" t="s">
        <v>357</v>
      </c>
      <c r="L146" s="655" t="s">
        <v>5231</v>
      </c>
      <c r="M146" s="660">
        <v>208391.04000000001</v>
      </c>
      <c r="N146" s="660">
        <v>0</v>
      </c>
      <c r="O146" s="660">
        <v>33342.57</v>
      </c>
      <c r="P146" s="660">
        <v>241733.61</v>
      </c>
      <c r="Q146" s="548"/>
      <c r="R146" s="660">
        <v>208035.7</v>
      </c>
      <c r="S146" s="549">
        <f t="shared" si="63"/>
        <v>33697.909999999974</v>
      </c>
      <c r="T146" s="267" t="s">
        <v>283</v>
      </c>
      <c r="U146" s="267"/>
      <c r="V146" s="93"/>
      <c r="W146" s="267"/>
      <c r="X146" s="267"/>
      <c r="Y146" s="93"/>
      <c r="Z146" s="618"/>
      <c r="AA146" s="424"/>
      <c r="AB146" s="480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x14ac:dyDescent="0.2">
      <c r="A147" s="423">
        <f t="shared" si="64"/>
        <v>142</v>
      </c>
      <c r="B147" s="657" t="s">
        <v>5079</v>
      </c>
      <c r="C147" s="655">
        <v>1520603</v>
      </c>
      <c r="D147" s="658">
        <v>7497</v>
      </c>
      <c r="E147" s="655" t="s">
        <v>717</v>
      </c>
      <c r="F147" s="546">
        <v>2017</v>
      </c>
      <c r="G147" s="659">
        <v>42923</v>
      </c>
      <c r="H147" s="655"/>
      <c r="I147" s="655" t="s">
        <v>4881</v>
      </c>
      <c r="J147" s="712"/>
      <c r="K147" s="655" t="s">
        <v>3130</v>
      </c>
      <c r="L147" s="655" t="s">
        <v>5235</v>
      </c>
      <c r="M147" s="660">
        <v>257188.78</v>
      </c>
      <c r="N147" s="660">
        <v>0</v>
      </c>
      <c r="O147" s="660">
        <v>41150.199999999997</v>
      </c>
      <c r="P147" s="660">
        <v>298338.98</v>
      </c>
      <c r="Q147" s="548"/>
      <c r="R147" s="660">
        <v>247285.57</v>
      </c>
      <c r="S147" s="549">
        <f t="shared" si="63"/>
        <v>51053.409999999974</v>
      </c>
      <c r="T147" s="267" t="s">
        <v>283</v>
      </c>
      <c r="U147" s="267"/>
      <c r="V147" s="93"/>
      <c r="W147" s="267"/>
      <c r="X147" s="267"/>
      <c r="Y147" s="93"/>
      <c r="Z147" s="618"/>
      <c r="AA147" s="424"/>
      <c r="AB147" s="480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64"/>
        <v>143</v>
      </c>
      <c r="B148" s="657" t="s">
        <v>5080</v>
      </c>
      <c r="C148" s="655">
        <v>1520603</v>
      </c>
      <c r="D148" s="658">
        <v>7497</v>
      </c>
      <c r="E148" s="655" t="s">
        <v>717</v>
      </c>
      <c r="F148" s="546">
        <v>2017</v>
      </c>
      <c r="G148" s="659">
        <v>42923</v>
      </c>
      <c r="H148" s="655"/>
      <c r="I148" s="655" t="s">
        <v>4882</v>
      </c>
      <c r="J148" s="712"/>
      <c r="K148" s="655" t="s">
        <v>3130</v>
      </c>
      <c r="L148" s="655" t="s">
        <v>5236</v>
      </c>
      <c r="M148" s="660">
        <v>257188.78</v>
      </c>
      <c r="N148" s="660">
        <v>0</v>
      </c>
      <c r="O148" s="660">
        <v>41150.199999999997</v>
      </c>
      <c r="P148" s="660">
        <v>298338.98</v>
      </c>
      <c r="Q148" s="548"/>
      <c r="R148" s="660">
        <v>247285.57</v>
      </c>
      <c r="S148" s="549">
        <f t="shared" si="63"/>
        <v>51053.409999999974</v>
      </c>
      <c r="T148" s="267" t="s">
        <v>283</v>
      </c>
      <c r="U148" s="267"/>
      <c r="V148" s="93"/>
      <c r="W148" s="267"/>
      <c r="X148" s="267"/>
      <c r="Y148" s="93"/>
      <c r="Z148" s="618"/>
      <c r="AA148" s="424"/>
      <c r="AB148" s="480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x14ac:dyDescent="0.2">
      <c r="A149" s="423">
        <f t="shared" si="64"/>
        <v>144</v>
      </c>
      <c r="B149" s="657" t="s">
        <v>4925</v>
      </c>
      <c r="C149" s="655">
        <v>520224</v>
      </c>
      <c r="D149" s="658">
        <v>1781</v>
      </c>
      <c r="E149" s="655" t="s">
        <v>690</v>
      </c>
      <c r="F149" s="546">
        <v>2017</v>
      </c>
      <c r="G149" s="659">
        <v>42928</v>
      </c>
      <c r="H149" s="655"/>
      <c r="I149" s="655" t="s">
        <v>4785</v>
      </c>
      <c r="J149" s="712"/>
      <c r="K149" s="655" t="s">
        <v>135</v>
      </c>
      <c r="L149" s="655" t="s">
        <v>5249</v>
      </c>
      <c r="M149" s="660">
        <v>248134.21</v>
      </c>
      <c r="N149" s="660">
        <v>0</v>
      </c>
      <c r="O149" s="660">
        <v>39701.47</v>
      </c>
      <c r="P149" s="660">
        <v>287835.68</v>
      </c>
      <c r="Q149" s="548"/>
      <c r="R149" s="660">
        <v>238055.66</v>
      </c>
      <c r="S149" s="549">
        <f t="shared" si="63"/>
        <v>49780.01999999999</v>
      </c>
      <c r="T149" s="267" t="s">
        <v>283</v>
      </c>
      <c r="U149" s="267"/>
      <c r="V149" s="93"/>
      <c r="W149" s="267"/>
      <c r="X149" s="267"/>
      <c r="Y149" s="93"/>
      <c r="Z149" s="618"/>
      <c r="AA149" s="424"/>
      <c r="AB149" s="480"/>
      <c r="AC149" s="424"/>
      <c r="AD149" s="425"/>
      <c r="AE149" s="424"/>
      <c r="AF149" s="424"/>
      <c r="AG149" s="396"/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x14ac:dyDescent="0.2">
      <c r="A150" s="423">
        <f t="shared" si="64"/>
        <v>145</v>
      </c>
      <c r="B150" s="657" t="s">
        <v>5025</v>
      </c>
      <c r="C150" s="655">
        <v>520512</v>
      </c>
      <c r="D150" s="658">
        <v>5394</v>
      </c>
      <c r="E150" s="655" t="s">
        <v>223</v>
      </c>
      <c r="F150" s="546">
        <v>2017</v>
      </c>
      <c r="G150" s="659">
        <v>42928</v>
      </c>
      <c r="H150" s="655"/>
      <c r="I150" s="655" t="s">
        <v>4843</v>
      </c>
      <c r="J150" s="712"/>
      <c r="K150" s="655" t="s">
        <v>1706</v>
      </c>
      <c r="L150" s="655" t="s">
        <v>5253</v>
      </c>
      <c r="M150" s="660">
        <v>391965.61</v>
      </c>
      <c r="N150" s="660">
        <v>0</v>
      </c>
      <c r="O150" s="660">
        <v>62714.5</v>
      </c>
      <c r="P150" s="660">
        <v>454680.11</v>
      </c>
      <c r="Q150" s="548"/>
      <c r="R150" s="660">
        <v>391964.75</v>
      </c>
      <c r="S150" s="549">
        <f t="shared" si="63"/>
        <v>62715.359999999986</v>
      </c>
      <c r="T150" s="267" t="s">
        <v>283</v>
      </c>
      <c r="U150" s="267"/>
      <c r="V150" s="93"/>
      <c r="W150" s="267"/>
      <c r="X150" s="267"/>
      <c r="Y150" s="93"/>
      <c r="Z150" s="618"/>
      <c r="AA150" s="424"/>
      <c r="AB150" s="480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x14ac:dyDescent="0.2">
      <c r="A151" s="423">
        <f t="shared" si="64"/>
        <v>146</v>
      </c>
      <c r="B151" s="657" t="s">
        <v>5027</v>
      </c>
      <c r="C151" s="655">
        <v>520512</v>
      </c>
      <c r="D151" s="658">
        <v>5394</v>
      </c>
      <c r="E151" s="655" t="s">
        <v>223</v>
      </c>
      <c r="F151" s="546">
        <v>2017</v>
      </c>
      <c r="G151" s="659">
        <v>42929</v>
      </c>
      <c r="H151" s="655"/>
      <c r="I151" s="655" t="s">
        <v>4844</v>
      </c>
      <c r="J151" s="712"/>
      <c r="K151" s="655" t="s">
        <v>1706</v>
      </c>
      <c r="L151" s="655" t="s">
        <v>5257</v>
      </c>
      <c r="M151" s="660">
        <v>391965.61</v>
      </c>
      <c r="N151" s="660">
        <v>0</v>
      </c>
      <c r="O151" s="660">
        <v>62714.5</v>
      </c>
      <c r="P151" s="660">
        <v>454680.11</v>
      </c>
      <c r="Q151" s="548"/>
      <c r="R151" s="660">
        <v>391610.27</v>
      </c>
      <c r="S151" s="549">
        <f t="shared" si="63"/>
        <v>63069.839999999967</v>
      </c>
      <c r="T151" s="267" t="s">
        <v>283</v>
      </c>
      <c r="U151" s="267"/>
      <c r="V151" s="93"/>
      <c r="W151" s="267"/>
      <c r="X151" s="267"/>
      <c r="Y151" s="93"/>
      <c r="Z151" s="618"/>
      <c r="AA151" s="424"/>
      <c r="AB151" s="480"/>
      <c r="AC151" s="424"/>
      <c r="AD151" s="425"/>
      <c r="AE151" s="424"/>
      <c r="AF151" s="424"/>
      <c r="AG151" s="396"/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x14ac:dyDescent="0.2">
      <c r="A152" s="423">
        <f t="shared" si="64"/>
        <v>147</v>
      </c>
      <c r="B152" s="657" t="s">
        <v>5066</v>
      </c>
      <c r="C152" s="655">
        <v>1520604</v>
      </c>
      <c r="D152" s="658">
        <v>7495</v>
      </c>
      <c r="E152" s="655" t="s">
        <v>718</v>
      </c>
      <c r="F152" s="546">
        <v>2017</v>
      </c>
      <c r="G152" s="659">
        <v>42931</v>
      </c>
      <c r="H152" s="655"/>
      <c r="I152" s="655" t="s">
        <v>4869</v>
      </c>
      <c r="J152" s="712"/>
      <c r="K152" s="655" t="s">
        <v>2411</v>
      </c>
      <c r="L152" s="655" t="s">
        <v>5263</v>
      </c>
      <c r="M152" s="660">
        <v>262806.71000000002</v>
      </c>
      <c r="N152" s="660">
        <v>0</v>
      </c>
      <c r="O152" s="660">
        <v>42049.07</v>
      </c>
      <c r="P152" s="660">
        <v>304855.78000000003</v>
      </c>
      <c r="Q152" s="548"/>
      <c r="R152" s="660">
        <v>262450.93</v>
      </c>
      <c r="S152" s="549">
        <f t="shared" si="63"/>
        <v>42404.850000000035</v>
      </c>
      <c r="T152" s="267" t="s">
        <v>283</v>
      </c>
      <c r="U152" s="267"/>
      <c r="V152" s="93"/>
      <c r="W152" s="267"/>
      <c r="X152" s="267"/>
      <c r="Y152" s="93"/>
      <c r="Z152" s="618"/>
      <c r="AA152" s="717"/>
      <c r="AB152" s="734"/>
      <c r="AC152" s="424"/>
      <c r="AD152" s="425"/>
      <c r="AE152" s="424"/>
      <c r="AF152" s="424"/>
      <c r="AG152" s="396"/>
      <c r="AH152" s="361"/>
      <c r="AI152" s="313"/>
      <c r="AJ152" s="374"/>
      <c r="AK152" s="331"/>
      <c r="AL152" s="331"/>
      <c r="AM152" s="331"/>
    </row>
    <row r="153" spans="1:47" s="412" customFormat="1" x14ac:dyDescent="0.2">
      <c r="A153" s="423">
        <f t="shared" si="64"/>
        <v>148</v>
      </c>
      <c r="B153" s="657" t="s">
        <v>5084</v>
      </c>
      <c r="C153" s="655">
        <v>521005</v>
      </c>
      <c r="D153" s="658">
        <v>7986</v>
      </c>
      <c r="E153" s="655" t="s">
        <v>2209</v>
      </c>
      <c r="F153" s="546">
        <v>2017</v>
      </c>
      <c r="G153" s="659">
        <v>42933</v>
      </c>
      <c r="H153" s="655"/>
      <c r="I153" s="655" t="s">
        <v>4884</v>
      </c>
      <c r="J153" s="712"/>
      <c r="K153" s="655" t="s">
        <v>1144</v>
      </c>
      <c r="L153" s="655" t="s">
        <v>5270</v>
      </c>
      <c r="M153" s="660">
        <v>637884.52</v>
      </c>
      <c r="N153" s="660">
        <v>0</v>
      </c>
      <c r="O153" s="660">
        <v>102061.52</v>
      </c>
      <c r="P153" s="660">
        <v>739946.04</v>
      </c>
      <c r="Q153" s="548"/>
      <c r="R153" s="660">
        <v>582736.73</v>
      </c>
      <c r="S153" s="549">
        <f t="shared" si="63"/>
        <v>157209.31000000006</v>
      </c>
      <c r="T153" s="267" t="s">
        <v>283</v>
      </c>
      <c r="U153" s="267"/>
      <c r="V153" s="93"/>
      <c r="W153" s="267"/>
      <c r="X153" s="267"/>
      <c r="Y153" s="93"/>
      <c r="Z153" s="618"/>
      <c r="AA153" s="271"/>
      <c r="AB153" s="734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x14ac:dyDescent="0.2">
      <c r="A154" s="423">
        <f t="shared" si="64"/>
        <v>149</v>
      </c>
      <c r="B154" s="657" t="s">
        <v>4948</v>
      </c>
      <c r="C154" s="655">
        <v>520223</v>
      </c>
      <c r="D154" s="658">
        <v>1796</v>
      </c>
      <c r="E154" s="655" t="s">
        <v>689</v>
      </c>
      <c r="F154" s="546">
        <v>2017</v>
      </c>
      <c r="G154" s="659">
        <v>42933</v>
      </c>
      <c r="H154" s="655"/>
      <c r="I154" s="655" t="s">
        <v>4800</v>
      </c>
      <c r="J154" s="712"/>
      <c r="K154" s="655" t="s">
        <v>1149</v>
      </c>
      <c r="L154" s="655" t="s">
        <v>5271</v>
      </c>
      <c r="M154" s="660">
        <v>220611.08</v>
      </c>
      <c r="N154" s="660">
        <v>0</v>
      </c>
      <c r="O154" s="660">
        <v>35297.769999999997</v>
      </c>
      <c r="P154" s="660">
        <v>255908.85</v>
      </c>
      <c r="Q154" s="548"/>
      <c r="R154" s="660">
        <v>211571.1</v>
      </c>
      <c r="S154" s="549">
        <f t="shared" si="63"/>
        <v>44337.75</v>
      </c>
      <c r="T154" s="267" t="s">
        <v>283</v>
      </c>
      <c r="U154" s="267"/>
      <c r="V154" s="93"/>
      <c r="W154" s="267"/>
      <c r="X154" s="267"/>
      <c r="Y154" s="93"/>
      <c r="Z154" s="618"/>
      <c r="AA154" s="717"/>
      <c r="AB154" s="734"/>
      <c r="AC154" s="424"/>
      <c r="AD154" s="425"/>
      <c r="AE154" s="424"/>
      <c r="AF154" s="424"/>
      <c r="AG154" s="396"/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x14ac:dyDescent="0.2">
      <c r="A155" s="423">
        <f t="shared" si="64"/>
        <v>150</v>
      </c>
      <c r="B155" s="657" t="s">
        <v>4999</v>
      </c>
      <c r="C155" s="655">
        <v>521802</v>
      </c>
      <c r="D155" s="658">
        <v>2202</v>
      </c>
      <c r="E155" s="655" t="s">
        <v>703</v>
      </c>
      <c r="F155" s="546">
        <v>2017</v>
      </c>
      <c r="G155" s="659">
        <v>42934</v>
      </c>
      <c r="H155" s="655"/>
      <c r="I155" s="655" t="s">
        <v>4830</v>
      </c>
      <c r="J155" s="712"/>
      <c r="K155" s="655" t="s">
        <v>1710</v>
      </c>
      <c r="L155" s="655" t="s">
        <v>5273</v>
      </c>
      <c r="M155" s="660">
        <v>188023.04000000001</v>
      </c>
      <c r="N155" s="660">
        <v>0</v>
      </c>
      <c r="O155" s="660">
        <v>30083.69</v>
      </c>
      <c r="P155" s="660">
        <v>218106.73</v>
      </c>
      <c r="Q155" s="548"/>
      <c r="R155" s="660">
        <v>188022.18</v>
      </c>
      <c r="S155" s="549">
        <f t="shared" si="63"/>
        <v>30084.550000000017</v>
      </c>
      <c r="T155" s="267" t="s">
        <v>283</v>
      </c>
      <c r="U155" s="267"/>
      <c r="V155" s="93"/>
      <c r="W155" s="267"/>
      <c r="X155" s="267"/>
      <c r="Y155" s="93"/>
      <c r="Z155" s="618"/>
      <c r="AA155" s="717"/>
      <c r="AB155" s="734"/>
      <c r="AC155" s="424"/>
      <c r="AD155" s="425"/>
      <c r="AE155" s="424"/>
      <c r="AF155" s="424"/>
      <c r="AG155" s="396"/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x14ac:dyDescent="0.2">
      <c r="A156" s="423">
        <f t="shared" si="64"/>
        <v>151</v>
      </c>
      <c r="B156" s="657" t="s">
        <v>4991</v>
      </c>
      <c r="C156" s="655">
        <v>521801</v>
      </c>
      <c r="D156" s="658">
        <v>2201</v>
      </c>
      <c r="E156" s="655" t="s">
        <v>704</v>
      </c>
      <c r="F156" s="546">
        <v>2017</v>
      </c>
      <c r="G156" s="659">
        <v>42934</v>
      </c>
      <c r="H156" s="655"/>
      <c r="I156" s="655" t="s">
        <v>4824</v>
      </c>
      <c r="J156" s="712"/>
      <c r="K156" s="655" t="s">
        <v>135</v>
      </c>
      <c r="L156" s="655" t="s">
        <v>5275</v>
      </c>
      <c r="M156" s="660">
        <v>183987.71</v>
      </c>
      <c r="N156" s="660">
        <v>0</v>
      </c>
      <c r="O156" s="660">
        <v>29438.03</v>
      </c>
      <c r="P156" s="660">
        <v>213425.74</v>
      </c>
      <c r="Q156" s="548"/>
      <c r="R156" s="660">
        <v>183632.36</v>
      </c>
      <c r="S156" s="549">
        <f t="shared" si="63"/>
        <v>29793.380000000005</v>
      </c>
      <c r="T156" s="267" t="s">
        <v>283</v>
      </c>
      <c r="U156" s="267"/>
      <c r="V156" s="93"/>
      <c r="W156" s="267"/>
      <c r="X156" s="267"/>
      <c r="Y156" s="93"/>
      <c r="Z156" s="618"/>
      <c r="AA156" s="271"/>
      <c r="AB156" s="734"/>
      <c r="AC156" s="424"/>
      <c r="AD156" s="425"/>
      <c r="AE156" s="424"/>
      <c r="AF156" s="424"/>
      <c r="AG156" s="396"/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64"/>
        <v>152</v>
      </c>
      <c r="B157" s="657" t="s">
        <v>5061</v>
      </c>
      <c r="C157" s="655">
        <v>1520105</v>
      </c>
      <c r="D157" s="658">
        <v>7494</v>
      </c>
      <c r="E157" s="655" t="s">
        <v>712</v>
      </c>
      <c r="F157" s="546">
        <v>2017</v>
      </c>
      <c r="G157" s="659">
        <v>42935</v>
      </c>
      <c r="H157" s="655"/>
      <c r="I157" s="655" t="s">
        <v>4865</v>
      </c>
      <c r="J157" s="712"/>
      <c r="K157" s="655" t="s">
        <v>1710</v>
      </c>
      <c r="L157" s="655" t="s">
        <v>5280</v>
      </c>
      <c r="M157" s="660">
        <v>215868.03</v>
      </c>
      <c r="N157" s="660">
        <v>0</v>
      </c>
      <c r="O157" s="660">
        <v>34538.89</v>
      </c>
      <c r="P157" s="660">
        <v>250406.92</v>
      </c>
      <c r="Q157" s="548"/>
      <c r="R157" s="660">
        <v>215512.69</v>
      </c>
      <c r="S157" s="549">
        <f t="shared" si="63"/>
        <v>34894.23000000001</v>
      </c>
      <c r="T157" s="267" t="s">
        <v>283</v>
      </c>
      <c r="U157" s="267"/>
      <c r="V157" s="93"/>
      <c r="W157" s="267"/>
      <c r="X157" s="267"/>
      <c r="Y157" s="93"/>
      <c r="Z157" s="618"/>
      <c r="AA157" s="271"/>
      <c r="AB157" s="734"/>
      <c r="AC157" s="424"/>
      <c r="AD157" s="425"/>
      <c r="AE157" s="424"/>
      <c r="AF157" s="424"/>
      <c r="AG157" s="396"/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x14ac:dyDescent="0.2">
      <c r="A158" s="423">
        <f t="shared" si="64"/>
        <v>153</v>
      </c>
      <c r="B158" s="657" t="s">
        <v>4926</v>
      </c>
      <c r="C158" s="655">
        <v>520224</v>
      </c>
      <c r="D158" s="658">
        <v>1781</v>
      </c>
      <c r="E158" s="655" t="s">
        <v>690</v>
      </c>
      <c r="F158" s="546">
        <v>2017</v>
      </c>
      <c r="G158" s="659">
        <v>42935</v>
      </c>
      <c r="H158" s="655"/>
      <c r="I158" s="655" t="s">
        <v>4786</v>
      </c>
      <c r="J158" s="712"/>
      <c r="K158" s="655" t="s">
        <v>3130</v>
      </c>
      <c r="L158" s="655" t="s">
        <v>5281</v>
      </c>
      <c r="M158" s="660">
        <v>248134.21</v>
      </c>
      <c r="N158" s="660">
        <v>0</v>
      </c>
      <c r="O158" s="660">
        <v>39701.47</v>
      </c>
      <c r="P158" s="660">
        <v>287835.68</v>
      </c>
      <c r="Q158" s="548"/>
      <c r="R158" s="660">
        <v>238064.82</v>
      </c>
      <c r="S158" s="549">
        <f t="shared" si="63"/>
        <v>49770.859999999986</v>
      </c>
      <c r="T158" s="267" t="s">
        <v>283</v>
      </c>
      <c r="U158" s="267"/>
      <c r="V158" s="93"/>
      <c r="W158" s="267"/>
      <c r="X158" s="267"/>
      <c r="Y158" s="93"/>
      <c r="Z158" s="618"/>
      <c r="AA158" s="717"/>
      <c r="AB158" s="734"/>
      <c r="AC158" s="424"/>
      <c r="AD158" s="425"/>
      <c r="AE158" s="424"/>
      <c r="AF158" s="424"/>
      <c r="AG158" s="396"/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x14ac:dyDescent="0.2">
      <c r="A159" s="423">
        <f t="shared" si="64"/>
        <v>154</v>
      </c>
      <c r="B159" s="657" t="s">
        <v>4954</v>
      </c>
      <c r="C159" s="655">
        <v>520222</v>
      </c>
      <c r="D159" s="658">
        <v>1797</v>
      </c>
      <c r="E159" s="655" t="s">
        <v>688</v>
      </c>
      <c r="F159" s="546">
        <v>2017</v>
      </c>
      <c r="G159" s="659">
        <v>42936</v>
      </c>
      <c r="H159" s="655"/>
      <c r="I159" s="655" t="s">
        <v>4803</v>
      </c>
      <c r="J159" s="712"/>
      <c r="K159" s="655" t="s">
        <v>1149</v>
      </c>
      <c r="L159" s="655" t="s">
        <v>5287</v>
      </c>
      <c r="M159" s="660">
        <v>212747.97</v>
      </c>
      <c r="N159" s="660">
        <v>0</v>
      </c>
      <c r="O159" s="660">
        <v>34039.67</v>
      </c>
      <c r="P159" s="660">
        <v>246787.64</v>
      </c>
      <c r="Q159" s="548"/>
      <c r="R159" s="660">
        <v>212392.62</v>
      </c>
      <c r="S159" s="549">
        <f t="shared" si="63"/>
        <v>34395.020000000019</v>
      </c>
      <c r="T159" s="267" t="s">
        <v>283</v>
      </c>
      <c r="U159" s="267"/>
      <c r="V159" s="93"/>
      <c r="W159" s="267"/>
      <c r="X159" s="267"/>
      <c r="Y159" s="93"/>
      <c r="Z159" s="618"/>
      <c r="AA159" s="717"/>
      <c r="AB159" s="734"/>
      <c r="AC159" s="424"/>
      <c r="AD159" s="425"/>
      <c r="AE159" s="424"/>
      <c r="AF159" s="424"/>
      <c r="AG159" s="396"/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x14ac:dyDescent="0.2">
      <c r="A160" s="423">
        <f t="shared" si="64"/>
        <v>155</v>
      </c>
      <c r="B160" s="657" t="s">
        <v>5068</v>
      </c>
      <c r="C160" s="655">
        <v>1520604</v>
      </c>
      <c r="D160" s="658">
        <v>7495</v>
      </c>
      <c r="E160" s="655" t="s">
        <v>718</v>
      </c>
      <c r="F160" s="546">
        <v>2017</v>
      </c>
      <c r="G160" s="659">
        <v>42937</v>
      </c>
      <c r="H160" s="655"/>
      <c r="I160" s="655" t="s">
        <v>4870</v>
      </c>
      <c r="J160" s="712"/>
      <c r="K160" s="655" t="s">
        <v>62</v>
      </c>
      <c r="L160" s="655" t="s">
        <v>5296</v>
      </c>
      <c r="M160" s="660">
        <v>262806.28000000003</v>
      </c>
      <c r="N160" s="660">
        <v>0</v>
      </c>
      <c r="O160" s="660">
        <v>42049</v>
      </c>
      <c r="P160" s="660">
        <v>304855.28000000003</v>
      </c>
      <c r="Q160" s="548"/>
      <c r="R160" s="660">
        <v>262450.93</v>
      </c>
      <c r="S160" s="549">
        <f t="shared" si="63"/>
        <v>42404.350000000035</v>
      </c>
      <c r="T160" s="267" t="s">
        <v>283</v>
      </c>
      <c r="U160" s="267"/>
      <c r="V160" s="93"/>
      <c r="W160" s="267"/>
      <c r="X160" s="267"/>
      <c r="Y160" s="93"/>
      <c r="Z160" s="618"/>
      <c r="AA160" s="618"/>
      <c r="AB160" s="734"/>
      <c r="AC160" s="424"/>
      <c r="AD160" s="425"/>
      <c r="AE160" s="424"/>
      <c r="AF160" s="424"/>
      <c r="AG160" s="396"/>
      <c r="AH160" s="488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x14ac:dyDescent="0.2">
      <c r="A161" s="423">
        <f t="shared" si="64"/>
        <v>156</v>
      </c>
      <c r="B161" s="657" t="s">
        <v>5072</v>
      </c>
      <c r="C161" s="655">
        <v>1520604</v>
      </c>
      <c r="D161" s="658">
        <v>7495</v>
      </c>
      <c r="E161" s="655" t="s">
        <v>718</v>
      </c>
      <c r="F161" s="546">
        <v>2017</v>
      </c>
      <c r="G161" s="659">
        <v>42940</v>
      </c>
      <c r="H161" s="655"/>
      <c r="I161" s="655" t="s">
        <v>4874</v>
      </c>
      <c r="J161" s="712"/>
      <c r="K161" s="655" t="s">
        <v>1189</v>
      </c>
      <c r="L161" s="655" t="s">
        <v>5302</v>
      </c>
      <c r="M161" s="660">
        <v>262805.42</v>
      </c>
      <c r="N161" s="660">
        <v>0</v>
      </c>
      <c r="O161" s="660">
        <v>42048.87</v>
      </c>
      <c r="P161" s="660">
        <v>304854.28999999998</v>
      </c>
      <c r="Q161" s="548"/>
      <c r="R161" s="660">
        <v>262450.93</v>
      </c>
      <c r="S161" s="549">
        <f t="shared" si="63"/>
        <v>42403.359999999986</v>
      </c>
      <c r="T161" s="267" t="s">
        <v>283</v>
      </c>
      <c r="AB161" s="667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x14ac:dyDescent="0.2">
      <c r="A162" s="423">
        <f t="shared" si="64"/>
        <v>157</v>
      </c>
      <c r="B162" s="657" t="s">
        <v>5017</v>
      </c>
      <c r="C162" s="655">
        <v>520814</v>
      </c>
      <c r="D162" s="658">
        <v>4493</v>
      </c>
      <c r="E162" s="655" t="s">
        <v>693</v>
      </c>
      <c r="F162" s="546">
        <v>2017</v>
      </c>
      <c r="G162" s="659">
        <v>42940</v>
      </c>
      <c r="H162" s="655"/>
      <c r="I162" s="655" t="s">
        <v>4838</v>
      </c>
      <c r="J162" s="712"/>
      <c r="K162" s="655" t="s">
        <v>1730</v>
      </c>
      <c r="L162" s="655" t="s">
        <v>5305</v>
      </c>
      <c r="M162" s="660">
        <v>277001.46999999997</v>
      </c>
      <c r="N162" s="660">
        <v>0</v>
      </c>
      <c r="O162" s="660">
        <v>44320.23</v>
      </c>
      <c r="P162" s="660">
        <v>321321.7</v>
      </c>
      <c r="Q162" s="548"/>
      <c r="R162" s="660">
        <v>277000.59999999998</v>
      </c>
      <c r="S162" s="549">
        <f t="shared" si="63"/>
        <v>44321.100000000035</v>
      </c>
      <c r="T162" s="267" t="s">
        <v>283</v>
      </c>
      <c r="AB162" s="667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x14ac:dyDescent="0.2">
      <c r="A163" s="423">
        <f t="shared" si="64"/>
        <v>158</v>
      </c>
      <c r="B163" s="657" t="s">
        <v>5070</v>
      </c>
      <c r="C163" s="655">
        <v>1520604</v>
      </c>
      <c r="D163" s="658">
        <v>7495</v>
      </c>
      <c r="E163" s="655" t="s">
        <v>718</v>
      </c>
      <c r="F163" s="546">
        <v>2017</v>
      </c>
      <c r="G163" s="659">
        <v>42940</v>
      </c>
      <c r="H163" s="655"/>
      <c r="I163" s="655" t="s">
        <v>4872</v>
      </c>
      <c r="J163" s="712"/>
      <c r="K163" s="655" t="s">
        <v>1730</v>
      </c>
      <c r="L163" s="655" t="s">
        <v>5306</v>
      </c>
      <c r="M163" s="660">
        <v>262806.28000000003</v>
      </c>
      <c r="N163" s="660">
        <v>0</v>
      </c>
      <c r="O163" s="660">
        <v>42049</v>
      </c>
      <c r="P163" s="660">
        <v>304855.28000000003</v>
      </c>
      <c r="Q163" s="548"/>
      <c r="R163" s="660">
        <v>262450.93</v>
      </c>
      <c r="S163" s="549">
        <f t="shared" si="63"/>
        <v>42404.350000000035</v>
      </c>
      <c r="T163" s="267" t="s">
        <v>283</v>
      </c>
      <c r="U163" s="291"/>
      <c r="V163" s="291"/>
      <c r="W163" s="291"/>
      <c r="X163" s="291"/>
      <c r="Y163" s="291"/>
      <c r="Z163" s="291"/>
      <c r="AA163" s="291"/>
      <c r="AB163" s="667"/>
      <c r="AC163" s="291"/>
      <c r="AD163" s="291"/>
      <c r="AE163" s="291"/>
      <c r="AF163" s="291"/>
      <c r="AG163" s="395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x14ac:dyDescent="0.2">
      <c r="A164" s="423">
        <f t="shared" si="64"/>
        <v>159</v>
      </c>
      <c r="B164" s="657" t="s">
        <v>5074</v>
      </c>
      <c r="C164" s="655">
        <v>1520604</v>
      </c>
      <c r="D164" s="658">
        <v>7495</v>
      </c>
      <c r="E164" s="655" t="s">
        <v>718</v>
      </c>
      <c r="F164" s="546">
        <v>2017</v>
      </c>
      <c r="G164" s="659">
        <v>42941</v>
      </c>
      <c r="H164" s="655"/>
      <c r="I164" s="655" t="s">
        <v>4876</v>
      </c>
      <c r="J164" s="712"/>
      <c r="K164" s="655" t="s">
        <v>4595</v>
      </c>
      <c r="L164" s="655" t="s">
        <v>5309</v>
      </c>
      <c r="M164" s="660">
        <v>262806.28000000003</v>
      </c>
      <c r="N164" s="660">
        <v>0</v>
      </c>
      <c r="O164" s="660">
        <v>42049</v>
      </c>
      <c r="P164" s="660">
        <v>304855.28000000003</v>
      </c>
      <c r="Q164" s="548"/>
      <c r="R164" s="660">
        <v>262450.93</v>
      </c>
      <c r="S164" s="549">
        <f t="shared" si="63"/>
        <v>42404.350000000035</v>
      </c>
      <c r="T164" s="267" t="s">
        <v>283</v>
      </c>
      <c r="AB164" s="642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64"/>
        <v>160</v>
      </c>
      <c r="B165" s="657" t="s">
        <v>4912</v>
      </c>
      <c r="C165" s="655">
        <v>522401</v>
      </c>
      <c r="D165" s="658">
        <v>1062</v>
      </c>
      <c r="E165" s="655" t="s">
        <v>709</v>
      </c>
      <c r="F165" s="546">
        <v>2017</v>
      </c>
      <c r="G165" s="659">
        <v>42941</v>
      </c>
      <c r="H165" s="655"/>
      <c r="I165" s="655" t="s">
        <v>4776</v>
      </c>
      <c r="J165" s="712"/>
      <c r="K165" s="655" t="s">
        <v>3129</v>
      </c>
      <c r="L165" s="655" t="s">
        <v>5311</v>
      </c>
      <c r="M165" s="660">
        <v>208391.04000000001</v>
      </c>
      <c r="N165" s="660">
        <v>0</v>
      </c>
      <c r="O165" s="660">
        <v>33342.57</v>
      </c>
      <c r="P165" s="660">
        <v>241733.61</v>
      </c>
      <c r="Q165" s="548"/>
      <c r="R165" s="660">
        <v>208035.7</v>
      </c>
      <c r="S165" s="549">
        <f t="shared" si="63"/>
        <v>33697.909999999974</v>
      </c>
      <c r="T165" s="267" t="s">
        <v>283</v>
      </c>
      <c r="AB165" s="642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x14ac:dyDescent="0.2">
      <c r="A166" s="423">
        <f t="shared" si="64"/>
        <v>161</v>
      </c>
      <c r="B166" s="657" t="s">
        <v>4914</v>
      </c>
      <c r="C166" s="655">
        <v>521101</v>
      </c>
      <c r="D166" s="658">
        <v>1251</v>
      </c>
      <c r="E166" s="655" t="s">
        <v>700</v>
      </c>
      <c r="F166" s="546">
        <v>2017</v>
      </c>
      <c r="G166" s="659">
        <v>42941</v>
      </c>
      <c r="H166" s="655"/>
      <c r="I166" s="655" t="s">
        <v>4778</v>
      </c>
      <c r="J166" s="712"/>
      <c r="K166" s="655" t="s">
        <v>1146</v>
      </c>
      <c r="L166" s="655" t="s">
        <v>5316</v>
      </c>
      <c r="M166" s="660">
        <v>300392.87</v>
      </c>
      <c r="N166" s="660">
        <v>0</v>
      </c>
      <c r="O166" s="660">
        <v>48062.86</v>
      </c>
      <c r="P166" s="660">
        <v>348455.73</v>
      </c>
      <c r="Q166" s="548"/>
      <c r="R166" s="660">
        <v>300037.53000000003</v>
      </c>
      <c r="S166" s="549">
        <f t="shared" si="63"/>
        <v>48418.199999999953</v>
      </c>
      <c r="T166" s="267" t="s">
        <v>283</v>
      </c>
      <c r="AB166" s="642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x14ac:dyDescent="0.2">
      <c r="A167" s="423">
        <f t="shared" si="64"/>
        <v>162</v>
      </c>
      <c r="B167" s="657" t="s">
        <v>4913</v>
      </c>
      <c r="C167" s="655">
        <v>521101</v>
      </c>
      <c r="D167" s="658">
        <v>1251</v>
      </c>
      <c r="E167" s="655" t="s">
        <v>700</v>
      </c>
      <c r="F167" s="546">
        <v>2017</v>
      </c>
      <c r="G167" s="659">
        <v>42941</v>
      </c>
      <c r="H167" s="655"/>
      <c r="I167" s="655" t="s">
        <v>4777</v>
      </c>
      <c r="J167" s="712"/>
      <c r="K167" s="655" t="s">
        <v>1146</v>
      </c>
      <c r="L167" s="655" t="s">
        <v>5317</v>
      </c>
      <c r="M167" s="660">
        <v>300392.87</v>
      </c>
      <c r="N167" s="660">
        <v>0</v>
      </c>
      <c r="O167" s="660">
        <v>48062.86</v>
      </c>
      <c r="P167" s="660">
        <v>348455.73</v>
      </c>
      <c r="Q167" s="548"/>
      <c r="R167" s="660">
        <v>300037.53000000003</v>
      </c>
      <c r="S167" s="549">
        <f t="shared" si="63"/>
        <v>48418.199999999953</v>
      </c>
      <c r="T167" s="267" t="s">
        <v>283</v>
      </c>
      <c r="AB167" s="642"/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x14ac:dyDescent="0.2">
      <c r="A168" s="423">
        <f t="shared" si="64"/>
        <v>163</v>
      </c>
      <c r="B168" s="657" t="s">
        <v>4915</v>
      </c>
      <c r="C168" s="655">
        <v>521101</v>
      </c>
      <c r="D168" s="658">
        <v>1251</v>
      </c>
      <c r="E168" s="655" t="s">
        <v>700</v>
      </c>
      <c r="F168" s="546">
        <v>2017</v>
      </c>
      <c r="G168" s="659">
        <v>42941</v>
      </c>
      <c r="H168" s="655"/>
      <c r="I168" s="655" t="s">
        <v>4779</v>
      </c>
      <c r="J168" s="712"/>
      <c r="K168" s="655" t="s">
        <v>1146</v>
      </c>
      <c r="L168" s="655" t="s">
        <v>5318</v>
      </c>
      <c r="M168" s="660">
        <v>300392.87</v>
      </c>
      <c r="N168" s="660">
        <v>0</v>
      </c>
      <c r="O168" s="660">
        <v>48062.86</v>
      </c>
      <c r="P168" s="660">
        <v>348455.73</v>
      </c>
      <c r="Q168" s="548"/>
      <c r="R168" s="660">
        <v>300037.53000000003</v>
      </c>
      <c r="S168" s="549">
        <f t="shared" si="63"/>
        <v>48418.199999999953</v>
      </c>
      <c r="T168" s="267" t="s">
        <v>283</v>
      </c>
      <c r="AB168" s="642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x14ac:dyDescent="0.2">
      <c r="A169" s="423">
        <f t="shared" si="64"/>
        <v>164</v>
      </c>
      <c r="B169" s="657" t="s">
        <v>4934</v>
      </c>
      <c r="C169" s="655">
        <v>520226</v>
      </c>
      <c r="D169" s="658">
        <v>1783</v>
      </c>
      <c r="E169" s="655" t="s">
        <v>692</v>
      </c>
      <c r="F169" s="546">
        <v>2017</v>
      </c>
      <c r="G169" s="659">
        <v>42942</v>
      </c>
      <c r="H169" s="655"/>
      <c r="I169" s="655" t="s">
        <v>4791</v>
      </c>
      <c r="J169" s="712"/>
      <c r="K169" s="655" t="s">
        <v>1710</v>
      </c>
      <c r="L169" s="655" t="s">
        <v>5319</v>
      </c>
      <c r="M169" s="660">
        <v>275293.15999999997</v>
      </c>
      <c r="N169" s="660">
        <v>0</v>
      </c>
      <c r="O169" s="660">
        <v>44046.91</v>
      </c>
      <c r="P169" s="660">
        <v>319340.07</v>
      </c>
      <c r="Q169" s="548"/>
      <c r="R169" s="660">
        <v>274937.82</v>
      </c>
      <c r="S169" s="549">
        <f t="shared" si="63"/>
        <v>44402.25</v>
      </c>
      <c r="T169" s="267" t="s">
        <v>283</v>
      </c>
      <c r="AB169" s="642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x14ac:dyDescent="0.2">
      <c r="A170" s="423">
        <f t="shared" si="64"/>
        <v>165</v>
      </c>
      <c r="B170" s="657" t="s">
        <v>4917</v>
      </c>
      <c r="C170" s="655">
        <v>521101</v>
      </c>
      <c r="D170" s="658">
        <v>1251</v>
      </c>
      <c r="E170" s="655" t="s">
        <v>700</v>
      </c>
      <c r="F170" s="546">
        <v>2017</v>
      </c>
      <c r="G170" s="659">
        <v>42942</v>
      </c>
      <c r="H170" s="655"/>
      <c r="I170" s="655" t="s">
        <v>4781</v>
      </c>
      <c r="J170" s="712"/>
      <c r="K170" s="655" t="s">
        <v>1146</v>
      </c>
      <c r="L170" s="655" t="s">
        <v>5320</v>
      </c>
      <c r="M170" s="660">
        <v>300392.87</v>
      </c>
      <c r="N170" s="660">
        <v>0</v>
      </c>
      <c r="O170" s="660">
        <v>48062.86</v>
      </c>
      <c r="P170" s="660">
        <v>348455.73</v>
      </c>
      <c r="Q170" s="548"/>
      <c r="R170" s="660">
        <v>283666.84000000003</v>
      </c>
      <c r="S170" s="549">
        <f t="shared" si="63"/>
        <v>64788.889999999956</v>
      </c>
      <c r="T170" s="267" t="s">
        <v>283</v>
      </c>
      <c r="AB170" s="642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x14ac:dyDescent="0.2">
      <c r="A171" s="423">
        <f t="shared" si="64"/>
        <v>166</v>
      </c>
      <c r="B171" s="657" t="s">
        <v>4916</v>
      </c>
      <c r="C171" s="655">
        <v>521101</v>
      </c>
      <c r="D171" s="658">
        <v>1251</v>
      </c>
      <c r="E171" s="655" t="s">
        <v>700</v>
      </c>
      <c r="F171" s="546">
        <v>2017</v>
      </c>
      <c r="G171" s="659">
        <v>42942</v>
      </c>
      <c r="H171" s="655"/>
      <c r="I171" s="655" t="s">
        <v>4780</v>
      </c>
      <c r="J171" s="712"/>
      <c r="K171" s="655" t="s">
        <v>1146</v>
      </c>
      <c r="L171" s="655" t="s">
        <v>5321</v>
      </c>
      <c r="M171" s="660">
        <v>300392.87</v>
      </c>
      <c r="N171" s="660">
        <v>0</v>
      </c>
      <c r="O171" s="660">
        <v>48062.86</v>
      </c>
      <c r="P171" s="660">
        <v>348455.73</v>
      </c>
      <c r="Q171" s="548"/>
      <c r="R171" s="660">
        <v>283666.84000000003</v>
      </c>
      <c r="S171" s="549">
        <f t="shared" si="63"/>
        <v>64788.889999999956</v>
      </c>
      <c r="T171" s="267" t="s">
        <v>283</v>
      </c>
      <c r="AB171" s="642"/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x14ac:dyDescent="0.2">
      <c r="A172" s="423">
        <f t="shared" si="64"/>
        <v>167</v>
      </c>
      <c r="B172" s="657" t="s">
        <v>4918</v>
      </c>
      <c r="C172" s="655">
        <v>521101</v>
      </c>
      <c r="D172" s="658">
        <v>1251</v>
      </c>
      <c r="E172" s="655" t="s">
        <v>700</v>
      </c>
      <c r="F172" s="546">
        <v>2017</v>
      </c>
      <c r="G172" s="659">
        <v>42942</v>
      </c>
      <c r="H172" s="655"/>
      <c r="I172" s="655" t="s">
        <v>4782</v>
      </c>
      <c r="J172" s="712"/>
      <c r="K172" s="655" t="s">
        <v>1146</v>
      </c>
      <c r="L172" s="655" t="s">
        <v>5322</v>
      </c>
      <c r="M172" s="660">
        <v>300392.87</v>
      </c>
      <c r="N172" s="660">
        <v>0</v>
      </c>
      <c r="O172" s="660">
        <v>48062.86</v>
      </c>
      <c r="P172" s="660">
        <v>348455.73</v>
      </c>
      <c r="Q172" s="548"/>
      <c r="R172" s="660">
        <v>300037.53000000003</v>
      </c>
      <c r="S172" s="549">
        <f t="shared" si="63"/>
        <v>48418.199999999953</v>
      </c>
      <c r="T172" s="267" t="s">
        <v>283</v>
      </c>
      <c r="AB172" s="642"/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x14ac:dyDescent="0.2">
      <c r="A173" s="423">
        <f t="shared" si="64"/>
        <v>168</v>
      </c>
      <c r="B173" s="657" t="s">
        <v>4957</v>
      </c>
      <c r="C173" s="655">
        <v>520222</v>
      </c>
      <c r="D173" s="658">
        <v>1797</v>
      </c>
      <c r="E173" s="655" t="s">
        <v>688</v>
      </c>
      <c r="F173" s="546">
        <v>2017</v>
      </c>
      <c r="G173" s="659">
        <v>42942</v>
      </c>
      <c r="H173" s="655"/>
      <c r="I173" s="655" t="s">
        <v>4804</v>
      </c>
      <c r="J173" s="712"/>
      <c r="K173" s="655" t="s">
        <v>1175</v>
      </c>
      <c r="L173" s="655" t="s">
        <v>5323</v>
      </c>
      <c r="M173" s="660">
        <v>212747.97</v>
      </c>
      <c r="N173" s="660">
        <v>0</v>
      </c>
      <c r="O173" s="660">
        <v>34039.67</v>
      </c>
      <c r="P173" s="660">
        <v>246787.64</v>
      </c>
      <c r="Q173" s="548"/>
      <c r="R173" s="660">
        <v>212392.62</v>
      </c>
      <c r="S173" s="549">
        <f t="shared" si="63"/>
        <v>34395.020000000019</v>
      </c>
      <c r="T173" s="267" t="s">
        <v>283</v>
      </c>
      <c r="U173" s="267"/>
      <c r="V173" s="93"/>
      <c r="W173" s="267"/>
      <c r="X173" s="267"/>
      <c r="Y173" s="93"/>
      <c r="Z173" s="618"/>
      <c r="AA173" s="424"/>
      <c r="AB173" s="480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x14ac:dyDescent="0.2">
      <c r="A174" s="423">
        <f t="shared" si="64"/>
        <v>169</v>
      </c>
      <c r="B174" s="657" t="s">
        <v>5018</v>
      </c>
      <c r="C174" s="655">
        <v>520818</v>
      </c>
      <c r="D174" s="658">
        <v>4493</v>
      </c>
      <c r="E174" s="655" t="s">
        <v>693</v>
      </c>
      <c r="F174" s="546">
        <v>2017</v>
      </c>
      <c r="G174" s="659">
        <v>42945</v>
      </c>
      <c r="H174" s="655"/>
      <c r="I174" s="655" t="s">
        <v>4839</v>
      </c>
      <c r="J174" s="712"/>
      <c r="K174" s="655" t="s">
        <v>1147</v>
      </c>
      <c r="L174" s="655" t="s">
        <v>5331</v>
      </c>
      <c r="M174" s="660">
        <v>276923.88</v>
      </c>
      <c r="N174" s="660">
        <v>0</v>
      </c>
      <c r="O174" s="660">
        <v>44307.82</v>
      </c>
      <c r="P174" s="660">
        <v>321231.7</v>
      </c>
      <c r="Q174" s="548"/>
      <c r="R174" s="660">
        <v>276923.02</v>
      </c>
      <c r="S174" s="549">
        <f t="shared" si="63"/>
        <v>44308.679999999993</v>
      </c>
      <c r="T174" s="267" t="s">
        <v>283</v>
      </c>
      <c r="U174" s="267"/>
      <c r="V174" s="93"/>
      <c r="W174" s="267"/>
      <c r="X174" s="267"/>
      <c r="Y174" s="93"/>
      <c r="Z174" s="618"/>
      <c r="AA174" s="424"/>
      <c r="AB174" s="480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x14ac:dyDescent="0.2">
      <c r="A175" s="423">
        <f t="shared" si="64"/>
        <v>170</v>
      </c>
      <c r="B175" s="657" t="s">
        <v>5034</v>
      </c>
      <c r="C175" s="655">
        <v>520515</v>
      </c>
      <c r="D175" s="658">
        <v>5399</v>
      </c>
      <c r="E175" s="655" t="s">
        <v>267</v>
      </c>
      <c r="F175" s="546">
        <v>2017</v>
      </c>
      <c r="G175" s="659">
        <v>42945</v>
      </c>
      <c r="H175" s="655"/>
      <c r="I175" s="655" t="s">
        <v>4848</v>
      </c>
      <c r="J175" s="712"/>
      <c r="K175" s="655" t="s">
        <v>1164</v>
      </c>
      <c r="L175" s="655" t="s">
        <v>5332</v>
      </c>
      <c r="M175" s="660">
        <v>544748.35</v>
      </c>
      <c r="N175" s="660">
        <v>0</v>
      </c>
      <c r="O175" s="660">
        <v>87159.74</v>
      </c>
      <c r="P175" s="660">
        <v>631908.09</v>
      </c>
      <c r="Q175" s="548"/>
      <c r="R175" s="660">
        <v>544393.01</v>
      </c>
      <c r="S175" s="549">
        <f t="shared" si="63"/>
        <v>87515.079999999958</v>
      </c>
      <c r="T175" s="267" t="s">
        <v>283</v>
      </c>
      <c r="U175" s="267"/>
      <c r="V175" s="93"/>
      <c r="W175" s="267"/>
      <c r="X175" s="267"/>
      <c r="Y175" s="93"/>
      <c r="Z175" s="618"/>
      <c r="AA175" s="424"/>
      <c r="AB175" s="480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x14ac:dyDescent="0.2">
      <c r="A176" s="423">
        <f t="shared" si="64"/>
        <v>171</v>
      </c>
      <c r="B176" s="657" t="s">
        <v>5076</v>
      </c>
      <c r="C176" s="655">
        <v>1520604</v>
      </c>
      <c r="D176" s="658">
        <v>7495</v>
      </c>
      <c r="E176" s="655" t="s">
        <v>718</v>
      </c>
      <c r="F176" s="546">
        <v>2017</v>
      </c>
      <c r="G176" s="659">
        <v>42945</v>
      </c>
      <c r="H176" s="655"/>
      <c r="I176" s="655" t="s">
        <v>4878</v>
      </c>
      <c r="J176" s="712"/>
      <c r="K176" s="655" t="s">
        <v>1147</v>
      </c>
      <c r="L176" s="655" t="s">
        <v>5333</v>
      </c>
      <c r="M176" s="660">
        <v>262806.28000000003</v>
      </c>
      <c r="N176" s="660">
        <v>0</v>
      </c>
      <c r="O176" s="660">
        <v>42049</v>
      </c>
      <c r="P176" s="660">
        <v>304855.28000000003</v>
      </c>
      <c r="Q176" s="548"/>
      <c r="R176" s="660">
        <v>262450.93</v>
      </c>
      <c r="S176" s="549">
        <f t="shared" si="63"/>
        <v>42404.350000000035</v>
      </c>
      <c r="T176" s="267" t="s">
        <v>283</v>
      </c>
      <c r="U176" s="267"/>
      <c r="V176" s="93"/>
      <c r="W176" s="267"/>
      <c r="X176" s="267"/>
      <c r="Y176" s="93"/>
      <c r="Z176" s="618"/>
      <c r="AA176" s="424"/>
      <c r="AB176" s="480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x14ac:dyDescent="0.2">
      <c r="A177" s="423">
        <f t="shared" si="64"/>
        <v>172</v>
      </c>
      <c r="B177" s="657" t="s">
        <v>4942</v>
      </c>
      <c r="C177" s="655">
        <v>520220</v>
      </c>
      <c r="D177" s="658">
        <v>1794</v>
      </c>
      <c r="E177" s="655" t="s">
        <v>687</v>
      </c>
      <c r="F177" s="546">
        <v>2017</v>
      </c>
      <c r="G177" s="659">
        <v>42947</v>
      </c>
      <c r="H177" s="655"/>
      <c r="I177" s="655" t="s">
        <v>4795</v>
      </c>
      <c r="J177" s="712"/>
      <c r="K177" s="655" t="s">
        <v>1175</v>
      </c>
      <c r="L177" s="655" t="s">
        <v>5339</v>
      </c>
      <c r="M177" s="660">
        <v>240259.95</v>
      </c>
      <c r="N177" s="660">
        <v>0</v>
      </c>
      <c r="O177" s="660">
        <v>38441.589999999997</v>
      </c>
      <c r="P177" s="660">
        <v>278701.53999999998</v>
      </c>
      <c r="Q177" s="548"/>
      <c r="R177" s="660">
        <v>230484.92</v>
      </c>
      <c r="S177" s="549">
        <f t="shared" si="63"/>
        <v>48216.619999999966</v>
      </c>
      <c r="T177" s="267" t="s">
        <v>283</v>
      </c>
      <c r="U177" s="267"/>
      <c r="V177" s="93"/>
      <c r="W177" s="267"/>
      <c r="X177" s="267"/>
      <c r="Y177" s="93"/>
      <c r="Z177" s="618"/>
      <c r="AA177" s="424"/>
      <c r="AB177" s="480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x14ac:dyDescent="0.2">
      <c r="A178" s="423">
        <f t="shared" si="64"/>
        <v>173</v>
      </c>
      <c r="B178" s="657" t="s">
        <v>4959</v>
      </c>
      <c r="C178" s="655">
        <v>520222</v>
      </c>
      <c r="D178" s="658">
        <v>1797</v>
      </c>
      <c r="E178" s="655" t="s">
        <v>688</v>
      </c>
      <c r="F178" s="546">
        <v>2017</v>
      </c>
      <c r="G178" s="659">
        <v>42947</v>
      </c>
      <c r="H178" s="655"/>
      <c r="I178" s="655" t="s">
        <v>4805</v>
      </c>
      <c r="J178" s="712"/>
      <c r="K178" s="655" t="s">
        <v>1164</v>
      </c>
      <c r="L178" s="655" t="s">
        <v>5340</v>
      </c>
      <c r="M178" s="660">
        <v>212747.97</v>
      </c>
      <c r="N178" s="660">
        <v>0</v>
      </c>
      <c r="O178" s="660">
        <v>34039.67</v>
      </c>
      <c r="P178" s="660">
        <v>246787.64</v>
      </c>
      <c r="Q178" s="548"/>
      <c r="R178" s="660">
        <v>203953.31</v>
      </c>
      <c r="S178" s="549">
        <f t="shared" si="63"/>
        <v>42834.330000000016</v>
      </c>
      <c r="T178" s="267" t="s">
        <v>283</v>
      </c>
      <c r="U178" s="267"/>
      <c r="V178" s="93"/>
      <c r="W178" s="267"/>
      <c r="X178" s="267"/>
      <c r="Y178" s="93"/>
      <c r="Z178" s="618"/>
      <c r="AA178" s="424"/>
      <c r="AB178" s="480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x14ac:dyDescent="0.2">
      <c r="A179" s="423">
        <f t="shared" si="64"/>
        <v>174</v>
      </c>
      <c r="B179" s="657" t="s">
        <v>5077</v>
      </c>
      <c r="C179" s="655">
        <v>1520604</v>
      </c>
      <c r="D179" s="658">
        <v>7495</v>
      </c>
      <c r="E179" s="655" t="s">
        <v>718</v>
      </c>
      <c r="F179" s="546">
        <v>2017</v>
      </c>
      <c r="G179" s="659">
        <v>42947</v>
      </c>
      <c r="H179" s="655"/>
      <c r="I179" s="655" t="s">
        <v>4879</v>
      </c>
      <c r="J179" s="712"/>
      <c r="K179" s="655" t="s">
        <v>1146</v>
      </c>
      <c r="L179" s="655" t="s">
        <v>5341</v>
      </c>
      <c r="M179" s="660">
        <v>262806.28000000003</v>
      </c>
      <c r="N179" s="660">
        <v>0</v>
      </c>
      <c r="O179" s="660">
        <v>42049</v>
      </c>
      <c r="P179" s="660">
        <v>304855.28000000003</v>
      </c>
      <c r="Q179" s="548"/>
      <c r="R179" s="660">
        <v>262450.93</v>
      </c>
      <c r="S179" s="549">
        <f t="shared" si="63"/>
        <v>42404.350000000035</v>
      </c>
      <c r="T179" s="267" t="s">
        <v>283</v>
      </c>
      <c r="U179" s="267"/>
      <c r="V179" s="93"/>
      <c r="W179" s="267"/>
      <c r="X179" s="267"/>
      <c r="Y179" s="93"/>
      <c r="Z179" s="618"/>
      <c r="AA179" s="424"/>
      <c r="AB179" s="480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x14ac:dyDescent="0.2">
      <c r="A180" s="423">
        <f t="shared" si="64"/>
        <v>175</v>
      </c>
      <c r="B180" s="657" t="s">
        <v>4960</v>
      </c>
      <c r="C180" s="655">
        <v>520222</v>
      </c>
      <c r="D180" s="658">
        <v>1797</v>
      </c>
      <c r="E180" s="655" t="s">
        <v>688</v>
      </c>
      <c r="F180" s="546">
        <v>2017</v>
      </c>
      <c r="G180" s="659">
        <v>42947</v>
      </c>
      <c r="H180" s="655"/>
      <c r="I180" s="655" t="s">
        <v>4805</v>
      </c>
      <c r="J180" s="712"/>
      <c r="K180" s="655" t="s">
        <v>1147</v>
      </c>
      <c r="L180" s="655" t="s">
        <v>5340</v>
      </c>
      <c r="M180" s="660">
        <v>212747.97</v>
      </c>
      <c r="N180" s="660">
        <v>0</v>
      </c>
      <c r="O180" s="660">
        <v>34039.67</v>
      </c>
      <c r="P180" s="660">
        <v>246787.64</v>
      </c>
      <c r="Q180" s="548"/>
      <c r="R180" s="660">
        <v>203953.31</v>
      </c>
      <c r="S180" s="549">
        <f t="shared" si="63"/>
        <v>42834.330000000016</v>
      </c>
      <c r="T180" s="267" t="s">
        <v>283</v>
      </c>
      <c r="U180" s="267"/>
      <c r="V180" s="93"/>
      <c r="W180" s="267"/>
      <c r="X180" s="267"/>
      <c r="Y180" s="93"/>
      <c r="Z180" s="618"/>
      <c r="AA180" s="424"/>
      <c r="AB180" s="480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x14ac:dyDescent="0.2">
      <c r="A181" s="423">
        <f t="shared" si="64"/>
        <v>176</v>
      </c>
      <c r="B181" s="657" t="s">
        <v>5026</v>
      </c>
      <c r="C181" s="655">
        <v>520512</v>
      </c>
      <c r="D181" s="658">
        <v>5394</v>
      </c>
      <c r="E181" s="655" t="s">
        <v>223</v>
      </c>
      <c r="F181" s="546">
        <v>2017</v>
      </c>
      <c r="G181" s="659">
        <v>42929</v>
      </c>
      <c r="H181" s="655"/>
      <c r="I181" s="655" t="s">
        <v>4843</v>
      </c>
      <c r="J181" s="712"/>
      <c r="K181" s="655" t="s">
        <v>1706</v>
      </c>
      <c r="L181" s="655" t="s">
        <v>5253</v>
      </c>
      <c r="M181" s="660">
        <v>-391965.61</v>
      </c>
      <c r="N181" s="660">
        <v>0</v>
      </c>
      <c r="O181" s="660">
        <v>-62714.5</v>
      </c>
      <c r="P181" s="660">
        <v>-454680.11</v>
      </c>
      <c r="Q181" s="548"/>
      <c r="R181" s="660">
        <v>-391964.75</v>
      </c>
      <c r="S181" s="549">
        <f t="shared" si="63"/>
        <v>-62715.359999999986</v>
      </c>
      <c r="T181" s="267" t="s">
        <v>283</v>
      </c>
      <c r="U181" s="267"/>
      <c r="V181" s="93"/>
      <c r="W181" s="267"/>
      <c r="X181" s="267"/>
      <c r="Y181" s="93"/>
      <c r="Z181" s="618"/>
      <c r="AA181" s="424"/>
      <c r="AB181" s="480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x14ac:dyDescent="0.2">
      <c r="A182" s="423">
        <f t="shared" si="64"/>
        <v>177</v>
      </c>
      <c r="B182" s="657" t="s">
        <v>4958</v>
      </c>
      <c r="C182" s="655">
        <v>520222</v>
      </c>
      <c r="D182" s="658">
        <v>1797</v>
      </c>
      <c r="E182" s="655" t="s">
        <v>688</v>
      </c>
      <c r="F182" s="546">
        <v>2017</v>
      </c>
      <c r="G182" s="659">
        <v>42947</v>
      </c>
      <c r="H182" s="655"/>
      <c r="I182" s="655" t="s">
        <v>4805</v>
      </c>
      <c r="J182" s="712"/>
      <c r="K182" s="655" t="s">
        <v>1164</v>
      </c>
      <c r="L182" s="655" t="s">
        <v>5340</v>
      </c>
      <c r="M182" s="660">
        <v>-212747.97</v>
      </c>
      <c r="N182" s="660">
        <v>0</v>
      </c>
      <c r="O182" s="660">
        <v>-34039.67</v>
      </c>
      <c r="P182" s="660">
        <v>-246787.64</v>
      </c>
      <c r="Q182" s="548"/>
      <c r="R182" s="660">
        <v>-203953.31</v>
      </c>
      <c r="S182" s="549">
        <f t="shared" si="63"/>
        <v>-42834.330000000016</v>
      </c>
      <c r="T182" s="267" t="s">
        <v>283</v>
      </c>
      <c r="U182" s="267"/>
      <c r="V182" s="93"/>
      <c r="W182" s="267"/>
      <c r="X182" s="267"/>
      <c r="Y182" s="93"/>
      <c r="Z182" s="618"/>
      <c r="AA182" s="424"/>
      <c r="AB182" s="480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x14ac:dyDescent="0.2">
      <c r="A183" s="423">
        <f t="shared" si="64"/>
        <v>178</v>
      </c>
      <c r="B183" s="657" t="s">
        <v>5085</v>
      </c>
      <c r="C183" s="655">
        <v>1520604</v>
      </c>
      <c r="D183" s="658" t="s">
        <v>721</v>
      </c>
      <c r="E183" s="655" t="s">
        <v>4906</v>
      </c>
      <c r="F183" s="546">
        <v>2017</v>
      </c>
      <c r="G183" s="659">
        <v>42921</v>
      </c>
      <c r="H183" s="655" t="s">
        <v>2954</v>
      </c>
      <c r="I183" s="655" t="s">
        <v>4885</v>
      </c>
      <c r="J183" s="712"/>
      <c r="K183" s="655" t="s">
        <v>5189</v>
      </c>
      <c r="L183" s="655" t="s">
        <v>5217</v>
      </c>
      <c r="M183" s="660">
        <v>217413.79</v>
      </c>
      <c r="N183" s="660">
        <v>0</v>
      </c>
      <c r="O183" s="660">
        <v>7586.21</v>
      </c>
      <c r="P183" s="660">
        <v>225000</v>
      </c>
      <c r="Q183" s="548"/>
      <c r="R183" s="660">
        <v>170000</v>
      </c>
      <c r="S183" s="549">
        <f t="shared" si="63"/>
        <v>55000</v>
      </c>
      <c r="T183" s="113" t="s">
        <v>263</v>
      </c>
      <c r="U183" s="267"/>
      <c r="V183" s="93"/>
      <c r="W183" s="267"/>
      <c r="X183" s="267"/>
      <c r="Y183" s="93"/>
      <c r="Z183" s="618"/>
      <c r="AA183" s="424"/>
      <c r="AB183" s="480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x14ac:dyDescent="0.2">
      <c r="A184" s="423">
        <f t="shared" si="64"/>
        <v>179</v>
      </c>
      <c r="B184" s="657" t="s">
        <v>5086</v>
      </c>
      <c r="C184" s="655">
        <v>520214</v>
      </c>
      <c r="D184" s="658" t="s">
        <v>721</v>
      </c>
      <c r="E184" s="655" t="s">
        <v>4906</v>
      </c>
      <c r="F184" s="546">
        <v>2017</v>
      </c>
      <c r="G184" s="659">
        <v>42922</v>
      </c>
      <c r="H184" s="655" t="s">
        <v>2954</v>
      </c>
      <c r="I184" s="655" t="s">
        <v>4886</v>
      </c>
      <c r="J184" s="712"/>
      <c r="K184" s="655" t="s">
        <v>5190</v>
      </c>
      <c r="L184" s="655" t="s">
        <v>5227</v>
      </c>
      <c r="M184" s="660">
        <v>154482.76</v>
      </c>
      <c r="N184" s="660">
        <v>0</v>
      </c>
      <c r="O184" s="660">
        <v>5517.24</v>
      </c>
      <c r="P184" s="660">
        <v>160000</v>
      </c>
      <c r="Q184" s="548"/>
      <c r="R184" s="660">
        <v>120000</v>
      </c>
      <c r="S184" s="549">
        <f t="shared" si="63"/>
        <v>40000</v>
      </c>
      <c r="T184" s="113" t="s">
        <v>263</v>
      </c>
      <c r="U184" s="267"/>
      <c r="V184" s="93"/>
      <c r="W184" s="267"/>
      <c r="X184" s="267"/>
      <c r="Y184" s="93"/>
      <c r="Z184" s="618"/>
      <c r="AA184" s="424"/>
      <c r="AB184" s="480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x14ac:dyDescent="0.2">
      <c r="A185" s="423">
        <f t="shared" si="64"/>
        <v>180</v>
      </c>
      <c r="B185" s="657" t="s">
        <v>5089</v>
      </c>
      <c r="C185" s="655">
        <v>39006</v>
      </c>
      <c r="D185" s="658" t="s">
        <v>721</v>
      </c>
      <c r="E185" s="655" t="s">
        <v>4906</v>
      </c>
      <c r="F185" s="546">
        <v>2017</v>
      </c>
      <c r="G185" s="659">
        <v>42924</v>
      </c>
      <c r="H185" s="655" t="s">
        <v>817</v>
      </c>
      <c r="I185" s="655" t="s">
        <v>4686</v>
      </c>
      <c r="J185" s="712"/>
      <c r="K185" s="655" t="s">
        <v>5191</v>
      </c>
      <c r="L185" s="655" t="s">
        <v>2678</v>
      </c>
      <c r="M185" s="660">
        <v>137931.03</v>
      </c>
      <c r="N185" s="660">
        <v>0</v>
      </c>
      <c r="O185" s="660">
        <v>2068.9699999999998</v>
      </c>
      <c r="P185" s="660">
        <v>140000</v>
      </c>
      <c r="Q185" s="548"/>
      <c r="R185" s="660">
        <v>125000</v>
      </c>
      <c r="S185" s="549">
        <f t="shared" si="63"/>
        <v>15000</v>
      </c>
      <c r="T185" s="113" t="s">
        <v>263</v>
      </c>
      <c r="U185" s="267"/>
      <c r="V185" s="93"/>
      <c r="W185" s="267"/>
      <c r="X185" s="267"/>
      <c r="Y185" s="93"/>
      <c r="Z185" s="618"/>
      <c r="AA185" s="424"/>
      <c r="AB185" s="480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x14ac:dyDescent="0.2">
      <c r="A186" s="423">
        <f t="shared" si="64"/>
        <v>181</v>
      </c>
      <c r="B186" s="657" t="s">
        <v>5091</v>
      </c>
      <c r="C186" s="655">
        <v>56403</v>
      </c>
      <c r="D186" s="658" t="s">
        <v>721</v>
      </c>
      <c r="E186" s="655" t="s">
        <v>4906</v>
      </c>
      <c r="F186" s="546">
        <v>2017</v>
      </c>
      <c r="G186" s="659">
        <v>42924</v>
      </c>
      <c r="H186" s="655" t="s">
        <v>1207</v>
      </c>
      <c r="I186" s="655" t="s">
        <v>4887</v>
      </c>
      <c r="J186" s="712"/>
      <c r="K186" s="655" t="s">
        <v>5192</v>
      </c>
      <c r="L186" s="655" t="s">
        <v>5240</v>
      </c>
      <c r="M186" s="660">
        <v>97731.03</v>
      </c>
      <c r="N186" s="660">
        <v>0</v>
      </c>
      <c r="O186" s="660">
        <v>2268.9699999999998</v>
      </c>
      <c r="P186" s="660">
        <v>100000</v>
      </c>
      <c r="Q186" s="548"/>
      <c r="R186" s="660">
        <v>83550</v>
      </c>
      <c r="S186" s="549">
        <f t="shared" si="63"/>
        <v>16450</v>
      </c>
      <c r="T186" s="113" t="s">
        <v>263</v>
      </c>
      <c r="U186" s="267"/>
      <c r="V186" s="93"/>
      <c r="W186" s="267"/>
      <c r="X186" s="267"/>
      <c r="Y186" s="93"/>
      <c r="Z186" s="618"/>
      <c r="AA186" s="424"/>
      <c r="AB186" s="480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x14ac:dyDescent="0.2">
      <c r="A187" s="423">
        <f t="shared" si="64"/>
        <v>182</v>
      </c>
      <c r="B187" s="657" t="s">
        <v>5090</v>
      </c>
      <c r="C187" s="655">
        <v>39006</v>
      </c>
      <c r="D187" s="658" t="s">
        <v>721</v>
      </c>
      <c r="E187" s="655" t="s">
        <v>4906</v>
      </c>
      <c r="F187" s="546">
        <v>2017</v>
      </c>
      <c r="G187" s="659">
        <v>42924</v>
      </c>
      <c r="H187" s="655" t="s">
        <v>817</v>
      </c>
      <c r="I187" s="655" t="s">
        <v>4686</v>
      </c>
      <c r="J187" s="712"/>
      <c r="K187" s="655" t="s">
        <v>5191</v>
      </c>
      <c r="L187" s="655" t="s">
        <v>2678</v>
      </c>
      <c r="M187" s="660">
        <v>137931.03</v>
      </c>
      <c r="N187" s="660">
        <v>0</v>
      </c>
      <c r="O187" s="660">
        <v>2068.9699999999998</v>
      </c>
      <c r="P187" s="660">
        <v>140000</v>
      </c>
      <c r="Q187" s="548"/>
      <c r="R187" s="660">
        <v>125000</v>
      </c>
      <c r="S187" s="549">
        <f t="shared" si="63"/>
        <v>15000</v>
      </c>
      <c r="T187" s="113" t="s">
        <v>263</v>
      </c>
      <c r="U187" s="267"/>
      <c r="V187" s="93"/>
      <c r="W187" s="267"/>
      <c r="X187" s="267"/>
      <c r="Y187" s="93"/>
      <c r="Z187" s="618"/>
      <c r="AA187" s="424"/>
      <c r="AB187" s="480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x14ac:dyDescent="0.2">
      <c r="A188" s="423">
        <f t="shared" si="64"/>
        <v>183</v>
      </c>
      <c r="B188" s="657" t="s">
        <v>5092</v>
      </c>
      <c r="C188" s="655">
        <v>520905</v>
      </c>
      <c r="D188" s="658" t="s">
        <v>721</v>
      </c>
      <c r="E188" s="655" t="s">
        <v>4906</v>
      </c>
      <c r="F188" s="546">
        <v>2017</v>
      </c>
      <c r="G188" s="659">
        <v>42924</v>
      </c>
      <c r="H188" s="655" t="s">
        <v>1207</v>
      </c>
      <c r="I188" s="655" t="s">
        <v>4888</v>
      </c>
      <c r="J188" s="712"/>
      <c r="K188" s="655" t="s">
        <v>5193</v>
      </c>
      <c r="L188" s="655" t="s">
        <v>5241</v>
      </c>
      <c r="M188" s="660">
        <v>137586.21</v>
      </c>
      <c r="N188" s="660">
        <v>0</v>
      </c>
      <c r="O188" s="660">
        <v>4413.79</v>
      </c>
      <c r="P188" s="660">
        <v>142000</v>
      </c>
      <c r="Q188" s="548"/>
      <c r="R188" s="660">
        <v>110000</v>
      </c>
      <c r="S188" s="549">
        <f t="shared" si="63"/>
        <v>32000</v>
      </c>
      <c r="T188" s="113" t="s">
        <v>263</v>
      </c>
      <c r="U188" s="267"/>
      <c r="V188" s="93"/>
      <c r="W188" s="267"/>
      <c r="X188" s="267"/>
      <c r="Y188" s="93"/>
      <c r="Z188" s="618"/>
      <c r="AA188" s="424"/>
      <c r="AB188" s="480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x14ac:dyDescent="0.2">
      <c r="A189" s="423">
        <f t="shared" si="64"/>
        <v>184</v>
      </c>
      <c r="B189" s="657" t="s">
        <v>5116</v>
      </c>
      <c r="C189" s="655">
        <v>522401</v>
      </c>
      <c r="D189" s="658" t="s">
        <v>686</v>
      </c>
      <c r="E189" s="655" t="s">
        <v>4907</v>
      </c>
      <c r="F189" s="546">
        <v>2017</v>
      </c>
      <c r="G189" s="659">
        <v>42926</v>
      </c>
      <c r="H189" s="655" t="s">
        <v>2218</v>
      </c>
      <c r="I189" s="655" t="s">
        <v>4899</v>
      </c>
      <c r="J189" s="712"/>
      <c r="K189" s="655" t="s">
        <v>5204</v>
      </c>
      <c r="L189" s="655" t="s">
        <v>5244</v>
      </c>
      <c r="M189" s="660">
        <v>218103.45</v>
      </c>
      <c r="N189" s="660">
        <v>0</v>
      </c>
      <c r="O189" s="660">
        <v>6896.55</v>
      </c>
      <c r="P189" s="660">
        <v>225000</v>
      </c>
      <c r="Q189" s="548"/>
      <c r="R189" s="660">
        <v>175000</v>
      </c>
      <c r="S189" s="549">
        <f t="shared" si="63"/>
        <v>50000</v>
      </c>
      <c r="T189" s="113" t="s">
        <v>263</v>
      </c>
      <c r="U189" s="267"/>
      <c r="V189" s="93"/>
      <c r="W189" s="267"/>
      <c r="X189" s="267"/>
      <c r="Y189" s="93"/>
      <c r="Z189" s="618"/>
      <c r="AA189" s="424"/>
      <c r="AB189" s="480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x14ac:dyDescent="0.2">
      <c r="A190" s="423">
        <f t="shared" si="64"/>
        <v>185</v>
      </c>
      <c r="B190" s="657" t="s">
        <v>5118</v>
      </c>
      <c r="C190" s="655">
        <v>522401</v>
      </c>
      <c r="D190" s="658" t="s">
        <v>686</v>
      </c>
      <c r="E190" s="655" t="s">
        <v>4907</v>
      </c>
      <c r="F190" s="546">
        <v>2017</v>
      </c>
      <c r="G190" s="659">
        <v>42927</v>
      </c>
      <c r="H190" s="655" t="s">
        <v>2218</v>
      </c>
      <c r="I190" s="655" t="s">
        <v>4899</v>
      </c>
      <c r="J190" s="712"/>
      <c r="K190" s="655" t="s">
        <v>5204</v>
      </c>
      <c r="L190" s="655" t="s">
        <v>5244</v>
      </c>
      <c r="M190" s="660">
        <v>218103.45</v>
      </c>
      <c r="N190" s="660">
        <v>0</v>
      </c>
      <c r="O190" s="660">
        <v>6896.55</v>
      </c>
      <c r="P190" s="660">
        <v>225000</v>
      </c>
      <c r="Q190" s="548"/>
      <c r="R190" s="660">
        <v>175000</v>
      </c>
      <c r="S190" s="549">
        <f t="shared" si="63"/>
        <v>50000</v>
      </c>
      <c r="T190" s="113" t="s">
        <v>263</v>
      </c>
      <c r="AB190" s="667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x14ac:dyDescent="0.2">
      <c r="A191" s="423">
        <f t="shared" si="64"/>
        <v>186</v>
      </c>
      <c r="B191" s="657" t="s">
        <v>5094</v>
      </c>
      <c r="C191" s="655">
        <v>54101</v>
      </c>
      <c r="D191" s="658" t="s">
        <v>721</v>
      </c>
      <c r="E191" s="655" t="s">
        <v>4906</v>
      </c>
      <c r="F191" s="546">
        <v>2017</v>
      </c>
      <c r="G191" s="659">
        <v>42927</v>
      </c>
      <c r="H191" s="655" t="s">
        <v>1211</v>
      </c>
      <c r="I191" s="655" t="s">
        <v>4889</v>
      </c>
      <c r="J191" s="712"/>
      <c r="K191" s="655" t="s">
        <v>5194</v>
      </c>
      <c r="L191" s="655" t="s">
        <v>5247</v>
      </c>
      <c r="M191" s="660">
        <v>120517.24</v>
      </c>
      <c r="N191" s="660">
        <v>0</v>
      </c>
      <c r="O191" s="660">
        <v>2482.7600000000002</v>
      </c>
      <c r="P191" s="660">
        <v>123000</v>
      </c>
      <c r="Q191" s="548"/>
      <c r="R191" s="660">
        <v>105000</v>
      </c>
      <c r="S191" s="549">
        <f t="shared" si="63"/>
        <v>18000</v>
      </c>
      <c r="T191" s="113" t="s">
        <v>263</v>
      </c>
      <c r="AB191" s="667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64"/>
        <v>187</v>
      </c>
      <c r="B192" s="657" t="s">
        <v>5095</v>
      </c>
      <c r="C192" s="655">
        <v>54101</v>
      </c>
      <c r="D192" s="658" t="s">
        <v>721</v>
      </c>
      <c r="E192" s="655" t="s">
        <v>4906</v>
      </c>
      <c r="F192" s="546">
        <v>2017</v>
      </c>
      <c r="G192" s="659">
        <v>42927</v>
      </c>
      <c r="H192" s="655" t="s">
        <v>1211</v>
      </c>
      <c r="I192" s="655" t="s">
        <v>4889</v>
      </c>
      <c r="J192" s="712"/>
      <c r="K192" s="655" t="s">
        <v>5194</v>
      </c>
      <c r="L192" s="655" t="s">
        <v>5247</v>
      </c>
      <c r="M192" s="660">
        <v>120517.24</v>
      </c>
      <c r="N192" s="660">
        <v>0</v>
      </c>
      <c r="O192" s="660">
        <v>2482.7600000000002</v>
      </c>
      <c r="P192" s="660">
        <v>123000</v>
      </c>
      <c r="Q192" s="548"/>
      <c r="R192" s="660">
        <v>105000</v>
      </c>
      <c r="S192" s="549">
        <f t="shared" si="63"/>
        <v>18000</v>
      </c>
      <c r="T192" s="113" t="s">
        <v>263</v>
      </c>
      <c r="AB192" s="667"/>
      <c r="AI192" s="313"/>
      <c r="AK192" s="296"/>
      <c r="AL192" s="374"/>
      <c r="AM192" s="374"/>
    </row>
    <row r="193" spans="1:45" s="291" customFormat="1" x14ac:dyDescent="0.2">
      <c r="A193" s="423">
        <f t="shared" si="64"/>
        <v>188</v>
      </c>
      <c r="B193" s="657" t="s">
        <v>5119</v>
      </c>
      <c r="C193" s="655">
        <v>520815</v>
      </c>
      <c r="D193" s="658" t="s">
        <v>686</v>
      </c>
      <c r="E193" s="655" t="s">
        <v>4907</v>
      </c>
      <c r="F193" s="546">
        <v>2017</v>
      </c>
      <c r="G193" s="659">
        <v>42928</v>
      </c>
      <c r="H193" s="655" t="s">
        <v>2218</v>
      </c>
      <c r="I193" s="655" t="s">
        <v>4900</v>
      </c>
      <c r="J193" s="712"/>
      <c r="K193" s="655" t="s">
        <v>5205</v>
      </c>
      <c r="L193" s="655" t="s">
        <v>5251</v>
      </c>
      <c r="M193" s="660">
        <v>252413.79</v>
      </c>
      <c r="N193" s="660">
        <v>0</v>
      </c>
      <c r="O193" s="660">
        <v>7586.21</v>
      </c>
      <c r="P193" s="660">
        <v>260000</v>
      </c>
      <c r="Q193" s="548"/>
      <c r="R193" s="660">
        <v>205000</v>
      </c>
      <c r="S193" s="549">
        <f t="shared" si="63"/>
        <v>55000</v>
      </c>
      <c r="T193" s="113" t="s">
        <v>263</v>
      </c>
      <c r="AB193" s="667"/>
      <c r="AI193" s="313"/>
      <c r="AK193" s="296"/>
      <c r="AL193" s="374"/>
      <c r="AM193" s="374"/>
    </row>
    <row r="194" spans="1:45" s="291" customFormat="1" x14ac:dyDescent="0.2">
      <c r="A194" s="423">
        <f t="shared" si="64"/>
        <v>189</v>
      </c>
      <c r="B194" s="657" t="s">
        <v>5096</v>
      </c>
      <c r="C194" s="655">
        <v>1033301</v>
      </c>
      <c r="D194" s="658" t="s">
        <v>721</v>
      </c>
      <c r="E194" s="655" t="s">
        <v>4906</v>
      </c>
      <c r="F194" s="546">
        <v>2017</v>
      </c>
      <c r="G194" s="659">
        <v>42930</v>
      </c>
      <c r="H194" s="655" t="s">
        <v>2954</v>
      </c>
      <c r="I194" s="655" t="s">
        <v>4890</v>
      </c>
      <c r="J194" s="712"/>
      <c r="K194" s="655" t="s">
        <v>5195</v>
      </c>
      <c r="L194" s="655" t="s">
        <v>5260</v>
      </c>
      <c r="M194" s="660">
        <v>206896.55</v>
      </c>
      <c r="N194" s="660">
        <v>0</v>
      </c>
      <c r="O194" s="660">
        <v>33103.449999999997</v>
      </c>
      <c r="P194" s="660">
        <v>240000</v>
      </c>
      <c r="Q194" s="548"/>
      <c r="R194" s="660">
        <v>172413.8</v>
      </c>
      <c r="S194" s="549">
        <f t="shared" si="63"/>
        <v>67586.200000000012</v>
      </c>
      <c r="T194" s="113" t="s">
        <v>263</v>
      </c>
      <c r="AB194" s="667"/>
      <c r="AI194" s="313"/>
      <c r="AJ194" s="374"/>
      <c r="AK194" s="374"/>
      <c r="AL194" s="374"/>
      <c r="AM194" s="374"/>
    </row>
    <row r="195" spans="1:45" s="348" customFormat="1" x14ac:dyDescent="0.2">
      <c r="A195" s="423">
        <f t="shared" si="64"/>
        <v>190</v>
      </c>
      <c r="B195" s="657" t="s">
        <v>5120</v>
      </c>
      <c r="C195" s="655">
        <v>521101</v>
      </c>
      <c r="D195" s="658" t="s">
        <v>686</v>
      </c>
      <c r="E195" s="655" t="s">
        <v>4907</v>
      </c>
      <c r="F195" s="546">
        <v>2017</v>
      </c>
      <c r="G195" s="659">
        <v>42931</v>
      </c>
      <c r="H195" s="655" t="s">
        <v>1207</v>
      </c>
      <c r="I195" s="655" t="s">
        <v>4901</v>
      </c>
      <c r="J195" s="712"/>
      <c r="K195" s="655" t="s">
        <v>5206</v>
      </c>
      <c r="L195" s="655" t="s">
        <v>5267</v>
      </c>
      <c r="M195" s="660">
        <v>259896.55</v>
      </c>
      <c r="N195" s="660">
        <v>0</v>
      </c>
      <c r="O195" s="660">
        <v>5103.45</v>
      </c>
      <c r="P195" s="660">
        <v>265000</v>
      </c>
      <c r="Q195" s="548"/>
      <c r="R195" s="660">
        <v>228000</v>
      </c>
      <c r="S195" s="549">
        <f t="shared" si="63"/>
        <v>37000</v>
      </c>
      <c r="T195" s="113" t="s">
        <v>263</v>
      </c>
      <c r="AB195" s="667"/>
      <c r="AI195" s="363"/>
      <c r="AJ195" s="330"/>
      <c r="AK195" s="330"/>
      <c r="AL195" s="330"/>
      <c r="AM195" s="330"/>
    </row>
    <row r="196" spans="1:45" s="351" customFormat="1" x14ac:dyDescent="0.2">
      <c r="A196" s="423">
        <f t="shared" si="64"/>
        <v>191</v>
      </c>
      <c r="B196" s="657" t="s">
        <v>5121</v>
      </c>
      <c r="C196" s="655">
        <v>1520302</v>
      </c>
      <c r="D196" s="658" t="s">
        <v>686</v>
      </c>
      <c r="E196" s="655" t="s">
        <v>4907</v>
      </c>
      <c r="F196" s="546">
        <v>2017</v>
      </c>
      <c r="G196" s="659">
        <v>42933</v>
      </c>
      <c r="H196" s="655" t="s">
        <v>1211</v>
      </c>
      <c r="I196" s="655" t="s">
        <v>4902</v>
      </c>
      <c r="J196" s="712"/>
      <c r="K196" s="655" t="s">
        <v>5207</v>
      </c>
      <c r="L196" s="655" t="s">
        <v>5268</v>
      </c>
      <c r="M196" s="660">
        <v>507068.97</v>
      </c>
      <c r="N196" s="660">
        <v>0</v>
      </c>
      <c r="O196" s="660">
        <v>17931.03</v>
      </c>
      <c r="P196" s="660">
        <v>525000</v>
      </c>
      <c r="Q196" s="548"/>
      <c r="R196" s="660">
        <v>395000</v>
      </c>
      <c r="S196" s="549">
        <f t="shared" si="63"/>
        <v>130000</v>
      </c>
      <c r="T196" s="113" t="s">
        <v>263</v>
      </c>
      <c r="AB196" s="667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x14ac:dyDescent="0.2">
      <c r="A197" s="423">
        <f t="shared" si="64"/>
        <v>192</v>
      </c>
      <c r="B197" s="657" t="s">
        <v>5122</v>
      </c>
      <c r="C197" s="655">
        <v>520223</v>
      </c>
      <c r="D197" s="658" t="s">
        <v>686</v>
      </c>
      <c r="E197" s="655" t="s">
        <v>4907</v>
      </c>
      <c r="F197" s="546">
        <v>2017</v>
      </c>
      <c r="G197" s="659">
        <v>42934</v>
      </c>
      <c r="H197" s="655" t="s">
        <v>2954</v>
      </c>
      <c r="I197" s="655" t="s">
        <v>4903</v>
      </c>
      <c r="J197" s="712"/>
      <c r="K197" s="655" t="s">
        <v>5208</v>
      </c>
      <c r="L197" s="655" t="s">
        <v>5274</v>
      </c>
      <c r="M197" s="660">
        <v>228103.45</v>
      </c>
      <c r="N197" s="660">
        <v>0</v>
      </c>
      <c r="O197" s="660">
        <v>6896.55</v>
      </c>
      <c r="P197" s="660">
        <v>235000</v>
      </c>
      <c r="Q197" s="548"/>
      <c r="R197" s="660">
        <v>185000</v>
      </c>
      <c r="S197" s="549">
        <f t="shared" si="63"/>
        <v>50000</v>
      </c>
      <c r="T197" s="113" t="s">
        <v>263</v>
      </c>
      <c r="AB197" s="667"/>
      <c r="AI197" s="313"/>
      <c r="AJ197" s="331"/>
      <c r="AK197" s="330"/>
      <c r="AL197" s="330"/>
      <c r="AM197" s="330"/>
    </row>
    <row r="198" spans="1:45" s="291" customFormat="1" x14ac:dyDescent="0.2">
      <c r="A198" s="423">
        <f t="shared" si="64"/>
        <v>193</v>
      </c>
      <c r="B198" s="657" t="s">
        <v>5098</v>
      </c>
      <c r="C198" s="655">
        <v>521802</v>
      </c>
      <c r="D198" s="658" t="s">
        <v>721</v>
      </c>
      <c r="E198" s="655" t="s">
        <v>4906</v>
      </c>
      <c r="F198" s="546">
        <v>2017</v>
      </c>
      <c r="G198" s="659">
        <v>42934</v>
      </c>
      <c r="H198" s="655" t="s">
        <v>5132</v>
      </c>
      <c r="I198" s="655" t="s">
        <v>4891</v>
      </c>
      <c r="J198" s="712"/>
      <c r="K198" s="655" t="s">
        <v>5196</v>
      </c>
      <c r="L198" s="655" t="s">
        <v>5277</v>
      </c>
      <c r="M198" s="660">
        <v>122241.38</v>
      </c>
      <c r="N198" s="660">
        <v>0</v>
      </c>
      <c r="O198" s="660">
        <v>2758.62</v>
      </c>
      <c r="P198" s="660">
        <v>125000</v>
      </c>
      <c r="Q198" s="548"/>
      <c r="R198" s="660">
        <v>105000</v>
      </c>
      <c r="S198" s="549">
        <f t="shared" ref="S198:S226" si="65">+P198-R198</f>
        <v>20000</v>
      </c>
      <c r="T198" s="113" t="s">
        <v>263</v>
      </c>
      <c r="AB198" s="667"/>
      <c r="AI198" s="313"/>
      <c r="AJ198" s="331"/>
      <c r="AK198" s="374"/>
      <c r="AL198" s="374"/>
      <c r="AM198" s="374"/>
    </row>
    <row r="199" spans="1:45" s="351" customFormat="1" x14ac:dyDescent="0.2">
      <c r="A199" s="423">
        <f t="shared" si="64"/>
        <v>194</v>
      </c>
      <c r="B199" s="657" t="s">
        <v>5100</v>
      </c>
      <c r="C199" s="655">
        <v>521802</v>
      </c>
      <c r="D199" s="658" t="s">
        <v>721</v>
      </c>
      <c r="E199" s="655" t="s">
        <v>4906</v>
      </c>
      <c r="F199" s="546">
        <v>2017</v>
      </c>
      <c r="G199" s="659">
        <v>42935</v>
      </c>
      <c r="H199" s="655" t="s">
        <v>5132</v>
      </c>
      <c r="I199" s="655" t="s">
        <v>4891</v>
      </c>
      <c r="J199" s="712"/>
      <c r="K199" s="655" t="s">
        <v>5196</v>
      </c>
      <c r="L199" s="655" t="s">
        <v>5277</v>
      </c>
      <c r="M199" s="660">
        <v>122241.38</v>
      </c>
      <c r="N199" s="660">
        <v>0</v>
      </c>
      <c r="O199" s="660">
        <v>2758.62</v>
      </c>
      <c r="P199" s="660">
        <v>125000</v>
      </c>
      <c r="Q199" s="548"/>
      <c r="R199" s="660">
        <v>105000</v>
      </c>
      <c r="S199" s="549">
        <f t="shared" si="65"/>
        <v>20000</v>
      </c>
      <c r="T199" s="113" t="s">
        <v>263</v>
      </c>
      <c r="AB199" s="667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x14ac:dyDescent="0.2">
      <c r="A200" s="423">
        <f t="shared" ref="A200:A226" si="66">+A199+1</f>
        <v>195</v>
      </c>
      <c r="B200" s="657" t="s">
        <v>5103</v>
      </c>
      <c r="C200" s="655">
        <v>72507</v>
      </c>
      <c r="D200" s="658" t="s">
        <v>721</v>
      </c>
      <c r="E200" s="655" t="s">
        <v>4906</v>
      </c>
      <c r="F200" s="546">
        <v>2017</v>
      </c>
      <c r="G200" s="659">
        <v>42937</v>
      </c>
      <c r="H200" s="655" t="s">
        <v>912</v>
      </c>
      <c r="I200" s="655" t="s">
        <v>4893</v>
      </c>
      <c r="J200" s="712"/>
      <c r="K200" s="655" t="s">
        <v>5198</v>
      </c>
      <c r="L200" s="655" t="s">
        <v>5293</v>
      </c>
      <c r="M200" s="660">
        <v>168103.45</v>
      </c>
      <c r="N200" s="660">
        <v>0</v>
      </c>
      <c r="O200" s="660">
        <v>26896.55</v>
      </c>
      <c r="P200" s="660">
        <v>195000</v>
      </c>
      <c r="Q200" s="548"/>
      <c r="R200" s="660">
        <v>142241.38</v>
      </c>
      <c r="S200" s="549">
        <f t="shared" si="65"/>
        <v>52758.619999999995</v>
      </c>
      <c r="T200" s="113" t="s">
        <v>263</v>
      </c>
      <c r="AB200" s="667"/>
      <c r="AI200" s="313"/>
      <c r="AJ200" s="374"/>
      <c r="AK200" s="330"/>
      <c r="AL200" s="330"/>
      <c r="AM200" s="330"/>
    </row>
    <row r="201" spans="1:45" s="291" customFormat="1" x14ac:dyDescent="0.2">
      <c r="A201" s="423">
        <f t="shared" si="66"/>
        <v>196</v>
      </c>
      <c r="B201" s="657" t="s">
        <v>5123</v>
      </c>
      <c r="C201" s="655">
        <v>1520302</v>
      </c>
      <c r="D201" s="658" t="s">
        <v>686</v>
      </c>
      <c r="E201" s="655" t="s">
        <v>4907</v>
      </c>
      <c r="F201" s="546">
        <v>2017</v>
      </c>
      <c r="G201" s="659">
        <v>42937</v>
      </c>
      <c r="H201" s="655" t="s">
        <v>1211</v>
      </c>
      <c r="I201" s="655" t="s">
        <v>4904</v>
      </c>
      <c r="J201" s="712"/>
      <c r="K201" s="655" t="s">
        <v>5209</v>
      </c>
      <c r="L201" s="655" t="s">
        <v>5295</v>
      </c>
      <c r="M201" s="660">
        <v>354655.17</v>
      </c>
      <c r="N201" s="660">
        <v>0</v>
      </c>
      <c r="O201" s="660">
        <v>10344.83</v>
      </c>
      <c r="P201" s="660">
        <v>365000</v>
      </c>
      <c r="Q201" s="548"/>
      <c r="R201" s="660">
        <v>290000</v>
      </c>
      <c r="S201" s="549">
        <f t="shared" si="65"/>
        <v>75000</v>
      </c>
      <c r="T201" s="113" t="s">
        <v>263</v>
      </c>
      <c r="AB201" s="667"/>
      <c r="AI201" s="313"/>
      <c r="AJ201" s="331"/>
      <c r="AK201" s="374"/>
      <c r="AL201" s="374"/>
      <c r="AM201" s="374"/>
    </row>
    <row r="202" spans="1:45" s="291" customFormat="1" x14ac:dyDescent="0.2">
      <c r="A202" s="423">
        <f t="shared" si="66"/>
        <v>197</v>
      </c>
      <c r="B202" s="657" t="s">
        <v>5102</v>
      </c>
      <c r="C202" s="655">
        <v>43912</v>
      </c>
      <c r="D202" s="658" t="s">
        <v>721</v>
      </c>
      <c r="E202" s="655" t="s">
        <v>4906</v>
      </c>
      <c r="F202" s="546">
        <v>2017</v>
      </c>
      <c r="G202" s="659">
        <v>42937</v>
      </c>
      <c r="H202" s="655" t="s">
        <v>912</v>
      </c>
      <c r="I202" s="655" t="s">
        <v>4892</v>
      </c>
      <c r="J202" s="712"/>
      <c r="K202" s="655" t="s">
        <v>5197</v>
      </c>
      <c r="L202" s="655" t="s">
        <v>5297</v>
      </c>
      <c r="M202" s="660">
        <v>87793.1</v>
      </c>
      <c r="N202" s="660">
        <v>0</v>
      </c>
      <c r="O202" s="660">
        <v>2206.9</v>
      </c>
      <c r="P202" s="660">
        <v>90000</v>
      </c>
      <c r="Q202" s="548"/>
      <c r="R202" s="660">
        <v>74000</v>
      </c>
      <c r="S202" s="549">
        <f t="shared" si="65"/>
        <v>16000</v>
      </c>
      <c r="T202" s="113" t="s">
        <v>263</v>
      </c>
      <c r="AB202" s="667"/>
      <c r="AI202" s="313"/>
      <c r="AJ202" s="374"/>
      <c r="AK202" s="374"/>
      <c r="AL202" s="374"/>
      <c r="AM202" s="374"/>
    </row>
    <row r="203" spans="1:45" s="348" customFormat="1" x14ac:dyDescent="0.2">
      <c r="A203" s="423">
        <f t="shared" si="66"/>
        <v>198</v>
      </c>
      <c r="B203" s="657" t="s">
        <v>5104</v>
      </c>
      <c r="C203" s="655">
        <v>38111</v>
      </c>
      <c r="D203" s="658" t="s">
        <v>721</v>
      </c>
      <c r="E203" s="655" t="s">
        <v>4906</v>
      </c>
      <c r="F203" s="546">
        <v>2017</v>
      </c>
      <c r="G203" s="659">
        <v>42938</v>
      </c>
      <c r="H203" s="655" t="s">
        <v>1038</v>
      </c>
      <c r="I203" s="655" t="s">
        <v>4641</v>
      </c>
      <c r="J203" s="712"/>
      <c r="K203" s="655" t="s">
        <v>5199</v>
      </c>
      <c r="L203" s="655" t="s">
        <v>4643</v>
      </c>
      <c r="M203" s="660">
        <v>94827.59</v>
      </c>
      <c r="N203" s="660">
        <v>0</v>
      </c>
      <c r="O203" s="660">
        <v>15172.41</v>
      </c>
      <c r="P203" s="660">
        <v>110000</v>
      </c>
      <c r="Q203" s="548"/>
      <c r="R203" s="660">
        <v>83115.520000000004</v>
      </c>
      <c r="S203" s="549">
        <f t="shared" si="65"/>
        <v>26884.479999999996</v>
      </c>
      <c r="T203" s="113" t="s">
        <v>263</v>
      </c>
      <c r="AB203" s="667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x14ac:dyDescent="0.2">
      <c r="A204" s="423">
        <f t="shared" si="66"/>
        <v>199</v>
      </c>
      <c r="B204" s="657" t="s">
        <v>5106</v>
      </c>
      <c r="C204" s="655">
        <v>38111</v>
      </c>
      <c r="D204" s="658" t="s">
        <v>721</v>
      </c>
      <c r="E204" s="655" t="s">
        <v>4906</v>
      </c>
      <c r="F204" s="546">
        <v>2017</v>
      </c>
      <c r="G204" s="659">
        <v>42940</v>
      </c>
      <c r="H204" s="655" t="s">
        <v>1038</v>
      </c>
      <c r="I204" s="655" t="s">
        <v>4641</v>
      </c>
      <c r="J204" s="712"/>
      <c r="K204" s="655" t="s">
        <v>5199</v>
      </c>
      <c r="L204" s="655" t="s">
        <v>4643</v>
      </c>
      <c r="M204" s="660">
        <v>94827.59</v>
      </c>
      <c r="N204" s="660">
        <v>0</v>
      </c>
      <c r="O204" s="660">
        <v>15172.41</v>
      </c>
      <c r="P204" s="660">
        <v>110000</v>
      </c>
      <c r="Q204" s="548"/>
      <c r="R204" s="660">
        <v>83115.520000000004</v>
      </c>
      <c r="S204" s="549">
        <f t="shared" si="65"/>
        <v>26884.479999999996</v>
      </c>
      <c r="T204" s="113" t="s">
        <v>263</v>
      </c>
      <c r="AB204" s="667"/>
      <c r="AI204" s="313"/>
      <c r="AJ204" s="374"/>
      <c r="AK204" s="330"/>
      <c r="AL204" s="330"/>
      <c r="AM204" s="330"/>
    </row>
    <row r="205" spans="1:45" s="348" customFormat="1" x14ac:dyDescent="0.2">
      <c r="A205" s="423">
        <f t="shared" si="66"/>
        <v>200</v>
      </c>
      <c r="B205" s="657" t="s">
        <v>5107</v>
      </c>
      <c r="C205" s="655">
        <v>522001</v>
      </c>
      <c r="D205" s="658" t="s">
        <v>721</v>
      </c>
      <c r="E205" s="655" t="s">
        <v>4906</v>
      </c>
      <c r="F205" s="546">
        <v>2017</v>
      </c>
      <c r="G205" s="659">
        <v>42941</v>
      </c>
      <c r="H205" s="655" t="s">
        <v>912</v>
      </c>
      <c r="I205" s="655" t="s">
        <v>4894</v>
      </c>
      <c r="J205" s="712"/>
      <c r="K205" s="655" t="s">
        <v>5200</v>
      </c>
      <c r="L205" s="655" t="s">
        <v>5312</v>
      </c>
      <c r="M205" s="660">
        <v>248517.24</v>
      </c>
      <c r="N205" s="660">
        <v>0</v>
      </c>
      <c r="O205" s="660">
        <v>6482.76</v>
      </c>
      <c r="P205" s="660">
        <v>255000</v>
      </c>
      <c r="Q205" s="548"/>
      <c r="R205" s="660">
        <v>208000</v>
      </c>
      <c r="S205" s="549">
        <f t="shared" si="65"/>
        <v>47000</v>
      </c>
      <c r="T205" s="113" t="s">
        <v>263</v>
      </c>
      <c r="U205" s="360"/>
      <c r="V205" s="360"/>
      <c r="W205" s="358"/>
      <c r="X205" s="331"/>
      <c r="Y205" s="360"/>
      <c r="Z205" s="334"/>
      <c r="AA205" s="334"/>
      <c r="AB205" s="673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x14ac:dyDescent="0.2">
      <c r="A206" s="423">
        <f t="shared" si="66"/>
        <v>201</v>
      </c>
      <c r="B206" s="657" t="s">
        <v>5125</v>
      </c>
      <c r="C206" s="655">
        <v>520513</v>
      </c>
      <c r="D206" s="658" t="s">
        <v>686</v>
      </c>
      <c r="E206" s="655" t="s">
        <v>4907</v>
      </c>
      <c r="F206" s="546">
        <v>2017</v>
      </c>
      <c r="G206" s="659">
        <v>42941</v>
      </c>
      <c r="H206" s="655" t="s">
        <v>1207</v>
      </c>
      <c r="I206" s="655" t="s">
        <v>4905</v>
      </c>
      <c r="J206" s="712"/>
      <c r="K206" s="655" t="s">
        <v>5210</v>
      </c>
      <c r="L206" s="655" t="s">
        <v>5314</v>
      </c>
      <c r="M206" s="660">
        <v>357758.62</v>
      </c>
      <c r="N206" s="660">
        <v>0</v>
      </c>
      <c r="O206" s="660">
        <v>57241.38</v>
      </c>
      <c r="P206" s="660">
        <v>415000</v>
      </c>
      <c r="Q206" s="548"/>
      <c r="R206" s="660">
        <v>301724.14</v>
      </c>
      <c r="S206" s="549">
        <f t="shared" si="65"/>
        <v>113275.85999999999</v>
      </c>
      <c r="T206" s="113" t="s">
        <v>263</v>
      </c>
      <c r="U206" s="370"/>
      <c r="V206" s="370"/>
      <c r="W206" s="375"/>
      <c r="X206" s="374"/>
      <c r="Y206" s="370"/>
      <c r="Z206" s="371"/>
      <c r="AA206" s="371"/>
      <c r="AB206" s="673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x14ac:dyDescent="0.2">
      <c r="A207" s="423">
        <f t="shared" si="66"/>
        <v>202</v>
      </c>
      <c r="B207" s="657" t="s">
        <v>5126</v>
      </c>
      <c r="C207" s="655">
        <v>520513</v>
      </c>
      <c r="D207" s="658" t="s">
        <v>686</v>
      </c>
      <c r="E207" s="655" t="s">
        <v>4907</v>
      </c>
      <c r="F207" s="546">
        <v>2017</v>
      </c>
      <c r="G207" s="659">
        <v>42941</v>
      </c>
      <c r="H207" s="655" t="s">
        <v>1207</v>
      </c>
      <c r="I207" s="655" t="s">
        <v>4905</v>
      </c>
      <c r="J207" s="712"/>
      <c r="K207" s="655" t="s">
        <v>5210</v>
      </c>
      <c r="L207" s="655" t="s">
        <v>5314</v>
      </c>
      <c r="M207" s="660">
        <v>357758.62</v>
      </c>
      <c r="N207" s="660">
        <v>0</v>
      </c>
      <c r="O207" s="660">
        <v>57241.38</v>
      </c>
      <c r="P207" s="660">
        <v>415000</v>
      </c>
      <c r="Q207" s="548"/>
      <c r="R207" s="660">
        <v>301724.14</v>
      </c>
      <c r="S207" s="549">
        <f t="shared" si="65"/>
        <v>113275.85999999999</v>
      </c>
      <c r="T207" s="113" t="s">
        <v>263</v>
      </c>
      <c r="U207" s="370"/>
      <c r="V207" s="370"/>
      <c r="W207" s="375"/>
      <c r="X207" s="374"/>
      <c r="Y207" s="370"/>
      <c r="Z207" s="371"/>
      <c r="AA207" s="371"/>
      <c r="AB207" s="673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3">
        <f t="shared" si="66"/>
        <v>203</v>
      </c>
      <c r="B208" s="657" t="s">
        <v>5108</v>
      </c>
      <c r="C208" s="655">
        <v>1013102</v>
      </c>
      <c r="D208" s="658" t="s">
        <v>721</v>
      </c>
      <c r="E208" s="655" t="s">
        <v>4906</v>
      </c>
      <c r="F208" s="546">
        <v>2017</v>
      </c>
      <c r="G208" s="659">
        <v>42941</v>
      </c>
      <c r="H208" s="655" t="s">
        <v>751</v>
      </c>
      <c r="I208" s="655" t="s">
        <v>4895</v>
      </c>
      <c r="J208" s="712"/>
      <c r="K208" s="655" t="s">
        <v>5201</v>
      </c>
      <c r="L208" s="655" t="s">
        <v>5315</v>
      </c>
      <c r="M208" s="660">
        <v>146551.72</v>
      </c>
      <c r="N208" s="660">
        <v>0</v>
      </c>
      <c r="O208" s="660">
        <v>23448.28</v>
      </c>
      <c r="P208" s="660">
        <v>170000</v>
      </c>
      <c r="Q208" s="548"/>
      <c r="R208" s="660">
        <v>140181.04</v>
      </c>
      <c r="S208" s="549">
        <f t="shared" si="65"/>
        <v>29818.959999999992</v>
      </c>
      <c r="T208" s="113" t="s">
        <v>263</v>
      </c>
      <c r="U208" s="354"/>
      <c r="V208" s="354"/>
      <c r="W208" s="355"/>
      <c r="X208" s="330"/>
      <c r="Y208" s="354"/>
      <c r="Z208" s="328"/>
      <c r="AA208" s="328"/>
      <c r="AB208" s="673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x14ac:dyDescent="0.2">
      <c r="A209" s="423">
        <f t="shared" si="66"/>
        <v>204</v>
      </c>
      <c r="B209" s="657" t="s">
        <v>5128</v>
      </c>
      <c r="C209" s="655">
        <v>520513</v>
      </c>
      <c r="D209" s="658" t="s">
        <v>686</v>
      </c>
      <c r="E209" s="655" t="s">
        <v>4907</v>
      </c>
      <c r="F209" s="546">
        <v>2017</v>
      </c>
      <c r="G209" s="659">
        <v>42942</v>
      </c>
      <c r="H209" s="655" t="s">
        <v>1207</v>
      </c>
      <c r="I209" s="655" t="s">
        <v>4905</v>
      </c>
      <c r="J209" s="712"/>
      <c r="K209" s="655" t="s">
        <v>5210</v>
      </c>
      <c r="L209" s="655" t="s">
        <v>5314</v>
      </c>
      <c r="M209" s="660">
        <v>357758.62</v>
      </c>
      <c r="N209" s="660">
        <v>0</v>
      </c>
      <c r="O209" s="660">
        <v>57241.38</v>
      </c>
      <c r="P209" s="660">
        <v>415000</v>
      </c>
      <c r="Q209" s="548"/>
      <c r="R209" s="660">
        <v>301724.14</v>
      </c>
      <c r="S209" s="549">
        <f t="shared" si="65"/>
        <v>113275.85999999999</v>
      </c>
      <c r="T209" s="113" t="s">
        <v>263</v>
      </c>
      <c r="U209" s="360"/>
      <c r="V209" s="360"/>
      <c r="W209" s="358"/>
      <c r="X209" s="331"/>
      <c r="Y209" s="360"/>
      <c r="Z209" s="334"/>
      <c r="AA209" s="334"/>
      <c r="AB209" s="673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x14ac:dyDescent="0.2">
      <c r="A210" s="423">
        <f t="shared" si="66"/>
        <v>205</v>
      </c>
      <c r="B210" s="657" t="s">
        <v>5110</v>
      </c>
      <c r="C210" s="655">
        <v>1013102</v>
      </c>
      <c r="D210" s="658" t="s">
        <v>721</v>
      </c>
      <c r="E210" s="655" t="s">
        <v>4906</v>
      </c>
      <c r="F210" s="546">
        <v>2017</v>
      </c>
      <c r="G210" s="659">
        <v>42942</v>
      </c>
      <c r="H210" s="655" t="s">
        <v>751</v>
      </c>
      <c r="I210" s="655" t="s">
        <v>4895</v>
      </c>
      <c r="J210" s="712"/>
      <c r="K210" s="655" t="s">
        <v>5201</v>
      </c>
      <c r="L210" s="655" t="s">
        <v>5315</v>
      </c>
      <c r="M210" s="660">
        <v>148982.76</v>
      </c>
      <c r="N210" s="660">
        <v>0</v>
      </c>
      <c r="O210" s="660">
        <v>23837.24</v>
      </c>
      <c r="P210" s="660">
        <v>172820</v>
      </c>
      <c r="Q210" s="548"/>
      <c r="R210" s="660">
        <v>140181.04</v>
      </c>
      <c r="S210" s="549">
        <f t="shared" si="65"/>
        <v>32638.959999999992</v>
      </c>
      <c r="T210" s="113" t="s">
        <v>263</v>
      </c>
      <c r="U210" s="360"/>
      <c r="V210" s="360"/>
      <c r="W210" s="358"/>
      <c r="X210" s="331"/>
      <c r="Y210" s="360"/>
      <c r="Z210" s="334"/>
      <c r="AA210" s="334"/>
      <c r="AB210" s="673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x14ac:dyDescent="0.2">
      <c r="A211" s="423">
        <f t="shared" si="66"/>
        <v>206</v>
      </c>
      <c r="B211" s="657" t="s">
        <v>5112</v>
      </c>
      <c r="C211" s="655">
        <v>38111</v>
      </c>
      <c r="D211" s="658" t="s">
        <v>721</v>
      </c>
      <c r="E211" s="655" t="s">
        <v>4906</v>
      </c>
      <c r="F211" s="546">
        <v>2017</v>
      </c>
      <c r="G211" s="659">
        <v>42947</v>
      </c>
      <c r="H211" s="655" t="s">
        <v>2215</v>
      </c>
      <c r="I211" s="655" t="s">
        <v>4641</v>
      </c>
      <c r="J211" s="712"/>
      <c r="K211" s="655" t="s">
        <v>5202</v>
      </c>
      <c r="L211" s="655" t="s">
        <v>4643</v>
      </c>
      <c r="M211" s="660">
        <v>90517.24</v>
      </c>
      <c r="N211" s="660">
        <v>0</v>
      </c>
      <c r="O211" s="660">
        <v>14482.76</v>
      </c>
      <c r="P211" s="660">
        <v>105000</v>
      </c>
      <c r="Q211" s="548"/>
      <c r="R211" s="660">
        <v>83115.520000000004</v>
      </c>
      <c r="S211" s="549">
        <f t="shared" si="65"/>
        <v>21884.479999999996</v>
      </c>
      <c r="T211" s="113" t="s">
        <v>263</v>
      </c>
      <c r="U211" s="360"/>
      <c r="V211" s="360"/>
      <c r="W211" s="358"/>
      <c r="X211" s="331"/>
      <c r="Y211" s="360"/>
      <c r="Z211" s="334"/>
      <c r="AA211" s="334"/>
      <c r="AB211" s="673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x14ac:dyDescent="0.2">
      <c r="A212" s="423">
        <f t="shared" si="66"/>
        <v>207</v>
      </c>
      <c r="B212" s="657" t="s">
        <v>5113</v>
      </c>
      <c r="C212" s="655">
        <v>44708</v>
      </c>
      <c r="D212" s="658" t="s">
        <v>721</v>
      </c>
      <c r="E212" s="655" t="s">
        <v>4906</v>
      </c>
      <c r="F212" s="546">
        <v>2017</v>
      </c>
      <c r="G212" s="659">
        <v>42947</v>
      </c>
      <c r="H212" s="655" t="s">
        <v>751</v>
      </c>
      <c r="I212" s="655" t="s">
        <v>4896</v>
      </c>
      <c r="J212" s="712"/>
      <c r="K212" s="655" t="s">
        <v>4716</v>
      </c>
      <c r="L212" s="655" t="s">
        <v>5335</v>
      </c>
      <c r="M212" s="660">
        <v>155862.07</v>
      </c>
      <c r="N212" s="660">
        <v>0</v>
      </c>
      <c r="O212" s="660">
        <v>137.93</v>
      </c>
      <c r="P212" s="660">
        <v>156000</v>
      </c>
      <c r="Q212" s="548"/>
      <c r="R212" s="660">
        <v>155000</v>
      </c>
      <c r="S212" s="549">
        <f t="shared" si="65"/>
        <v>1000</v>
      </c>
      <c r="T212" s="113" t="s">
        <v>263</v>
      </c>
      <c r="U212" s="370"/>
      <c r="V212" s="370"/>
      <c r="W212" s="375"/>
      <c r="X212" s="374"/>
      <c r="Y212" s="370"/>
      <c r="Z212" s="371"/>
      <c r="AA212" s="371"/>
      <c r="AB212" s="673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x14ac:dyDescent="0.2">
      <c r="A213" s="423">
        <f t="shared" si="66"/>
        <v>208</v>
      </c>
      <c r="B213" s="657" t="s">
        <v>5114</v>
      </c>
      <c r="C213" s="655">
        <v>37705</v>
      </c>
      <c r="D213" s="658" t="s">
        <v>721</v>
      </c>
      <c r="E213" s="655" t="s">
        <v>4906</v>
      </c>
      <c r="F213" s="546">
        <v>2017</v>
      </c>
      <c r="G213" s="659">
        <v>42947</v>
      </c>
      <c r="H213" s="655" t="s">
        <v>751</v>
      </c>
      <c r="I213" s="655" t="s">
        <v>4897</v>
      </c>
      <c r="J213" s="712"/>
      <c r="K213" s="655" t="s">
        <v>4716</v>
      </c>
      <c r="L213" s="655" t="s">
        <v>5336</v>
      </c>
      <c r="M213" s="660">
        <v>175000</v>
      </c>
      <c r="N213" s="660">
        <v>0</v>
      </c>
      <c r="O213" s="660">
        <v>0</v>
      </c>
      <c r="P213" s="660">
        <v>175000</v>
      </c>
      <c r="Q213" s="548"/>
      <c r="R213" s="660">
        <v>175000</v>
      </c>
      <c r="S213" s="549">
        <f t="shared" si="65"/>
        <v>0</v>
      </c>
      <c r="T213" s="113" t="s">
        <v>263</v>
      </c>
      <c r="U213" s="360"/>
      <c r="V213" s="360"/>
      <c r="W213" s="358"/>
      <c r="X213" s="331"/>
      <c r="Y213" s="360"/>
      <c r="Z213" s="334"/>
      <c r="AA213" s="334"/>
      <c r="AB213" s="673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x14ac:dyDescent="0.2">
      <c r="A214" s="423">
        <f t="shared" si="66"/>
        <v>209</v>
      </c>
      <c r="B214" s="657" t="s">
        <v>5115</v>
      </c>
      <c r="C214" s="655">
        <v>43907</v>
      </c>
      <c r="D214" s="658" t="s">
        <v>721</v>
      </c>
      <c r="E214" s="655" t="s">
        <v>4906</v>
      </c>
      <c r="F214" s="546">
        <v>2017</v>
      </c>
      <c r="G214" s="659">
        <v>42947</v>
      </c>
      <c r="H214" s="655" t="s">
        <v>5133</v>
      </c>
      <c r="I214" s="655" t="s">
        <v>4898</v>
      </c>
      <c r="J214" s="712"/>
      <c r="K214" s="655" t="s">
        <v>5203</v>
      </c>
      <c r="L214" s="655" t="s">
        <v>5338</v>
      </c>
      <c r="M214" s="660">
        <v>79896.55</v>
      </c>
      <c r="N214" s="660">
        <v>0</v>
      </c>
      <c r="O214" s="660">
        <v>1103.45</v>
      </c>
      <c r="P214" s="660">
        <v>81000</v>
      </c>
      <c r="Q214" s="548"/>
      <c r="R214" s="660">
        <v>73000</v>
      </c>
      <c r="S214" s="549">
        <f t="shared" si="65"/>
        <v>8000</v>
      </c>
      <c r="T214" s="113" t="s">
        <v>263</v>
      </c>
      <c r="U214" s="370"/>
      <c r="V214" s="370"/>
      <c r="W214" s="375"/>
      <c r="X214" s="374"/>
      <c r="Y214" s="370"/>
      <c r="Z214" s="371"/>
      <c r="AA214" s="371"/>
      <c r="AB214" s="673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x14ac:dyDescent="0.2">
      <c r="A215" s="423">
        <f t="shared" si="66"/>
        <v>210</v>
      </c>
      <c r="B215" s="657" t="s">
        <v>5087</v>
      </c>
      <c r="C215" s="655">
        <v>39006</v>
      </c>
      <c r="D215" s="658" t="s">
        <v>721</v>
      </c>
      <c r="E215" s="655" t="s">
        <v>4906</v>
      </c>
      <c r="F215" s="546">
        <v>2017</v>
      </c>
      <c r="G215" s="659">
        <v>42924</v>
      </c>
      <c r="H215" s="655" t="s">
        <v>912</v>
      </c>
      <c r="I215" s="655" t="s">
        <v>4686</v>
      </c>
      <c r="J215" s="712"/>
      <c r="K215" s="655" t="s">
        <v>3200</v>
      </c>
      <c r="L215" s="655" t="s">
        <v>2678</v>
      </c>
      <c r="M215" s="660">
        <v>-140517.24</v>
      </c>
      <c r="N215" s="660">
        <v>0</v>
      </c>
      <c r="O215" s="660">
        <v>-2482.7600000000002</v>
      </c>
      <c r="P215" s="660">
        <v>-143000</v>
      </c>
      <c r="Q215" s="548"/>
      <c r="R215" s="660">
        <v>-125000</v>
      </c>
      <c r="S215" s="549">
        <f t="shared" si="65"/>
        <v>-18000</v>
      </c>
      <c r="T215" s="113" t="s">
        <v>263</v>
      </c>
      <c r="U215" s="370"/>
      <c r="V215" s="370"/>
      <c r="W215" s="375"/>
      <c r="X215" s="374"/>
      <c r="Y215" s="370"/>
      <c r="Z215" s="371"/>
      <c r="AA215" s="371"/>
      <c r="AB215" s="673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x14ac:dyDescent="0.2">
      <c r="A216" s="423">
        <f t="shared" si="66"/>
        <v>211</v>
      </c>
      <c r="B216" s="657" t="s">
        <v>5088</v>
      </c>
      <c r="C216" s="655">
        <v>39006</v>
      </c>
      <c r="D216" s="658" t="s">
        <v>721</v>
      </c>
      <c r="E216" s="655" t="s">
        <v>4906</v>
      </c>
      <c r="F216" s="546">
        <v>2017</v>
      </c>
      <c r="G216" s="659">
        <v>42924</v>
      </c>
      <c r="H216" s="655" t="s">
        <v>817</v>
      </c>
      <c r="I216" s="655" t="s">
        <v>4686</v>
      </c>
      <c r="J216" s="712"/>
      <c r="K216" s="655" t="s">
        <v>5191</v>
      </c>
      <c r="L216" s="655" t="s">
        <v>2678</v>
      </c>
      <c r="M216" s="660">
        <v>-137931.03</v>
      </c>
      <c r="N216" s="660">
        <v>0</v>
      </c>
      <c r="O216" s="660">
        <v>-2068.9699999999998</v>
      </c>
      <c r="P216" s="660">
        <v>-140000</v>
      </c>
      <c r="Q216" s="548"/>
      <c r="R216" s="660">
        <v>-125000</v>
      </c>
      <c r="S216" s="549">
        <f t="shared" si="65"/>
        <v>-15000</v>
      </c>
      <c r="T216" s="113" t="s">
        <v>263</v>
      </c>
      <c r="U216" s="360"/>
      <c r="V216" s="360"/>
      <c r="W216" s="358"/>
      <c r="X216" s="331"/>
      <c r="Y216" s="360"/>
      <c r="Z216" s="334"/>
      <c r="AA216" s="334"/>
      <c r="AB216" s="673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x14ac:dyDescent="0.2">
      <c r="A217" s="423">
        <f t="shared" si="66"/>
        <v>212</v>
      </c>
      <c r="B217" s="657" t="s">
        <v>5117</v>
      </c>
      <c r="C217" s="655">
        <v>522401</v>
      </c>
      <c r="D217" s="658" t="s">
        <v>686</v>
      </c>
      <c r="E217" s="655" t="s">
        <v>4907</v>
      </c>
      <c r="F217" s="546">
        <v>2017</v>
      </c>
      <c r="G217" s="659">
        <v>42927</v>
      </c>
      <c r="H217" s="655" t="s">
        <v>2218</v>
      </c>
      <c r="I217" s="655" t="s">
        <v>4899</v>
      </c>
      <c r="J217" s="712"/>
      <c r="K217" s="655" t="s">
        <v>5204</v>
      </c>
      <c r="L217" s="655" t="s">
        <v>5244</v>
      </c>
      <c r="M217" s="660">
        <v>-218103.45</v>
      </c>
      <c r="N217" s="660">
        <v>0</v>
      </c>
      <c r="O217" s="660">
        <v>-6896.55</v>
      </c>
      <c r="P217" s="660">
        <v>-225000</v>
      </c>
      <c r="Q217" s="548"/>
      <c r="R217" s="660">
        <v>-175000</v>
      </c>
      <c r="S217" s="549">
        <f t="shared" si="65"/>
        <v>-50000</v>
      </c>
      <c r="T217" s="113" t="s">
        <v>263</v>
      </c>
      <c r="U217" s="360"/>
      <c r="V217" s="360"/>
      <c r="W217" s="358"/>
      <c r="X217" s="331"/>
      <c r="Y217" s="360"/>
      <c r="Z217" s="334"/>
      <c r="AA217" s="334"/>
      <c r="AB217" s="673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x14ac:dyDescent="0.2">
      <c r="A218" s="423">
        <f t="shared" si="66"/>
        <v>213</v>
      </c>
      <c r="B218" s="657" t="s">
        <v>5093</v>
      </c>
      <c r="C218" s="655">
        <v>54101</v>
      </c>
      <c r="D218" s="658" t="s">
        <v>721</v>
      </c>
      <c r="E218" s="655" t="s">
        <v>4906</v>
      </c>
      <c r="F218" s="546">
        <v>2017</v>
      </c>
      <c r="G218" s="659">
        <v>42927</v>
      </c>
      <c r="H218" s="655" t="s">
        <v>1211</v>
      </c>
      <c r="I218" s="655" t="s">
        <v>4889</v>
      </c>
      <c r="J218" s="712"/>
      <c r="K218" s="655" t="s">
        <v>5194</v>
      </c>
      <c r="L218" s="655" t="s">
        <v>5247</v>
      </c>
      <c r="M218" s="660">
        <v>-120517.24</v>
      </c>
      <c r="N218" s="660">
        <v>0</v>
      </c>
      <c r="O218" s="660">
        <v>-2482.7600000000002</v>
      </c>
      <c r="P218" s="660">
        <v>-123000</v>
      </c>
      <c r="Q218" s="548"/>
      <c r="R218" s="660">
        <v>-105000</v>
      </c>
      <c r="S218" s="549">
        <f t="shared" si="65"/>
        <v>-18000</v>
      </c>
      <c r="T218" s="113" t="s">
        <v>263</v>
      </c>
      <c r="U218" s="354"/>
      <c r="V218" s="354"/>
      <c r="W218" s="355"/>
      <c r="X218" s="330"/>
      <c r="Y218" s="354"/>
      <c r="Z218" s="328"/>
      <c r="AA218" s="328"/>
      <c r="AB218" s="673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x14ac:dyDescent="0.2">
      <c r="A219" s="423">
        <f t="shared" si="66"/>
        <v>214</v>
      </c>
      <c r="B219" s="657" t="s">
        <v>5097</v>
      </c>
      <c r="C219" s="655">
        <v>72504</v>
      </c>
      <c r="D219" s="658" t="s">
        <v>721</v>
      </c>
      <c r="E219" s="655" t="s">
        <v>4906</v>
      </c>
      <c r="F219" s="546">
        <v>2017</v>
      </c>
      <c r="G219" s="659">
        <v>42933</v>
      </c>
      <c r="H219" s="655" t="s">
        <v>912</v>
      </c>
      <c r="I219" s="655" t="s">
        <v>4653</v>
      </c>
      <c r="J219" s="712"/>
      <c r="K219" s="655" t="s">
        <v>4654</v>
      </c>
      <c r="L219" s="655" t="s">
        <v>4655</v>
      </c>
      <c r="M219" s="660">
        <v>-156827.59</v>
      </c>
      <c r="N219" s="660">
        <v>0</v>
      </c>
      <c r="O219" s="660">
        <v>-3172.41</v>
      </c>
      <c r="P219" s="660">
        <v>-160000</v>
      </c>
      <c r="Q219" s="548"/>
      <c r="R219" s="660">
        <v>-137000</v>
      </c>
      <c r="S219" s="549">
        <f t="shared" si="65"/>
        <v>-23000</v>
      </c>
      <c r="T219" s="113" t="s">
        <v>263</v>
      </c>
      <c r="U219" s="370"/>
      <c r="V219" s="370"/>
      <c r="W219" s="375"/>
      <c r="X219" s="374"/>
      <c r="Y219" s="370"/>
      <c r="Z219" s="371"/>
      <c r="AA219" s="371"/>
      <c r="AB219" s="673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x14ac:dyDescent="0.2">
      <c r="A220" s="423">
        <f t="shared" si="66"/>
        <v>215</v>
      </c>
      <c r="B220" s="657" t="s">
        <v>5099</v>
      </c>
      <c r="C220" s="655">
        <v>521802</v>
      </c>
      <c r="D220" s="658" t="s">
        <v>721</v>
      </c>
      <c r="E220" s="655" t="s">
        <v>4906</v>
      </c>
      <c r="F220" s="546">
        <v>2017</v>
      </c>
      <c r="G220" s="659">
        <v>42935</v>
      </c>
      <c r="H220" s="655" t="s">
        <v>5132</v>
      </c>
      <c r="I220" s="655" t="s">
        <v>4891</v>
      </c>
      <c r="J220" s="712"/>
      <c r="K220" s="655" t="s">
        <v>5196</v>
      </c>
      <c r="L220" s="655" t="s">
        <v>5277</v>
      </c>
      <c r="M220" s="660">
        <v>-122241.38</v>
      </c>
      <c r="N220" s="660">
        <v>0</v>
      </c>
      <c r="O220" s="660">
        <v>-2758.62</v>
      </c>
      <c r="P220" s="660">
        <v>-125000</v>
      </c>
      <c r="Q220" s="548"/>
      <c r="R220" s="660">
        <v>-105000</v>
      </c>
      <c r="S220" s="549">
        <f t="shared" si="65"/>
        <v>-20000</v>
      </c>
      <c r="T220" s="113" t="s">
        <v>263</v>
      </c>
      <c r="U220" s="360"/>
      <c r="V220" s="360"/>
      <c r="W220" s="358"/>
      <c r="X220" s="331"/>
      <c r="Y220" s="360"/>
      <c r="Z220" s="334"/>
      <c r="AA220" s="334"/>
      <c r="AB220" s="673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x14ac:dyDescent="0.2">
      <c r="A221" s="423">
        <f t="shared" si="66"/>
        <v>216</v>
      </c>
      <c r="B221" s="657" t="s">
        <v>5101</v>
      </c>
      <c r="C221" s="655">
        <v>38111</v>
      </c>
      <c r="D221" s="658" t="s">
        <v>721</v>
      </c>
      <c r="E221" s="655" t="s">
        <v>4906</v>
      </c>
      <c r="F221" s="546">
        <v>2017</v>
      </c>
      <c r="G221" s="659">
        <v>42937</v>
      </c>
      <c r="H221" s="655" t="s">
        <v>912</v>
      </c>
      <c r="I221" s="655" t="s">
        <v>4641</v>
      </c>
      <c r="J221" s="712"/>
      <c r="K221" s="655" t="s">
        <v>4642</v>
      </c>
      <c r="L221" s="655" t="s">
        <v>4643</v>
      </c>
      <c r="M221" s="660">
        <v>-99137.93</v>
      </c>
      <c r="N221" s="660">
        <v>0</v>
      </c>
      <c r="O221" s="660">
        <v>-15862.07</v>
      </c>
      <c r="P221" s="660">
        <v>-115000</v>
      </c>
      <c r="Q221" s="548"/>
      <c r="R221" s="660">
        <v>-83115.520000000004</v>
      </c>
      <c r="S221" s="549">
        <f t="shared" si="65"/>
        <v>-31884.479999999996</v>
      </c>
      <c r="T221" s="113" t="s">
        <v>263</v>
      </c>
      <c r="U221" s="370"/>
      <c r="V221" s="370"/>
      <c r="W221" s="375"/>
      <c r="X221" s="374"/>
      <c r="Y221" s="370"/>
      <c r="Z221" s="371"/>
      <c r="AA221" s="371"/>
      <c r="AB221" s="673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x14ac:dyDescent="0.2">
      <c r="A222" s="423">
        <f t="shared" si="66"/>
        <v>217</v>
      </c>
      <c r="B222" s="657" t="s">
        <v>5105</v>
      </c>
      <c r="C222" s="655">
        <v>38111</v>
      </c>
      <c r="D222" s="658" t="s">
        <v>721</v>
      </c>
      <c r="E222" s="655" t="s">
        <v>4906</v>
      </c>
      <c r="F222" s="546">
        <v>2017</v>
      </c>
      <c r="G222" s="659">
        <v>42940</v>
      </c>
      <c r="H222" s="655" t="s">
        <v>1038</v>
      </c>
      <c r="I222" s="655" t="s">
        <v>4641</v>
      </c>
      <c r="J222" s="712"/>
      <c r="K222" s="655" t="s">
        <v>5199</v>
      </c>
      <c r="L222" s="655" t="s">
        <v>4643</v>
      </c>
      <c r="M222" s="660">
        <v>-94827.59</v>
      </c>
      <c r="N222" s="660">
        <v>0</v>
      </c>
      <c r="O222" s="660">
        <v>-15172.41</v>
      </c>
      <c r="P222" s="660">
        <v>-110000</v>
      </c>
      <c r="Q222" s="548"/>
      <c r="R222" s="660">
        <v>-83115.520000000004</v>
      </c>
      <c r="S222" s="549">
        <f t="shared" si="65"/>
        <v>-26884.479999999996</v>
      </c>
      <c r="T222" s="113" t="s">
        <v>263</v>
      </c>
      <c r="U222" s="370"/>
      <c r="V222" s="370"/>
      <c r="W222" s="375"/>
      <c r="X222" s="374"/>
      <c r="Y222" s="370"/>
      <c r="Z222" s="371"/>
      <c r="AA222" s="371"/>
      <c r="AB222" s="673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x14ac:dyDescent="0.2">
      <c r="A223" s="423">
        <f t="shared" si="66"/>
        <v>218</v>
      </c>
      <c r="B223" s="657" t="s">
        <v>5124</v>
      </c>
      <c r="C223" s="655">
        <v>520513</v>
      </c>
      <c r="D223" s="658" t="s">
        <v>686</v>
      </c>
      <c r="E223" s="655" t="s">
        <v>4907</v>
      </c>
      <c r="F223" s="546">
        <v>2017</v>
      </c>
      <c r="G223" s="659">
        <v>42941</v>
      </c>
      <c r="H223" s="655" t="s">
        <v>1207</v>
      </c>
      <c r="I223" s="655" t="s">
        <v>4905</v>
      </c>
      <c r="J223" s="712"/>
      <c r="K223" s="655" t="s">
        <v>5210</v>
      </c>
      <c r="L223" s="655" t="s">
        <v>5314</v>
      </c>
      <c r="M223" s="660">
        <v>-357758.62</v>
      </c>
      <c r="N223" s="660">
        <v>0</v>
      </c>
      <c r="O223" s="660">
        <v>-57241.38</v>
      </c>
      <c r="P223" s="660">
        <v>-415000</v>
      </c>
      <c r="Q223" s="548"/>
      <c r="R223" s="660">
        <v>-301724.14</v>
      </c>
      <c r="S223" s="549">
        <f t="shared" si="65"/>
        <v>-113275.85999999999</v>
      </c>
      <c r="T223" s="113" t="s">
        <v>263</v>
      </c>
      <c r="U223" s="370"/>
      <c r="V223" s="370"/>
      <c r="W223" s="375"/>
      <c r="X223" s="374"/>
      <c r="Y223" s="370"/>
      <c r="Z223" s="371"/>
      <c r="AA223" s="371"/>
      <c r="AB223" s="673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x14ac:dyDescent="0.2">
      <c r="A224" s="423">
        <f t="shared" si="66"/>
        <v>219</v>
      </c>
      <c r="B224" s="657" t="s">
        <v>5127</v>
      </c>
      <c r="C224" s="655">
        <v>520513</v>
      </c>
      <c r="D224" s="658" t="s">
        <v>686</v>
      </c>
      <c r="E224" s="655" t="s">
        <v>4907</v>
      </c>
      <c r="F224" s="546">
        <v>2017</v>
      </c>
      <c r="G224" s="659">
        <v>42942</v>
      </c>
      <c r="H224" s="655" t="s">
        <v>1207</v>
      </c>
      <c r="I224" s="655" t="s">
        <v>4905</v>
      </c>
      <c r="J224" s="712"/>
      <c r="K224" s="655" t="s">
        <v>5210</v>
      </c>
      <c r="L224" s="655" t="s">
        <v>5314</v>
      </c>
      <c r="M224" s="660">
        <v>-357758.62</v>
      </c>
      <c r="N224" s="660">
        <v>0</v>
      </c>
      <c r="O224" s="660">
        <v>-57241.38</v>
      </c>
      <c r="P224" s="660">
        <v>-415000</v>
      </c>
      <c r="Q224" s="548"/>
      <c r="R224" s="660">
        <v>-301724.14</v>
      </c>
      <c r="S224" s="549">
        <f t="shared" si="65"/>
        <v>-113275.85999999999</v>
      </c>
      <c r="T224" s="113" t="s">
        <v>263</v>
      </c>
      <c r="U224" s="370"/>
      <c r="V224" s="370"/>
      <c r="W224" s="375"/>
      <c r="X224" s="374"/>
      <c r="Y224" s="370"/>
      <c r="Z224" s="371"/>
      <c r="AA224" s="371"/>
      <c r="AB224" s="673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41" s="291" customFormat="1" x14ac:dyDescent="0.2">
      <c r="A225" s="423">
        <f t="shared" si="66"/>
        <v>220</v>
      </c>
      <c r="B225" s="657" t="s">
        <v>5109</v>
      </c>
      <c r="C225" s="655">
        <v>1013102</v>
      </c>
      <c r="D225" s="658" t="s">
        <v>721</v>
      </c>
      <c r="E225" s="655" t="s">
        <v>4906</v>
      </c>
      <c r="F225" s="546">
        <v>2017</v>
      </c>
      <c r="G225" s="659">
        <v>42942</v>
      </c>
      <c r="H225" s="655" t="s">
        <v>751</v>
      </c>
      <c r="I225" s="655" t="s">
        <v>4895</v>
      </c>
      <c r="J225" s="712"/>
      <c r="K225" s="655" t="s">
        <v>5201</v>
      </c>
      <c r="L225" s="655" t="s">
        <v>5315</v>
      </c>
      <c r="M225" s="660">
        <v>-146551.72</v>
      </c>
      <c r="N225" s="660">
        <v>0</v>
      </c>
      <c r="O225" s="660">
        <v>-23448.28</v>
      </c>
      <c r="P225" s="660">
        <v>-170000</v>
      </c>
      <c r="Q225" s="548"/>
      <c r="R225" s="660">
        <v>-140181.04</v>
      </c>
      <c r="S225" s="549">
        <f t="shared" si="65"/>
        <v>-29818.959999999992</v>
      </c>
      <c r="T225" s="113" t="s">
        <v>263</v>
      </c>
      <c r="U225" s="370"/>
      <c r="V225" s="370"/>
      <c r="W225" s="375"/>
      <c r="X225" s="374"/>
      <c r="Y225" s="370"/>
      <c r="Z225" s="371"/>
      <c r="AA225" s="371"/>
      <c r="AB225" s="673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41" s="348" customFormat="1" x14ac:dyDescent="0.2">
      <c r="A226" s="423">
        <f t="shared" si="66"/>
        <v>221</v>
      </c>
      <c r="B226" s="657" t="s">
        <v>5111</v>
      </c>
      <c r="C226" s="655">
        <v>38111</v>
      </c>
      <c r="D226" s="658" t="s">
        <v>721</v>
      </c>
      <c r="E226" s="655" t="s">
        <v>4906</v>
      </c>
      <c r="F226" s="546">
        <v>2017</v>
      </c>
      <c r="G226" s="659">
        <v>42947</v>
      </c>
      <c r="H226" s="655" t="s">
        <v>1038</v>
      </c>
      <c r="I226" s="655" t="s">
        <v>4641</v>
      </c>
      <c r="J226" s="712"/>
      <c r="K226" s="655" t="s">
        <v>5199</v>
      </c>
      <c r="L226" s="655" t="s">
        <v>4643</v>
      </c>
      <c r="M226" s="660">
        <v>-94827.59</v>
      </c>
      <c r="N226" s="660">
        <v>0</v>
      </c>
      <c r="O226" s="660">
        <v>-15172.41</v>
      </c>
      <c r="P226" s="660">
        <v>-110000</v>
      </c>
      <c r="Q226" s="548"/>
      <c r="R226" s="660">
        <v>-83115.520000000004</v>
      </c>
      <c r="S226" s="549">
        <f t="shared" si="65"/>
        <v>-26884.479999999996</v>
      </c>
      <c r="T226" s="113" t="s">
        <v>263</v>
      </c>
      <c r="U226" s="370"/>
      <c r="V226" s="370"/>
      <c r="W226" s="375"/>
      <c r="X226" s="374"/>
      <c r="Y226" s="370"/>
      <c r="Z226" s="371"/>
      <c r="AA226" s="371"/>
      <c r="AB226" s="673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41" s="291" customFormat="1" ht="13.5" thickBot="1" x14ac:dyDescent="0.25">
      <c r="A227" s="423"/>
      <c r="B227" s="543"/>
      <c r="C227" s="544"/>
      <c r="D227" s="545"/>
      <c r="E227" s="544"/>
      <c r="F227" s="546"/>
      <c r="G227" s="547"/>
      <c r="H227" s="544"/>
      <c r="I227" s="544"/>
      <c r="J227" s="544"/>
      <c r="K227" s="544"/>
      <c r="L227" s="544"/>
      <c r="M227" s="548"/>
      <c r="N227" s="548"/>
      <c r="O227" s="548"/>
      <c r="P227" s="548"/>
      <c r="Q227" s="548"/>
      <c r="R227" s="548"/>
      <c r="S227" s="549"/>
      <c r="T227" s="267"/>
      <c r="U227" s="369"/>
      <c r="V227" s="370"/>
      <c r="W227" s="375"/>
      <c r="X227" s="375"/>
      <c r="Y227" s="375"/>
      <c r="Z227" s="371"/>
      <c r="AA227" s="371"/>
      <c r="AB227" s="673"/>
      <c r="AC227" s="371"/>
      <c r="AD227" s="372"/>
      <c r="AE227" s="371"/>
      <c r="AF227" s="371"/>
      <c r="AG227" s="270"/>
      <c r="AH227" s="350"/>
      <c r="AI227" s="365"/>
      <c r="AJ227" s="374"/>
      <c r="AK227" s="374"/>
      <c r="AL227" s="374"/>
      <c r="AM227" s="374"/>
    </row>
    <row r="228" spans="1:41" s="291" customFormat="1" ht="13.5" thickBot="1" x14ac:dyDescent="0.25">
      <c r="A228" s="423"/>
      <c r="B228" s="543"/>
      <c r="C228" s="544"/>
      <c r="D228" s="545"/>
      <c r="E228" s="544"/>
      <c r="F228" s="546"/>
      <c r="G228" s="547"/>
      <c r="H228" s="544"/>
      <c r="I228" s="544"/>
      <c r="J228" s="544"/>
      <c r="K228" s="544"/>
      <c r="L228" s="544"/>
      <c r="M228" s="548"/>
      <c r="N228" s="548"/>
      <c r="O228" s="548"/>
      <c r="P228" s="548"/>
      <c r="Q228" s="548"/>
      <c r="R228" s="548"/>
      <c r="S228" s="549"/>
      <c r="T228" s="267"/>
      <c r="V228" s="423"/>
      <c r="W228" s="362"/>
      <c r="X228" s="362"/>
      <c r="Y228" s="619"/>
      <c r="Z228" s="620">
        <f ca="1">+SUM(Z6:Z120)</f>
        <v>40258053.959999986</v>
      </c>
      <c r="AA228" s="620">
        <f ca="1">+SUM(AA6:AA120)</f>
        <v>80516107.920000017</v>
      </c>
      <c r="AB228" s="643">
        <f>+SUM(AB6:AB120)</f>
        <v>136</v>
      </c>
      <c r="AC228" s="620"/>
      <c r="AD228" s="620"/>
      <c r="AE228" s="620"/>
      <c r="AF228" s="620">
        <f>+SUM(AF6:AF120)</f>
        <v>2140938.1401</v>
      </c>
      <c r="AG228" s="620">
        <f>+SUM(AG6:AG120)</f>
        <v>-13699.413399999949</v>
      </c>
      <c r="AH228" s="270"/>
      <c r="AI228" s="365"/>
      <c r="AJ228" s="374"/>
      <c r="AK228" s="374"/>
      <c r="AL228" s="374"/>
      <c r="AM228" s="374"/>
    </row>
    <row r="229" spans="1:41" s="53" customFormat="1" ht="13.5" thickTop="1" x14ac:dyDescent="0.2">
      <c r="A229" s="48"/>
      <c r="B229" s="550"/>
      <c r="C229" s="551"/>
      <c r="D229" s="551"/>
      <c r="E229" s="552"/>
      <c r="F229" s="553"/>
      <c r="G229" s="554"/>
      <c r="H229" s="552"/>
      <c r="I229" s="552"/>
      <c r="J229" s="552"/>
      <c r="K229" s="552"/>
      <c r="L229" s="552"/>
      <c r="M229" s="555"/>
      <c r="N229" s="555"/>
      <c r="O229" s="555"/>
      <c r="P229" s="555"/>
      <c r="Q229" s="555"/>
      <c r="R229" s="555"/>
      <c r="S229" s="549"/>
      <c r="T229" s="398"/>
      <c r="V229" s="427"/>
      <c r="W229" s="428"/>
      <c r="X229" s="428"/>
      <c r="Y229" s="93"/>
      <c r="Z229" s="260"/>
      <c r="AA229" s="431"/>
      <c r="AB229" s="480"/>
      <c r="AC229" s="431"/>
      <c r="AD229" s="436"/>
      <c r="AE229" s="431"/>
      <c r="AF229" s="431">
        <f>+M400</f>
        <v>0</v>
      </c>
      <c r="AG229" s="440"/>
      <c r="AH229" s="346"/>
      <c r="AI229" s="313"/>
      <c r="AJ229" s="21"/>
      <c r="AK229" s="21"/>
      <c r="AL229" s="21"/>
      <c r="AM229" s="21"/>
      <c r="AN229" s="21"/>
      <c r="AO229" s="21"/>
    </row>
    <row r="230" spans="1:41" s="53" customFormat="1" x14ac:dyDescent="0.2">
      <c r="A230" s="48"/>
      <c r="B230" s="550"/>
      <c r="C230" s="551"/>
      <c r="D230" s="551"/>
      <c r="E230" s="552"/>
      <c r="F230" s="553"/>
      <c r="G230" s="556"/>
      <c r="H230" s="552"/>
      <c r="I230" s="552"/>
      <c r="J230" s="552"/>
      <c r="K230" s="552"/>
      <c r="L230" s="552"/>
      <c r="M230" s="555"/>
      <c r="N230" s="555"/>
      <c r="O230" s="555"/>
      <c r="P230" s="555"/>
      <c r="Q230" s="555"/>
      <c r="R230" s="555"/>
      <c r="S230" s="549"/>
      <c r="T230" s="13"/>
      <c r="V230" s="93"/>
      <c r="W230" s="267"/>
      <c r="X230" s="271"/>
      <c r="Y230" s="469"/>
      <c r="Z230" s="470"/>
      <c r="AA230" s="431"/>
      <c r="AB230" s="480"/>
      <c r="AC230" s="396"/>
      <c r="AD230" s="425"/>
      <c r="AE230" s="395"/>
      <c r="AF230" s="379"/>
      <c r="AG230" s="395"/>
      <c r="AH230" s="270"/>
      <c r="AI230" s="313"/>
      <c r="AJ230" s="21"/>
      <c r="AK230" s="21"/>
      <c r="AL230" s="21"/>
      <c r="AM230" s="21"/>
      <c r="AN230" s="21"/>
      <c r="AO230" s="21"/>
    </row>
    <row r="231" spans="1:41" s="53" customFormat="1" ht="13.5" thickBot="1" x14ac:dyDescent="0.25">
      <c r="A231" s="48"/>
      <c r="B231" s="557"/>
      <c r="C231" s="558"/>
      <c r="D231" s="558"/>
      <c r="E231" s="559"/>
      <c r="F231" s="559"/>
      <c r="G231" s="560"/>
      <c r="H231" s="559"/>
      <c r="I231" s="559"/>
      <c r="J231" s="559"/>
      <c r="K231" s="559"/>
      <c r="L231" s="559"/>
      <c r="M231" s="561"/>
      <c r="N231" s="561"/>
      <c r="O231" s="561"/>
      <c r="P231" s="561"/>
      <c r="Q231" s="561"/>
      <c r="R231" s="561"/>
      <c r="S231" s="562"/>
      <c r="T231" s="13"/>
      <c r="V231" s="298" t="s">
        <v>250</v>
      </c>
      <c r="W231" s="437" t="s">
        <v>2909</v>
      </c>
      <c r="X231" s="382"/>
      <c r="Y231" s="441"/>
      <c r="Z231" s="438"/>
      <c r="AA231" s="439"/>
      <c r="AB231" s="480"/>
      <c r="AC231" s="396"/>
      <c r="AD231" s="425"/>
      <c r="AE231" s="440"/>
      <c r="AF231" s="439"/>
      <c r="AG231" s="396"/>
      <c r="AH231" s="346"/>
      <c r="AI231" s="313"/>
      <c r="AJ231" s="21"/>
      <c r="AK231" s="21"/>
      <c r="AL231" s="21"/>
      <c r="AM231" s="21"/>
      <c r="AN231" s="21"/>
      <c r="AO231" s="21"/>
    </row>
    <row r="232" spans="1:41" s="53" customFormat="1" x14ac:dyDescent="0.2">
      <c r="A232" s="48"/>
      <c r="B232" s="592"/>
      <c r="C232" s="593"/>
      <c r="D232" s="593"/>
      <c r="E232" s="593"/>
      <c r="F232" s="594"/>
      <c r="G232" s="595"/>
      <c r="H232" s="596"/>
      <c r="I232" s="597"/>
      <c r="J232" s="598"/>
      <c r="K232" s="598"/>
      <c r="L232" s="594"/>
      <c r="M232" s="599"/>
      <c r="N232" s="600"/>
      <c r="O232" s="601"/>
      <c r="P232" s="601"/>
      <c r="Q232" s="601"/>
      <c r="R232" s="602"/>
      <c r="S232" s="603"/>
      <c r="T232" s="13"/>
      <c r="V232" s="298" t="s">
        <v>251</v>
      </c>
      <c r="W232" s="437" t="s">
        <v>2745</v>
      </c>
      <c r="X232" s="271"/>
      <c r="Y232" s="441"/>
      <c r="Z232" s="471" t="e">
        <f>+AB120+AB99+AB96+#REF!+#REF!</f>
        <v>#REF!</v>
      </c>
      <c r="AA232" s="472" t="e">
        <f>+AA120+AA99+AA96+#REF!+#REF!</f>
        <v>#REF!</v>
      </c>
      <c r="AB232" s="646"/>
      <c r="AC232" s="474" t="s">
        <v>1269</v>
      </c>
      <c r="AD232" s="436"/>
      <c r="AE232" s="431"/>
      <c r="AF232" s="431"/>
      <c r="AG232" s="440"/>
      <c r="AH232" s="270"/>
      <c r="AI232" s="313"/>
      <c r="AJ232" s="21"/>
      <c r="AK232" s="21"/>
      <c r="AL232" s="21"/>
      <c r="AM232" s="21"/>
      <c r="AN232" s="21"/>
      <c r="AO232" s="21"/>
    </row>
    <row r="233" spans="1:41" s="53" customFormat="1" x14ac:dyDescent="0.2">
      <c r="A233" s="48"/>
      <c r="B233" s="604"/>
      <c r="C233" s="262"/>
      <c r="D233" s="262"/>
      <c r="E233" s="129"/>
      <c r="F233" s="40"/>
      <c r="G233" s="81"/>
      <c r="H233" s="254"/>
      <c r="I233" s="90"/>
      <c r="J233" s="90"/>
      <c r="K233" s="90"/>
      <c r="L233" s="40"/>
      <c r="M233" s="209">
        <f t="shared" ref="M233:S233" si="67">SUM(M6:M231)</f>
        <v>35281761.460000008</v>
      </c>
      <c r="N233" s="209">
        <f t="shared" si="67"/>
        <v>706796.34000000008</v>
      </c>
      <c r="O233" s="209">
        <f t="shared" si="67"/>
        <v>5323041.1500000032</v>
      </c>
      <c r="P233" s="209">
        <f t="shared" si="67"/>
        <v>41311598.950000003</v>
      </c>
      <c r="Q233" s="209">
        <f t="shared" si="67"/>
        <v>0</v>
      </c>
      <c r="R233" s="209">
        <f t="shared" si="67"/>
        <v>32375428.529999997</v>
      </c>
      <c r="S233" s="605">
        <f t="shared" si="67"/>
        <v>8936170.4199999999</v>
      </c>
      <c r="T233" s="13"/>
      <c r="V233" s="93"/>
      <c r="W233" s="267"/>
      <c r="X233" s="271"/>
      <c r="Y233" s="94"/>
      <c r="Z233" s="475">
        <f>+AB78+AB75+AB71+AB67+AB51+AB30+AB28</f>
        <v>11</v>
      </c>
      <c r="AA233" s="472">
        <f>+AA78+AA75+AA71+AA67+AA51+AA30+AA28</f>
        <v>2905857.2800000003</v>
      </c>
      <c r="AB233" s="646"/>
      <c r="AC233" s="474" t="s">
        <v>1270</v>
      </c>
      <c r="AD233" s="425"/>
      <c r="AE233" s="424"/>
      <c r="AF233" s="424"/>
      <c r="AG233" s="346"/>
      <c r="AH233" s="270"/>
      <c r="AI233" s="313"/>
      <c r="AJ233" s="21"/>
      <c r="AK233" s="21"/>
      <c r="AL233" s="21"/>
      <c r="AM233" s="21"/>
      <c r="AN233" s="21"/>
      <c r="AO233" s="21"/>
    </row>
    <row r="234" spans="1:41" s="53" customFormat="1" ht="13.5" thickBot="1" x14ac:dyDescent="0.25">
      <c r="A234" s="48"/>
      <c r="B234" s="606"/>
      <c r="C234" s="607"/>
      <c r="D234" s="607"/>
      <c r="E234" s="607"/>
      <c r="F234" s="608"/>
      <c r="G234" s="609"/>
      <c r="H234" s="610"/>
      <c r="I234" s="611"/>
      <c r="J234" s="612"/>
      <c r="K234" s="612"/>
      <c r="L234" s="608"/>
      <c r="M234" s="613"/>
      <c r="N234" s="614"/>
      <c r="O234" s="615"/>
      <c r="P234" s="615"/>
      <c r="Q234" s="615"/>
      <c r="R234" s="616"/>
      <c r="S234" s="617"/>
      <c r="T234" s="13"/>
      <c r="V234" s="429"/>
      <c r="W234" s="426"/>
      <c r="X234" s="382"/>
      <c r="Y234" s="442"/>
      <c r="Z234" s="476">
        <f>+AB77+AB76+AB41+AB31+AB27+AB24+AB21+AB19+AB15+AB13+AB10+AB12</f>
        <v>5</v>
      </c>
      <c r="AA234" s="472">
        <f>+AA77+AA76+AA41+AA31+AA27+AA24+AA21+AA19+AA15+AA13+AA12+AA10</f>
        <v>1592032.7999999998</v>
      </c>
      <c r="AB234" s="646"/>
      <c r="AC234" s="474" t="s">
        <v>1271</v>
      </c>
      <c r="AD234" s="443"/>
      <c r="AE234" s="439"/>
      <c r="AF234" s="439"/>
      <c r="AG234" s="291"/>
      <c r="AH234" s="270"/>
      <c r="AI234" s="313"/>
      <c r="AJ234" s="21"/>
      <c r="AK234" s="21"/>
      <c r="AL234" s="21"/>
      <c r="AM234" s="21"/>
      <c r="AN234" s="21"/>
      <c r="AO234" s="21"/>
    </row>
    <row r="235" spans="1:41" s="53" customFormat="1" ht="13.5" thickBot="1" x14ac:dyDescent="0.25">
      <c r="A235" s="48"/>
      <c r="B235" s="305"/>
      <c r="C235" s="233"/>
      <c r="D235" s="233"/>
      <c r="E235" s="113"/>
      <c r="F235" s="48"/>
      <c r="G235" s="49"/>
      <c r="H235" s="256"/>
      <c r="I235" s="133" t="s">
        <v>37</v>
      </c>
      <c r="J235" s="117"/>
      <c r="K235" s="133" t="s">
        <v>37</v>
      </c>
      <c r="L235" s="8" t="s">
        <v>75</v>
      </c>
      <c r="M235" s="410">
        <v>20129026.98</v>
      </c>
      <c r="N235" s="326">
        <f>+N233</f>
        <v>706796.34000000008</v>
      </c>
      <c r="O235" s="201"/>
      <c r="P235" s="279"/>
      <c r="Q235" s="201"/>
      <c r="R235" s="326">
        <v>27364079.710000001</v>
      </c>
      <c r="S235" s="201">
        <f>SUM(R6:R208)+SUM(Q246:Q247)-R236+Q1</f>
        <v>25715357.389999993</v>
      </c>
      <c r="T235" s="13"/>
      <c r="V235" s="351"/>
      <c r="W235" s="351"/>
      <c r="X235" s="351"/>
      <c r="Y235" s="352"/>
      <c r="Z235" s="477">
        <f>+AB38</f>
        <v>0</v>
      </c>
      <c r="AA235" s="478">
        <f>+AA38</f>
        <v>0</v>
      </c>
      <c r="AB235" s="646"/>
      <c r="AC235" s="474" t="s">
        <v>1272</v>
      </c>
      <c r="AD235" s="351"/>
      <c r="AE235" s="351"/>
      <c r="AF235" s="351"/>
      <c r="AG235" s="351"/>
      <c r="AH235" s="270"/>
      <c r="AI235" s="313"/>
      <c r="AJ235" s="21"/>
      <c r="AK235" s="21"/>
      <c r="AL235" s="21"/>
      <c r="AM235" s="21"/>
      <c r="AN235" s="21"/>
      <c r="AO235" s="21"/>
    </row>
    <row r="236" spans="1:41" s="53" customFormat="1" ht="13.5" thickTop="1" x14ac:dyDescent="0.2">
      <c r="A236" s="48"/>
      <c r="B236" s="305"/>
      <c r="C236" s="233"/>
      <c r="D236" s="233"/>
      <c r="E236" s="113"/>
      <c r="F236" s="48"/>
      <c r="G236" s="49"/>
      <c r="H236" s="256"/>
      <c r="I236" s="133" t="s">
        <v>404</v>
      </c>
      <c r="J236" s="117"/>
      <c r="K236" s="133" t="s">
        <v>74</v>
      </c>
      <c r="L236" s="8" t="s">
        <v>75</v>
      </c>
      <c r="M236" s="410">
        <v>11021744.84</v>
      </c>
      <c r="N236" s="326"/>
      <c r="O236" s="201"/>
      <c r="P236" s="279"/>
      <c r="Q236" s="201"/>
      <c r="R236" s="326">
        <v>7522946.3200000003</v>
      </c>
      <c r="S236" s="285"/>
      <c r="T236" s="13"/>
      <c r="V236" s="348"/>
      <c r="W236" s="348"/>
      <c r="X236" s="348"/>
      <c r="Y236" s="348"/>
      <c r="Z236" s="479" t="e">
        <f>+SUM(Z232:Z235)</f>
        <v>#REF!</v>
      </c>
      <c r="AA236" s="480" t="e">
        <f>SUM(AA232:AA235)</f>
        <v>#REF!</v>
      </c>
      <c r="AB236" s="646"/>
      <c r="AC236" s="472"/>
      <c r="AD236" s="348"/>
      <c r="AE236" s="348"/>
      <c r="AF236" s="348"/>
      <c r="AG236" s="348"/>
      <c r="AH236" s="346"/>
      <c r="AI236" s="363"/>
      <c r="AJ236" s="21"/>
      <c r="AK236" s="21"/>
      <c r="AL236" s="21"/>
      <c r="AM236" s="21"/>
      <c r="AN236" s="21"/>
      <c r="AO236" s="21"/>
    </row>
    <row r="237" spans="1:41" s="53" customFormat="1" x14ac:dyDescent="0.2">
      <c r="A237" s="48"/>
      <c r="B237" s="306"/>
      <c r="C237" s="233"/>
      <c r="D237" s="233"/>
      <c r="E237" s="113"/>
      <c r="F237" s="48"/>
      <c r="G237" s="49"/>
      <c r="H237" s="256"/>
      <c r="I237" s="133" t="s">
        <v>74</v>
      </c>
      <c r="J237" s="117"/>
      <c r="K237" s="133" t="s">
        <v>38</v>
      </c>
      <c r="L237" s="8" t="s">
        <v>75</v>
      </c>
      <c r="M237" s="410">
        <v>4130989.64</v>
      </c>
      <c r="N237" s="201"/>
      <c r="O237" s="201"/>
      <c r="P237" s="279"/>
      <c r="Q237" s="332">
        <f>72*360</f>
        <v>25920</v>
      </c>
      <c r="R237" s="326">
        <v>5857317.5899999999</v>
      </c>
      <c r="S237" s="201" t="e">
        <f>SUM(#REF!)</f>
        <v>#REF!</v>
      </c>
      <c r="T237" s="13"/>
      <c r="U237" s="369"/>
      <c r="V237" s="370"/>
      <c r="W237" s="375"/>
      <c r="X237" s="375"/>
      <c r="Y237" s="375"/>
      <c r="Z237" s="376"/>
      <c r="AA237" s="371"/>
      <c r="AB237" s="673"/>
      <c r="AC237" s="371"/>
      <c r="AD237" s="372"/>
      <c r="AE237" s="371"/>
      <c r="AF237" s="371"/>
      <c r="AG237" s="270"/>
      <c r="AH237" s="272"/>
      <c r="AI237" s="313"/>
      <c r="AJ237" s="21"/>
      <c r="AK237" s="21"/>
      <c r="AL237" s="21"/>
      <c r="AM237" s="21"/>
      <c r="AN237" s="21"/>
      <c r="AO237" s="21"/>
    </row>
    <row r="238" spans="1:41" s="53" customFormat="1" x14ac:dyDescent="0.2">
      <c r="A238" s="48"/>
      <c r="B238" s="306"/>
      <c r="C238" s="233"/>
      <c r="D238" s="233"/>
      <c r="E238" s="113"/>
      <c r="F238" s="48"/>
      <c r="G238" s="49"/>
      <c r="H238" s="256"/>
      <c r="I238" s="133" t="s">
        <v>38</v>
      </c>
      <c r="J238" s="117"/>
      <c r="K238" s="117"/>
      <c r="L238" s="8"/>
      <c r="M238" s="326"/>
      <c r="N238" s="326"/>
      <c r="O238" s="326"/>
      <c r="P238" s="327"/>
      <c r="Q238" s="327"/>
      <c r="R238" s="400">
        <v>8200735.7800000003</v>
      </c>
      <c r="S238" s="401"/>
      <c r="T238" s="380"/>
      <c r="U238" s="369"/>
      <c r="V238" s="370"/>
      <c r="W238" s="375"/>
      <c r="X238" s="375"/>
      <c r="Y238" s="375"/>
      <c r="Z238" s="376"/>
      <c r="AA238" s="371"/>
      <c r="AB238" s="673"/>
      <c r="AC238" s="371"/>
      <c r="AD238" s="372"/>
      <c r="AE238" s="371"/>
      <c r="AF238" s="371"/>
      <c r="AG238" s="270"/>
      <c r="AH238" s="272"/>
      <c r="AI238" s="313"/>
      <c r="AJ238" s="21"/>
      <c r="AK238" s="21"/>
      <c r="AL238" s="21"/>
      <c r="AM238" s="21"/>
      <c r="AN238" s="21"/>
      <c r="AO238" s="21"/>
    </row>
    <row r="239" spans="1:41" s="53" customFormat="1" x14ac:dyDescent="0.2">
      <c r="A239" s="48"/>
      <c r="B239" s="306"/>
      <c r="C239" s="233"/>
      <c r="D239" s="233"/>
      <c r="E239" s="113"/>
      <c r="F239" s="48"/>
      <c r="G239" s="49"/>
      <c r="H239" s="256"/>
      <c r="I239" s="133" t="s">
        <v>405</v>
      </c>
      <c r="J239" s="117"/>
      <c r="K239" s="117"/>
      <c r="L239" s="8"/>
      <c r="M239" s="258">
        <v>0</v>
      </c>
      <c r="N239" s="258"/>
      <c r="O239" s="258"/>
      <c r="P239" s="280"/>
      <c r="Q239" s="280"/>
      <c r="R239" s="400">
        <v>604</v>
      </c>
      <c r="S239" s="401"/>
      <c r="T239" s="13"/>
      <c r="U239" s="320"/>
      <c r="V239" s="354"/>
      <c r="W239" s="355"/>
      <c r="X239" s="355"/>
      <c r="Y239" s="355"/>
      <c r="Z239" s="356"/>
      <c r="AA239" s="328"/>
      <c r="AB239" s="673"/>
      <c r="AC239" s="328"/>
      <c r="AD239" s="333"/>
      <c r="AE239" s="328"/>
      <c r="AF239" s="328"/>
      <c r="AG239" s="346"/>
      <c r="AH239" s="347"/>
      <c r="AI239" s="363"/>
      <c r="AJ239" s="21"/>
      <c r="AK239" s="21"/>
      <c r="AL239" s="21"/>
      <c r="AM239" s="21"/>
      <c r="AN239" s="21"/>
      <c r="AO239" s="21"/>
    </row>
    <row r="240" spans="1:41" s="53" customFormat="1" x14ac:dyDescent="0.2">
      <c r="A240" s="48"/>
      <c r="B240" s="306"/>
      <c r="C240" s="233"/>
      <c r="D240" s="233"/>
      <c r="E240" s="113"/>
      <c r="F240" s="48"/>
      <c r="G240" s="51"/>
      <c r="H240" s="257"/>
      <c r="I240" s="133" t="s">
        <v>39</v>
      </c>
      <c r="J240" s="117"/>
      <c r="K240" s="117"/>
      <c r="L240" s="8"/>
      <c r="M240" s="204">
        <f>SUM(M235:M239)</f>
        <v>35281761.460000001</v>
      </c>
      <c r="N240" s="204">
        <f>SUM(N235:N239)</f>
        <v>706796.34000000008</v>
      </c>
      <c r="O240" s="204"/>
      <c r="P240" s="204"/>
      <c r="Q240" s="204">
        <f>+Q233-Q235</f>
        <v>0</v>
      </c>
      <c r="R240" s="402">
        <f>+SUM(R235:R239)</f>
        <v>48945683.400000006</v>
      </c>
      <c r="S240" s="285"/>
      <c r="T240" s="13"/>
      <c r="U240" s="369"/>
      <c r="V240" s="370"/>
      <c r="W240" s="375"/>
      <c r="X240" s="375"/>
      <c r="Y240" s="375"/>
      <c r="Z240" s="376"/>
      <c r="AA240" s="371"/>
      <c r="AB240" s="673"/>
      <c r="AC240" s="371"/>
      <c r="AD240" s="372"/>
      <c r="AE240" s="371"/>
      <c r="AF240" s="371"/>
      <c r="AG240" s="270"/>
      <c r="AH240" s="272"/>
      <c r="AI240" s="313"/>
      <c r="AJ240" s="21"/>
      <c r="AK240" s="21"/>
      <c r="AL240" s="21"/>
      <c r="AM240" s="21"/>
      <c r="AN240" s="21"/>
      <c r="AO240" s="21"/>
    </row>
    <row r="241" spans="1:41" s="53" customFormat="1" x14ac:dyDescent="0.2">
      <c r="A241" s="48"/>
      <c r="B241" s="306"/>
      <c r="C241" s="233"/>
      <c r="D241" s="233"/>
      <c r="E241" s="113"/>
      <c r="F241" s="48"/>
      <c r="G241" s="49"/>
      <c r="H241" s="256"/>
      <c r="I241" s="116"/>
      <c r="J241" s="117"/>
      <c r="K241" s="117"/>
      <c r="L241" s="8"/>
      <c r="M241" s="403"/>
      <c r="N241" s="201"/>
      <c r="O241" s="202"/>
      <c r="P241" s="200"/>
      <c r="Q241" s="200"/>
      <c r="R241" s="52"/>
      <c r="S241" s="285"/>
      <c r="T241" s="13"/>
      <c r="U241" s="369"/>
      <c r="V241" s="370"/>
      <c r="W241" s="375"/>
      <c r="X241" s="375"/>
      <c r="Y241" s="375"/>
      <c r="Z241" s="376"/>
      <c r="AA241" s="371"/>
      <c r="AB241" s="673"/>
      <c r="AC241" s="371"/>
      <c r="AD241" s="372"/>
      <c r="AE241" s="371"/>
      <c r="AF241" s="371"/>
      <c r="AG241" s="270"/>
      <c r="AH241" s="272"/>
      <c r="AI241" s="313"/>
      <c r="AJ241" s="21"/>
      <c r="AK241" s="21"/>
      <c r="AL241" s="21"/>
      <c r="AM241" s="21"/>
      <c r="AN241" s="21"/>
      <c r="AO241" s="21"/>
    </row>
    <row r="242" spans="1:41" s="53" customFormat="1" x14ac:dyDescent="0.2">
      <c r="A242" s="48"/>
      <c r="B242" s="306"/>
      <c r="C242" s="233"/>
      <c r="D242" s="233"/>
      <c r="E242" s="113"/>
      <c r="F242" s="48"/>
      <c r="G242" s="49"/>
      <c r="H242" s="256"/>
      <c r="I242" s="116"/>
      <c r="J242" s="117"/>
      <c r="K242" s="117"/>
      <c r="L242" s="8" t="s">
        <v>40</v>
      </c>
      <c r="M242" s="404">
        <f>+M233-M240</f>
        <v>0</v>
      </c>
      <c r="N242" s="404"/>
      <c r="O242" s="202"/>
      <c r="P242" s="200"/>
      <c r="Q242" s="200"/>
      <c r="R242" s="52"/>
      <c r="S242" s="285"/>
      <c r="T242" s="13"/>
      <c r="U242" s="369"/>
      <c r="V242" s="370"/>
      <c r="W242" s="375"/>
      <c r="X242" s="375"/>
      <c r="Y242" s="375"/>
      <c r="Z242" s="376"/>
      <c r="AA242" s="371"/>
      <c r="AB242" s="673"/>
      <c r="AC242" s="371"/>
      <c r="AD242" s="372"/>
      <c r="AE242" s="371"/>
      <c r="AF242" s="371"/>
      <c r="AG242" s="270"/>
      <c r="AH242" s="272"/>
      <c r="AI242" s="313"/>
      <c r="AJ242" s="21"/>
      <c r="AK242" s="21"/>
      <c r="AL242" s="21"/>
      <c r="AM242" s="21"/>
      <c r="AN242" s="21"/>
      <c r="AO242" s="21"/>
    </row>
    <row r="243" spans="1:41" s="53" customFormat="1" x14ac:dyDescent="0.2">
      <c r="A243" s="48"/>
      <c r="B243" s="369"/>
      <c r="C243" s="375"/>
      <c r="D243" s="374"/>
      <c r="E243" s="374"/>
      <c r="F243" s="374"/>
      <c r="G243" s="414"/>
      <c r="H243" s="415"/>
      <c r="I243" s="374"/>
      <c r="J243" s="374"/>
      <c r="K243" s="374"/>
      <c r="L243" s="374"/>
      <c r="M243" s="396"/>
      <c r="N243" s="396"/>
      <c r="O243" s="396"/>
      <c r="P243" s="396"/>
      <c r="Q243" s="401"/>
      <c r="R243" s="405"/>
      <c r="S243" s="406"/>
      <c r="T243" s="13"/>
      <c r="U243" s="369"/>
      <c r="V243" s="370"/>
      <c r="W243" s="375"/>
      <c r="X243" s="375"/>
      <c r="Y243" s="375"/>
      <c r="Z243" s="376"/>
      <c r="AA243" s="371"/>
      <c r="AB243" s="673"/>
      <c r="AC243" s="371"/>
      <c r="AD243" s="372"/>
      <c r="AE243" s="371"/>
      <c r="AF243" s="371"/>
      <c r="AG243" s="270"/>
      <c r="AH243" s="272"/>
      <c r="AI243" s="313"/>
      <c r="AJ243" s="21"/>
      <c r="AK243" s="21"/>
      <c r="AL243" s="21"/>
      <c r="AM243" s="21"/>
      <c r="AN243" s="21"/>
      <c r="AO243" s="21"/>
    </row>
    <row r="244" spans="1:41" s="53" customFormat="1" x14ac:dyDescent="0.2">
      <c r="A244" s="48"/>
      <c r="B244" s="369"/>
      <c r="C244" s="375"/>
      <c r="D244" s="374"/>
      <c r="E244" s="374"/>
      <c r="F244" s="374"/>
      <c r="G244" s="414"/>
      <c r="H244" s="318"/>
      <c r="I244" s="374"/>
      <c r="J244" s="374"/>
      <c r="K244" s="374"/>
      <c r="L244" s="374"/>
      <c r="M244" s="396"/>
      <c r="N244" s="396"/>
      <c r="O244" s="396"/>
      <c r="P244" s="396"/>
      <c r="Q244" s="97"/>
      <c r="R244" s="407"/>
      <c r="S244" s="94"/>
      <c r="T244" s="13"/>
      <c r="U244" s="320"/>
      <c r="V244" s="354"/>
      <c r="W244" s="355"/>
      <c r="X244" s="355"/>
      <c r="Y244" s="355"/>
      <c r="Z244" s="356"/>
      <c r="AA244" s="328"/>
      <c r="AB244" s="673"/>
      <c r="AC244" s="328"/>
      <c r="AD244" s="333"/>
      <c r="AE244" s="328"/>
      <c r="AF244" s="328"/>
      <c r="AG244" s="346"/>
      <c r="AH244" s="272"/>
      <c r="AI244" s="313"/>
      <c r="AJ244" s="21"/>
      <c r="AK244" s="21"/>
      <c r="AL244" s="21"/>
      <c r="AM244" s="21"/>
      <c r="AN244" s="21"/>
      <c r="AO244" s="21"/>
    </row>
    <row r="245" spans="1:41" s="53" customFormat="1" x14ac:dyDescent="0.2">
      <c r="A245" s="48"/>
      <c r="B245" s="369"/>
      <c r="C245" s="375"/>
      <c r="D245" s="374"/>
      <c r="E245" s="374"/>
      <c r="F245" s="374"/>
      <c r="G245" s="414"/>
      <c r="H245" s="318"/>
      <c r="I245" s="374"/>
      <c r="J245" s="374"/>
      <c r="K245" s="374"/>
      <c r="L245" s="297"/>
      <c r="M245" s="396"/>
      <c r="N245" s="396"/>
      <c r="O245" s="396"/>
      <c r="P245" s="396"/>
      <c r="Q245" s="21"/>
      <c r="R245" s="408"/>
      <c r="S245" s="94"/>
      <c r="T245" s="13"/>
      <c r="U245" s="320"/>
      <c r="V245" s="354"/>
      <c r="W245" s="355"/>
      <c r="X245" s="355"/>
      <c r="Y245" s="355"/>
      <c r="Z245" s="356"/>
      <c r="AA245" s="328"/>
      <c r="AB245" s="673"/>
      <c r="AC245" s="328"/>
      <c r="AD245" s="333"/>
      <c r="AE245" s="328"/>
      <c r="AF245" s="328"/>
      <c r="AG245" s="346"/>
      <c r="AH245" s="347"/>
      <c r="AI245" s="363"/>
      <c r="AJ245" s="21"/>
      <c r="AK245" s="21"/>
      <c r="AL245" s="21"/>
      <c r="AM245" s="21"/>
      <c r="AN245" s="21"/>
      <c r="AO245" s="21"/>
    </row>
    <row r="246" spans="1:41" s="53" customFormat="1" x14ac:dyDescent="0.2">
      <c r="A246" s="48"/>
      <c r="B246" s="369"/>
      <c r="C246" s="375"/>
      <c r="D246" s="374"/>
      <c r="E246" s="374"/>
      <c r="F246" s="374"/>
      <c r="G246" s="414"/>
      <c r="H246" s="415"/>
      <c r="I246" s="291"/>
      <c r="J246" s="291"/>
      <c r="K246" s="374"/>
      <c r="L246" s="416"/>
      <c r="M246" s="403"/>
      <c r="N246" s="396"/>
      <c r="O246" s="396"/>
      <c r="P246" s="409"/>
      <c r="Q246" s="50"/>
      <c r="R246" s="407"/>
      <c r="S246" s="97"/>
      <c r="T246" s="13"/>
      <c r="U246" s="369"/>
      <c r="V246" s="370"/>
      <c r="W246" s="375"/>
      <c r="X246" s="375"/>
      <c r="Y246" s="375"/>
      <c r="Z246" s="376"/>
      <c r="AA246" s="371"/>
      <c r="AB246" s="673"/>
      <c r="AC246" s="371"/>
      <c r="AD246" s="372"/>
      <c r="AE246" s="371"/>
      <c r="AF246" s="371"/>
      <c r="AG246" s="270"/>
      <c r="AH246" s="347"/>
      <c r="AI246" s="363"/>
      <c r="AJ246" s="21"/>
      <c r="AK246" s="21"/>
      <c r="AL246" s="21"/>
      <c r="AM246" s="21"/>
      <c r="AN246" s="21"/>
      <c r="AO246" s="21"/>
    </row>
    <row r="247" spans="1:41" s="53" customFormat="1" x14ac:dyDescent="0.2">
      <c r="A247" s="48"/>
      <c r="B247" s="369"/>
      <c r="C247" s="375"/>
      <c r="D247" s="374"/>
      <c r="E247" s="374"/>
      <c r="F247" s="374"/>
      <c r="G247" s="414"/>
      <c r="H247" s="415"/>
      <c r="I247" s="291"/>
      <c r="J247" s="291"/>
      <c r="K247" s="374"/>
      <c r="L247" s="377"/>
      <c r="M247" s="416"/>
      <c r="N247" s="270"/>
      <c r="O247" s="270"/>
      <c r="P247" s="296"/>
      <c r="Q247" s="78"/>
      <c r="S247" s="319"/>
      <c r="T247" s="13"/>
      <c r="U247" s="369"/>
      <c r="V247" s="370"/>
      <c r="W247" s="375"/>
      <c r="X247" s="375"/>
      <c r="Y247" s="375"/>
      <c r="Z247" s="376"/>
      <c r="AA247" s="371"/>
      <c r="AB247" s="673"/>
      <c r="AC247" s="371"/>
      <c r="AD247" s="372"/>
      <c r="AE247" s="371"/>
      <c r="AF247" s="371"/>
      <c r="AG247" s="270"/>
      <c r="AH247" s="272"/>
      <c r="AI247" s="313"/>
      <c r="AJ247" s="21"/>
      <c r="AK247" s="21"/>
      <c r="AL247" s="21"/>
      <c r="AM247" s="21"/>
      <c r="AN247" s="21"/>
      <c r="AO247" s="21"/>
    </row>
    <row r="248" spans="1:41" s="53" customFormat="1" ht="14.25" x14ac:dyDescent="0.2">
      <c r="A248" s="48"/>
      <c r="B248" s="369"/>
      <c r="C248" s="375"/>
      <c r="D248" s="374"/>
      <c r="E248" s="374"/>
      <c r="F248" s="374"/>
      <c r="G248" s="414"/>
      <c r="H248" s="415"/>
      <c r="I248" s="291"/>
      <c r="J248" s="291"/>
      <c r="K248" s="374"/>
      <c r="L248" s="291"/>
      <c r="M248" s="291"/>
      <c r="N248" s="270"/>
      <c r="O248" s="270"/>
      <c r="P248" s="387"/>
      <c r="Q248" s="417"/>
      <c r="T248" s="13"/>
      <c r="U248" s="369"/>
      <c r="V248" s="370"/>
      <c r="W248" s="375"/>
      <c r="X248" s="375"/>
      <c r="Y248" s="375"/>
      <c r="Z248" s="376"/>
      <c r="AA248" s="371"/>
      <c r="AB248" s="673"/>
      <c r="AC248" s="371"/>
      <c r="AD248" s="372"/>
      <c r="AE248" s="371"/>
      <c r="AF248" s="371"/>
      <c r="AG248" s="270"/>
      <c r="AH248" s="272"/>
      <c r="AI248" s="313"/>
      <c r="AJ248" s="21"/>
      <c r="AK248" s="21"/>
      <c r="AL248" s="21"/>
      <c r="AM248" s="21"/>
      <c r="AN248" s="21"/>
      <c r="AO248" s="21"/>
    </row>
    <row r="249" spans="1:41" s="53" customFormat="1" ht="14.25" x14ac:dyDescent="0.2">
      <c r="A249" s="48"/>
      <c r="B249" s="369"/>
      <c r="C249" s="375"/>
      <c r="D249" s="374"/>
      <c r="E249" s="374"/>
      <c r="F249" s="374"/>
      <c r="G249" s="414"/>
      <c r="H249" s="415"/>
      <c r="I249" s="291"/>
      <c r="J249" s="291"/>
      <c r="L249" s="374"/>
      <c r="M249" s="296"/>
      <c r="N249" s="316"/>
      <c r="O249" s="367"/>
      <c r="P249" s="387"/>
      <c r="Q249" s="417"/>
      <c r="T249" s="13"/>
      <c r="U249" s="369"/>
      <c r="V249" s="370"/>
      <c r="W249" s="375"/>
      <c r="X249" s="375"/>
      <c r="Y249" s="375"/>
      <c r="Z249" s="376"/>
      <c r="AA249" s="371"/>
      <c r="AB249" s="673"/>
      <c r="AC249" s="371"/>
      <c r="AD249" s="372"/>
      <c r="AE249" s="371"/>
      <c r="AF249" s="371"/>
      <c r="AG249" s="270"/>
      <c r="AH249" s="347"/>
      <c r="AI249" s="363"/>
      <c r="AJ249" s="21"/>
      <c r="AK249" s="21"/>
      <c r="AL249" s="21"/>
      <c r="AM249" s="21"/>
      <c r="AN249" s="21"/>
      <c r="AO249" s="21"/>
    </row>
    <row r="250" spans="1:41" s="53" customFormat="1" ht="14.25" x14ac:dyDescent="0.2">
      <c r="A250" s="48"/>
      <c r="B250" s="369"/>
      <c r="C250" s="375"/>
      <c r="D250" s="374"/>
      <c r="E250" s="374"/>
      <c r="F250" s="374"/>
      <c r="G250" s="414"/>
      <c r="H250" s="415"/>
      <c r="I250" s="291"/>
      <c r="J250" s="291"/>
      <c r="L250" s="384"/>
      <c r="M250" s="296"/>
      <c r="N250" s="316"/>
      <c r="O250" s="270"/>
      <c r="P250" s="387"/>
      <c r="Q250" s="417"/>
      <c r="T250" s="13"/>
      <c r="U250" s="369"/>
      <c r="V250" s="370"/>
      <c r="W250" s="375"/>
      <c r="X250" s="375"/>
      <c r="Y250" s="375"/>
      <c r="Z250" s="376"/>
      <c r="AA250" s="371"/>
      <c r="AB250" s="673"/>
      <c r="AC250" s="371"/>
      <c r="AD250" s="372"/>
      <c r="AE250" s="371"/>
      <c r="AF250" s="371"/>
      <c r="AG250" s="270"/>
      <c r="AH250" s="272"/>
      <c r="AI250" s="313"/>
      <c r="AJ250" s="21"/>
      <c r="AK250" s="21"/>
      <c r="AL250" s="21"/>
      <c r="AM250" s="21"/>
      <c r="AN250" s="21"/>
      <c r="AO250" s="21"/>
    </row>
    <row r="251" spans="1:41" s="53" customFormat="1" ht="14.25" x14ac:dyDescent="0.2">
      <c r="A251" s="48"/>
      <c r="B251" s="369"/>
      <c r="C251" s="375"/>
      <c r="D251" s="374"/>
      <c r="E251" s="374"/>
      <c r="F251" s="374"/>
      <c r="G251" s="414"/>
      <c r="H251" s="415"/>
      <c r="I251" s="291"/>
      <c r="J251" s="291"/>
      <c r="L251" s="374"/>
      <c r="M251" s="296"/>
      <c r="N251" s="316"/>
      <c r="O251" s="270"/>
      <c r="P251" s="387"/>
      <c r="Q251" s="417"/>
      <c r="T251" s="13"/>
      <c r="U251" s="369"/>
      <c r="V251" s="370"/>
      <c r="W251" s="375"/>
      <c r="X251" s="375"/>
      <c r="Y251" s="375"/>
      <c r="Z251" s="376"/>
      <c r="AA251" s="371"/>
      <c r="AB251" s="673"/>
      <c r="AC251" s="371"/>
      <c r="AD251" s="372"/>
      <c r="AE251" s="371"/>
      <c r="AF251" s="371"/>
      <c r="AG251" s="270"/>
      <c r="AH251" s="347"/>
      <c r="AI251" s="363"/>
      <c r="AJ251" s="21"/>
      <c r="AK251" s="21"/>
      <c r="AL251" s="21"/>
      <c r="AM251" s="21"/>
      <c r="AN251" s="21"/>
      <c r="AO251" s="21"/>
    </row>
    <row r="252" spans="1:41" s="53" customFormat="1" ht="14.25" x14ac:dyDescent="0.2">
      <c r="A252" s="48"/>
      <c r="B252" s="369"/>
      <c r="C252" s="375"/>
      <c r="D252" s="374"/>
      <c r="E252" s="374"/>
      <c r="F252" s="374"/>
      <c r="G252" s="414"/>
      <c r="H252" s="415"/>
      <c r="I252" s="291"/>
      <c r="J252" s="291"/>
      <c r="L252" s="374"/>
      <c r="M252" s="296"/>
      <c r="N252" s="316"/>
      <c r="O252" s="270"/>
      <c r="P252" s="387"/>
      <c r="Q252" s="417"/>
      <c r="T252" s="13"/>
      <c r="U252" s="369"/>
      <c r="V252" s="370"/>
      <c r="W252" s="375"/>
      <c r="X252" s="375"/>
      <c r="Y252" s="375"/>
      <c r="Z252" s="376"/>
      <c r="AA252" s="371"/>
      <c r="AB252" s="673"/>
      <c r="AC252" s="371"/>
      <c r="AD252" s="372"/>
      <c r="AE252" s="371"/>
      <c r="AF252" s="371"/>
      <c r="AG252" s="270"/>
      <c r="AH252" s="347"/>
      <c r="AI252" s="363"/>
      <c r="AJ252" s="21"/>
      <c r="AK252" s="21"/>
      <c r="AL252" s="21"/>
      <c r="AM252" s="21"/>
      <c r="AN252" s="21"/>
      <c r="AO252" s="21"/>
    </row>
    <row r="253" spans="1:41" s="53" customFormat="1" ht="14.25" x14ac:dyDescent="0.2">
      <c r="A253" s="48"/>
      <c r="B253" s="369"/>
      <c r="C253" s="375"/>
      <c r="D253" s="374"/>
      <c r="E253" s="374"/>
      <c r="F253" s="374"/>
      <c r="G253" s="414"/>
      <c r="H253" s="415"/>
      <c r="I253" s="78"/>
      <c r="J253" s="291"/>
      <c r="L253" s="374"/>
      <c r="M253" s="296"/>
      <c r="N253" s="316"/>
      <c r="O253" s="270"/>
      <c r="P253" s="418"/>
      <c r="Q253" s="417"/>
      <c r="T253" s="13"/>
      <c r="U253" s="366"/>
      <c r="V253" s="354"/>
      <c r="W253" s="355"/>
      <c r="X253" s="355"/>
      <c r="Y253" s="355"/>
      <c r="Z253" s="356"/>
      <c r="AA253" s="328"/>
      <c r="AB253" s="673"/>
      <c r="AC253" s="328"/>
      <c r="AD253" s="333"/>
      <c r="AE253" s="328"/>
      <c r="AF253" s="328"/>
      <c r="AG253" s="346"/>
      <c r="AH253" s="347"/>
      <c r="AI253" s="363"/>
      <c r="AJ253" s="21"/>
      <c r="AK253" s="21"/>
      <c r="AL253" s="21"/>
      <c r="AM253" s="21"/>
      <c r="AN253" s="21"/>
      <c r="AO253" s="21"/>
    </row>
    <row r="254" spans="1:41" s="53" customFormat="1" ht="14.25" x14ac:dyDescent="0.2">
      <c r="A254" s="48"/>
      <c r="B254" s="369"/>
      <c r="C254" s="375"/>
      <c r="D254" s="374"/>
      <c r="E254" s="374"/>
      <c r="F254" s="374"/>
      <c r="G254" s="414"/>
      <c r="H254" s="415"/>
      <c r="I254" s="78"/>
      <c r="J254" s="291"/>
      <c r="L254" s="374"/>
      <c r="M254" s="296"/>
      <c r="N254" s="316"/>
      <c r="O254" s="270"/>
      <c r="P254" s="387"/>
      <c r="Q254" s="417"/>
      <c r="T254" s="13"/>
      <c r="U254" s="320"/>
      <c r="V254" s="354"/>
      <c r="W254" s="355"/>
      <c r="X254" s="355"/>
      <c r="Y254" s="355"/>
      <c r="Z254" s="356"/>
      <c r="AA254" s="328"/>
      <c r="AB254" s="673"/>
      <c r="AC254" s="328"/>
      <c r="AD254" s="333"/>
      <c r="AE254" s="328"/>
      <c r="AF254" s="328"/>
      <c r="AG254" s="346"/>
      <c r="AH254" s="272"/>
      <c r="AI254" s="313"/>
      <c r="AJ254" s="21"/>
      <c r="AK254" s="21"/>
      <c r="AL254" s="21"/>
      <c r="AM254" s="21"/>
      <c r="AN254" s="21"/>
      <c r="AO254" s="21"/>
    </row>
    <row r="255" spans="1:41" s="53" customFormat="1" ht="14.25" x14ac:dyDescent="0.2">
      <c r="A255" s="48"/>
      <c r="B255" s="369"/>
      <c r="C255" s="375"/>
      <c r="D255" s="374"/>
      <c r="E255" s="374"/>
      <c r="F255" s="374"/>
      <c r="G255" s="414"/>
      <c r="H255" s="415"/>
      <c r="I255" s="78"/>
      <c r="J255" s="291"/>
      <c r="L255" s="374"/>
      <c r="M255" s="296"/>
      <c r="N255" s="316"/>
      <c r="O255" s="270"/>
      <c r="P255" s="387"/>
      <c r="Q255" s="417"/>
      <c r="T255" s="13"/>
      <c r="U255" s="320"/>
      <c r="V255" s="354"/>
      <c r="W255" s="355"/>
      <c r="X255" s="355"/>
      <c r="Y255" s="355"/>
      <c r="Z255" s="356"/>
      <c r="AA255" s="328"/>
      <c r="AB255" s="673"/>
      <c r="AC255" s="328"/>
      <c r="AD255" s="333"/>
      <c r="AE255" s="328"/>
      <c r="AF255" s="328"/>
      <c r="AG255" s="346"/>
      <c r="AH255" s="347"/>
      <c r="AI255" s="363"/>
      <c r="AJ255" s="21"/>
      <c r="AK255" s="21"/>
      <c r="AL255" s="21"/>
      <c r="AM255" s="21"/>
      <c r="AN255" s="21"/>
      <c r="AO255" s="21"/>
    </row>
    <row r="256" spans="1:41" s="53" customFormat="1" ht="14.25" x14ac:dyDescent="0.2">
      <c r="A256" s="48"/>
      <c r="B256" s="369"/>
      <c r="C256" s="375"/>
      <c r="D256" s="374"/>
      <c r="E256" s="374"/>
      <c r="F256" s="374"/>
      <c r="G256" s="414"/>
      <c r="H256" s="415"/>
      <c r="I256" s="78"/>
      <c r="J256" s="291"/>
      <c r="L256" s="374"/>
      <c r="M256" s="296"/>
      <c r="N256" s="316"/>
      <c r="O256" s="377"/>
      <c r="P256" s="388"/>
      <c r="Q256" s="417"/>
      <c r="T256" s="13"/>
      <c r="U256" s="366"/>
      <c r="V256" s="354"/>
      <c r="W256" s="359"/>
      <c r="X256" s="355"/>
      <c r="Y256" s="355"/>
      <c r="Z256" s="356"/>
      <c r="AA256" s="328"/>
      <c r="AB256" s="673"/>
      <c r="AC256" s="328"/>
      <c r="AD256" s="333"/>
      <c r="AE256" s="328"/>
      <c r="AF256" s="328"/>
      <c r="AG256" s="346"/>
      <c r="AH256" s="272"/>
      <c r="AI256" s="313"/>
      <c r="AJ256" s="21"/>
      <c r="AK256" s="21"/>
      <c r="AL256" s="21"/>
      <c r="AM256" s="21"/>
      <c r="AN256" s="21"/>
      <c r="AO256" s="21"/>
    </row>
    <row r="257" spans="1:41" s="53" customFormat="1" ht="14.25" x14ac:dyDescent="0.2">
      <c r="A257" s="48"/>
      <c r="B257" s="307"/>
      <c r="C257" s="375"/>
      <c r="D257" s="266"/>
      <c r="E257" s="267"/>
      <c r="F257" s="93"/>
      <c r="G257" s="268"/>
      <c r="H257" s="269"/>
      <c r="I257" s="78"/>
      <c r="J257" s="271"/>
      <c r="L257" s="382"/>
      <c r="M257" s="296"/>
      <c r="N257" s="316"/>
      <c r="O257" s="419"/>
      <c r="P257" s="387"/>
      <c r="Q257" s="417"/>
      <c r="T257" s="13"/>
      <c r="U257" s="366"/>
      <c r="V257" s="354"/>
      <c r="W257" s="355"/>
      <c r="X257" s="355"/>
      <c r="Y257" s="355"/>
      <c r="Z257" s="356"/>
      <c r="AA257" s="328"/>
      <c r="AB257" s="673"/>
      <c r="AC257" s="328"/>
      <c r="AD257" s="333"/>
      <c r="AE257" s="328"/>
      <c r="AF257" s="328"/>
      <c r="AG257" s="346"/>
      <c r="AH257" s="272"/>
      <c r="AI257" s="313"/>
      <c r="AJ257" s="21"/>
      <c r="AK257" s="21"/>
      <c r="AL257" s="21"/>
      <c r="AM257" s="21"/>
      <c r="AN257" s="21"/>
      <c r="AO257" s="21"/>
    </row>
    <row r="258" spans="1:41" s="53" customFormat="1" ht="14.25" x14ac:dyDescent="0.2">
      <c r="A258" s="48"/>
      <c r="B258" s="307"/>
      <c r="C258" s="375"/>
      <c r="D258" s="266"/>
      <c r="E258" s="267"/>
      <c r="F258" s="93"/>
      <c r="G258" s="268"/>
      <c r="H258" s="269"/>
      <c r="I258" s="78"/>
      <c r="J258" s="271"/>
      <c r="L258" s="271"/>
      <c r="M258" s="296"/>
      <c r="N258" s="316"/>
      <c r="O258" s="419"/>
      <c r="P258" s="387"/>
      <c r="Q258" s="417"/>
      <c r="T258" s="13"/>
      <c r="U258" s="320"/>
      <c r="V258" s="354"/>
      <c r="W258" s="355"/>
      <c r="X258" s="355"/>
      <c r="Y258" s="355"/>
      <c r="Z258" s="356"/>
      <c r="AA258" s="328"/>
      <c r="AB258" s="673"/>
      <c r="AC258" s="328"/>
      <c r="AD258" s="333"/>
      <c r="AE258" s="328"/>
      <c r="AF258" s="328"/>
      <c r="AG258" s="346"/>
      <c r="AH258" s="272"/>
      <c r="AI258" s="313"/>
      <c r="AJ258" s="21"/>
      <c r="AK258" s="21"/>
      <c r="AL258" s="21"/>
      <c r="AM258" s="21"/>
      <c r="AN258" s="21"/>
      <c r="AO258" s="21"/>
    </row>
    <row r="259" spans="1:41" s="53" customFormat="1" ht="14.25" x14ac:dyDescent="0.2">
      <c r="A259" s="48"/>
      <c r="B259" s="307"/>
      <c r="C259" s="375"/>
      <c r="D259" s="266"/>
      <c r="E259" s="267"/>
      <c r="F259" s="93"/>
      <c r="G259" s="268"/>
      <c r="H259" s="269"/>
      <c r="I259" s="78"/>
      <c r="J259" s="271"/>
      <c r="L259" s="271"/>
      <c r="M259" s="296"/>
      <c r="N259" s="316"/>
      <c r="O259" s="419"/>
      <c r="P259" s="387"/>
      <c r="Q259" s="417"/>
      <c r="T259" s="13"/>
      <c r="U259" s="357"/>
      <c r="V259" s="354"/>
      <c r="W259" s="355"/>
      <c r="X259" s="330"/>
      <c r="Y259" s="354"/>
      <c r="Z259" s="356"/>
      <c r="AA259" s="328"/>
      <c r="AB259" s="673"/>
      <c r="AC259" s="346"/>
      <c r="AD259" s="333"/>
      <c r="AE259" s="346"/>
      <c r="AF259" s="346"/>
      <c r="AG259" s="346"/>
      <c r="AH259" s="272"/>
      <c r="AI259" s="313"/>
      <c r="AJ259" s="21"/>
      <c r="AK259" s="21"/>
      <c r="AL259" s="21"/>
      <c r="AM259" s="21"/>
      <c r="AN259" s="21"/>
      <c r="AO259" s="21"/>
    </row>
    <row r="260" spans="1:41" s="53" customFormat="1" ht="14.25" x14ac:dyDescent="0.2">
      <c r="A260" s="48"/>
      <c r="B260" s="307"/>
      <c r="C260" s="375"/>
      <c r="D260" s="266"/>
      <c r="E260" s="267"/>
      <c r="F260" s="93"/>
      <c r="G260" s="268"/>
      <c r="H260" s="269"/>
      <c r="I260" s="78"/>
      <c r="J260" s="271"/>
      <c r="L260" s="382"/>
      <c r="M260" s="296"/>
      <c r="N260" s="316"/>
      <c r="O260" s="377"/>
      <c r="P260" s="387"/>
      <c r="Q260" s="417"/>
      <c r="T260" s="13"/>
      <c r="U260" s="370"/>
      <c r="V260" s="370"/>
      <c r="W260" s="375"/>
      <c r="X260" s="374"/>
      <c r="Y260" s="370"/>
      <c r="Z260" s="376"/>
      <c r="AA260" s="371"/>
      <c r="AB260" s="673"/>
      <c r="AC260" s="270"/>
      <c r="AD260" s="372"/>
      <c r="AE260" s="270"/>
      <c r="AF260" s="270"/>
      <c r="AG260" s="270"/>
      <c r="AH260" s="272"/>
      <c r="AI260" s="313"/>
      <c r="AJ260" s="21"/>
      <c r="AK260" s="21"/>
      <c r="AL260" s="21"/>
      <c r="AM260" s="21"/>
      <c r="AN260" s="21"/>
      <c r="AO260" s="21"/>
    </row>
    <row r="261" spans="1:41" s="53" customFormat="1" ht="14.25" x14ac:dyDescent="0.2">
      <c r="A261" s="48"/>
      <c r="B261" s="369"/>
      <c r="C261" s="375"/>
      <c r="D261" s="374"/>
      <c r="E261" s="374"/>
      <c r="F261" s="374"/>
      <c r="G261" s="414"/>
      <c r="H261" s="415"/>
      <c r="I261" s="78"/>
      <c r="J261" s="291"/>
      <c r="L261" s="271"/>
      <c r="M261" s="296"/>
      <c r="N261" s="316"/>
      <c r="O261" s="377"/>
      <c r="P261" s="388"/>
      <c r="Q261" s="417"/>
      <c r="T261" s="13"/>
      <c r="U261" s="370"/>
      <c r="V261" s="370"/>
      <c r="W261" s="375"/>
      <c r="X261" s="374"/>
      <c r="Y261" s="370"/>
      <c r="Z261" s="376"/>
      <c r="AA261" s="371"/>
      <c r="AB261" s="673"/>
      <c r="AC261" s="270"/>
      <c r="AD261" s="372"/>
      <c r="AE261" s="270"/>
      <c r="AF261" s="270"/>
      <c r="AG261" s="270"/>
      <c r="AH261" s="272"/>
      <c r="AI261" s="313"/>
      <c r="AJ261" s="21"/>
      <c r="AK261" s="21"/>
      <c r="AL261" s="21"/>
      <c r="AM261" s="21"/>
      <c r="AN261" s="21"/>
      <c r="AO261" s="21"/>
    </row>
    <row r="262" spans="1:41" s="53" customFormat="1" ht="14.25" x14ac:dyDescent="0.2">
      <c r="A262" s="48"/>
      <c r="B262" s="306"/>
      <c r="C262" s="233"/>
      <c r="D262" s="233"/>
      <c r="F262" s="13"/>
      <c r="G262" s="13"/>
      <c r="I262" s="298"/>
      <c r="J262" s="21"/>
      <c r="L262" s="94"/>
      <c r="M262" s="296"/>
      <c r="N262" s="316"/>
      <c r="O262" s="377"/>
      <c r="P262" s="388"/>
      <c r="Q262" s="417"/>
      <c r="T262" s="13"/>
      <c r="U262" s="370"/>
      <c r="V262" s="370"/>
      <c r="W262" s="375"/>
      <c r="X262" s="374"/>
      <c r="Y262" s="370"/>
      <c r="Z262" s="376"/>
      <c r="AA262" s="371"/>
      <c r="AB262" s="673"/>
      <c r="AC262" s="270"/>
      <c r="AD262" s="372"/>
      <c r="AE262" s="270"/>
      <c r="AF262" s="270"/>
      <c r="AG262" s="270"/>
      <c r="AH262" s="272"/>
      <c r="AI262" s="313"/>
      <c r="AJ262" s="21"/>
      <c r="AK262" s="21"/>
      <c r="AL262" s="21"/>
      <c r="AM262" s="21"/>
      <c r="AN262" s="21"/>
      <c r="AO262" s="21"/>
    </row>
    <row r="263" spans="1:41" s="53" customFormat="1" ht="14.25" x14ac:dyDescent="0.2">
      <c r="A263" s="48"/>
      <c r="B263" s="306"/>
      <c r="C263" s="233"/>
      <c r="D263" s="233"/>
      <c r="F263" s="13"/>
      <c r="G263" s="13"/>
      <c r="I263" s="298"/>
      <c r="J263" s="21"/>
      <c r="L263" s="94"/>
      <c r="M263" s="296"/>
      <c r="N263" s="316"/>
      <c r="O263" s="377"/>
      <c r="P263" s="387"/>
      <c r="Q263" s="417"/>
      <c r="T263" s="13"/>
      <c r="U263" s="370"/>
      <c r="V263" s="370"/>
      <c r="W263" s="375"/>
      <c r="X263" s="374"/>
      <c r="Y263" s="370"/>
      <c r="Z263" s="376"/>
      <c r="AA263" s="371"/>
      <c r="AB263" s="673"/>
      <c r="AC263" s="270"/>
      <c r="AD263" s="372"/>
      <c r="AE263" s="270"/>
      <c r="AF263" s="270"/>
      <c r="AG263" s="270"/>
      <c r="AH263" s="272"/>
      <c r="AI263" s="313"/>
      <c r="AJ263" s="21"/>
      <c r="AK263" s="21"/>
      <c r="AL263" s="21"/>
      <c r="AM263" s="21"/>
      <c r="AN263" s="21"/>
      <c r="AO263" s="21"/>
    </row>
    <row r="264" spans="1:41" s="53" customFormat="1" ht="14.25" x14ac:dyDescent="0.2">
      <c r="A264" s="48"/>
      <c r="B264" s="306"/>
      <c r="C264" s="233"/>
      <c r="D264" s="233"/>
      <c r="F264" s="13"/>
      <c r="G264" s="13"/>
      <c r="I264" s="298"/>
      <c r="J264" s="21"/>
      <c r="L264" s="117"/>
      <c r="M264" s="296"/>
      <c r="N264" s="316"/>
      <c r="O264" s="377"/>
      <c r="P264" s="387"/>
      <c r="Q264" s="417"/>
      <c r="T264" s="13"/>
      <c r="U264" s="370"/>
      <c r="V264" s="370"/>
      <c r="W264" s="375"/>
      <c r="X264" s="374"/>
      <c r="Y264" s="370"/>
      <c r="Z264" s="376"/>
      <c r="AA264" s="371"/>
      <c r="AB264" s="673"/>
      <c r="AC264" s="270"/>
      <c r="AD264" s="372"/>
      <c r="AE264" s="270"/>
      <c r="AF264" s="270"/>
      <c r="AG264" s="270"/>
      <c r="AH264" s="272"/>
      <c r="AI264" s="313"/>
      <c r="AJ264" s="21"/>
      <c r="AK264" s="21"/>
      <c r="AL264" s="21"/>
      <c r="AM264" s="21"/>
      <c r="AN264" s="21"/>
      <c r="AO264" s="21"/>
    </row>
    <row r="265" spans="1:41" s="53" customFormat="1" ht="14.25" x14ac:dyDescent="0.2">
      <c r="A265" s="48"/>
      <c r="B265" s="306"/>
      <c r="C265" s="233"/>
      <c r="D265" s="233"/>
      <c r="F265" s="13"/>
      <c r="G265" s="13"/>
      <c r="I265" s="298"/>
      <c r="J265" s="21"/>
      <c r="L265" s="94"/>
      <c r="M265" s="296"/>
      <c r="N265" s="316"/>
      <c r="O265" s="377"/>
      <c r="P265" s="388"/>
      <c r="Q265" s="417"/>
      <c r="T265" s="13"/>
      <c r="U265" s="370"/>
      <c r="V265" s="370"/>
      <c r="W265" s="375"/>
      <c r="X265" s="374"/>
      <c r="Y265" s="370"/>
      <c r="Z265" s="376"/>
      <c r="AA265" s="371"/>
      <c r="AB265" s="673"/>
      <c r="AC265" s="270"/>
      <c r="AD265" s="372"/>
      <c r="AE265" s="270"/>
      <c r="AF265" s="270"/>
      <c r="AG265" s="270"/>
      <c r="AH265" s="272"/>
      <c r="AI265" s="313"/>
      <c r="AJ265" s="21"/>
      <c r="AK265" s="21"/>
      <c r="AL265" s="21"/>
      <c r="AM265" s="21"/>
      <c r="AN265" s="21"/>
      <c r="AO265" s="21"/>
    </row>
    <row r="266" spans="1:41" s="53" customFormat="1" ht="14.25" x14ac:dyDescent="0.2">
      <c r="A266" s="48"/>
      <c r="B266" s="306"/>
      <c r="C266" s="233"/>
      <c r="D266" s="233"/>
      <c r="F266" s="13"/>
      <c r="G266" s="13"/>
      <c r="I266" s="298"/>
      <c r="J266" s="21"/>
      <c r="L266" s="94"/>
      <c r="M266" s="296"/>
      <c r="N266" s="316"/>
      <c r="O266" s="296"/>
      <c r="P266" s="387"/>
      <c r="Q266" s="417"/>
      <c r="T266" s="13"/>
      <c r="U266" s="370"/>
      <c r="V266" s="370"/>
      <c r="W266" s="375"/>
      <c r="X266" s="374"/>
      <c r="Y266" s="370"/>
      <c r="Z266" s="376"/>
      <c r="AA266" s="371"/>
      <c r="AB266" s="673"/>
      <c r="AC266" s="270"/>
      <c r="AD266" s="372"/>
      <c r="AE266" s="270"/>
      <c r="AF266" s="270"/>
      <c r="AG266" s="270"/>
      <c r="AH266" s="272"/>
      <c r="AI266" s="313"/>
      <c r="AJ266" s="21"/>
      <c r="AK266" s="21"/>
      <c r="AL266" s="21"/>
      <c r="AM266" s="21"/>
      <c r="AN266" s="21"/>
      <c r="AO266" s="21"/>
    </row>
    <row r="267" spans="1:41" s="53" customFormat="1" ht="14.25" x14ac:dyDescent="0.2">
      <c r="A267" s="48"/>
      <c r="B267" s="306"/>
      <c r="C267" s="233"/>
      <c r="D267" s="233"/>
      <c r="F267" s="13"/>
      <c r="G267" s="13"/>
      <c r="I267" s="298"/>
      <c r="J267" s="21"/>
      <c r="L267" s="94"/>
      <c r="M267" s="296"/>
      <c r="N267" s="316"/>
      <c r="O267" s="296"/>
      <c r="P267" s="388"/>
      <c r="Q267" s="417"/>
      <c r="T267" s="13"/>
      <c r="U267" s="370"/>
      <c r="V267" s="370"/>
      <c r="W267" s="375"/>
      <c r="X267" s="374"/>
      <c r="Y267" s="370"/>
      <c r="Z267" s="376"/>
      <c r="AA267" s="371"/>
      <c r="AB267" s="673"/>
      <c r="AC267" s="270"/>
      <c r="AD267" s="372"/>
      <c r="AE267" s="270"/>
      <c r="AF267" s="270"/>
      <c r="AG267" s="270"/>
      <c r="AH267" s="272"/>
      <c r="AI267" s="313"/>
      <c r="AJ267" s="21"/>
      <c r="AK267" s="21"/>
      <c r="AL267" s="21"/>
      <c r="AM267" s="21"/>
      <c r="AN267" s="21"/>
      <c r="AO267" s="21"/>
    </row>
    <row r="268" spans="1:41" s="53" customFormat="1" ht="14.25" x14ac:dyDescent="0.2">
      <c r="A268" s="48"/>
      <c r="B268" s="306"/>
      <c r="C268" s="233"/>
      <c r="D268" s="233"/>
      <c r="F268" s="13"/>
      <c r="G268" s="13"/>
      <c r="I268" s="298"/>
      <c r="J268" s="21"/>
      <c r="L268" s="94"/>
      <c r="M268" s="296"/>
      <c r="N268" s="316"/>
      <c r="O268" s="377"/>
      <c r="P268" s="387"/>
      <c r="Q268" s="417"/>
      <c r="T268" s="13"/>
      <c r="U268" s="370"/>
      <c r="V268" s="370"/>
      <c r="W268" s="375"/>
      <c r="X268" s="374"/>
      <c r="Y268" s="370"/>
      <c r="Z268" s="376"/>
      <c r="AA268" s="371"/>
      <c r="AB268" s="673"/>
      <c r="AC268" s="270"/>
      <c r="AD268" s="372"/>
      <c r="AE268" s="270"/>
      <c r="AF268" s="270"/>
      <c r="AG268" s="270"/>
      <c r="AH268" s="272"/>
      <c r="AI268" s="313"/>
      <c r="AJ268" s="21"/>
      <c r="AK268" s="21"/>
      <c r="AL268" s="21"/>
      <c r="AM268" s="21"/>
      <c r="AN268" s="21"/>
      <c r="AO268" s="21"/>
    </row>
    <row r="269" spans="1:41" s="53" customFormat="1" ht="14.25" x14ac:dyDescent="0.2">
      <c r="A269" s="48"/>
      <c r="B269" s="306"/>
      <c r="C269" s="233"/>
      <c r="D269" s="233"/>
      <c r="F269" s="13"/>
      <c r="G269" s="13"/>
      <c r="I269" s="298"/>
      <c r="J269" s="21"/>
      <c r="L269" s="385"/>
      <c r="M269" s="296"/>
      <c r="N269" s="316"/>
      <c r="O269" s="377"/>
      <c r="P269" s="387"/>
      <c r="Q269" s="417"/>
      <c r="T269" s="13"/>
      <c r="U269" s="370"/>
      <c r="V269" s="370"/>
      <c r="W269" s="375"/>
      <c r="X269" s="374"/>
      <c r="Y269" s="370"/>
      <c r="Z269" s="376"/>
      <c r="AA269" s="371"/>
      <c r="AB269" s="673"/>
      <c r="AC269" s="270"/>
      <c r="AD269" s="372"/>
      <c r="AE269" s="270"/>
      <c r="AF269" s="270"/>
      <c r="AG269" s="270"/>
      <c r="AH269" s="272"/>
      <c r="AI269" s="313"/>
      <c r="AJ269" s="21"/>
      <c r="AK269" s="21"/>
      <c r="AL269" s="21"/>
      <c r="AM269" s="21"/>
      <c r="AN269" s="21"/>
      <c r="AO269" s="21"/>
    </row>
    <row r="270" spans="1:41" s="53" customFormat="1" ht="14.25" x14ac:dyDescent="0.2">
      <c r="A270" s="48"/>
      <c r="B270" s="306"/>
      <c r="C270" s="233"/>
      <c r="D270" s="233"/>
      <c r="F270" s="13"/>
      <c r="G270" s="13"/>
      <c r="I270" s="298"/>
      <c r="J270" s="21"/>
      <c r="L270" s="94"/>
      <c r="M270" s="296"/>
      <c r="N270" s="316"/>
      <c r="O270" s="377"/>
      <c r="P270" s="387"/>
      <c r="Q270" s="417"/>
      <c r="T270" s="13"/>
      <c r="U270" s="370"/>
      <c r="V270" s="370"/>
      <c r="W270" s="375"/>
      <c r="X270" s="374"/>
      <c r="Y270" s="370"/>
      <c r="Z270" s="376"/>
      <c r="AA270" s="371"/>
      <c r="AB270" s="673"/>
      <c r="AC270" s="270"/>
      <c r="AD270" s="372"/>
      <c r="AE270" s="270"/>
      <c r="AF270" s="270"/>
      <c r="AG270" s="270"/>
      <c r="AH270" s="272"/>
      <c r="AI270" s="313"/>
      <c r="AJ270" s="21"/>
      <c r="AK270" s="21"/>
      <c r="AL270" s="21"/>
      <c r="AM270" s="21"/>
      <c r="AN270" s="21"/>
      <c r="AO270" s="21"/>
    </row>
    <row r="271" spans="1:41" s="53" customFormat="1" ht="14.25" x14ac:dyDescent="0.2">
      <c r="A271" s="48"/>
      <c r="B271" s="306"/>
      <c r="C271" s="233"/>
      <c r="D271" s="233"/>
      <c r="F271" s="13"/>
      <c r="G271" s="13"/>
      <c r="I271" s="298"/>
      <c r="J271" s="21"/>
      <c r="L271" s="94"/>
      <c r="M271" s="296"/>
      <c r="N271" s="316"/>
      <c r="O271" s="377"/>
      <c r="P271" s="387"/>
      <c r="Q271" s="417"/>
      <c r="T271" s="13"/>
      <c r="U271" s="370"/>
      <c r="V271" s="370"/>
      <c r="W271" s="375"/>
      <c r="X271" s="374"/>
      <c r="Y271" s="370"/>
      <c r="Z271" s="376"/>
      <c r="AA271" s="371"/>
      <c r="AB271" s="673"/>
      <c r="AC271" s="270"/>
      <c r="AD271" s="372"/>
      <c r="AE271" s="270"/>
      <c r="AF271" s="270"/>
      <c r="AG271" s="270"/>
      <c r="AH271" s="272"/>
      <c r="AI271" s="313"/>
      <c r="AJ271" s="21"/>
      <c r="AK271" s="21"/>
      <c r="AL271" s="21"/>
      <c r="AM271" s="21"/>
      <c r="AN271" s="21"/>
      <c r="AO271" s="21"/>
    </row>
    <row r="272" spans="1:41" s="53" customFormat="1" ht="14.25" x14ac:dyDescent="0.2">
      <c r="A272" s="48"/>
      <c r="B272" s="306"/>
      <c r="C272" s="233"/>
      <c r="D272" s="233"/>
      <c r="F272" s="13"/>
      <c r="G272" s="13"/>
      <c r="I272" s="298"/>
      <c r="J272" s="21"/>
      <c r="L272" s="94"/>
      <c r="M272" s="296"/>
      <c r="N272" s="316"/>
      <c r="O272" s="377"/>
      <c r="P272" s="387"/>
      <c r="Q272" s="417"/>
      <c r="T272" s="13"/>
      <c r="U272" s="370"/>
      <c r="V272" s="370"/>
      <c r="W272" s="375"/>
      <c r="X272" s="374"/>
      <c r="Y272" s="370"/>
      <c r="Z272" s="376"/>
      <c r="AA272" s="371"/>
      <c r="AB272" s="673"/>
      <c r="AC272" s="270"/>
      <c r="AD272" s="372"/>
      <c r="AE272" s="270"/>
      <c r="AF272" s="270"/>
      <c r="AG272" s="270"/>
      <c r="AH272" s="272"/>
      <c r="AI272" s="313"/>
      <c r="AJ272" s="21"/>
      <c r="AK272" s="21"/>
      <c r="AL272" s="21"/>
      <c r="AM272" s="21"/>
      <c r="AN272" s="21"/>
      <c r="AO272" s="21"/>
    </row>
    <row r="273" spans="1:41" s="53" customFormat="1" ht="14.25" x14ac:dyDescent="0.2">
      <c r="A273" s="48"/>
      <c r="B273" s="306"/>
      <c r="C273" s="233"/>
      <c r="D273" s="233"/>
      <c r="F273" s="13"/>
      <c r="G273" s="13"/>
      <c r="I273" s="298"/>
      <c r="J273" s="21"/>
      <c r="K273" s="21"/>
      <c r="L273" s="13"/>
      <c r="M273" s="50"/>
      <c r="O273" s="296"/>
      <c r="P273" s="387"/>
      <c r="Q273" s="417"/>
      <c r="T273" s="13"/>
      <c r="U273" s="370"/>
      <c r="V273" s="370"/>
      <c r="W273" s="375"/>
      <c r="X273" s="374"/>
      <c r="Y273" s="370"/>
      <c r="Z273" s="376"/>
      <c r="AA273" s="371"/>
      <c r="AB273" s="673"/>
      <c r="AC273" s="270"/>
      <c r="AD273" s="372"/>
      <c r="AE273" s="270"/>
      <c r="AF273" s="270"/>
      <c r="AG273" s="270"/>
      <c r="AH273" s="272"/>
      <c r="AI273" s="313"/>
      <c r="AJ273" s="21"/>
      <c r="AK273" s="21"/>
      <c r="AL273" s="21"/>
      <c r="AM273" s="21"/>
      <c r="AN273" s="21"/>
      <c r="AO273" s="21"/>
    </row>
    <row r="274" spans="1:41" s="53" customFormat="1" ht="14.25" x14ac:dyDescent="0.2">
      <c r="A274" s="48"/>
      <c r="B274" s="306"/>
      <c r="C274" s="233"/>
      <c r="D274" s="233"/>
      <c r="F274" s="13"/>
      <c r="G274" s="13"/>
      <c r="I274" s="298"/>
      <c r="J274" s="21"/>
      <c r="K274" s="21"/>
      <c r="L274" s="13"/>
      <c r="M274" s="50"/>
      <c r="O274" s="296"/>
      <c r="P274" s="387"/>
      <c r="Q274" s="417"/>
      <c r="T274" s="13"/>
      <c r="U274" s="370"/>
      <c r="V274" s="370"/>
      <c r="W274" s="375"/>
      <c r="X274" s="374"/>
      <c r="Y274" s="370"/>
      <c r="Z274" s="376"/>
      <c r="AA274" s="371"/>
      <c r="AB274" s="673"/>
      <c r="AC274" s="270"/>
      <c r="AD274" s="372"/>
      <c r="AE274" s="270"/>
      <c r="AF274" s="270"/>
      <c r="AG274" s="270"/>
      <c r="AH274" s="272"/>
      <c r="AI274" s="313"/>
      <c r="AJ274" s="21"/>
      <c r="AK274" s="21"/>
      <c r="AL274" s="21"/>
      <c r="AM274" s="21"/>
      <c r="AN274" s="21"/>
      <c r="AO274" s="21"/>
    </row>
    <row r="275" spans="1:41" s="53" customFormat="1" ht="14.25" x14ac:dyDescent="0.2">
      <c r="A275" s="48"/>
      <c r="B275" s="306"/>
      <c r="C275" s="233"/>
      <c r="D275" s="233"/>
      <c r="F275" s="13"/>
      <c r="G275" s="13"/>
      <c r="I275" s="298"/>
      <c r="J275" s="21"/>
      <c r="K275" s="21"/>
      <c r="L275" s="13"/>
      <c r="M275" s="50"/>
      <c r="O275" s="296"/>
      <c r="P275" s="387"/>
      <c r="Q275" s="417"/>
      <c r="T275" s="13"/>
      <c r="U275" s="370"/>
      <c r="V275" s="370"/>
      <c r="W275" s="375"/>
      <c r="X275" s="374"/>
      <c r="Y275" s="370"/>
      <c r="Z275" s="376"/>
      <c r="AA275" s="371"/>
      <c r="AB275" s="673"/>
      <c r="AC275" s="270"/>
      <c r="AD275" s="372"/>
      <c r="AE275" s="270"/>
      <c r="AF275" s="270"/>
      <c r="AG275" s="270"/>
      <c r="AH275" s="272"/>
      <c r="AI275" s="313"/>
      <c r="AJ275" s="21"/>
      <c r="AK275" s="21"/>
      <c r="AL275" s="21"/>
      <c r="AM275" s="21"/>
      <c r="AN275" s="21"/>
      <c r="AO275" s="21"/>
    </row>
    <row r="276" spans="1:41" s="53" customFormat="1" ht="14.25" x14ac:dyDescent="0.2">
      <c r="A276" s="48"/>
      <c r="B276" s="306"/>
      <c r="C276" s="233"/>
      <c r="D276" s="233"/>
      <c r="F276" s="13"/>
      <c r="G276" s="13"/>
      <c r="I276" s="298"/>
      <c r="J276" s="21"/>
      <c r="K276" s="21"/>
      <c r="L276" s="13"/>
      <c r="M276" s="50"/>
      <c r="N276" s="97"/>
      <c r="O276" s="296"/>
      <c r="P276" s="387"/>
      <c r="Q276" s="417"/>
      <c r="T276" s="13"/>
      <c r="U276" s="370"/>
      <c r="V276" s="370"/>
      <c r="W276" s="375"/>
      <c r="X276" s="374"/>
      <c r="Y276" s="370"/>
      <c r="Z276" s="376"/>
      <c r="AA276" s="371"/>
      <c r="AB276" s="673"/>
      <c r="AC276" s="270"/>
      <c r="AD276" s="372"/>
      <c r="AE276" s="270"/>
      <c r="AF276" s="270"/>
      <c r="AG276" s="270"/>
      <c r="AH276" s="272"/>
      <c r="AI276" s="313"/>
      <c r="AJ276" s="21"/>
      <c r="AK276" s="21"/>
      <c r="AL276" s="21"/>
      <c r="AM276" s="21"/>
      <c r="AN276" s="21"/>
      <c r="AO276" s="21"/>
    </row>
    <row r="277" spans="1:41" s="53" customFormat="1" ht="14.25" x14ac:dyDescent="0.2">
      <c r="A277" s="48"/>
      <c r="B277" s="306"/>
      <c r="C277" s="233"/>
      <c r="D277" s="233"/>
      <c r="F277" s="13"/>
      <c r="G277" s="13"/>
      <c r="I277" s="298"/>
      <c r="J277" s="21"/>
      <c r="K277" s="21"/>
      <c r="L277" s="13"/>
      <c r="M277" s="50"/>
      <c r="N277" s="97"/>
      <c r="O277" s="362"/>
      <c r="P277" s="387"/>
      <c r="Q277" s="417"/>
      <c r="T277" s="13"/>
      <c r="U277" s="370"/>
      <c r="V277" s="370"/>
      <c r="W277" s="375"/>
      <c r="X277" s="374"/>
      <c r="Y277" s="370"/>
      <c r="Z277" s="376"/>
      <c r="AA277" s="371"/>
      <c r="AB277" s="673"/>
      <c r="AC277" s="270"/>
      <c r="AD277" s="372"/>
      <c r="AE277" s="270"/>
      <c r="AF277" s="270"/>
      <c r="AG277" s="270"/>
      <c r="AH277" s="272"/>
      <c r="AI277" s="313"/>
      <c r="AJ277" s="21"/>
      <c r="AK277" s="21"/>
      <c r="AL277" s="21"/>
      <c r="AM277" s="21"/>
      <c r="AN277" s="21"/>
      <c r="AO277" s="21"/>
    </row>
    <row r="278" spans="1:41" s="53" customFormat="1" ht="14.25" x14ac:dyDescent="0.2">
      <c r="A278" s="48"/>
      <c r="B278" s="306"/>
      <c r="C278" s="233"/>
      <c r="D278" s="233"/>
      <c r="F278" s="13"/>
      <c r="G278" s="13"/>
      <c r="I278" s="298"/>
      <c r="J278" s="21"/>
      <c r="K278" s="21"/>
      <c r="L278" s="13"/>
      <c r="M278" s="50"/>
      <c r="N278" s="97"/>
      <c r="O278" s="296"/>
      <c r="P278" s="387"/>
      <c r="Q278" s="417"/>
      <c r="T278" s="13"/>
      <c r="U278" s="370"/>
      <c r="V278" s="370"/>
      <c r="W278" s="375"/>
      <c r="X278" s="374"/>
      <c r="Y278" s="370"/>
      <c r="Z278" s="376"/>
      <c r="AA278" s="371"/>
      <c r="AB278" s="673"/>
      <c r="AC278" s="270"/>
      <c r="AD278" s="372"/>
      <c r="AE278" s="270"/>
      <c r="AF278" s="270"/>
      <c r="AG278" s="270"/>
      <c r="AH278" s="272"/>
      <c r="AI278" s="313"/>
      <c r="AJ278" s="21"/>
      <c r="AK278" s="21"/>
      <c r="AL278" s="21"/>
      <c r="AM278" s="21"/>
      <c r="AN278" s="21"/>
      <c r="AO278" s="21"/>
    </row>
    <row r="279" spans="1:41" s="53" customFormat="1" ht="14.25" x14ac:dyDescent="0.2">
      <c r="A279" s="48"/>
      <c r="B279" s="306"/>
      <c r="C279" s="233"/>
      <c r="D279" s="233"/>
      <c r="F279" s="13"/>
      <c r="G279" s="13"/>
      <c r="I279" s="298"/>
      <c r="J279" s="21"/>
      <c r="K279" s="21"/>
      <c r="L279" s="13"/>
      <c r="M279" s="50"/>
      <c r="N279" s="97"/>
      <c r="O279" s="296"/>
      <c r="P279" s="387"/>
      <c r="Q279" s="417"/>
      <c r="T279" s="13"/>
      <c r="U279" s="370"/>
      <c r="V279" s="370"/>
      <c r="W279" s="375"/>
      <c r="X279" s="374"/>
      <c r="Y279" s="370"/>
      <c r="Z279" s="376"/>
      <c r="AA279" s="371"/>
      <c r="AB279" s="673"/>
      <c r="AC279" s="270"/>
      <c r="AD279" s="372"/>
      <c r="AE279" s="270"/>
      <c r="AF279" s="270"/>
      <c r="AG279" s="270"/>
      <c r="AH279" s="272"/>
      <c r="AI279" s="313"/>
      <c r="AJ279" s="21"/>
      <c r="AK279" s="21"/>
      <c r="AL279" s="21"/>
      <c r="AM279" s="21"/>
      <c r="AN279" s="21"/>
      <c r="AO279" s="21"/>
    </row>
    <row r="280" spans="1:41" s="53" customFormat="1" ht="14.25" x14ac:dyDescent="0.2">
      <c r="A280" s="48"/>
      <c r="B280" s="306"/>
      <c r="C280" s="233"/>
      <c r="D280" s="233"/>
      <c r="F280" s="13"/>
      <c r="G280" s="13"/>
      <c r="I280" s="298"/>
      <c r="J280" s="21"/>
      <c r="K280" s="21"/>
      <c r="L280" s="13"/>
      <c r="M280" s="50"/>
      <c r="N280" s="97"/>
      <c r="O280" s="296"/>
      <c r="P280" s="387"/>
      <c r="Q280" s="417"/>
      <c r="T280" s="13"/>
      <c r="U280" s="370"/>
      <c r="V280" s="370"/>
      <c r="W280" s="375"/>
      <c r="X280" s="374"/>
      <c r="Y280" s="370"/>
      <c r="Z280" s="376"/>
      <c r="AA280" s="371"/>
      <c r="AB280" s="673"/>
      <c r="AC280" s="270"/>
      <c r="AD280" s="372"/>
      <c r="AE280" s="270"/>
      <c r="AF280" s="270"/>
      <c r="AG280" s="270"/>
      <c r="AH280" s="272"/>
      <c r="AI280" s="313"/>
      <c r="AJ280" s="21"/>
      <c r="AK280" s="21"/>
      <c r="AL280" s="21"/>
      <c r="AM280" s="21"/>
      <c r="AN280" s="21"/>
      <c r="AO280" s="21"/>
    </row>
    <row r="281" spans="1:41" s="53" customFormat="1" ht="14.25" x14ac:dyDescent="0.2">
      <c r="A281" s="48"/>
      <c r="B281" s="306"/>
      <c r="C281" s="233"/>
      <c r="D281" s="233"/>
      <c r="F281" s="13"/>
      <c r="G281" s="13"/>
      <c r="I281" s="298"/>
      <c r="J281" s="21"/>
      <c r="K281" s="21"/>
      <c r="L281" s="13"/>
      <c r="M281" s="50"/>
      <c r="N281" s="97"/>
      <c r="O281" s="296"/>
      <c r="P281" s="388"/>
      <c r="Q281" s="417"/>
      <c r="T281" s="13"/>
      <c r="U281" s="370"/>
      <c r="V281" s="370"/>
      <c r="W281" s="375"/>
      <c r="X281" s="374"/>
      <c r="Y281" s="370"/>
      <c r="Z281" s="376"/>
      <c r="AA281" s="371"/>
      <c r="AB281" s="673"/>
      <c r="AC281" s="270"/>
      <c r="AD281" s="372"/>
      <c r="AE281" s="270"/>
      <c r="AF281" s="270"/>
      <c r="AG281" s="270"/>
      <c r="AH281" s="272"/>
      <c r="AI281" s="313"/>
      <c r="AJ281" s="21"/>
      <c r="AK281" s="21"/>
      <c r="AL281" s="21"/>
      <c r="AM281" s="21"/>
      <c r="AN281" s="21"/>
      <c r="AO281" s="21"/>
    </row>
    <row r="282" spans="1:41" s="53" customFormat="1" ht="14.25" x14ac:dyDescent="0.2">
      <c r="A282" s="48"/>
      <c r="B282" s="306"/>
      <c r="C282" s="233"/>
      <c r="D282" s="233"/>
      <c r="F282" s="13"/>
      <c r="G282" s="13"/>
      <c r="I282" s="298"/>
      <c r="J282" s="21"/>
      <c r="K282" s="21"/>
      <c r="L282" s="13"/>
      <c r="M282" s="50"/>
      <c r="N282" s="97"/>
      <c r="O282" s="296"/>
      <c r="P282" s="386"/>
      <c r="Q282" s="420"/>
      <c r="T282" s="13"/>
      <c r="U282" s="370"/>
      <c r="V282" s="370"/>
      <c r="W282" s="375"/>
      <c r="X282" s="374"/>
      <c r="Y282" s="370"/>
      <c r="Z282" s="376"/>
      <c r="AA282" s="371"/>
      <c r="AB282" s="673"/>
      <c r="AC282" s="270"/>
      <c r="AD282" s="372"/>
      <c r="AE282" s="270"/>
      <c r="AF282" s="270"/>
      <c r="AG282" s="270"/>
      <c r="AH282" s="272"/>
      <c r="AI282" s="313"/>
      <c r="AJ282" s="21"/>
      <c r="AK282" s="21"/>
      <c r="AL282" s="21"/>
      <c r="AM282" s="21"/>
      <c r="AN282" s="21"/>
      <c r="AO282" s="21"/>
    </row>
    <row r="283" spans="1:41" s="53" customFormat="1" ht="14.25" x14ac:dyDescent="0.2">
      <c r="A283" s="48"/>
      <c r="B283" s="306"/>
      <c r="C283" s="233"/>
      <c r="D283" s="233"/>
      <c r="F283" s="13"/>
      <c r="G283" s="13"/>
      <c r="I283" s="298"/>
      <c r="J283" s="21"/>
      <c r="K283" s="21"/>
      <c r="L283" s="13"/>
      <c r="M283" s="50"/>
      <c r="N283" s="97"/>
      <c r="O283" s="296"/>
      <c r="P283" s="387"/>
      <c r="Q283" s="417"/>
      <c r="T283" s="13"/>
      <c r="U283" s="370"/>
      <c r="V283" s="370"/>
      <c r="W283" s="375"/>
      <c r="X283" s="374"/>
      <c r="Y283" s="370"/>
      <c r="Z283" s="376"/>
      <c r="AA283" s="371"/>
      <c r="AB283" s="673"/>
      <c r="AC283" s="270"/>
      <c r="AD283" s="372"/>
      <c r="AE283" s="270"/>
      <c r="AF283" s="270"/>
      <c r="AG283" s="270"/>
      <c r="AH283" s="272"/>
      <c r="AI283" s="313"/>
      <c r="AJ283" s="21"/>
      <c r="AK283" s="21"/>
      <c r="AL283" s="21"/>
      <c r="AM283" s="21"/>
      <c r="AN283" s="21"/>
      <c r="AO283" s="21"/>
    </row>
    <row r="284" spans="1:41" s="53" customFormat="1" ht="14.25" x14ac:dyDescent="0.2">
      <c r="A284" s="48"/>
      <c r="B284" s="306"/>
      <c r="C284" s="233"/>
      <c r="D284" s="233"/>
      <c r="F284" s="13"/>
      <c r="G284" s="13"/>
      <c r="I284" s="298"/>
      <c r="J284" s="21"/>
      <c r="K284" s="21"/>
      <c r="L284" s="13"/>
      <c r="M284" s="50"/>
      <c r="N284" s="97"/>
      <c r="O284" s="296"/>
      <c r="P284" s="387"/>
      <c r="Q284" s="417"/>
      <c r="T284" s="13"/>
      <c r="U284" s="370"/>
      <c r="V284" s="370"/>
      <c r="W284" s="375"/>
      <c r="X284" s="374"/>
      <c r="Y284" s="370"/>
      <c r="Z284" s="376"/>
      <c r="AA284" s="371"/>
      <c r="AB284" s="673"/>
      <c r="AC284" s="270"/>
      <c r="AD284" s="372"/>
      <c r="AE284" s="270"/>
      <c r="AF284" s="270"/>
      <c r="AG284" s="270"/>
      <c r="AH284" s="272"/>
      <c r="AI284" s="313"/>
      <c r="AJ284" s="21"/>
      <c r="AK284" s="21"/>
      <c r="AL284" s="21"/>
      <c r="AM284" s="21"/>
      <c r="AN284" s="21"/>
      <c r="AO284" s="21"/>
    </row>
    <row r="285" spans="1:41" s="53" customFormat="1" ht="14.25" x14ac:dyDescent="0.2">
      <c r="A285" s="48"/>
      <c r="B285" s="306"/>
      <c r="C285" s="233"/>
      <c r="D285" s="233"/>
      <c r="F285" s="13"/>
      <c r="G285" s="13"/>
      <c r="I285" s="298"/>
      <c r="J285" s="21"/>
      <c r="K285" s="21"/>
      <c r="L285" s="13"/>
      <c r="M285" s="50"/>
      <c r="N285" s="97"/>
      <c r="O285" s="296"/>
      <c r="P285" s="387"/>
      <c r="Q285" s="417"/>
      <c r="T285" s="13"/>
      <c r="U285" s="370"/>
      <c r="V285" s="370"/>
      <c r="W285" s="375"/>
      <c r="X285" s="374"/>
      <c r="Y285" s="370"/>
      <c r="Z285" s="376"/>
      <c r="AA285" s="371"/>
      <c r="AB285" s="673"/>
      <c r="AC285" s="270"/>
      <c r="AD285" s="372"/>
      <c r="AE285" s="270"/>
      <c r="AF285" s="270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ht="14.25" x14ac:dyDescent="0.2">
      <c r="A286" s="48"/>
      <c r="B286" s="306"/>
      <c r="C286" s="233"/>
      <c r="D286" s="233"/>
      <c r="F286" s="13"/>
      <c r="G286" s="13"/>
      <c r="I286" s="298"/>
      <c r="J286" s="21"/>
      <c r="K286" s="21"/>
      <c r="L286" s="13"/>
      <c r="M286" s="50"/>
      <c r="N286" s="97"/>
      <c r="O286" s="296"/>
      <c r="P286" s="387"/>
      <c r="Q286" s="417"/>
      <c r="T286" s="13"/>
      <c r="U286" s="370"/>
      <c r="V286" s="370"/>
      <c r="W286" s="375"/>
      <c r="X286" s="374"/>
      <c r="Y286" s="370"/>
      <c r="Z286" s="376"/>
      <c r="AA286" s="371"/>
      <c r="AB286" s="673"/>
      <c r="AC286" s="270"/>
      <c r="AD286" s="372"/>
      <c r="AE286" s="270"/>
      <c r="AF286" s="270"/>
      <c r="AG286" s="270"/>
      <c r="AH286" s="272"/>
      <c r="AI286" s="313"/>
      <c r="AJ286" s="21"/>
      <c r="AK286" s="21"/>
      <c r="AL286" s="21"/>
      <c r="AM286" s="21"/>
      <c r="AN286" s="21"/>
      <c r="AO286" s="21"/>
    </row>
    <row r="287" spans="1:41" s="53" customFormat="1" ht="14.25" x14ac:dyDescent="0.2">
      <c r="A287" s="48"/>
      <c r="B287" s="306"/>
      <c r="C287" s="233"/>
      <c r="D287" s="233"/>
      <c r="F287" s="13"/>
      <c r="G287" s="13"/>
      <c r="I287" s="298"/>
      <c r="J287" s="21"/>
      <c r="K287" s="21"/>
      <c r="L287" s="13"/>
      <c r="M287" s="50"/>
      <c r="N287" s="97"/>
      <c r="O287" s="296"/>
      <c r="P287" s="387"/>
      <c r="Q287" s="417"/>
      <c r="T287" s="13"/>
      <c r="U287" s="370"/>
      <c r="V287" s="370"/>
      <c r="W287" s="375"/>
      <c r="X287" s="374"/>
      <c r="Y287" s="370"/>
      <c r="Z287" s="376"/>
      <c r="AA287" s="371"/>
      <c r="AB287" s="673"/>
      <c r="AC287" s="270"/>
      <c r="AD287" s="372"/>
      <c r="AE287" s="270"/>
      <c r="AF287" s="270"/>
      <c r="AG287" s="270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ht="14.25" x14ac:dyDescent="0.2">
      <c r="A288" s="48"/>
      <c r="B288" s="306"/>
      <c r="C288" s="233"/>
      <c r="D288" s="233"/>
      <c r="F288" s="13"/>
      <c r="G288" s="13"/>
      <c r="I288" s="298"/>
      <c r="J288" s="21"/>
      <c r="K288" s="21"/>
      <c r="L288" s="13"/>
      <c r="M288" s="50"/>
      <c r="N288" s="97"/>
      <c r="O288" s="296"/>
      <c r="P288" s="388"/>
      <c r="Q288" s="417"/>
      <c r="T288" s="13"/>
      <c r="U288" s="370"/>
      <c r="V288" s="370"/>
      <c r="W288" s="375"/>
      <c r="X288" s="374"/>
      <c r="Y288" s="370"/>
      <c r="Z288" s="376"/>
      <c r="AA288" s="371"/>
      <c r="AB288" s="673"/>
      <c r="AC288" s="270"/>
      <c r="AD288" s="372"/>
      <c r="AE288" s="270"/>
      <c r="AF288" s="270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ht="14.25" x14ac:dyDescent="0.2">
      <c r="A289" s="48"/>
      <c r="B289" s="306"/>
      <c r="C289" s="233"/>
      <c r="D289" s="233"/>
      <c r="F289" s="13"/>
      <c r="G289" s="13"/>
      <c r="I289" s="298"/>
      <c r="J289" s="21"/>
      <c r="K289" s="21"/>
      <c r="L289" s="13"/>
      <c r="M289" s="50"/>
      <c r="N289" s="97"/>
      <c r="O289" s="296"/>
      <c r="P289" s="387"/>
      <c r="Q289" s="417"/>
      <c r="T289" s="13"/>
      <c r="U289" s="370"/>
      <c r="V289" s="370"/>
      <c r="W289" s="375"/>
      <c r="X289" s="374"/>
      <c r="Y289" s="370"/>
      <c r="Z289" s="376"/>
      <c r="AA289" s="371"/>
      <c r="AB289" s="673"/>
      <c r="AC289" s="270"/>
      <c r="AD289" s="372"/>
      <c r="AE289" s="270"/>
      <c r="AF289" s="270"/>
      <c r="AG289" s="270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ht="14.25" x14ac:dyDescent="0.2">
      <c r="A290" s="48"/>
      <c r="B290" s="306"/>
      <c r="C290" s="233"/>
      <c r="D290" s="233"/>
      <c r="F290" s="13"/>
      <c r="G290" s="13"/>
      <c r="I290" s="298"/>
      <c r="J290" s="21"/>
      <c r="K290" s="21"/>
      <c r="L290" s="13"/>
      <c r="M290" s="50"/>
      <c r="N290" s="97"/>
      <c r="O290" s="296"/>
      <c r="P290" s="387"/>
      <c r="Q290" s="417"/>
      <c r="T290" s="13"/>
      <c r="U290" s="370"/>
      <c r="V290" s="370"/>
      <c r="W290" s="375"/>
      <c r="X290" s="374"/>
      <c r="Y290" s="370"/>
      <c r="Z290" s="376"/>
      <c r="AA290" s="371"/>
      <c r="AB290" s="673"/>
      <c r="AC290" s="270"/>
      <c r="AD290" s="372"/>
      <c r="AE290" s="270"/>
      <c r="AF290" s="270"/>
      <c r="AG290" s="270"/>
      <c r="AH290" s="272"/>
      <c r="AI290" s="313"/>
      <c r="AJ290" s="21"/>
      <c r="AK290" s="21"/>
      <c r="AL290" s="21"/>
      <c r="AM290" s="21"/>
      <c r="AN290" s="21"/>
      <c r="AO290" s="21"/>
    </row>
    <row r="291" spans="1:41" s="53" customFormat="1" ht="14.25" x14ac:dyDescent="0.2">
      <c r="A291" s="48"/>
      <c r="B291" s="306"/>
      <c r="C291" s="233"/>
      <c r="D291" s="233"/>
      <c r="F291" s="13"/>
      <c r="G291" s="13"/>
      <c r="I291" s="298"/>
      <c r="J291" s="21"/>
      <c r="K291" s="21"/>
      <c r="L291" s="13"/>
      <c r="M291" s="50"/>
      <c r="N291" s="97"/>
      <c r="O291" s="296"/>
      <c r="P291" s="387"/>
      <c r="Q291" s="417"/>
      <c r="T291" s="13"/>
      <c r="U291" s="370"/>
      <c r="V291" s="370"/>
      <c r="W291" s="375"/>
      <c r="X291" s="374"/>
      <c r="Y291" s="370"/>
      <c r="Z291" s="376"/>
      <c r="AA291" s="371"/>
      <c r="AB291" s="673"/>
      <c r="AC291" s="270"/>
      <c r="AD291" s="372"/>
      <c r="AE291" s="270"/>
      <c r="AF291" s="270"/>
      <c r="AG291" s="270"/>
      <c r="AH291" s="272"/>
      <c r="AI291" s="313"/>
      <c r="AJ291" s="21"/>
      <c r="AK291" s="21"/>
      <c r="AL291" s="21"/>
      <c r="AM291" s="21"/>
      <c r="AN291" s="21"/>
      <c r="AO291" s="21"/>
    </row>
    <row r="292" spans="1:41" s="53" customFormat="1" ht="14.25" x14ac:dyDescent="0.2">
      <c r="A292" s="48"/>
      <c r="B292" s="306"/>
      <c r="C292" s="233"/>
      <c r="D292" s="233"/>
      <c r="F292" s="13"/>
      <c r="G292" s="13"/>
      <c r="I292" s="298"/>
      <c r="J292" s="21"/>
      <c r="K292" s="21"/>
      <c r="L292" s="13"/>
      <c r="M292" s="50"/>
      <c r="N292" s="97"/>
      <c r="O292" s="296"/>
      <c r="P292" s="387"/>
      <c r="Q292" s="417"/>
      <c r="T292" s="13"/>
      <c r="U292" s="370"/>
      <c r="V292" s="370"/>
      <c r="W292" s="375"/>
      <c r="X292" s="374"/>
      <c r="Y292" s="370"/>
      <c r="Z292" s="376"/>
      <c r="AA292" s="371"/>
      <c r="AB292" s="673"/>
      <c r="AC292" s="270"/>
      <c r="AD292" s="372"/>
      <c r="AE292" s="270"/>
      <c r="AF292" s="270"/>
      <c r="AG292" s="270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06"/>
      <c r="C293" s="233"/>
      <c r="D293" s="233"/>
      <c r="F293" s="13"/>
      <c r="G293" s="13"/>
      <c r="I293" s="298"/>
      <c r="J293" s="21"/>
      <c r="K293" s="21"/>
      <c r="L293" s="13"/>
      <c r="M293" s="50"/>
      <c r="N293" s="97"/>
      <c r="O293" s="97"/>
      <c r="P293" s="387"/>
      <c r="Q293" s="417"/>
      <c r="T293" s="13"/>
      <c r="U293" s="370"/>
      <c r="V293" s="370"/>
      <c r="W293" s="375"/>
      <c r="X293" s="374"/>
      <c r="Y293" s="370"/>
      <c r="Z293" s="376"/>
      <c r="AA293" s="371"/>
      <c r="AB293" s="673"/>
      <c r="AC293" s="270"/>
      <c r="AD293" s="372"/>
      <c r="AE293" s="270"/>
      <c r="AF293" s="270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06"/>
      <c r="C294" s="233"/>
      <c r="D294" s="233"/>
      <c r="F294" s="13"/>
      <c r="G294" s="13"/>
      <c r="I294" s="298"/>
      <c r="J294" s="21"/>
      <c r="K294" s="21"/>
      <c r="L294" s="13"/>
      <c r="M294" s="50"/>
      <c r="N294" s="97"/>
      <c r="O294" s="97"/>
      <c r="P294" s="387"/>
      <c r="Q294" s="417"/>
      <c r="T294" s="13"/>
      <c r="U294" s="370"/>
      <c r="V294" s="370"/>
      <c r="W294" s="375"/>
      <c r="X294" s="374"/>
      <c r="Y294" s="370"/>
      <c r="Z294" s="376"/>
      <c r="AA294" s="371"/>
      <c r="AB294" s="673"/>
      <c r="AC294" s="270"/>
      <c r="AD294" s="372"/>
      <c r="AE294" s="270"/>
      <c r="AF294" s="270"/>
      <c r="AG294" s="270"/>
      <c r="AH294" s="272"/>
      <c r="AI294" s="313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06"/>
      <c r="C295" s="233"/>
      <c r="D295" s="233"/>
      <c r="F295" s="13"/>
      <c r="G295" s="13"/>
      <c r="I295" s="298"/>
      <c r="J295" s="21"/>
      <c r="K295" s="21"/>
      <c r="L295" s="13"/>
      <c r="M295" s="50"/>
      <c r="N295" s="97"/>
      <c r="O295" s="97"/>
      <c r="P295" s="388"/>
      <c r="Q295" s="417"/>
      <c r="T295" s="13"/>
      <c r="U295" s="370"/>
      <c r="V295" s="370"/>
      <c r="W295" s="375"/>
      <c r="X295" s="374"/>
      <c r="Y295" s="370"/>
      <c r="Z295" s="376"/>
      <c r="AA295" s="371"/>
      <c r="AB295" s="673"/>
      <c r="AC295" s="270"/>
      <c r="AD295" s="372"/>
      <c r="AE295" s="270"/>
      <c r="AF295" s="270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x14ac:dyDescent="0.2">
      <c r="A296" s="48"/>
      <c r="B296" s="306"/>
      <c r="C296" s="233"/>
      <c r="D296" s="233"/>
      <c r="F296" s="13"/>
      <c r="G296" s="13"/>
      <c r="I296" s="298"/>
      <c r="J296" s="21"/>
      <c r="K296" s="21"/>
      <c r="L296" s="13"/>
      <c r="M296" s="50"/>
      <c r="N296" s="97"/>
      <c r="O296" s="97"/>
      <c r="P296" s="296"/>
      <c r="Q296" s="316"/>
      <c r="R296" s="362"/>
      <c r="S296" s="291"/>
      <c r="T296" s="13"/>
      <c r="U296" s="370"/>
      <c r="V296" s="370"/>
      <c r="W296" s="375"/>
      <c r="X296" s="374"/>
      <c r="Y296" s="370"/>
      <c r="Z296" s="376"/>
      <c r="AA296" s="371"/>
      <c r="AB296" s="673"/>
      <c r="AC296" s="270"/>
      <c r="AD296" s="372"/>
      <c r="AE296" s="270"/>
      <c r="AF296" s="270"/>
      <c r="AG296" s="270"/>
      <c r="AH296" s="272"/>
      <c r="AI296" s="313"/>
      <c r="AJ296" s="21"/>
      <c r="AK296" s="21"/>
      <c r="AL296" s="21"/>
      <c r="AM296" s="21"/>
      <c r="AN296" s="21"/>
      <c r="AO296" s="21"/>
    </row>
    <row r="297" spans="1:41" s="53" customFormat="1" x14ac:dyDescent="0.2">
      <c r="A297" s="48"/>
      <c r="B297" s="306"/>
      <c r="C297" s="233"/>
      <c r="D297" s="233"/>
      <c r="F297" s="13"/>
      <c r="G297" s="13"/>
      <c r="I297" s="298"/>
      <c r="J297" s="21"/>
      <c r="K297" s="21"/>
      <c r="L297" s="13"/>
      <c r="M297" s="50"/>
      <c r="N297" s="97"/>
      <c r="O297" s="97"/>
      <c r="P297" s="296"/>
      <c r="Q297" s="421"/>
      <c r="R297" s="362"/>
      <c r="S297" s="291"/>
      <c r="T297" s="13"/>
      <c r="U297" s="370"/>
      <c r="V297" s="370"/>
      <c r="W297" s="375"/>
      <c r="X297" s="374"/>
      <c r="Y297" s="370"/>
      <c r="Z297" s="376"/>
      <c r="AA297" s="371"/>
      <c r="AB297" s="673"/>
      <c r="AC297" s="270"/>
      <c r="AD297" s="372"/>
      <c r="AE297" s="270"/>
      <c r="AF297" s="270"/>
      <c r="AG297" s="270"/>
      <c r="AH297" s="272"/>
      <c r="AI297" s="313"/>
      <c r="AJ297" s="21"/>
      <c r="AK297" s="21"/>
      <c r="AL297" s="21"/>
      <c r="AM297" s="21"/>
      <c r="AN297" s="21"/>
      <c r="AO297" s="21"/>
    </row>
    <row r="298" spans="1:41" s="53" customFormat="1" x14ac:dyDescent="0.2">
      <c r="A298" s="48"/>
      <c r="B298" s="306"/>
      <c r="C298" s="233"/>
      <c r="D298" s="233"/>
      <c r="F298" s="13"/>
      <c r="G298" s="13"/>
      <c r="I298" s="298"/>
      <c r="J298" s="21"/>
      <c r="K298" s="21"/>
      <c r="L298" s="13"/>
      <c r="M298" s="50"/>
      <c r="N298" s="97"/>
      <c r="O298" s="97"/>
      <c r="P298" s="296"/>
      <c r="Q298" s="421"/>
      <c r="R298" s="362"/>
      <c r="S298" s="291"/>
      <c r="T298" s="13"/>
      <c r="U298" s="370"/>
      <c r="V298" s="370"/>
      <c r="W298" s="375"/>
      <c r="X298" s="374"/>
      <c r="Y298" s="370"/>
      <c r="Z298" s="376"/>
      <c r="AA298" s="371"/>
      <c r="AB298" s="673"/>
      <c r="AC298" s="270"/>
      <c r="AD298" s="372"/>
      <c r="AE298" s="270"/>
      <c r="AF298" s="270"/>
      <c r="AG298" s="270"/>
      <c r="AH298" s="272"/>
      <c r="AI298" s="313"/>
      <c r="AJ298" s="21"/>
      <c r="AK298" s="21"/>
      <c r="AL298" s="21"/>
      <c r="AM298" s="21"/>
      <c r="AN298" s="21"/>
      <c r="AO298" s="21"/>
    </row>
    <row r="299" spans="1:41" s="53" customFormat="1" x14ac:dyDescent="0.2">
      <c r="A299" s="48"/>
      <c r="B299" s="306"/>
      <c r="C299" s="233"/>
      <c r="D299" s="233"/>
      <c r="F299" s="13"/>
      <c r="G299" s="13"/>
      <c r="I299" s="298"/>
      <c r="J299" s="21"/>
      <c r="K299" s="21"/>
      <c r="L299" s="13"/>
      <c r="M299" s="50"/>
      <c r="N299" s="97"/>
      <c r="O299" s="97"/>
      <c r="P299" s="296"/>
      <c r="Q299" s="421"/>
      <c r="R299" s="362"/>
      <c r="S299" s="291"/>
      <c r="T299" s="13"/>
      <c r="U299" s="370"/>
      <c r="V299" s="370"/>
      <c r="W299" s="375"/>
      <c r="X299" s="374"/>
      <c r="Y299" s="370"/>
      <c r="Z299" s="376"/>
      <c r="AA299" s="371"/>
      <c r="AB299" s="673"/>
      <c r="AC299" s="270"/>
      <c r="AD299" s="372"/>
      <c r="AE299" s="270"/>
      <c r="AF299" s="270"/>
      <c r="AG299" s="270"/>
      <c r="AH299" s="272"/>
      <c r="AI299" s="313"/>
      <c r="AJ299" s="21"/>
      <c r="AK299" s="21"/>
      <c r="AL299" s="21"/>
      <c r="AM299" s="21"/>
      <c r="AN299" s="21"/>
      <c r="AO299" s="21"/>
    </row>
    <row r="300" spans="1:41" s="53" customFormat="1" x14ac:dyDescent="0.2">
      <c r="A300" s="48"/>
      <c r="B300" s="306"/>
      <c r="C300" s="233"/>
      <c r="D300" s="233"/>
      <c r="F300" s="13"/>
      <c r="G300" s="13"/>
      <c r="I300" s="298"/>
      <c r="J300" s="21"/>
      <c r="K300" s="21"/>
      <c r="L300" s="13"/>
      <c r="M300" s="50"/>
      <c r="N300" s="97"/>
      <c r="O300" s="97"/>
      <c r="P300" s="296"/>
      <c r="Q300" s="421"/>
      <c r="R300" s="383"/>
      <c r="S300" s="21"/>
      <c r="T300" s="13"/>
      <c r="U300" s="370"/>
      <c r="V300" s="370"/>
      <c r="W300" s="375"/>
      <c r="X300" s="374"/>
      <c r="Y300" s="370"/>
      <c r="Z300" s="376"/>
      <c r="AA300" s="371"/>
      <c r="AB300" s="673"/>
      <c r="AC300" s="270"/>
      <c r="AD300" s="372"/>
      <c r="AE300" s="270"/>
      <c r="AF300" s="270"/>
      <c r="AG300" s="270"/>
      <c r="AH300" s="272"/>
      <c r="AI300" s="313"/>
      <c r="AJ300" s="21"/>
      <c r="AK300" s="21"/>
      <c r="AL300" s="21"/>
      <c r="AM300" s="21"/>
      <c r="AN300" s="21"/>
      <c r="AO300" s="21"/>
    </row>
    <row r="301" spans="1:41" s="53" customFormat="1" x14ac:dyDescent="0.2">
      <c r="A301" s="48"/>
      <c r="B301" s="306"/>
      <c r="C301" s="233"/>
      <c r="D301" s="233"/>
      <c r="F301" s="13"/>
      <c r="G301" s="13"/>
      <c r="I301" s="298"/>
      <c r="J301" s="21"/>
      <c r="K301" s="21"/>
      <c r="L301" s="13"/>
      <c r="M301" s="50"/>
      <c r="N301" s="97"/>
      <c r="O301" s="97"/>
      <c r="P301" s="296"/>
      <c r="Q301" s="421"/>
      <c r="R301" s="383"/>
      <c r="S301" s="21"/>
      <c r="T301" s="13"/>
      <c r="U301" s="354"/>
      <c r="V301" s="354"/>
      <c r="W301" s="355"/>
      <c r="X301" s="330"/>
      <c r="Y301" s="354"/>
      <c r="Z301" s="356"/>
      <c r="AA301" s="328"/>
      <c r="AB301" s="673"/>
      <c r="AC301" s="346"/>
      <c r="AD301" s="333"/>
      <c r="AE301" s="346"/>
      <c r="AF301" s="346"/>
      <c r="AG301" s="346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x14ac:dyDescent="0.2">
      <c r="A302" s="48"/>
      <c r="B302" s="306"/>
      <c r="C302" s="233"/>
      <c r="D302" s="233"/>
      <c r="F302" s="13"/>
      <c r="G302" s="13"/>
      <c r="I302" s="298"/>
      <c r="J302" s="21"/>
      <c r="K302" s="21"/>
      <c r="L302" s="13"/>
      <c r="M302" s="50"/>
      <c r="O302" s="97"/>
      <c r="P302" s="296"/>
      <c r="Q302" s="421"/>
      <c r="R302" s="383"/>
      <c r="S302" s="21"/>
      <c r="T302" s="13"/>
      <c r="U302" s="354"/>
      <c r="V302" s="354"/>
      <c r="W302" s="355"/>
      <c r="X302" s="330"/>
      <c r="Y302" s="354"/>
      <c r="Z302" s="356"/>
      <c r="AA302" s="328"/>
      <c r="AB302" s="673"/>
      <c r="AC302" s="346"/>
      <c r="AD302" s="333"/>
      <c r="AE302" s="346"/>
      <c r="AF302" s="346"/>
      <c r="AG302" s="346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x14ac:dyDescent="0.2">
      <c r="A303" s="48"/>
      <c r="B303" s="306"/>
      <c r="C303" s="233"/>
      <c r="D303" s="233"/>
      <c r="F303" s="13"/>
      <c r="G303" s="13"/>
      <c r="I303" s="298"/>
      <c r="J303" s="21"/>
      <c r="K303" s="21"/>
      <c r="L303" s="13"/>
      <c r="M303" s="50"/>
      <c r="O303" s="97"/>
      <c r="P303" s="296"/>
      <c r="Q303" s="421"/>
      <c r="R303" s="383"/>
      <c r="S303" s="21"/>
      <c r="T303" s="13"/>
      <c r="U303" s="381"/>
      <c r="V303" s="381"/>
      <c r="W303" s="375"/>
      <c r="X303" s="374"/>
      <c r="Y303" s="370"/>
      <c r="Z303" s="376"/>
      <c r="AA303" s="371"/>
      <c r="AB303" s="673"/>
      <c r="AC303" s="270"/>
      <c r="AD303" s="372"/>
      <c r="AE303" s="270"/>
      <c r="AF303" s="270"/>
      <c r="AG303" s="270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x14ac:dyDescent="0.2">
      <c r="A304" s="48"/>
      <c r="B304" s="306"/>
      <c r="C304" s="233"/>
      <c r="D304" s="233"/>
      <c r="F304" s="13"/>
      <c r="G304" s="13"/>
      <c r="I304" s="298"/>
      <c r="J304" s="21"/>
      <c r="K304" s="21"/>
      <c r="L304" s="13"/>
      <c r="M304" s="50"/>
      <c r="N304" s="97"/>
      <c r="O304" s="97"/>
      <c r="P304" s="296"/>
      <c r="Q304" s="421"/>
      <c r="R304" s="383"/>
      <c r="S304" s="21"/>
      <c r="T304" s="13"/>
      <c r="U304" s="381"/>
      <c r="V304" s="381"/>
      <c r="W304" s="375"/>
      <c r="X304" s="374"/>
      <c r="Y304" s="370"/>
      <c r="Z304" s="376"/>
      <c r="AA304" s="371"/>
      <c r="AB304" s="673"/>
      <c r="AC304" s="270"/>
      <c r="AD304" s="372"/>
      <c r="AE304" s="270"/>
      <c r="AF304" s="270"/>
      <c r="AG304" s="270"/>
      <c r="AH304" s="272"/>
      <c r="AI304" s="389"/>
      <c r="AJ304" s="21"/>
      <c r="AK304" s="21"/>
      <c r="AL304" s="21"/>
      <c r="AM304" s="21"/>
      <c r="AN304" s="21"/>
      <c r="AO304" s="21"/>
    </row>
    <row r="305" spans="1:41" s="53" customFormat="1" x14ac:dyDescent="0.2">
      <c r="A305" s="48"/>
      <c r="B305" s="306"/>
      <c r="C305" s="233"/>
      <c r="D305" s="233"/>
      <c r="F305" s="13"/>
      <c r="G305" s="13"/>
      <c r="I305" s="298"/>
      <c r="J305" s="21"/>
      <c r="K305" s="21"/>
      <c r="L305" s="13"/>
      <c r="M305" s="50"/>
      <c r="N305" s="97"/>
      <c r="O305" s="97"/>
      <c r="P305" s="296"/>
      <c r="Q305" s="421"/>
      <c r="R305" s="383"/>
      <c r="S305" s="21"/>
      <c r="T305" s="13"/>
      <c r="U305" s="381"/>
      <c r="V305" s="381"/>
      <c r="W305" s="375"/>
      <c r="X305" s="374"/>
      <c r="Y305" s="370"/>
      <c r="Z305" s="376"/>
      <c r="AA305" s="371"/>
      <c r="AB305" s="673"/>
      <c r="AC305" s="270"/>
      <c r="AD305" s="372"/>
      <c r="AE305" s="270"/>
      <c r="AF305" s="270"/>
      <c r="AG305" s="270"/>
      <c r="AH305" s="272"/>
      <c r="AI305" s="1"/>
      <c r="AJ305" s="21"/>
      <c r="AK305" s="21"/>
      <c r="AL305" s="21"/>
      <c r="AM305" s="21"/>
      <c r="AN305" s="21"/>
      <c r="AO305" s="21"/>
    </row>
    <row r="306" spans="1:41" s="53" customFormat="1" x14ac:dyDescent="0.2">
      <c r="A306" s="48"/>
      <c r="B306" s="306"/>
      <c r="C306" s="233"/>
      <c r="D306" s="233"/>
      <c r="F306" s="13"/>
      <c r="G306" s="13"/>
      <c r="I306" s="298"/>
      <c r="J306" s="21"/>
      <c r="K306" s="21"/>
      <c r="L306" s="13"/>
      <c r="M306" s="50"/>
      <c r="N306" s="97"/>
      <c r="O306" s="97"/>
      <c r="P306" s="296"/>
      <c r="Q306" s="421"/>
      <c r="R306" s="383"/>
      <c r="S306" s="21"/>
      <c r="T306" s="13"/>
      <c r="U306" s="381"/>
      <c r="V306" s="381"/>
      <c r="W306" s="375"/>
      <c r="X306" s="374"/>
      <c r="Y306" s="370"/>
      <c r="Z306" s="376"/>
      <c r="AA306" s="371"/>
      <c r="AB306" s="673"/>
      <c r="AC306" s="270"/>
      <c r="AD306" s="372"/>
      <c r="AE306" s="270"/>
      <c r="AF306" s="270"/>
      <c r="AG306" s="270"/>
      <c r="AH306" s="272"/>
      <c r="AI306" s="1"/>
      <c r="AJ306" s="21"/>
      <c r="AK306" s="21"/>
      <c r="AL306" s="21"/>
      <c r="AM306" s="21"/>
      <c r="AN306" s="21"/>
      <c r="AO306" s="21"/>
    </row>
    <row r="307" spans="1:41" s="53" customFormat="1" x14ac:dyDescent="0.2">
      <c r="A307" s="48"/>
      <c r="B307" s="306"/>
      <c r="C307" s="233"/>
      <c r="D307" s="233"/>
      <c r="F307" s="13"/>
      <c r="G307" s="13"/>
      <c r="I307" s="298"/>
      <c r="J307" s="21"/>
      <c r="K307" s="21"/>
      <c r="L307" s="13"/>
      <c r="M307" s="50"/>
      <c r="N307" s="97"/>
      <c r="O307" s="97"/>
      <c r="P307" s="296"/>
      <c r="Q307" s="421"/>
      <c r="R307" s="383"/>
      <c r="S307" s="21"/>
      <c r="T307" s="13"/>
      <c r="U307" s="381"/>
      <c r="V307" s="381"/>
      <c r="W307" s="375"/>
      <c r="X307" s="374"/>
      <c r="Y307" s="370"/>
      <c r="Z307" s="376"/>
      <c r="AA307" s="371"/>
      <c r="AB307" s="673"/>
      <c r="AC307" s="270"/>
      <c r="AD307" s="372"/>
      <c r="AE307" s="270"/>
      <c r="AF307" s="270"/>
      <c r="AG307" s="270"/>
      <c r="AH307" s="272"/>
      <c r="AI307" s="1"/>
      <c r="AJ307" s="21"/>
      <c r="AK307" s="21"/>
      <c r="AL307" s="21"/>
      <c r="AM307" s="21"/>
      <c r="AN307" s="21"/>
      <c r="AO307" s="21"/>
    </row>
    <row r="308" spans="1:41" s="53" customFormat="1" x14ac:dyDescent="0.2">
      <c r="A308" s="48"/>
      <c r="B308" s="306"/>
      <c r="C308" s="233"/>
      <c r="D308" s="233"/>
      <c r="F308" s="13"/>
      <c r="G308" s="13"/>
      <c r="I308" s="298"/>
      <c r="J308" s="21"/>
      <c r="K308" s="21"/>
      <c r="L308" s="13"/>
      <c r="M308" s="50"/>
      <c r="O308" s="97"/>
      <c r="P308" s="296"/>
      <c r="Q308" s="421"/>
      <c r="R308" s="383"/>
      <c r="S308" s="21"/>
      <c r="T308" s="13"/>
      <c r="U308" s="381"/>
      <c r="V308" s="381"/>
      <c r="W308" s="375"/>
      <c r="X308" s="374"/>
      <c r="Y308" s="370"/>
      <c r="Z308" s="376"/>
      <c r="AA308" s="371"/>
      <c r="AB308" s="673"/>
      <c r="AC308" s="270"/>
      <c r="AD308" s="372"/>
      <c r="AE308" s="270"/>
      <c r="AF308" s="270"/>
      <c r="AG308" s="270"/>
      <c r="AH308" s="272"/>
      <c r="AI308" s="1"/>
      <c r="AJ308" s="21"/>
      <c r="AK308" s="21"/>
      <c r="AL308" s="21"/>
      <c r="AM308" s="21"/>
      <c r="AN308" s="21"/>
      <c r="AO308" s="21"/>
    </row>
    <row r="309" spans="1:41" s="53" customFormat="1" x14ac:dyDescent="0.2">
      <c r="A309" s="48"/>
      <c r="B309" s="306"/>
      <c r="C309" s="233"/>
      <c r="D309" s="233"/>
      <c r="F309" s="13"/>
      <c r="G309" s="13"/>
      <c r="I309" s="298"/>
      <c r="J309" s="21"/>
      <c r="K309" s="21"/>
      <c r="L309" s="13"/>
      <c r="M309" s="50"/>
      <c r="N309" s="97"/>
      <c r="O309" s="97"/>
      <c r="P309" s="296"/>
      <c r="Q309" s="421"/>
      <c r="R309" s="383"/>
      <c r="S309" s="21"/>
      <c r="T309" s="13"/>
      <c r="U309" s="381"/>
      <c r="V309" s="381"/>
      <c r="W309" s="375"/>
      <c r="X309" s="374"/>
      <c r="Y309" s="370"/>
      <c r="Z309" s="376"/>
      <c r="AA309" s="371"/>
      <c r="AB309" s="673"/>
      <c r="AC309" s="270"/>
      <c r="AD309" s="372"/>
      <c r="AE309" s="270"/>
      <c r="AF309" s="270"/>
      <c r="AG309" s="270"/>
      <c r="AH309" s="272"/>
      <c r="AI309" s="1"/>
      <c r="AJ309" s="21"/>
      <c r="AK309" s="21"/>
      <c r="AL309" s="21"/>
      <c r="AM309" s="21"/>
      <c r="AN309" s="21"/>
      <c r="AO309" s="21"/>
    </row>
    <row r="310" spans="1:41" s="53" customFormat="1" x14ac:dyDescent="0.2">
      <c r="A310" s="48"/>
      <c r="B310" s="306"/>
      <c r="C310" s="233"/>
      <c r="D310" s="233"/>
      <c r="F310" s="13"/>
      <c r="G310" s="13"/>
      <c r="I310" s="298"/>
      <c r="J310" s="21"/>
      <c r="K310" s="21"/>
      <c r="L310" s="13"/>
      <c r="M310" s="50"/>
      <c r="N310" s="97"/>
      <c r="O310" s="97"/>
      <c r="P310" s="296"/>
      <c r="Q310" s="421"/>
      <c r="R310" s="383"/>
      <c r="S310" s="21"/>
      <c r="T310" s="13"/>
      <c r="U310" s="381"/>
      <c r="V310" s="381"/>
      <c r="W310" s="375"/>
      <c r="X310" s="374"/>
      <c r="Y310" s="370"/>
      <c r="Z310" s="376"/>
      <c r="AA310" s="371"/>
      <c r="AB310" s="673"/>
      <c r="AC310" s="270"/>
      <c r="AD310" s="372"/>
      <c r="AE310" s="270"/>
      <c r="AF310" s="270"/>
      <c r="AG310" s="270"/>
      <c r="AH310" s="272"/>
      <c r="AI310" s="1"/>
      <c r="AJ310" s="21"/>
      <c r="AK310" s="21"/>
      <c r="AL310" s="21"/>
      <c r="AM310" s="21"/>
      <c r="AN310" s="21"/>
      <c r="AO310" s="21"/>
    </row>
    <row r="311" spans="1:41" s="53" customFormat="1" x14ac:dyDescent="0.2">
      <c r="A311" s="48"/>
      <c r="B311" s="306"/>
      <c r="C311" s="233"/>
      <c r="D311" s="233"/>
      <c r="F311" s="13"/>
      <c r="G311" s="13"/>
      <c r="I311" s="298"/>
      <c r="J311" s="21"/>
      <c r="K311" s="21"/>
      <c r="L311" s="13"/>
      <c r="M311" s="50"/>
      <c r="N311" s="97"/>
      <c r="O311" s="97"/>
      <c r="P311" s="296"/>
      <c r="Q311" s="421"/>
      <c r="R311" s="383"/>
      <c r="S311" s="21"/>
      <c r="T311" s="13"/>
      <c r="U311" s="381"/>
      <c r="V311" s="381"/>
      <c r="W311" s="375"/>
      <c r="X311" s="374"/>
      <c r="Y311" s="370"/>
      <c r="Z311" s="376"/>
      <c r="AA311" s="371"/>
      <c r="AB311" s="673"/>
      <c r="AC311" s="270"/>
      <c r="AD311" s="372"/>
      <c r="AE311" s="270"/>
      <c r="AF311" s="270"/>
      <c r="AG311" s="270"/>
      <c r="AH311" s="272"/>
      <c r="AI311" s="1"/>
      <c r="AJ311" s="21"/>
      <c r="AK311" s="21"/>
      <c r="AL311" s="21"/>
      <c r="AM311" s="21"/>
      <c r="AN311" s="21"/>
      <c r="AO311" s="21"/>
    </row>
    <row r="312" spans="1:41" s="53" customFormat="1" x14ac:dyDescent="0.2">
      <c r="A312" s="48"/>
      <c r="B312" s="306"/>
      <c r="C312" s="233"/>
      <c r="D312" s="233"/>
      <c r="F312" s="13"/>
      <c r="G312" s="13"/>
      <c r="I312" s="298"/>
      <c r="J312" s="21"/>
      <c r="K312" s="21"/>
      <c r="L312" s="13"/>
      <c r="M312" s="50"/>
      <c r="N312" s="97"/>
      <c r="O312" s="97"/>
      <c r="P312" s="296"/>
      <c r="Q312" s="421"/>
      <c r="R312" s="383"/>
      <c r="S312" s="21"/>
      <c r="T312" s="13"/>
      <c r="U312" s="381"/>
      <c r="V312" s="381"/>
      <c r="W312" s="375"/>
      <c r="X312" s="374"/>
      <c r="Y312" s="370"/>
      <c r="Z312" s="376"/>
      <c r="AA312" s="371"/>
      <c r="AB312" s="673"/>
      <c r="AC312" s="270"/>
      <c r="AD312" s="372"/>
      <c r="AE312" s="270"/>
      <c r="AF312" s="270"/>
      <c r="AG312" s="270"/>
      <c r="AH312" s="272"/>
      <c r="AI312" s="1"/>
      <c r="AJ312" s="21"/>
      <c r="AK312" s="21"/>
      <c r="AL312" s="21"/>
      <c r="AM312" s="21"/>
      <c r="AN312" s="21"/>
      <c r="AO312" s="21"/>
    </row>
    <row r="313" spans="1:41" s="53" customFormat="1" x14ac:dyDescent="0.2">
      <c r="A313" s="48"/>
      <c r="B313" s="306"/>
      <c r="C313" s="233"/>
      <c r="D313" s="233"/>
      <c r="F313" s="13"/>
      <c r="G313" s="13"/>
      <c r="I313" s="298"/>
      <c r="J313" s="21"/>
      <c r="K313" s="21"/>
      <c r="L313" s="13"/>
      <c r="M313" s="50"/>
      <c r="N313" s="97"/>
      <c r="O313" s="97"/>
      <c r="P313" s="296"/>
      <c r="Q313" s="421"/>
      <c r="R313" s="383"/>
      <c r="S313" s="1"/>
      <c r="T313" s="13"/>
      <c r="U313" s="381"/>
      <c r="V313" s="381"/>
      <c r="W313" s="375"/>
      <c r="X313" s="374"/>
      <c r="Y313" s="370"/>
      <c r="Z313" s="376"/>
      <c r="AA313" s="371"/>
      <c r="AB313" s="673"/>
      <c r="AC313" s="270"/>
      <c r="AD313" s="372"/>
      <c r="AE313" s="270"/>
      <c r="AF313" s="270"/>
      <c r="AG313" s="270"/>
      <c r="AH313" s="272"/>
      <c r="AI313" s="1"/>
      <c r="AJ313" s="21"/>
      <c r="AK313" s="21"/>
      <c r="AL313" s="21"/>
      <c r="AM313" s="21"/>
      <c r="AN313" s="21"/>
      <c r="AO313" s="21"/>
    </row>
    <row r="314" spans="1:41" s="53" customFormat="1" x14ac:dyDescent="0.2">
      <c r="A314" s="48"/>
      <c r="B314" s="306"/>
      <c r="C314" s="233"/>
      <c r="D314" s="233"/>
      <c r="F314" s="13"/>
      <c r="G314" s="13"/>
      <c r="I314" s="298"/>
      <c r="J314" s="21"/>
      <c r="K314" s="21"/>
      <c r="L314" s="13"/>
      <c r="M314" s="50"/>
      <c r="N314" s="97"/>
      <c r="O314" s="97"/>
      <c r="P314" s="296"/>
      <c r="Q314" s="421"/>
      <c r="R314" s="383"/>
      <c r="S314" s="21"/>
      <c r="T314" s="13"/>
      <c r="U314" s="381"/>
      <c r="V314" s="381"/>
      <c r="W314" s="375"/>
      <c r="X314" s="374"/>
      <c r="Y314" s="370"/>
      <c r="Z314" s="376"/>
      <c r="AA314" s="371"/>
      <c r="AB314" s="673"/>
      <c r="AC314" s="270"/>
      <c r="AD314" s="372"/>
      <c r="AE314" s="270"/>
      <c r="AF314" s="270"/>
      <c r="AG314" s="270"/>
      <c r="AH314" s="272"/>
      <c r="AI314" s="1"/>
      <c r="AJ314" s="21"/>
      <c r="AK314" s="21"/>
      <c r="AL314" s="21"/>
      <c r="AM314" s="21"/>
      <c r="AN314" s="21"/>
      <c r="AO314" s="21"/>
    </row>
    <row r="315" spans="1:41" s="53" customFormat="1" x14ac:dyDescent="0.2">
      <c r="A315" s="48"/>
      <c r="B315" s="306"/>
      <c r="C315" s="233"/>
      <c r="D315" s="233"/>
      <c r="F315" s="13"/>
      <c r="G315" s="13"/>
      <c r="I315" s="298"/>
      <c r="J315" s="21"/>
      <c r="K315" s="21"/>
      <c r="L315" s="13"/>
      <c r="M315" s="50"/>
      <c r="N315" s="97"/>
      <c r="O315" s="97"/>
      <c r="P315" s="296"/>
      <c r="Q315" s="421"/>
      <c r="R315" s="383"/>
      <c r="S315" s="21"/>
      <c r="T315" s="13"/>
      <c r="U315" s="381"/>
      <c r="V315" s="381"/>
      <c r="W315" s="375"/>
      <c r="X315" s="374"/>
      <c r="Y315" s="370"/>
      <c r="Z315" s="376"/>
      <c r="AA315" s="371"/>
      <c r="AB315" s="673"/>
      <c r="AC315" s="270"/>
      <c r="AD315" s="372"/>
      <c r="AE315" s="270"/>
      <c r="AF315" s="270"/>
      <c r="AG315" s="270"/>
      <c r="AH315" s="272"/>
      <c r="AI315" s="1"/>
      <c r="AJ315" s="21"/>
      <c r="AK315" s="21"/>
      <c r="AL315" s="21"/>
      <c r="AM315" s="21"/>
      <c r="AN315" s="21"/>
      <c r="AO315" s="21"/>
    </row>
    <row r="316" spans="1:41" s="53" customFormat="1" x14ac:dyDescent="0.2">
      <c r="A316" s="48"/>
      <c r="B316" s="306"/>
      <c r="C316" s="233"/>
      <c r="D316" s="233"/>
      <c r="F316" s="13"/>
      <c r="G316" s="13"/>
      <c r="I316" s="298"/>
      <c r="J316" s="21"/>
      <c r="K316" s="21"/>
      <c r="L316" s="13"/>
      <c r="M316" s="50"/>
      <c r="N316" s="97"/>
      <c r="O316" s="97"/>
      <c r="P316" s="296"/>
      <c r="Q316" s="421"/>
      <c r="R316" s="383"/>
      <c r="S316" s="21"/>
      <c r="T316" s="13"/>
      <c r="U316" s="381"/>
      <c r="V316" s="381"/>
      <c r="W316" s="375"/>
      <c r="X316" s="374"/>
      <c r="Y316" s="370"/>
      <c r="Z316" s="376"/>
      <c r="AA316" s="371"/>
      <c r="AB316" s="673"/>
      <c r="AC316" s="270"/>
      <c r="AD316" s="372"/>
      <c r="AE316" s="270"/>
      <c r="AF316" s="270"/>
      <c r="AG316" s="270"/>
      <c r="AH316" s="272"/>
      <c r="AI316" s="1"/>
      <c r="AJ316" s="21"/>
      <c r="AK316" s="21"/>
      <c r="AL316" s="21"/>
      <c r="AM316" s="21"/>
      <c r="AN316" s="21"/>
      <c r="AO316" s="21"/>
    </row>
    <row r="317" spans="1:41" s="53" customFormat="1" x14ac:dyDescent="0.2">
      <c r="A317" s="48"/>
      <c r="B317" s="306"/>
      <c r="C317" s="233"/>
      <c r="D317" s="233"/>
      <c r="F317" s="13"/>
      <c r="G317" s="13"/>
      <c r="I317" s="298"/>
      <c r="J317" s="21"/>
      <c r="K317" s="21"/>
      <c r="L317" s="13"/>
      <c r="M317" s="50"/>
      <c r="N317" s="97"/>
      <c r="O317" s="97"/>
      <c r="P317" s="296"/>
      <c r="Q317" s="421"/>
      <c r="R317" s="383"/>
      <c r="S317" s="21"/>
      <c r="T317" s="13"/>
      <c r="U317" s="381"/>
      <c r="V317" s="381"/>
      <c r="W317" s="375"/>
      <c r="X317" s="374"/>
      <c r="Y317" s="370"/>
      <c r="Z317" s="376"/>
      <c r="AA317" s="371"/>
      <c r="AB317" s="673"/>
      <c r="AC317" s="270"/>
      <c r="AD317" s="372"/>
      <c r="AE317" s="270"/>
      <c r="AF317" s="270"/>
      <c r="AG317" s="270"/>
      <c r="AH317" s="272"/>
      <c r="AI317" s="1"/>
      <c r="AJ317" s="21"/>
      <c r="AK317" s="21"/>
      <c r="AL317" s="21"/>
      <c r="AM317" s="21"/>
      <c r="AN317" s="21"/>
      <c r="AO317" s="21"/>
    </row>
    <row r="318" spans="1:41" s="53" customFormat="1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N318" s="97"/>
      <c r="O318" s="97"/>
      <c r="P318" s="296"/>
      <c r="Q318" s="421"/>
      <c r="R318" s="383"/>
      <c r="S318" s="21"/>
      <c r="T318" s="13"/>
      <c r="U318" s="381"/>
      <c r="V318" s="381"/>
      <c r="W318" s="375"/>
      <c r="X318" s="374"/>
      <c r="Y318" s="370"/>
      <c r="Z318" s="376"/>
      <c r="AA318" s="371"/>
      <c r="AB318" s="673"/>
      <c r="AC318" s="270"/>
      <c r="AD318" s="372"/>
      <c r="AE318" s="270"/>
      <c r="AF318" s="270"/>
      <c r="AG318" s="270"/>
      <c r="AH318" s="272"/>
      <c r="AI318" s="1"/>
      <c r="AJ318" s="21"/>
      <c r="AK318" s="21"/>
      <c r="AL318" s="21"/>
      <c r="AM318" s="21"/>
      <c r="AN318" s="21"/>
      <c r="AO318" s="21"/>
    </row>
    <row r="319" spans="1:41" s="53" customFormat="1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N319" s="97"/>
      <c r="O319" s="97"/>
      <c r="P319" s="296"/>
      <c r="Q319" s="421"/>
      <c r="R319" s="383"/>
      <c r="S319" s="21"/>
      <c r="T319" s="13"/>
      <c r="U319" s="381"/>
      <c r="V319" s="381"/>
      <c r="W319" s="375"/>
      <c r="X319" s="374"/>
      <c r="Y319" s="370"/>
      <c r="Z319" s="376"/>
      <c r="AA319" s="371"/>
      <c r="AB319" s="673"/>
      <c r="AC319" s="270"/>
      <c r="AD319" s="372"/>
      <c r="AE319" s="270"/>
      <c r="AF319" s="270"/>
      <c r="AG319" s="270"/>
      <c r="AH319" s="272"/>
      <c r="AI319" s="1"/>
      <c r="AJ319" s="21"/>
      <c r="AK319" s="21"/>
      <c r="AL319" s="21"/>
      <c r="AM319" s="21"/>
      <c r="AN319" s="21"/>
      <c r="AO319" s="21"/>
    </row>
    <row r="320" spans="1:41" s="53" customFormat="1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N320" s="97"/>
      <c r="O320" s="97"/>
      <c r="P320" s="296"/>
      <c r="Q320" s="421"/>
      <c r="R320" s="383"/>
      <c r="S320" s="21"/>
      <c r="T320" s="13"/>
      <c r="U320" s="381"/>
      <c r="V320" s="381"/>
      <c r="W320" s="375"/>
      <c r="X320" s="374"/>
      <c r="Y320" s="370"/>
      <c r="Z320" s="376"/>
      <c r="AA320" s="371"/>
      <c r="AB320" s="673"/>
      <c r="AC320" s="270"/>
      <c r="AD320" s="372"/>
      <c r="AE320" s="270"/>
      <c r="AF320" s="270"/>
      <c r="AG320" s="270"/>
      <c r="AH320" s="272"/>
      <c r="AI320" s="1"/>
      <c r="AJ320" s="21"/>
      <c r="AK320" s="21"/>
      <c r="AL320" s="21"/>
      <c r="AM320" s="21"/>
      <c r="AN320" s="21"/>
      <c r="AO320" s="21"/>
    </row>
    <row r="321" spans="1:41" s="53" customFormat="1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97"/>
      <c r="P321" s="296"/>
      <c r="Q321" s="421"/>
      <c r="R321" s="383"/>
      <c r="S321" s="21"/>
      <c r="T321" s="13"/>
      <c r="U321" s="381"/>
      <c r="V321" s="381"/>
      <c r="W321" s="375"/>
      <c r="X321" s="374"/>
      <c r="Y321" s="370"/>
      <c r="Z321" s="376"/>
      <c r="AA321" s="371"/>
      <c r="AB321" s="673"/>
      <c r="AC321" s="270"/>
      <c r="AD321" s="372"/>
      <c r="AE321" s="270"/>
      <c r="AF321" s="270"/>
      <c r="AG321" s="270"/>
      <c r="AH321" s="272"/>
      <c r="AI321" s="1"/>
      <c r="AJ321" s="21"/>
      <c r="AK321" s="21"/>
      <c r="AL321" s="21"/>
      <c r="AM321" s="21"/>
      <c r="AN321" s="21"/>
      <c r="AO321" s="21"/>
    </row>
    <row r="322" spans="1:41" s="53" customFormat="1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97"/>
      <c r="P322" s="296"/>
      <c r="Q322" s="421"/>
      <c r="R322" s="383"/>
      <c r="S322" s="21"/>
      <c r="T322" s="13"/>
      <c r="U322" s="381"/>
      <c r="V322" s="381"/>
      <c r="W322" s="375"/>
      <c r="X322" s="374"/>
      <c r="Y322" s="370"/>
      <c r="Z322" s="376"/>
      <c r="AA322" s="371"/>
      <c r="AB322" s="673"/>
      <c r="AC322" s="270"/>
      <c r="AD322" s="372"/>
      <c r="AE322" s="270"/>
      <c r="AF322" s="270"/>
      <c r="AG322" s="270"/>
      <c r="AH322" s="272"/>
      <c r="AI322" s="1"/>
      <c r="AJ322" s="21"/>
      <c r="AK322" s="21"/>
      <c r="AL322" s="21"/>
      <c r="AM322" s="21"/>
      <c r="AN322" s="21"/>
      <c r="AO322" s="21"/>
    </row>
    <row r="323" spans="1:41" s="53" customFormat="1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97"/>
      <c r="P323" s="296"/>
      <c r="Q323" s="421"/>
      <c r="R323" s="383"/>
      <c r="S323" s="21"/>
      <c r="T323" s="13"/>
      <c r="U323" s="381"/>
      <c r="V323" s="381"/>
      <c r="W323" s="375"/>
      <c r="X323" s="374"/>
      <c r="Y323" s="370"/>
      <c r="Z323" s="376"/>
      <c r="AA323" s="371"/>
      <c r="AB323" s="673"/>
      <c r="AC323" s="270"/>
      <c r="AD323" s="372"/>
      <c r="AE323" s="270"/>
      <c r="AF323" s="270"/>
      <c r="AG323" s="270"/>
      <c r="AH323" s="272"/>
      <c r="AI323" s="1"/>
      <c r="AJ323" s="21"/>
      <c r="AK323" s="21"/>
      <c r="AL323" s="21"/>
      <c r="AM323" s="21"/>
      <c r="AN323" s="21"/>
      <c r="AO323" s="21"/>
    </row>
    <row r="324" spans="1:41" s="53" customFormat="1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97"/>
      <c r="P324" s="296"/>
      <c r="Q324" s="421"/>
      <c r="R324" s="383"/>
      <c r="S324" s="21"/>
      <c r="T324" s="13"/>
      <c r="U324" s="381"/>
      <c r="V324" s="381"/>
      <c r="W324" s="375"/>
      <c r="X324" s="374"/>
      <c r="Y324" s="370"/>
      <c r="Z324" s="376"/>
      <c r="AA324" s="371"/>
      <c r="AB324" s="673"/>
      <c r="AC324" s="270"/>
      <c r="AD324" s="372"/>
      <c r="AE324" s="270"/>
      <c r="AF324" s="270"/>
      <c r="AG324" s="270"/>
      <c r="AH324" s="272"/>
      <c r="AI324" s="1"/>
      <c r="AJ324" s="21"/>
      <c r="AK324" s="21"/>
      <c r="AL324" s="21"/>
      <c r="AM324" s="21"/>
      <c r="AN324" s="21"/>
      <c r="AO324" s="21"/>
    </row>
    <row r="325" spans="1:41" s="53" customFormat="1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97"/>
      <c r="P325" s="296"/>
      <c r="Q325" s="421"/>
      <c r="R325" s="383"/>
      <c r="S325" s="21"/>
      <c r="T325" s="13"/>
      <c r="U325" s="381"/>
      <c r="V325" s="381"/>
      <c r="W325" s="375"/>
      <c r="X325" s="374"/>
      <c r="Y325" s="370"/>
      <c r="Z325" s="376"/>
      <c r="AA325" s="371"/>
      <c r="AB325" s="673"/>
      <c r="AC325" s="270"/>
      <c r="AD325" s="372"/>
      <c r="AE325" s="270"/>
      <c r="AF325" s="270"/>
      <c r="AG325" s="270"/>
      <c r="AH325" s="272"/>
      <c r="AI325" s="1"/>
      <c r="AJ325" s="21"/>
      <c r="AK325" s="21"/>
      <c r="AL325" s="21"/>
      <c r="AM325" s="21"/>
      <c r="AN325" s="21"/>
      <c r="AO325" s="21"/>
    </row>
    <row r="326" spans="1:41" s="53" customFormat="1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97"/>
      <c r="P326" s="296"/>
      <c r="Q326" s="421"/>
      <c r="R326" s="383"/>
      <c r="S326" s="21"/>
      <c r="T326" s="13"/>
      <c r="U326" s="381"/>
      <c r="V326" s="381"/>
      <c r="W326" s="375"/>
      <c r="X326" s="374"/>
      <c r="Y326" s="370"/>
      <c r="Z326" s="376"/>
      <c r="AA326" s="371"/>
      <c r="AB326" s="673"/>
      <c r="AC326" s="270"/>
      <c r="AD326" s="372"/>
      <c r="AE326" s="270"/>
      <c r="AF326" s="270"/>
      <c r="AG326" s="270"/>
      <c r="AH326" s="272"/>
      <c r="AI326" s="1"/>
      <c r="AJ326" s="21"/>
      <c r="AK326" s="21"/>
      <c r="AL326" s="21"/>
      <c r="AM326" s="21"/>
      <c r="AN326" s="21"/>
      <c r="AO326" s="21"/>
    </row>
    <row r="327" spans="1:41" s="53" customFormat="1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97"/>
      <c r="P327" s="296"/>
      <c r="Q327" s="421"/>
      <c r="R327" s="383"/>
      <c r="S327" s="21"/>
      <c r="T327" s="13"/>
      <c r="U327" s="381"/>
      <c r="V327" s="381"/>
      <c r="W327" s="375"/>
      <c r="X327" s="374"/>
      <c r="Y327" s="370"/>
      <c r="Z327" s="376"/>
      <c r="AA327" s="371"/>
      <c r="AB327" s="673"/>
      <c r="AC327" s="270"/>
      <c r="AD327" s="372"/>
      <c r="AE327" s="270"/>
      <c r="AF327" s="270"/>
      <c r="AG327" s="270"/>
      <c r="AH327" s="272"/>
      <c r="AI327" s="1"/>
      <c r="AJ327" s="21"/>
      <c r="AK327" s="21"/>
      <c r="AL327" s="21"/>
      <c r="AM327" s="21"/>
      <c r="AN327" s="21"/>
      <c r="AO327" s="21"/>
    </row>
    <row r="328" spans="1:41" s="53" customFormat="1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97"/>
      <c r="P328" s="296"/>
      <c r="Q328" s="421"/>
      <c r="R328" s="383"/>
      <c r="S328" s="21"/>
      <c r="T328" s="13"/>
      <c r="U328" s="381"/>
      <c r="V328" s="381"/>
      <c r="W328" s="375"/>
      <c r="X328" s="374"/>
      <c r="Y328" s="370"/>
      <c r="Z328" s="376"/>
      <c r="AA328" s="371"/>
      <c r="AB328" s="673"/>
      <c r="AC328" s="270"/>
      <c r="AD328" s="372"/>
      <c r="AE328" s="270"/>
      <c r="AF328" s="270"/>
      <c r="AG328" s="270"/>
      <c r="AH328" s="272"/>
      <c r="AI328" s="1"/>
      <c r="AJ328" s="21"/>
      <c r="AK328" s="21"/>
      <c r="AL328" s="21"/>
      <c r="AM328" s="21"/>
      <c r="AN328" s="21"/>
      <c r="AO328" s="21"/>
    </row>
    <row r="329" spans="1:41" s="53" customFormat="1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50"/>
      <c r="P329" s="296"/>
      <c r="Q329" s="421"/>
      <c r="R329" s="383"/>
      <c r="S329" s="21"/>
      <c r="T329" s="13"/>
      <c r="U329" s="381"/>
      <c r="V329" s="381"/>
      <c r="W329" s="375"/>
      <c r="X329" s="374"/>
      <c r="Y329" s="370"/>
      <c r="Z329" s="376"/>
      <c r="AA329" s="371"/>
      <c r="AB329" s="673"/>
      <c r="AC329" s="270"/>
      <c r="AD329" s="372"/>
      <c r="AE329" s="270"/>
      <c r="AF329" s="270"/>
      <c r="AG329" s="270"/>
      <c r="AH329" s="272"/>
      <c r="AI329" s="1"/>
      <c r="AJ329" s="21"/>
      <c r="AK329" s="21"/>
      <c r="AL329" s="21"/>
      <c r="AM329" s="21"/>
      <c r="AN329" s="21"/>
      <c r="AO329" s="21"/>
    </row>
    <row r="330" spans="1:41" s="53" customFormat="1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50"/>
      <c r="P330" s="296"/>
      <c r="Q330" s="421"/>
      <c r="R330" s="383"/>
      <c r="S330" s="21"/>
      <c r="T330" s="13"/>
      <c r="U330" s="381"/>
      <c r="V330" s="381"/>
      <c r="W330" s="375"/>
      <c r="X330" s="374"/>
      <c r="Y330" s="370"/>
      <c r="Z330" s="376"/>
      <c r="AA330" s="371"/>
      <c r="AB330" s="673"/>
      <c r="AC330" s="270"/>
      <c r="AD330" s="372"/>
      <c r="AE330" s="270"/>
      <c r="AF330" s="270"/>
      <c r="AG330" s="270"/>
      <c r="AH330" s="272"/>
      <c r="AI330" s="1"/>
      <c r="AJ330" s="21"/>
      <c r="AK330" s="21"/>
      <c r="AL330" s="21"/>
      <c r="AM330" s="21"/>
      <c r="AN330" s="21"/>
      <c r="AO330" s="21"/>
    </row>
    <row r="331" spans="1:41" s="53" customFormat="1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50"/>
      <c r="P331" s="296"/>
      <c r="Q331" s="421"/>
      <c r="R331" s="383"/>
      <c r="S331" s="21"/>
      <c r="T331" s="13"/>
      <c r="U331" s="381"/>
      <c r="V331" s="381"/>
      <c r="W331" s="375"/>
      <c r="X331" s="374"/>
      <c r="Y331" s="370"/>
      <c r="Z331" s="376"/>
      <c r="AA331" s="371"/>
      <c r="AB331" s="673"/>
      <c r="AC331" s="270"/>
      <c r="AD331" s="372"/>
      <c r="AE331" s="270"/>
      <c r="AF331" s="270"/>
      <c r="AG331" s="270"/>
      <c r="AH331" s="272"/>
      <c r="AI331" s="1"/>
      <c r="AJ331" s="21"/>
      <c r="AK331" s="21"/>
      <c r="AL331" s="21"/>
      <c r="AM331" s="21"/>
      <c r="AN331" s="21"/>
      <c r="AO331" s="21"/>
    </row>
    <row r="332" spans="1:41" s="53" customFormat="1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50"/>
      <c r="P332" s="296"/>
      <c r="Q332" s="421"/>
      <c r="R332" s="383"/>
      <c r="S332" s="21"/>
      <c r="T332" s="13"/>
      <c r="U332" s="381"/>
      <c r="V332" s="381"/>
      <c r="W332" s="375"/>
      <c r="X332" s="374"/>
      <c r="Y332" s="370"/>
      <c r="Z332" s="376"/>
      <c r="AA332" s="371"/>
      <c r="AB332" s="673"/>
      <c r="AC332" s="270"/>
      <c r="AD332" s="372"/>
      <c r="AE332" s="270"/>
      <c r="AF332" s="270"/>
      <c r="AG332" s="270"/>
      <c r="AH332" s="272"/>
      <c r="AI332" s="1"/>
      <c r="AJ332" s="21"/>
      <c r="AK332" s="21"/>
      <c r="AL332" s="21"/>
      <c r="AM332" s="21"/>
      <c r="AN332" s="21"/>
      <c r="AO332" s="21"/>
    </row>
    <row r="333" spans="1:41" s="53" customFormat="1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50"/>
      <c r="P333" s="296"/>
      <c r="Q333" s="421"/>
      <c r="R333" s="383"/>
      <c r="S333" s="21"/>
      <c r="T333" s="13"/>
      <c r="U333" s="381"/>
      <c r="V333" s="381"/>
      <c r="W333" s="375"/>
      <c r="X333" s="374"/>
      <c r="Y333" s="370"/>
      <c r="Z333" s="376"/>
      <c r="AA333" s="371"/>
      <c r="AB333" s="673"/>
      <c r="AC333" s="270"/>
      <c r="AD333" s="372"/>
      <c r="AE333" s="270"/>
      <c r="AF333" s="270"/>
      <c r="AG333" s="270"/>
      <c r="AH333" s="272"/>
      <c r="AI333" s="1"/>
      <c r="AJ333" s="21"/>
      <c r="AK333" s="21"/>
      <c r="AL333" s="21"/>
      <c r="AM333" s="21"/>
      <c r="AN333" s="21"/>
      <c r="AO333" s="21"/>
    </row>
    <row r="334" spans="1:41" s="53" customFormat="1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50"/>
      <c r="P334" s="296"/>
      <c r="Q334" s="421"/>
      <c r="R334" s="383"/>
      <c r="S334" s="21"/>
      <c r="T334" s="13"/>
      <c r="U334" s="381"/>
      <c r="V334" s="381"/>
      <c r="W334" s="375"/>
      <c r="X334" s="374"/>
      <c r="Y334" s="370"/>
      <c r="Z334" s="376"/>
      <c r="AA334" s="371"/>
      <c r="AB334" s="673"/>
      <c r="AC334" s="270"/>
      <c r="AD334" s="372"/>
      <c r="AE334" s="270"/>
      <c r="AF334" s="270"/>
      <c r="AG334" s="270"/>
      <c r="AH334" s="272"/>
      <c r="AI334" s="1"/>
      <c r="AJ334" s="21"/>
      <c r="AK334" s="21"/>
      <c r="AL334" s="21"/>
      <c r="AM334" s="21"/>
      <c r="AN334" s="21"/>
      <c r="AO334" s="21"/>
    </row>
    <row r="335" spans="1:41" s="53" customFormat="1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50"/>
      <c r="P335" s="296"/>
      <c r="Q335" s="421"/>
      <c r="R335" s="383"/>
      <c r="S335" s="21"/>
      <c r="T335" s="13"/>
      <c r="U335" s="381"/>
      <c r="V335" s="381"/>
      <c r="W335" s="375"/>
      <c r="X335" s="374"/>
      <c r="Y335" s="370"/>
      <c r="Z335" s="376"/>
      <c r="AA335" s="371"/>
      <c r="AB335" s="673"/>
      <c r="AC335" s="270"/>
      <c r="AD335" s="372"/>
      <c r="AE335" s="270"/>
      <c r="AF335" s="270"/>
      <c r="AG335" s="270"/>
      <c r="AH335" s="272"/>
      <c r="AI335" s="1"/>
      <c r="AJ335" s="21"/>
      <c r="AK335" s="21"/>
      <c r="AL335" s="21"/>
      <c r="AM335" s="21"/>
      <c r="AN335" s="21"/>
      <c r="AO335" s="21"/>
    </row>
    <row r="336" spans="1:41" s="53" customFormat="1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50"/>
      <c r="P336" s="296"/>
      <c r="Q336" s="421"/>
      <c r="R336" s="383"/>
      <c r="S336" s="21"/>
      <c r="T336" s="13"/>
      <c r="U336" s="381"/>
      <c r="V336" s="381"/>
      <c r="W336" s="375"/>
      <c r="X336" s="374"/>
      <c r="Y336" s="370"/>
      <c r="Z336" s="376"/>
      <c r="AA336" s="371"/>
      <c r="AB336" s="673"/>
      <c r="AC336" s="270"/>
      <c r="AD336" s="372"/>
      <c r="AE336" s="270"/>
      <c r="AF336" s="270"/>
      <c r="AG336" s="270"/>
      <c r="AH336" s="272"/>
      <c r="AI336" s="1"/>
      <c r="AJ336" s="21"/>
      <c r="AK336" s="21"/>
      <c r="AL336" s="21"/>
      <c r="AM336" s="21"/>
      <c r="AN336" s="21"/>
      <c r="AO336" s="21"/>
    </row>
    <row r="337" spans="1:44" s="53" customFormat="1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50"/>
      <c r="P337" s="296"/>
      <c r="Q337" s="421"/>
      <c r="R337" s="383"/>
      <c r="S337" s="21"/>
      <c r="T337" s="13"/>
      <c r="U337" s="381"/>
      <c r="V337" s="381"/>
      <c r="W337" s="375"/>
      <c r="X337" s="374"/>
      <c r="Y337" s="370"/>
      <c r="Z337" s="376"/>
      <c r="AA337" s="371"/>
      <c r="AB337" s="673"/>
      <c r="AC337" s="270"/>
      <c r="AD337" s="372"/>
      <c r="AE337" s="270"/>
      <c r="AF337" s="270"/>
      <c r="AG337" s="270"/>
      <c r="AH337" s="272"/>
      <c r="AI337" s="1"/>
      <c r="AJ337" s="21"/>
      <c r="AK337" s="21"/>
      <c r="AL337" s="21"/>
      <c r="AM337" s="21"/>
      <c r="AN337" s="21"/>
      <c r="AO337" s="21"/>
    </row>
    <row r="338" spans="1:44" s="53" customFormat="1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50"/>
      <c r="P338" s="296"/>
      <c r="Q338" s="421"/>
      <c r="R338" s="383"/>
      <c r="S338" s="21"/>
      <c r="T338" s="13"/>
      <c r="U338" s="381"/>
      <c r="V338" s="381"/>
      <c r="W338" s="375"/>
      <c r="X338" s="374"/>
      <c r="Y338" s="370"/>
      <c r="Z338" s="376"/>
      <c r="AA338" s="371"/>
      <c r="AB338" s="673"/>
      <c r="AC338" s="270"/>
      <c r="AD338" s="372"/>
      <c r="AE338" s="270"/>
      <c r="AF338" s="270"/>
      <c r="AG338" s="270"/>
      <c r="AH338" s="272"/>
      <c r="AI338" s="1"/>
      <c r="AJ338" s="21"/>
      <c r="AK338" s="21"/>
      <c r="AL338" s="21"/>
      <c r="AM338" s="21"/>
      <c r="AN338" s="21"/>
      <c r="AO338" s="21"/>
    </row>
    <row r="339" spans="1:44" s="53" customFormat="1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50"/>
      <c r="P339" s="296"/>
      <c r="Q339" s="421"/>
      <c r="R339" s="383"/>
      <c r="S339" s="21"/>
      <c r="T339" s="13"/>
      <c r="U339" s="381"/>
      <c r="V339" s="381"/>
      <c r="W339" s="375"/>
      <c r="X339" s="374"/>
      <c r="Y339" s="370"/>
      <c r="Z339" s="376"/>
      <c r="AA339" s="371"/>
      <c r="AB339" s="673"/>
      <c r="AC339" s="270"/>
      <c r="AD339" s="372"/>
      <c r="AE339" s="270"/>
      <c r="AF339" s="270"/>
      <c r="AG339" s="270"/>
      <c r="AH339" s="272"/>
      <c r="AI339" s="1"/>
      <c r="AJ339" s="21"/>
      <c r="AK339" s="21"/>
      <c r="AL339" s="21"/>
      <c r="AM339" s="21"/>
      <c r="AN339" s="21"/>
      <c r="AO339" s="21"/>
    </row>
    <row r="340" spans="1:44" s="53" customFormat="1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50"/>
      <c r="P340" s="296"/>
      <c r="Q340" s="421"/>
      <c r="R340" s="383"/>
      <c r="S340" s="21"/>
      <c r="T340" s="13"/>
      <c r="U340" s="381"/>
      <c r="V340" s="381"/>
      <c r="W340" s="375"/>
      <c r="X340" s="374"/>
      <c r="Y340" s="370"/>
      <c r="Z340" s="376"/>
      <c r="AA340" s="371"/>
      <c r="AB340" s="673"/>
      <c r="AC340" s="270"/>
      <c r="AD340" s="372"/>
      <c r="AE340" s="270"/>
      <c r="AF340" s="270"/>
      <c r="AG340" s="270"/>
      <c r="AH340" s="272"/>
      <c r="AI340" s="1"/>
      <c r="AJ340" s="21"/>
      <c r="AK340" s="21"/>
      <c r="AL340" s="21"/>
      <c r="AM340" s="21"/>
      <c r="AN340" s="21"/>
      <c r="AO340" s="21"/>
    </row>
    <row r="341" spans="1:44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50"/>
      <c r="P341" s="296"/>
      <c r="Q341" s="421"/>
      <c r="R341" s="383"/>
      <c r="S341" s="21"/>
      <c r="T341" s="13"/>
      <c r="U341" s="381"/>
      <c r="V341" s="381"/>
      <c r="W341" s="375"/>
      <c r="X341" s="374"/>
      <c r="Y341" s="370"/>
      <c r="Z341" s="376"/>
      <c r="AA341" s="371"/>
      <c r="AB341" s="673"/>
      <c r="AC341" s="270"/>
      <c r="AD341" s="372"/>
      <c r="AE341" s="270"/>
      <c r="AF341" s="270"/>
      <c r="AG341" s="270"/>
      <c r="AH341" s="272"/>
      <c r="AI341" s="1"/>
      <c r="AJ341" s="21"/>
      <c r="AK341" s="21"/>
      <c r="AL341" s="21"/>
      <c r="AM341" s="21"/>
      <c r="AN341" s="21"/>
      <c r="AO341" s="21"/>
    </row>
    <row r="342" spans="1:44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50"/>
      <c r="P342" s="296"/>
      <c r="Q342" s="421"/>
      <c r="R342" s="383"/>
      <c r="S342" s="21"/>
      <c r="T342" s="13"/>
      <c r="U342" s="381"/>
      <c r="V342" s="381"/>
      <c r="W342" s="375"/>
      <c r="X342" s="374"/>
      <c r="Y342" s="370"/>
      <c r="Z342" s="376"/>
      <c r="AA342" s="371"/>
      <c r="AB342" s="673"/>
      <c r="AC342" s="270"/>
      <c r="AD342" s="372"/>
      <c r="AE342" s="270"/>
      <c r="AF342" s="270"/>
      <c r="AG342" s="270"/>
      <c r="AH342" s="272"/>
      <c r="AI342" s="1"/>
      <c r="AJ342" s="21"/>
      <c r="AK342" s="21"/>
      <c r="AL342" s="21"/>
      <c r="AM342" s="21"/>
      <c r="AN342" s="21"/>
      <c r="AO342" s="21"/>
    </row>
    <row r="343" spans="1:44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50"/>
      <c r="P343" s="296"/>
      <c r="Q343" s="421"/>
      <c r="R343" s="383"/>
      <c r="S343" s="21"/>
      <c r="T343" s="13"/>
      <c r="U343" s="381"/>
      <c r="V343" s="321"/>
      <c r="W343" s="322"/>
      <c r="X343" s="322"/>
      <c r="Y343" s="322"/>
      <c r="Z343" s="323"/>
      <c r="AA343" s="371"/>
      <c r="AB343" s="673"/>
      <c r="AC343" s="371"/>
      <c r="AD343" s="372"/>
      <c r="AE343" s="371"/>
      <c r="AF343" s="371"/>
      <c r="AG343" s="270"/>
      <c r="AH343" s="272"/>
      <c r="AI343" s="1"/>
      <c r="AJ343" s="21"/>
      <c r="AK343" s="21"/>
      <c r="AL343" s="21"/>
      <c r="AM343" s="21"/>
      <c r="AN343" s="21"/>
      <c r="AO343" s="21"/>
    </row>
    <row r="344" spans="1:44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50"/>
      <c r="P344" s="296"/>
      <c r="Q344" s="421"/>
      <c r="R344" s="383"/>
      <c r="S344" s="21"/>
      <c r="T344" s="13"/>
      <c r="U344" s="381"/>
      <c r="V344" s="321"/>
      <c r="W344" s="322"/>
      <c r="X344" s="322"/>
      <c r="Y344" s="322"/>
      <c r="Z344" s="323"/>
      <c r="AA344" s="371"/>
      <c r="AB344" s="673"/>
      <c r="AC344" s="371"/>
      <c r="AD344" s="372"/>
      <c r="AE344" s="371"/>
      <c r="AF344" s="371"/>
      <c r="AG344" s="270"/>
      <c r="AH344" s="272"/>
      <c r="AI344" s="1"/>
      <c r="AJ344" s="21"/>
      <c r="AK344" s="21"/>
      <c r="AL344" s="21"/>
      <c r="AM344" s="21"/>
      <c r="AN344" s="21"/>
      <c r="AO344" s="21"/>
      <c r="AQ344" s="21"/>
      <c r="AR344" s="21"/>
    </row>
    <row r="345" spans="1:44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50"/>
      <c r="P345" s="296"/>
      <c r="Q345" s="421"/>
      <c r="R345" s="383"/>
      <c r="S345" s="21"/>
      <c r="T345" s="13"/>
      <c r="U345" s="381"/>
      <c r="V345" s="321"/>
      <c r="W345" s="322"/>
      <c r="X345" s="322"/>
      <c r="Y345" s="322"/>
      <c r="Z345" s="323"/>
      <c r="AA345" s="371"/>
      <c r="AB345" s="673"/>
      <c r="AC345" s="371"/>
      <c r="AD345" s="372"/>
      <c r="AE345" s="371"/>
      <c r="AF345" s="371"/>
      <c r="AG345" s="270"/>
      <c r="AH345" s="272"/>
      <c r="AI345" s="1"/>
      <c r="AJ345" s="21"/>
      <c r="AK345" s="21"/>
      <c r="AL345" s="21"/>
      <c r="AM345" s="21"/>
      <c r="AN345" s="21"/>
      <c r="AO345" s="21"/>
      <c r="AQ345" s="21"/>
      <c r="AR345" s="21"/>
    </row>
    <row r="346" spans="1:44" x14ac:dyDescent="0.2">
      <c r="A346" s="48"/>
      <c r="B346" s="306"/>
      <c r="C346" s="233"/>
      <c r="D346" s="233"/>
      <c r="P346" s="296"/>
      <c r="Q346" s="421"/>
      <c r="R346" s="383"/>
      <c r="U346" s="381"/>
      <c r="V346" s="321"/>
      <c r="W346" s="322"/>
      <c r="X346" s="322"/>
      <c r="Y346" s="322"/>
      <c r="Z346" s="323"/>
      <c r="AA346" s="371"/>
      <c r="AB346" s="673"/>
      <c r="AC346" s="371"/>
      <c r="AD346" s="372"/>
      <c r="AE346" s="371"/>
      <c r="AF346" s="371"/>
      <c r="AG346" s="270"/>
      <c r="AH346" s="272"/>
      <c r="AP346" s="53"/>
    </row>
    <row r="347" spans="1:44" x14ac:dyDescent="0.2">
      <c r="A347" s="48"/>
      <c r="B347" s="306"/>
      <c r="C347" s="233"/>
      <c r="D347" s="233"/>
      <c r="P347" s="296"/>
      <c r="Q347" s="421"/>
      <c r="R347" s="383"/>
      <c r="U347" s="381"/>
      <c r="V347" s="321"/>
      <c r="W347" s="322"/>
      <c r="X347" s="322"/>
      <c r="Y347" s="322"/>
      <c r="Z347" s="323"/>
      <c r="AA347" s="371"/>
      <c r="AB347" s="673"/>
      <c r="AC347" s="371"/>
      <c r="AD347" s="372"/>
      <c r="AE347" s="371"/>
      <c r="AF347" s="371"/>
      <c r="AG347" s="270"/>
      <c r="AH347" s="272"/>
      <c r="AP347" s="53"/>
    </row>
    <row r="348" spans="1:44" x14ac:dyDescent="0.2">
      <c r="A348" s="48"/>
      <c r="B348" s="306"/>
      <c r="C348" s="233"/>
      <c r="D348" s="233"/>
      <c r="P348" s="296"/>
      <c r="Q348" s="421"/>
      <c r="R348" s="383"/>
      <c r="U348" s="381"/>
      <c r="V348" s="370"/>
      <c r="W348" s="375"/>
      <c r="X348" s="375"/>
      <c r="Y348" s="375"/>
      <c r="Z348" s="376"/>
      <c r="AA348" s="371"/>
      <c r="AB348" s="673"/>
      <c r="AC348" s="371"/>
      <c r="AD348" s="372"/>
      <c r="AE348" s="371"/>
      <c r="AF348" s="371"/>
      <c r="AG348" s="270"/>
      <c r="AH348" s="272"/>
      <c r="AP348" s="53"/>
    </row>
    <row r="349" spans="1:44" x14ac:dyDescent="0.2">
      <c r="A349" s="48"/>
      <c r="B349" s="306"/>
      <c r="C349" s="233"/>
      <c r="D349" s="233"/>
      <c r="P349" s="296"/>
      <c r="Q349" s="421"/>
      <c r="R349" s="383"/>
      <c r="U349" s="381"/>
      <c r="V349" s="370"/>
      <c r="W349" s="375"/>
      <c r="X349" s="374"/>
      <c r="Y349" s="370"/>
      <c r="Z349" s="376"/>
      <c r="AA349" s="371"/>
      <c r="AB349" s="673"/>
      <c r="AC349" s="270"/>
      <c r="AD349" s="372"/>
      <c r="AE349" s="270"/>
      <c r="AF349" s="270"/>
      <c r="AG349" s="270"/>
      <c r="AH349" s="272"/>
      <c r="AP349" s="53"/>
    </row>
    <row r="350" spans="1:44" x14ac:dyDescent="0.2">
      <c r="A350" s="48"/>
      <c r="B350" s="306"/>
      <c r="C350" s="233"/>
      <c r="D350" s="233"/>
      <c r="P350" s="296"/>
      <c r="Q350" s="421"/>
      <c r="R350" s="383"/>
      <c r="U350" s="381"/>
      <c r="V350" s="370"/>
      <c r="W350" s="375"/>
      <c r="X350" s="374"/>
      <c r="Y350" s="370"/>
      <c r="Z350" s="376"/>
      <c r="AA350" s="371"/>
      <c r="AB350" s="673"/>
      <c r="AC350" s="270"/>
      <c r="AD350" s="372"/>
      <c r="AE350" s="270"/>
      <c r="AF350" s="270"/>
      <c r="AG350" s="270"/>
      <c r="AH350" s="272"/>
      <c r="AP350" s="53"/>
    </row>
    <row r="351" spans="1:44" x14ac:dyDescent="0.2">
      <c r="A351" s="48"/>
      <c r="B351" s="306"/>
      <c r="C351" s="233"/>
      <c r="D351" s="233"/>
      <c r="P351" s="296"/>
      <c r="Q351" s="421"/>
      <c r="R351" s="383"/>
      <c r="U351" s="381"/>
      <c r="V351" s="370"/>
      <c r="W351" s="375"/>
      <c r="X351" s="374"/>
      <c r="Y351" s="370"/>
      <c r="Z351" s="376"/>
      <c r="AA351" s="371"/>
      <c r="AB351" s="673"/>
      <c r="AC351" s="270"/>
      <c r="AD351" s="372"/>
      <c r="AE351" s="270"/>
      <c r="AF351" s="270"/>
      <c r="AG351" s="270"/>
      <c r="AH351" s="272"/>
      <c r="AP351" s="53"/>
    </row>
    <row r="352" spans="1:44" x14ac:dyDescent="0.2">
      <c r="A352" s="48"/>
      <c r="B352" s="306"/>
      <c r="C352" s="233"/>
      <c r="D352" s="233"/>
      <c r="P352" s="296"/>
      <c r="Q352" s="421"/>
      <c r="R352" s="383"/>
      <c r="U352" s="381"/>
      <c r="V352" s="370"/>
      <c r="W352" s="375"/>
      <c r="X352" s="374"/>
      <c r="Y352" s="370"/>
      <c r="Z352" s="376"/>
      <c r="AA352" s="371"/>
      <c r="AB352" s="673"/>
      <c r="AC352" s="270"/>
      <c r="AD352" s="372"/>
      <c r="AE352" s="270"/>
      <c r="AF352" s="270"/>
      <c r="AG352" s="270"/>
      <c r="AH352" s="272"/>
      <c r="AP352" s="53"/>
    </row>
    <row r="353" spans="1:44" x14ac:dyDescent="0.2">
      <c r="A353" s="48"/>
      <c r="B353" s="306"/>
      <c r="C353" s="233"/>
      <c r="D353" s="233"/>
      <c r="P353" s="296"/>
      <c r="Q353" s="421"/>
      <c r="R353" s="383"/>
      <c r="U353" s="381"/>
      <c r="V353" s="370"/>
      <c r="W353" s="375"/>
      <c r="X353" s="374"/>
      <c r="Y353" s="370"/>
      <c r="Z353" s="376"/>
      <c r="AA353" s="371"/>
      <c r="AB353" s="673"/>
      <c r="AC353" s="270"/>
      <c r="AD353" s="372"/>
      <c r="AE353" s="270"/>
      <c r="AF353" s="270"/>
      <c r="AG353" s="270"/>
      <c r="AH353" s="272"/>
      <c r="AP353" s="53"/>
    </row>
    <row r="354" spans="1:44" x14ac:dyDescent="0.2">
      <c r="A354" s="48"/>
      <c r="B354" s="306"/>
      <c r="C354" s="233"/>
      <c r="D354" s="233"/>
      <c r="P354" s="296"/>
      <c r="Q354" s="421"/>
      <c r="R354" s="383"/>
      <c r="U354" s="381"/>
      <c r="V354" s="370"/>
      <c r="W354" s="375"/>
      <c r="X354" s="374"/>
      <c r="Y354" s="370"/>
      <c r="Z354" s="376"/>
      <c r="AA354" s="371"/>
      <c r="AB354" s="673"/>
      <c r="AC354" s="270"/>
      <c r="AD354" s="372"/>
      <c r="AE354" s="270"/>
      <c r="AF354" s="270"/>
      <c r="AG354" s="270"/>
      <c r="AH354" s="272"/>
      <c r="AP354" s="53"/>
      <c r="AQ354" s="53"/>
      <c r="AR354" s="53"/>
    </row>
    <row r="355" spans="1:44" x14ac:dyDescent="0.2">
      <c r="A355" s="48"/>
      <c r="B355" s="306"/>
      <c r="C355" s="233"/>
      <c r="D355" s="233"/>
      <c r="P355" s="296"/>
      <c r="Q355" s="421"/>
      <c r="R355" s="383"/>
      <c r="U355" s="381"/>
      <c r="V355" s="370"/>
      <c r="W355" s="375"/>
      <c r="X355" s="374"/>
      <c r="Y355" s="370"/>
      <c r="Z355" s="376"/>
      <c r="AA355" s="371"/>
      <c r="AB355" s="673"/>
      <c r="AC355" s="270"/>
      <c r="AD355" s="372"/>
      <c r="AE355" s="270"/>
      <c r="AF355" s="270"/>
      <c r="AG355" s="270"/>
      <c r="AH355" s="272"/>
      <c r="AP355" s="53"/>
      <c r="AQ355" s="53"/>
      <c r="AR355" s="53"/>
    </row>
    <row r="356" spans="1:44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50"/>
      <c r="P356" s="296"/>
      <c r="Q356" s="421"/>
      <c r="R356" s="383"/>
      <c r="S356" s="21"/>
      <c r="T356" s="13"/>
      <c r="U356" s="381"/>
      <c r="V356" s="370"/>
      <c r="W356" s="375"/>
      <c r="X356" s="374"/>
      <c r="Y356" s="370"/>
      <c r="Z356" s="376"/>
      <c r="AA356" s="371"/>
      <c r="AB356" s="673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4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50"/>
      <c r="P357" s="296"/>
      <c r="Q357" s="421"/>
      <c r="R357" s="383"/>
      <c r="S357" s="21"/>
      <c r="T357" s="13"/>
      <c r="U357" s="381"/>
      <c r="V357" s="370"/>
      <c r="W357" s="375"/>
      <c r="X357" s="374"/>
      <c r="Y357" s="370"/>
      <c r="Z357" s="376"/>
      <c r="AA357" s="371"/>
      <c r="AB357" s="673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4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50"/>
      <c r="P358" s="296"/>
      <c r="Q358" s="421"/>
      <c r="R358" s="383"/>
      <c r="S358" s="21"/>
      <c r="T358" s="13"/>
      <c r="U358" s="381"/>
      <c r="V358" s="370"/>
      <c r="W358" s="375"/>
      <c r="X358" s="374"/>
      <c r="Y358" s="370"/>
      <c r="Z358" s="376"/>
      <c r="AA358" s="371"/>
      <c r="AB358" s="673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4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50"/>
      <c r="P359" s="296"/>
      <c r="Q359" s="421"/>
      <c r="R359" s="383"/>
      <c r="S359" s="21"/>
      <c r="T359" s="13"/>
      <c r="U359" s="381"/>
      <c r="V359" s="370"/>
      <c r="W359" s="375"/>
      <c r="X359" s="374"/>
      <c r="Y359" s="370"/>
      <c r="Z359" s="376"/>
      <c r="AA359" s="371"/>
      <c r="AB359" s="673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4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50"/>
      <c r="P360" s="296"/>
      <c r="Q360" s="421"/>
      <c r="R360" s="383"/>
      <c r="S360" s="21"/>
      <c r="T360" s="13"/>
      <c r="U360" s="381"/>
      <c r="V360" s="370"/>
      <c r="W360" s="375"/>
      <c r="X360" s="374"/>
      <c r="Y360" s="370"/>
      <c r="Z360" s="376"/>
      <c r="AA360" s="371"/>
      <c r="AB360" s="673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4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50"/>
      <c r="P361" s="296"/>
      <c r="Q361" s="421"/>
      <c r="R361" s="383"/>
      <c r="S361" s="21"/>
      <c r="T361" s="13"/>
      <c r="U361" s="381"/>
      <c r="V361" s="370"/>
      <c r="W361" s="375"/>
      <c r="X361" s="374"/>
      <c r="Y361" s="370"/>
      <c r="Z361" s="376"/>
      <c r="AA361" s="371"/>
      <c r="AB361" s="673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4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50"/>
      <c r="P362" s="296"/>
      <c r="Q362" s="421"/>
      <c r="R362" s="383"/>
      <c r="S362" s="21"/>
      <c r="T362" s="13"/>
      <c r="U362" s="381"/>
      <c r="V362" s="370"/>
      <c r="W362" s="375"/>
      <c r="X362" s="374"/>
      <c r="Y362" s="370"/>
      <c r="Z362" s="376"/>
      <c r="AA362" s="371"/>
      <c r="AB362" s="673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4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50"/>
      <c r="P363" s="296"/>
      <c r="Q363" s="421"/>
      <c r="R363" s="383"/>
      <c r="S363" s="21"/>
      <c r="T363" s="13"/>
      <c r="U363" s="381"/>
      <c r="V363" s="370"/>
      <c r="W363" s="375"/>
      <c r="X363" s="374"/>
      <c r="Y363" s="370"/>
      <c r="Z363" s="376"/>
      <c r="AA363" s="371"/>
      <c r="AB363" s="673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4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50"/>
      <c r="P364" s="296"/>
      <c r="Q364" s="421"/>
      <c r="R364" s="383"/>
      <c r="S364" s="21"/>
      <c r="T364" s="13"/>
      <c r="U364" s="381"/>
      <c r="V364" s="370"/>
      <c r="W364" s="375"/>
      <c r="X364" s="374"/>
      <c r="Y364" s="370"/>
      <c r="Z364" s="376"/>
      <c r="AA364" s="371"/>
      <c r="AB364" s="673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4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50"/>
      <c r="P365" s="296"/>
      <c r="Q365" s="421"/>
      <c r="R365" s="383"/>
      <c r="S365" s="21"/>
      <c r="T365" s="13"/>
      <c r="U365" s="381"/>
      <c r="V365" s="370"/>
      <c r="W365" s="375"/>
      <c r="X365" s="374"/>
      <c r="Y365" s="370"/>
      <c r="Z365" s="376"/>
      <c r="AA365" s="371"/>
      <c r="AB365" s="673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4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50"/>
      <c r="P366" s="296"/>
      <c r="Q366" s="421"/>
      <c r="R366" s="383"/>
      <c r="S366" s="21"/>
      <c r="T366" s="13"/>
      <c r="U366" s="381"/>
      <c r="V366" s="370"/>
      <c r="W366" s="375"/>
      <c r="X366" s="374"/>
      <c r="Y366" s="370"/>
      <c r="Z366" s="376"/>
      <c r="AA366" s="371"/>
      <c r="AB366" s="673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4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50"/>
      <c r="P367" s="296"/>
      <c r="Q367" s="421"/>
      <c r="R367" s="383"/>
      <c r="S367" s="21"/>
      <c r="T367" s="13"/>
      <c r="U367" s="381"/>
      <c r="V367" s="370"/>
      <c r="W367" s="375"/>
      <c r="X367" s="374"/>
      <c r="Y367" s="370"/>
      <c r="Z367" s="376"/>
      <c r="AA367" s="371"/>
      <c r="AB367" s="673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4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50"/>
      <c r="P368" s="296"/>
      <c r="Q368" s="421"/>
      <c r="R368" s="383"/>
      <c r="S368" s="21"/>
      <c r="T368" s="13"/>
      <c r="U368" s="381"/>
      <c r="V368" s="370"/>
      <c r="W368" s="375"/>
      <c r="X368" s="374"/>
      <c r="Y368" s="370"/>
      <c r="Z368" s="376"/>
      <c r="AA368" s="371"/>
      <c r="AB368" s="673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50"/>
      <c r="P369" s="296"/>
      <c r="Q369" s="421"/>
      <c r="R369" s="383"/>
      <c r="S369" s="21"/>
      <c r="T369" s="13"/>
      <c r="U369" s="381"/>
      <c r="V369" s="370"/>
      <c r="W369" s="375"/>
      <c r="X369" s="374"/>
      <c r="Y369" s="370"/>
      <c r="Z369" s="376"/>
      <c r="AA369" s="371"/>
      <c r="AB369" s="673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50"/>
      <c r="P370" s="296"/>
      <c r="Q370" s="421"/>
      <c r="R370" s="383"/>
      <c r="S370" s="21"/>
      <c r="T370" s="13"/>
      <c r="U370" s="381"/>
      <c r="V370" s="370"/>
      <c r="W370" s="375"/>
      <c r="X370" s="374"/>
      <c r="Y370" s="370"/>
      <c r="Z370" s="376"/>
      <c r="AA370" s="371"/>
      <c r="AB370" s="673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50"/>
      <c r="P371" s="296"/>
      <c r="Q371" s="421"/>
      <c r="R371" s="383"/>
      <c r="S371" s="21"/>
      <c r="T371" s="13"/>
      <c r="U371" s="381"/>
      <c r="V371" s="370"/>
      <c r="W371" s="375"/>
      <c r="X371" s="374"/>
      <c r="Y371" s="370"/>
      <c r="Z371" s="376"/>
      <c r="AA371" s="371"/>
      <c r="AB371" s="673"/>
      <c r="AC371" s="270"/>
      <c r="AD371" s="372"/>
      <c r="AE371" s="270"/>
      <c r="AF371" s="270"/>
      <c r="AG371" s="270"/>
      <c r="AH371" s="315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50"/>
      <c r="P372" s="296"/>
      <c r="Q372" s="316"/>
      <c r="R372" s="383"/>
      <c r="S372" s="21"/>
      <c r="T372" s="13"/>
      <c r="U372" s="381"/>
      <c r="V372" s="370"/>
      <c r="W372" s="375"/>
      <c r="X372" s="374"/>
      <c r="Y372" s="370"/>
      <c r="Z372" s="376"/>
      <c r="AA372" s="371"/>
      <c r="AB372" s="673"/>
      <c r="AC372" s="270"/>
      <c r="AD372" s="372"/>
      <c r="AE372" s="270"/>
      <c r="AF372" s="270"/>
      <c r="AG372" s="270"/>
      <c r="AH372" s="315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50"/>
      <c r="P373" s="296"/>
      <c r="Q373" s="316"/>
      <c r="R373" s="383"/>
      <c r="S373" s="21"/>
      <c r="T373" s="13"/>
      <c r="U373" s="381"/>
      <c r="V373" s="370"/>
      <c r="W373" s="375"/>
      <c r="X373" s="374"/>
      <c r="Y373" s="370"/>
      <c r="Z373" s="376"/>
      <c r="AA373" s="371"/>
      <c r="AB373" s="673"/>
      <c r="AC373" s="270"/>
      <c r="AD373" s="372"/>
      <c r="AE373" s="270"/>
      <c r="AF373" s="270"/>
      <c r="AG373" s="270"/>
      <c r="AH373" s="315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50"/>
      <c r="P374" s="296"/>
      <c r="Q374" s="316"/>
      <c r="R374" s="383"/>
      <c r="S374" s="21"/>
      <c r="T374" s="13"/>
      <c r="U374" s="381"/>
      <c r="V374" s="370"/>
      <c r="W374" s="375"/>
      <c r="X374" s="374"/>
      <c r="Y374" s="370"/>
      <c r="Z374" s="376"/>
      <c r="AA374" s="371"/>
      <c r="AB374" s="673"/>
      <c r="AC374" s="270"/>
      <c r="AD374" s="372"/>
      <c r="AE374" s="270"/>
      <c r="AF374" s="270"/>
      <c r="AG374" s="270"/>
      <c r="AH374" s="315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50"/>
      <c r="P375" s="296"/>
      <c r="Q375" s="316"/>
      <c r="R375" s="383"/>
      <c r="S375" s="21"/>
      <c r="T375" s="13"/>
      <c r="U375" s="381"/>
      <c r="V375" s="370"/>
      <c r="W375" s="375"/>
      <c r="X375" s="374"/>
      <c r="Y375" s="370"/>
      <c r="Z375" s="376"/>
      <c r="AA375" s="371"/>
      <c r="AB375" s="673"/>
      <c r="AC375" s="270"/>
      <c r="AD375" s="372"/>
      <c r="AE375" s="270"/>
      <c r="AF375" s="270"/>
      <c r="AG375" s="270"/>
      <c r="AH375" s="315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97"/>
      <c r="Q376" s="316"/>
      <c r="R376" s="383"/>
      <c r="S376" s="21"/>
      <c r="T376" s="13"/>
      <c r="U376" s="381"/>
      <c r="V376" s="370"/>
      <c r="W376" s="375"/>
      <c r="X376" s="374"/>
      <c r="Y376" s="370"/>
      <c r="Z376" s="376"/>
      <c r="AA376" s="371"/>
      <c r="AB376" s="673"/>
      <c r="AC376" s="270"/>
      <c r="AD376" s="372"/>
      <c r="AE376" s="270"/>
      <c r="AF376" s="270"/>
      <c r="AG376" s="270"/>
      <c r="AH376" s="315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97"/>
      <c r="Q377" s="316"/>
      <c r="R377" s="383"/>
      <c r="S377" s="21"/>
      <c r="T377" s="13"/>
      <c r="U377" s="381"/>
      <c r="V377" s="370"/>
      <c r="W377" s="375"/>
      <c r="X377" s="374"/>
      <c r="Y377" s="370"/>
      <c r="Z377" s="376"/>
      <c r="AA377" s="371"/>
      <c r="AB377" s="673"/>
      <c r="AC377" s="270"/>
      <c r="AD377" s="372"/>
      <c r="AE377" s="270"/>
      <c r="AF377" s="270"/>
      <c r="AG377" s="270"/>
      <c r="AH377" s="315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97"/>
      <c r="Q378" s="316"/>
      <c r="R378" s="383"/>
      <c r="S378" s="21"/>
      <c r="T378" s="13"/>
      <c r="U378" s="381"/>
      <c r="V378" s="370"/>
      <c r="W378" s="375"/>
      <c r="X378" s="374"/>
      <c r="Y378" s="370"/>
      <c r="Z378" s="376"/>
      <c r="AA378" s="371"/>
      <c r="AB378" s="673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97"/>
      <c r="Q379" s="316"/>
      <c r="R379" s="383"/>
      <c r="S379" s="21"/>
      <c r="T379" s="13"/>
      <c r="U379" s="381"/>
      <c r="V379" s="370"/>
      <c r="W379" s="375"/>
      <c r="X379" s="374"/>
      <c r="Y379" s="370"/>
      <c r="Z379" s="376"/>
      <c r="AA379" s="371"/>
      <c r="AB379" s="673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97"/>
      <c r="Q380" s="316"/>
      <c r="R380" s="383"/>
      <c r="S380" s="21"/>
      <c r="T380" s="13"/>
      <c r="U380" s="381"/>
      <c r="V380" s="370"/>
      <c r="W380" s="375"/>
      <c r="X380" s="374"/>
      <c r="Y380" s="370"/>
      <c r="Z380" s="376"/>
      <c r="AA380" s="371"/>
      <c r="AB380" s="673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97"/>
      <c r="Q381" s="316"/>
      <c r="R381" s="383"/>
      <c r="S381" s="21"/>
      <c r="T381" s="13"/>
      <c r="U381" s="381"/>
      <c r="V381" s="370"/>
      <c r="W381" s="375"/>
      <c r="X381" s="374"/>
      <c r="Y381" s="370"/>
      <c r="Z381" s="376"/>
      <c r="AA381" s="371"/>
      <c r="AB381" s="673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97"/>
      <c r="Q382" s="316"/>
      <c r="R382" s="383"/>
      <c r="S382" s="21"/>
      <c r="T382" s="13"/>
      <c r="U382" s="381"/>
      <c r="V382" s="370"/>
      <c r="W382" s="375"/>
      <c r="X382" s="374"/>
      <c r="Y382" s="370"/>
      <c r="Z382" s="376"/>
      <c r="AA382" s="371"/>
      <c r="AB382" s="673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97"/>
      <c r="Q383" s="316"/>
      <c r="R383" s="383"/>
      <c r="S383" s="21"/>
      <c r="T383" s="13"/>
      <c r="U383" s="381"/>
      <c r="V383" s="370"/>
      <c r="W383" s="375"/>
      <c r="X383" s="374"/>
      <c r="Y383" s="370"/>
      <c r="Z383" s="376"/>
      <c r="AA383" s="371"/>
      <c r="AB383" s="673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97"/>
      <c r="Q384" s="316"/>
      <c r="R384" s="383"/>
      <c r="S384" s="21"/>
      <c r="T384" s="13"/>
      <c r="U384" s="381"/>
      <c r="V384" s="370"/>
      <c r="W384" s="375"/>
      <c r="X384" s="374"/>
      <c r="Y384" s="370"/>
      <c r="Z384" s="376"/>
      <c r="AA384" s="371"/>
      <c r="AB384" s="673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2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97"/>
      <c r="Q385" s="316"/>
      <c r="R385" s="383"/>
      <c r="S385" s="21"/>
      <c r="T385" s="13"/>
      <c r="U385" s="381"/>
      <c r="V385" s="370"/>
      <c r="W385" s="375"/>
      <c r="X385" s="374"/>
      <c r="Y385" s="370"/>
      <c r="Z385" s="376"/>
      <c r="AA385" s="371"/>
      <c r="AB385" s="673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2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97"/>
      <c r="Q386" s="316"/>
      <c r="R386" s="383"/>
      <c r="S386" s="21"/>
      <c r="T386" s="13"/>
      <c r="U386" s="381"/>
      <c r="V386" s="370"/>
      <c r="W386" s="375"/>
      <c r="X386" s="374"/>
      <c r="Y386" s="370"/>
      <c r="Z386" s="376"/>
      <c r="AA386" s="371"/>
      <c r="AB386" s="673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2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97"/>
      <c r="Q387" s="316"/>
      <c r="R387" s="383"/>
      <c r="S387" s="21"/>
      <c r="T387" s="13"/>
      <c r="U387" s="381"/>
      <c r="V387" s="370"/>
      <c r="W387" s="375"/>
      <c r="X387" s="374"/>
      <c r="Y387" s="370"/>
      <c r="Z387" s="376"/>
      <c r="AA387" s="371"/>
      <c r="AB387" s="673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2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97"/>
      <c r="Q388" s="316"/>
      <c r="R388" s="383"/>
      <c r="S388" s="21"/>
      <c r="T388" s="13"/>
      <c r="U388" s="381"/>
      <c r="V388" s="370"/>
      <c r="W388" s="375"/>
      <c r="X388" s="374"/>
      <c r="Y388" s="370"/>
      <c r="Z388" s="376"/>
      <c r="AA388" s="371"/>
      <c r="AB388" s="673"/>
      <c r="AC388" s="270"/>
      <c r="AD388" s="372"/>
      <c r="AE388" s="270"/>
      <c r="AF388" s="270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2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97"/>
      <c r="Q389" s="316"/>
      <c r="R389" s="383"/>
      <c r="S389" s="21"/>
      <c r="T389" s="13"/>
      <c r="U389" s="381"/>
      <c r="V389" s="370"/>
      <c r="W389" s="375"/>
      <c r="X389" s="374"/>
      <c r="Y389" s="370"/>
      <c r="Z389" s="376"/>
      <c r="AA389" s="371"/>
      <c r="AB389" s="673"/>
      <c r="AC389" s="270"/>
      <c r="AD389" s="372"/>
      <c r="AE389" s="270"/>
      <c r="AF389" s="270"/>
      <c r="AG389" s="270"/>
      <c r="AH389" s="272"/>
      <c r="AI389" s="1"/>
      <c r="AJ389" s="21"/>
      <c r="AK389" s="21"/>
      <c r="AL389" s="21"/>
      <c r="AM389" s="21"/>
      <c r="AN389" s="21"/>
      <c r="AO389" s="21"/>
    </row>
    <row r="390" spans="1:42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97"/>
      <c r="Q390" s="316"/>
      <c r="R390" s="383"/>
      <c r="S390" s="21"/>
      <c r="T390" s="13"/>
      <c r="U390" s="381"/>
      <c r="V390" s="370"/>
      <c r="W390" s="375"/>
      <c r="X390" s="374"/>
      <c r="Y390" s="370"/>
      <c r="Z390" s="376"/>
      <c r="AA390" s="371"/>
      <c r="AB390" s="673"/>
      <c r="AC390" s="270"/>
      <c r="AD390" s="372"/>
      <c r="AE390" s="270"/>
      <c r="AF390" s="270"/>
      <c r="AG390" s="270"/>
      <c r="AH390" s="272"/>
      <c r="AI390" s="1"/>
      <c r="AJ390" s="21"/>
      <c r="AK390" s="21"/>
      <c r="AL390" s="21"/>
      <c r="AM390" s="21"/>
      <c r="AN390" s="21"/>
      <c r="AO390" s="21"/>
    </row>
    <row r="391" spans="1:42" s="53" customFormat="1" x14ac:dyDescent="0.2">
      <c r="A391" s="48"/>
      <c r="B391" s="306"/>
      <c r="C391" s="233"/>
      <c r="D391" s="233"/>
      <c r="F391" s="13"/>
      <c r="G391" s="13"/>
      <c r="I391" s="298"/>
      <c r="J391" s="21"/>
      <c r="K391" s="21"/>
      <c r="L391" s="13"/>
      <c r="M391" s="50"/>
      <c r="N391" s="97"/>
      <c r="O391" s="50"/>
      <c r="P391" s="97"/>
      <c r="Q391" s="316"/>
      <c r="R391" s="383"/>
      <c r="S391" s="21"/>
      <c r="T391" s="13"/>
      <c r="U391" s="381"/>
      <c r="V391" s="370"/>
      <c r="W391" s="375"/>
      <c r="X391" s="374"/>
      <c r="Y391" s="370"/>
      <c r="Z391" s="376"/>
      <c r="AA391" s="371"/>
      <c r="AB391" s="673"/>
      <c r="AC391" s="270"/>
      <c r="AD391" s="372"/>
      <c r="AE391" s="270"/>
      <c r="AF391" s="270"/>
      <c r="AG391" s="270"/>
      <c r="AH391" s="272"/>
      <c r="AI391" s="1"/>
      <c r="AJ391" s="21"/>
      <c r="AK391" s="21"/>
      <c r="AL391" s="21"/>
      <c r="AM391" s="21"/>
      <c r="AN391" s="21"/>
      <c r="AO391" s="21"/>
    </row>
    <row r="392" spans="1:42" s="53" customFormat="1" x14ac:dyDescent="0.2">
      <c r="A392" s="48"/>
      <c r="B392" s="306"/>
      <c r="C392" s="233"/>
      <c r="D392" s="233"/>
      <c r="F392" s="13"/>
      <c r="G392" s="13"/>
      <c r="I392" s="298"/>
      <c r="J392" s="21"/>
      <c r="K392" s="21"/>
      <c r="L392" s="13"/>
      <c r="M392" s="50"/>
      <c r="N392" s="97"/>
      <c r="O392" s="50"/>
      <c r="P392" s="97"/>
      <c r="Q392" s="316"/>
      <c r="R392" s="383"/>
      <c r="S392" s="21"/>
      <c r="T392" s="13"/>
      <c r="U392" s="381"/>
      <c r="V392" s="370"/>
      <c r="W392" s="375"/>
      <c r="X392" s="374"/>
      <c r="Y392" s="370"/>
      <c r="Z392" s="376"/>
      <c r="AA392" s="371"/>
      <c r="AB392" s="673"/>
      <c r="AC392" s="270"/>
      <c r="AD392" s="372"/>
      <c r="AE392" s="270"/>
      <c r="AF392" s="270"/>
      <c r="AG392" s="270"/>
      <c r="AH392" s="272"/>
      <c r="AI392" s="1"/>
      <c r="AJ392" s="21"/>
      <c r="AK392" s="21"/>
      <c r="AL392" s="21"/>
      <c r="AM392" s="21"/>
      <c r="AN392" s="21"/>
      <c r="AO392" s="21"/>
      <c r="AP392" s="21"/>
    </row>
    <row r="393" spans="1:42" s="53" customFormat="1" x14ac:dyDescent="0.2">
      <c r="A393" s="48"/>
      <c r="B393" s="306"/>
      <c r="C393" s="233"/>
      <c r="D393" s="233"/>
      <c r="F393" s="13"/>
      <c r="G393" s="13"/>
      <c r="I393" s="298"/>
      <c r="J393" s="21"/>
      <c r="K393" s="21"/>
      <c r="L393" s="13"/>
      <c r="M393" s="50"/>
      <c r="N393" s="97"/>
      <c r="O393" s="50"/>
      <c r="P393" s="97"/>
      <c r="Q393" s="316"/>
      <c r="R393" s="383"/>
      <c r="S393" s="21"/>
      <c r="T393" s="13"/>
      <c r="U393" s="381"/>
      <c r="V393" s="370"/>
      <c r="W393" s="375"/>
      <c r="X393" s="374"/>
      <c r="Y393" s="370"/>
      <c r="Z393" s="376"/>
      <c r="AA393" s="371"/>
      <c r="AB393" s="673"/>
      <c r="AC393" s="270"/>
      <c r="AD393" s="372"/>
      <c r="AE393" s="270"/>
      <c r="AF393" s="270"/>
      <c r="AG393" s="270"/>
      <c r="AH393" s="272"/>
      <c r="AI393" s="1"/>
      <c r="AJ393" s="21"/>
      <c r="AK393" s="21"/>
      <c r="AL393" s="21"/>
      <c r="AM393" s="21"/>
      <c r="AN393" s="21"/>
      <c r="AO393" s="21"/>
      <c r="AP393" s="21"/>
    </row>
    <row r="394" spans="1:42" s="53" customFormat="1" x14ac:dyDescent="0.2">
      <c r="A394" s="48"/>
      <c r="B394" s="306"/>
      <c r="C394" s="233"/>
      <c r="D394" s="233"/>
      <c r="F394" s="13"/>
      <c r="G394" s="13"/>
      <c r="I394" s="298"/>
      <c r="J394" s="21"/>
      <c r="K394" s="21"/>
      <c r="L394" s="13"/>
      <c r="M394" s="50"/>
      <c r="N394" s="97"/>
      <c r="O394" s="50"/>
      <c r="P394" s="97"/>
      <c r="Q394" s="316"/>
      <c r="R394" s="383"/>
      <c r="S394" s="21"/>
      <c r="T394" s="13"/>
      <c r="U394" s="381"/>
      <c r="V394" s="370"/>
      <c r="W394" s="375"/>
      <c r="X394" s="374"/>
      <c r="Y394" s="370"/>
      <c r="Z394" s="376"/>
      <c r="AA394" s="371"/>
      <c r="AB394" s="673"/>
      <c r="AC394" s="270"/>
      <c r="AD394" s="372"/>
      <c r="AE394" s="270"/>
      <c r="AF394" s="270"/>
      <c r="AG394" s="270"/>
      <c r="AH394" s="272"/>
      <c r="AI394" s="1"/>
      <c r="AJ394" s="21"/>
      <c r="AK394" s="21"/>
      <c r="AL394" s="21"/>
      <c r="AM394" s="21"/>
      <c r="AN394" s="21"/>
      <c r="AO394" s="21"/>
      <c r="AP394" s="21"/>
    </row>
    <row r="395" spans="1:42" s="53" customFormat="1" x14ac:dyDescent="0.2">
      <c r="A395" s="48"/>
      <c r="B395" s="306"/>
      <c r="C395" s="233"/>
      <c r="D395" s="233"/>
      <c r="F395" s="13"/>
      <c r="G395" s="13"/>
      <c r="I395" s="298"/>
      <c r="J395" s="21"/>
      <c r="K395" s="21"/>
      <c r="L395" s="13"/>
      <c r="M395" s="50"/>
      <c r="N395" s="97"/>
      <c r="O395" s="50"/>
      <c r="P395" s="97"/>
      <c r="Q395" s="316"/>
      <c r="R395" s="383"/>
      <c r="S395" s="21"/>
      <c r="T395" s="13"/>
      <c r="U395" s="381"/>
      <c r="V395" s="370"/>
      <c r="W395" s="375"/>
      <c r="X395" s="374"/>
      <c r="Y395" s="370"/>
      <c r="Z395" s="376"/>
      <c r="AA395" s="371"/>
      <c r="AB395" s="673"/>
      <c r="AC395" s="270"/>
      <c r="AD395" s="372"/>
      <c r="AE395" s="270"/>
      <c r="AF395" s="270"/>
      <c r="AG395" s="270"/>
      <c r="AH395" s="272"/>
      <c r="AI395" s="1"/>
      <c r="AJ395" s="21"/>
      <c r="AK395" s="21"/>
      <c r="AL395" s="21"/>
      <c r="AM395" s="21"/>
      <c r="AN395" s="21"/>
      <c r="AO395" s="21"/>
      <c r="AP395" s="21"/>
    </row>
    <row r="396" spans="1:42" s="53" customFormat="1" x14ac:dyDescent="0.2">
      <c r="A396" s="48"/>
      <c r="B396" s="306"/>
      <c r="C396" s="233"/>
      <c r="D396" s="233"/>
      <c r="F396" s="13"/>
      <c r="G396" s="13"/>
      <c r="I396" s="298"/>
      <c r="J396" s="21"/>
      <c r="K396" s="21"/>
      <c r="L396" s="13"/>
      <c r="M396" s="50"/>
      <c r="N396" s="97"/>
      <c r="O396" s="50"/>
      <c r="P396" s="97"/>
      <c r="Q396" s="316"/>
      <c r="R396" s="383"/>
      <c r="S396" s="21"/>
      <c r="T396" s="13"/>
      <c r="U396" s="381"/>
      <c r="V396" s="375"/>
      <c r="W396" s="374"/>
      <c r="X396" s="370"/>
      <c r="Y396" s="376"/>
      <c r="Z396" s="371"/>
      <c r="AA396" s="371"/>
      <c r="AB396" s="675"/>
      <c r="AC396" s="372"/>
      <c r="AD396" s="270"/>
      <c r="AE396" s="270"/>
      <c r="AF396" s="270"/>
      <c r="AG396" s="376"/>
      <c r="AH396" s="272"/>
      <c r="AI396" s="1"/>
      <c r="AJ396" s="21"/>
      <c r="AK396" s="21"/>
      <c r="AL396" s="21"/>
      <c r="AM396" s="21"/>
      <c r="AN396" s="21"/>
      <c r="AO396" s="21"/>
      <c r="AP396" s="21"/>
    </row>
    <row r="397" spans="1:42" s="53" customFormat="1" x14ac:dyDescent="0.2">
      <c r="A397" s="48"/>
      <c r="B397" s="306"/>
      <c r="C397" s="233"/>
      <c r="D397" s="233"/>
      <c r="F397" s="13"/>
      <c r="G397" s="13"/>
      <c r="I397" s="298"/>
      <c r="J397" s="21"/>
      <c r="K397" s="21"/>
      <c r="L397" s="13"/>
      <c r="M397" s="50"/>
      <c r="N397" s="97"/>
      <c r="O397" s="50"/>
      <c r="P397" s="97"/>
      <c r="Q397" s="316"/>
      <c r="R397" s="383"/>
      <c r="S397" s="21"/>
      <c r="T397" s="13"/>
      <c r="U397" s="381"/>
      <c r="V397" s="375"/>
      <c r="W397" s="374"/>
      <c r="X397" s="370"/>
      <c r="Y397" s="376"/>
      <c r="Z397" s="371"/>
      <c r="AA397" s="371"/>
      <c r="AB397" s="675"/>
      <c r="AC397" s="372"/>
      <c r="AD397" s="270"/>
      <c r="AE397" s="270"/>
      <c r="AF397" s="270"/>
      <c r="AG397" s="376"/>
      <c r="AH397" s="272"/>
      <c r="AI397" s="1"/>
      <c r="AJ397" s="21"/>
      <c r="AK397" s="21"/>
      <c r="AL397" s="21"/>
      <c r="AM397" s="21"/>
      <c r="AN397" s="21"/>
      <c r="AO397" s="21"/>
      <c r="AP397" s="21"/>
    </row>
    <row r="398" spans="1:42" s="53" customFormat="1" x14ac:dyDescent="0.2">
      <c r="A398" s="48"/>
      <c r="B398" s="306"/>
      <c r="C398" s="233"/>
      <c r="D398" s="233"/>
      <c r="F398" s="13"/>
      <c r="G398" s="13"/>
      <c r="I398" s="298"/>
      <c r="J398" s="21"/>
      <c r="K398" s="21"/>
      <c r="L398" s="13"/>
      <c r="M398" s="50"/>
      <c r="N398" s="97"/>
      <c r="O398" s="50"/>
      <c r="P398" s="97"/>
      <c r="Q398" s="316"/>
      <c r="R398" s="383"/>
      <c r="S398" s="21"/>
      <c r="T398" s="13"/>
      <c r="U398" s="381"/>
      <c r="V398" s="375"/>
      <c r="W398" s="374"/>
      <c r="X398" s="370"/>
      <c r="Y398" s="376"/>
      <c r="Z398" s="371"/>
      <c r="AA398" s="371"/>
      <c r="AB398" s="675"/>
      <c r="AC398" s="372"/>
      <c r="AD398" s="270"/>
      <c r="AE398" s="270"/>
      <c r="AF398" s="270"/>
      <c r="AG398" s="376"/>
      <c r="AH398" s="272"/>
      <c r="AI398" s="1"/>
      <c r="AJ398" s="21"/>
      <c r="AK398" s="21"/>
      <c r="AL398" s="21"/>
      <c r="AM398" s="21"/>
      <c r="AN398" s="21"/>
      <c r="AO398" s="21"/>
      <c r="AP398" s="21"/>
    </row>
    <row r="399" spans="1:42" s="53" customFormat="1" x14ac:dyDescent="0.2">
      <c r="A399" s="48"/>
      <c r="B399" s="306"/>
      <c r="C399" s="233"/>
      <c r="D399" s="233"/>
      <c r="F399" s="13"/>
      <c r="G399" s="13"/>
      <c r="I399" s="298"/>
      <c r="J399" s="21"/>
      <c r="K399" s="21"/>
      <c r="L399" s="13"/>
      <c r="M399" s="50"/>
      <c r="N399" s="97"/>
      <c r="O399" s="50"/>
      <c r="P399" s="97"/>
      <c r="Q399" s="316"/>
      <c r="R399" s="383"/>
      <c r="S399" s="21"/>
      <c r="T399" s="13"/>
      <c r="U399" s="381"/>
      <c r="V399" s="375"/>
      <c r="W399" s="374"/>
      <c r="X399" s="370"/>
      <c r="Y399" s="376"/>
      <c r="Z399" s="371"/>
      <c r="AA399" s="371"/>
      <c r="AB399" s="675"/>
      <c r="AC399" s="372"/>
      <c r="AD399" s="270"/>
      <c r="AE399" s="270"/>
      <c r="AF399" s="270"/>
      <c r="AG399" s="376"/>
      <c r="AH399" s="272"/>
      <c r="AI399" s="1"/>
      <c r="AJ399" s="21"/>
      <c r="AK399" s="21"/>
      <c r="AL399" s="21"/>
      <c r="AM399" s="21"/>
      <c r="AN399" s="21"/>
      <c r="AO399" s="21"/>
      <c r="AP399" s="21"/>
    </row>
    <row r="400" spans="1:42" s="53" customFormat="1" x14ac:dyDescent="0.2">
      <c r="A400" s="48"/>
      <c r="B400" s="306"/>
      <c r="C400" s="233"/>
      <c r="D400" s="233"/>
      <c r="F400" s="13"/>
      <c r="G400" s="13"/>
      <c r="I400" s="298"/>
      <c r="J400" s="21"/>
      <c r="K400" s="21"/>
      <c r="L400" s="13"/>
      <c r="M400" s="50"/>
      <c r="N400" s="97"/>
      <c r="O400" s="50"/>
      <c r="P400" s="97"/>
      <c r="Q400" s="316"/>
      <c r="R400" s="383"/>
      <c r="S400" s="21"/>
      <c r="T400" s="13"/>
      <c r="U400" s="381"/>
      <c r="V400" s="375"/>
      <c r="W400" s="374"/>
      <c r="X400" s="370"/>
      <c r="Y400" s="376"/>
      <c r="Z400" s="371"/>
      <c r="AA400" s="371"/>
      <c r="AB400" s="675"/>
      <c r="AC400" s="372"/>
      <c r="AD400" s="270"/>
      <c r="AE400" s="270"/>
      <c r="AF400" s="270"/>
      <c r="AG400" s="376"/>
      <c r="AH400" s="272"/>
      <c r="AI400" s="1"/>
      <c r="AJ400" s="21"/>
      <c r="AK400" s="21"/>
      <c r="AL400" s="21"/>
      <c r="AM400" s="21"/>
      <c r="AN400" s="21"/>
      <c r="AO400" s="21"/>
      <c r="AP400" s="21"/>
    </row>
    <row r="401" spans="1:42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97"/>
      <c r="Q401" s="316"/>
      <c r="R401" s="383"/>
      <c r="S401" s="21"/>
      <c r="T401" s="13"/>
      <c r="U401" s="381"/>
      <c r="V401" s="375"/>
      <c r="W401" s="374"/>
      <c r="X401" s="370"/>
      <c r="Y401" s="376"/>
      <c r="Z401" s="371"/>
      <c r="AA401" s="371"/>
      <c r="AB401" s="675"/>
      <c r="AC401" s="372"/>
      <c r="AD401" s="270"/>
      <c r="AE401" s="270"/>
      <c r="AF401" s="270"/>
      <c r="AG401" s="376"/>
      <c r="AH401" s="272"/>
      <c r="AI401" s="1"/>
      <c r="AJ401" s="21"/>
      <c r="AK401" s="21"/>
      <c r="AL401" s="21"/>
      <c r="AM401" s="21"/>
      <c r="AN401" s="21"/>
      <c r="AO401" s="21"/>
      <c r="AP401" s="21"/>
    </row>
    <row r="402" spans="1:42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97"/>
      <c r="Q402" s="362"/>
      <c r="R402" s="383"/>
      <c r="S402" s="21"/>
      <c r="T402" s="13"/>
      <c r="U402" s="381"/>
      <c r="V402" s="375"/>
      <c r="W402" s="374"/>
      <c r="X402" s="370"/>
      <c r="Y402" s="376"/>
      <c r="Z402" s="371"/>
      <c r="AA402" s="371"/>
      <c r="AB402" s="675"/>
      <c r="AC402" s="372"/>
      <c r="AD402" s="270"/>
      <c r="AE402" s="270"/>
      <c r="AF402" s="270"/>
      <c r="AG402" s="376"/>
      <c r="AH402" s="272"/>
      <c r="AI402" s="1"/>
      <c r="AJ402" s="21"/>
      <c r="AK402" s="21"/>
      <c r="AL402" s="21"/>
      <c r="AM402" s="21"/>
      <c r="AN402" s="21"/>
      <c r="AO402" s="21"/>
    </row>
    <row r="403" spans="1:42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97"/>
      <c r="R403" s="285"/>
      <c r="S403" s="21"/>
      <c r="T403" s="13"/>
      <c r="U403" s="381"/>
      <c r="V403" s="375"/>
      <c r="W403" s="374"/>
      <c r="X403" s="370"/>
      <c r="Y403" s="376"/>
      <c r="Z403" s="371"/>
      <c r="AA403" s="371"/>
      <c r="AB403" s="675"/>
      <c r="AC403" s="372"/>
      <c r="AD403" s="270"/>
      <c r="AE403" s="270"/>
      <c r="AF403" s="270"/>
      <c r="AG403" s="376"/>
      <c r="AH403" s="272"/>
      <c r="AI403" s="1"/>
      <c r="AJ403" s="21"/>
      <c r="AK403" s="21"/>
      <c r="AL403" s="21"/>
      <c r="AM403" s="21"/>
      <c r="AN403" s="21"/>
      <c r="AO403" s="21"/>
    </row>
    <row r="404" spans="1:42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97"/>
      <c r="R404" s="285"/>
      <c r="S404" s="21"/>
      <c r="T404" s="13"/>
      <c r="U404" s="381"/>
      <c r="V404" s="375"/>
      <c r="W404" s="374"/>
      <c r="X404" s="370"/>
      <c r="Y404" s="376"/>
      <c r="Z404" s="371"/>
      <c r="AA404" s="371"/>
      <c r="AB404" s="675"/>
      <c r="AC404" s="372"/>
      <c r="AD404" s="270"/>
      <c r="AE404" s="270"/>
      <c r="AF404" s="270"/>
      <c r="AG404" s="376"/>
      <c r="AH404" s="272"/>
      <c r="AI404" s="1"/>
      <c r="AJ404" s="21"/>
      <c r="AK404" s="21"/>
      <c r="AL404" s="21"/>
      <c r="AM404" s="21"/>
      <c r="AN404" s="21"/>
      <c r="AO404" s="21"/>
    </row>
    <row r="405" spans="1:42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97"/>
      <c r="R405" s="285"/>
      <c r="S405" s="21"/>
      <c r="T405" s="13"/>
      <c r="U405" s="381"/>
      <c r="V405" s="375"/>
      <c r="W405" s="374"/>
      <c r="X405" s="370"/>
      <c r="Y405" s="376"/>
      <c r="Z405" s="371"/>
      <c r="AA405" s="371"/>
      <c r="AB405" s="675"/>
      <c r="AC405" s="372"/>
      <c r="AD405" s="270"/>
      <c r="AE405" s="270"/>
      <c r="AF405" s="270"/>
      <c r="AG405" s="376"/>
      <c r="AH405" s="272"/>
      <c r="AI405" s="1"/>
      <c r="AJ405" s="21"/>
      <c r="AK405" s="21"/>
      <c r="AL405" s="21"/>
      <c r="AM405" s="21"/>
      <c r="AN405" s="21"/>
      <c r="AO405" s="21"/>
    </row>
    <row r="406" spans="1:42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97"/>
      <c r="R406" s="285"/>
      <c r="S406" s="21"/>
      <c r="T406" s="13"/>
      <c r="U406" s="381"/>
      <c r="V406" s="375"/>
      <c r="W406" s="374"/>
      <c r="X406" s="370"/>
      <c r="Y406" s="376"/>
      <c r="Z406" s="371"/>
      <c r="AA406" s="371"/>
      <c r="AB406" s="675"/>
      <c r="AC406" s="372"/>
      <c r="AD406" s="270"/>
      <c r="AE406" s="270"/>
      <c r="AF406" s="270"/>
      <c r="AG406" s="376"/>
      <c r="AH406" s="272"/>
      <c r="AI406" s="1"/>
      <c r="AJ406" s="21"/>
      <c r="AK406" s="21"/>
      <c r="AL406" s="21"/>
      <c r="AM406" s="21"/>
      <c r="AN406" s="21"/>
      <c r="AO406" s="21"/>
    </row>
    <row r="407" spans="1:42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97"/>
      <c r="R407" s="285"/>
      <c r="S407" s="21"/>
      <c r="T407" s="13"/>
      <c r="U407" s="381"/>
      <c r="V407" s="375"/>
      <c r="W407" s="374"/>
      <c r="X407" s="370"/>
      <c r="Y407" s="376"/>
      <c r="Z407" s="371"/>
      <c r="AA407" s="371"/>
      <c r="AB407" s="675"/>
      <c r="AC407" s="372"/>
      <c r="AD407" s="270"/>
      <c r="AE407" s="270"/>
      <c r="AF407" s="270"/>
      <c r="AG407" s="376"/>
      <c r="AH407" s="272"/>
      <c r="AI407" s="1"/>
      <c r="AJ407" s="21"/>
      <c r="AK407" s="21"/>
      <c r="AL407" s="21"/>
      <c r="AM407" s="21"/>
      <c r="AN407" s="21"/>
      <c r="AO407" s="21"/>
    </row>
    <row r="408" spans="1:42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97"/>
      <c r="R408" s="285"/>
      <c r="S408" s="21"/>
      <c r="T408" s="13"/>
      <c r="U408" s="381"/>
      <c r="V408" s="375"/>
      <c r="W408" s="374"/>
      <c r="X408" s="370"/>
      <c r="Y408" s="376"/>
      <c r="Z408" s="371"/>
      <c r="AA408" s="371"/>
      <c r="AB408" s="675"/>
      <c r="AC408" s="372"/>
      <c r="AD408" s="270"/>
      <c r="AE408" s="270"/>
      <c r="AF408" s="270"/>
      <c r="AG408" s="376"/>
      <c r="AH408" s="272"/>
      <c r="AI408" s="1"/>
      <c r="AJ408" s="21"/>
      <c r="AK408" s="21"/>
      <c r="AL408" s="21"/>
      <c r="AM408" s="21"/>
      <c r="AN408" s="21"/>
      <c r="AO408" s="21"/>
    </row>
    <row r="409" spans="1:42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97"/>
      <c r="R409" s="285"/>
      <c r="S409" s="21"/>
      <c r="T409" s="13"/>
      <c r="U409" s="381"/>
      <c r="V409" s="375"/>
      <c r="W409" s="374"/>
      <c r="X409" s="370"/>
      <c r="Y409" s="376"/>
      <c r="Z409" s="371"/>
      <c r="AA409" s="371"/>
      <c r="AB409" s="675"/>
      <c r="AC409" s="372"/>
      <c r="AD409" s="270"/>
      <c r="AE409" s="270"/>
      <c r="AF409" s="270"/>
      <c r="AG409" s="376"/>
      <c r="AH409" s="272"/>
      <c r="AI409" s="1"/>
      <c r="AJ409" s="21"/>
      <c r="AK409" s="21"/>
      <c r="AL409" s="21"/>
      <c r="AM409" s="21"/>
      <c r="AN409" s="21"/>
      <c r="AO409" s="21"/>
    </row>
    <row r="410" spans="1:42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50"/>
      <c r="Q410" s="316"/>
      <c r="R410" s="285"/>
      <c r="S410" s="21"/>
      <c r="T410" s="13"/>
      <c r="U410" s="381"/>
      <c r="V410" s="375"/>
      <c r="W410" s="374"/>
      <c r="X410" s="370"/>
      <c r="Y410" s="376"/>
      <c r="Z410" s="371"/>
      <c r="AA410" s="371"/>
      <c r="AB410" s="675"/>
      <c r="AC410" s="372"/>
      <c r="AD410" s="270"/>
      <c r="AE410" s="270"/>
      <c r="AF410" s="270"/>
      <c r="AG410" s="376"/>
      <c r="AH410" s="272"/>
      <c r="AI410" s="1"/>
      <c r="AJ410" s="21"/>
      <c r="AK410" s="21"/>
      <c r="AL410" s="21"/>
      <c r="AM410" s="21"/>
      <c r="AN410" s="21"/>
      <c r="AO410" s="21"/>
    </row>
    <row r="411" spans="1:42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50"/>
      <c r="Q411" s="316"/>
      <c r="R411" s="285"/>
      <c r="S411" s="21"/>
      <c r="T411" s="13"/>
      <c r="U411" s="381"/>
      <c r="V411" s="375"/>
      <c r="W411" s="374"/>
      <c r="X411" s="370"/>
      <c r="Y411" s="376"/>
      <c r="Z411" s="371"/>
      <c r="AA411" s="371"/>
      <c r="AB411" s="675"/>
      <c r="AC411" s="372"/>
      <c r="AD411" s="270"/>
      <c r="AE411" s="270"/>
      <c r="AF411" s="270"/>
      <c r="AG411" s="376"/>
      <c r="AH411" s="272"/>
      <c r="AI411" s="1"/>
      <c r="AJ411" s="21"/>
      <c r="AK411" s="21"/>
      <c r="AL411" s="21"/>
      <c r="AM411" s="21"/>
      <c r="AN411" s="21"/>
      <c r="AO411" s="21"/>
    </row>
    <row r="412" spans="1:42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50"/>
      <c r="Q412" s="316"/>
      <c r="R412" s="285"/>
      <c r="S412" s="21"/>
      <c r="T412" s="13"/>
      <c r="U412" s="381"/>
      <c r="V412" s="375"/>
      <c r="W412" s="374"/>
      <c r="X412" s="370"/>
      <c r="Y412" s="376"/>
      <c r="Z412" s="371"/>
      <c r="AA412" s="371"/>
      <c r="AB412" s="675"/>
      <c r="AC412" s="372"/>
      <c r="AD412" s="270"/>
      <c r="AE412" s="270"/>
      <c r="AF412" s="270"/>
      <c r="AG412" s="376"/>
      <c r="AH412" s="272"/>
      <c r="AI412" s="1"/>
      <c r="AJ412" s="21"/>
      <c r="AK412" s="21"/>
      <c r="AL412" s="21"/>
      <c r="AM412" s="21"/>
      <c r="AN412" s="21"/>
      <c r="AO412" s="21"/>
    </row>
    <row r="413" spans="1:42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50"/>
      <c r="Q413" s="316"/>
      <c r="R413" s="285"/>
      <c r="S413" s="21"/>
      <c r="T413" s="13"/>
      <c r="U413" s="381"/>
      <c r="V413" s="375"/>
      <c r="W413" s="374"/>
      <c r="X413" s="370"/>
      <c r="Y413" s="376"/>
      <c r="Z413" s="371"/>
      <c r="AA413" s="371"/>
      <c r="AB413" s="675"/>
      <c r="AC413" s="372"/>
      <c r="AD413" s="270"/>
      <c r="AE413" s="270"/>
      <c r="AF413" s="270"/>
      <c r="AG413" s="376"/>
      <c r="AH413" s="272"/>
      <c r="AI413" s="1"/>
      <c r="AJ413" s="21"/>
      <c r="AK413" s="21"/>
      <c r="AL413" s="21"/>
      <c r="AM413" s="21"/>
      <c r="AN413" s="21"/>
      <c r="AO413" s="21"/>
    </row>
    <row r="414" spans="1:42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50"/>
      <c r="Q414" s="316"/>
      <c r="R414" s="285"/>
      <c r="S414" s="21"/>
      <c r="T414" s="13"/>
      <c r="U414" s="381"/>
      <c r="V414" s="375"/>
      <c r="W414" s="374"/>
      <c r="X414" s="370"/>
      <c r="Y414" s="376"/>
      <c r="Z414" s="371"/>
      <c r="AA414" s="371"/>
      <c r="AB414" s="675"/>
      <c r="AC414" s="372"/>
      <c r="AD414" s="270"/>
      <c r="AE414" s="270"/>
      <c r="AF414" s="270"/>
      <c r="AG414" s="376"/>
      <c r="AH414" s="272"/>
      <c r="AI414" s="1"/>
      <c r="AJ414" s="21"/>
      <c r="AK414" s="21"/>
      <c r="AL414" s="21"/>
      <c r="AM414" s="21"/>
      <c r="AN414" s="21"/>
      <c r="AO414" s="21"/>
    </row>
    <row r="415" spans="1:42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50"/>
      <c r="Q415" s="316"/>
      <c r="R415" s="285"/>
      <c r="S415" s="21"/>
      <c r="T415" s="13"/>
      <c r="U415" s="370"/>
      <c r="V415" s="375"/>
      <c r="W415" s="374"/>
      <c r="X415" s="370"/>
      <c r="Y415" s="376"/>
      <c r="Z415" s="371"/>
      <c r="AA415" s="371"/>
      <c r="AB415" s="675"/>
      <c r="AC415" s="372"/>
      <c r="AD415" s="270"/>
      <c r="AE415" s="270"/>
      <c r="AF415" s="270"/>
      <c r="AG415" s="376"/>
      <c r="AH415" s="272"/>
      <c r="AI415" s="1"/>
      <c r="AJ415" s="21"/>
      <c r="AK415" s="21"/>
      <c r="AL415" s="21"/>
      <c r="AM415" s="21"/>
      <c r="AN415" s="21"/>
      <c r="AO415" s="21"/>
    </row>
    <row r="416" spans="1:42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50"/>
      <c r="Q416" s="316"/>
      <c r="R416" s="285"/>
      <c r="S416" s="21"/>
      <c r="T416" s="13"/>
      <c r="U416" s="370"/>
      <c r="V416" s="375"/>
      <c r="W416" s="374"/>
      <c r="X416" s="370"/>
      <c r="Y416" s="376"/>
      <c r="Z416" s="371"/>
      <c r="AA416" s="371"/>
      <c r="AB416" s="675"/>
      <c r="AC416" s="372"/>
      <c r="AD416" s="270"/>
      <c r="AE416" s="270"/>
      <c r="AF416" s="270"/>
      <c r="AG416" s="376"/>
      <c r="AH416" s="272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50"/>
      <c r="Q417" s="316"/>
      <c r="R417" s="285"/>
      <c r="S417" s="21"/>
      <c r="T417" s="13"/>
      <c r="U417" s="370"/>
      <c r="V417" s="375"/>
      <c r="W417" s="374"/>
      <c r="X417" s="370"/>
      <c r="Y417" s="376"/>
      <c r="Z417" s="371"/>
      <c r="AA417" s="371"/>
      <c r="AB417" s="675"/>
      <c r="AC417" s="372"/>
      <c r="AD417" s="270"/>
      <c r="AE417" s="270"/>
      <c r="AF417" s="270"/>
      <c r="AG417" s="376"/>
      <c r="AH417" s="272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50"/>
      <c r="Q418" s="316"/>
      <c r="R418" s="285"/>
      <c r="S418" s="21"/>
      <c r="T418" s="13"/>
      <c r="U418" s="370"/>
      <c r="V418" s="375"/>
      <c r="W418" s="374"/>
      <c r="X418" s="370"/>
      <c r="Y418" s="376"/>
      <c r="Z418" s="371"/>
      <c r="AA418" s="371"/>
      <c r="AB418" s="675"/>
      <c r="AC418" s="372"/>
      <c r="AD418" s="270"/>
      <c r="AE418" s="270"/>
      <c r="AF418" s="270"/>
      <c r="AG418" s="376"/>
      <c r="AH418" s="272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50"/>
      <c r="Q419" s="316"/>
      <c r="R419" s="285"/>
      <c r="S419" s="21"/>
      <c r="T419" s="13"/>
      <c r="U419" s="370"/>
      <c r="V419" s="375"/>
      <c r="W419" s="374"/>
      <c r="X419" s="370"/>
      <c r="Y419" s="376"/>
      <c r="Z419" s="371"/>
      <c r="AA419" s="371"/>
      <c r="AB419" s="675"/>
      <c r="AC419" s="372"/>
      <c r="AD419" s="270"/>
      <c r="AE419" s="270"/>
      <c r="AF419" s="270"/>
      <c r="AG419" s="376"/>
      <c r="AH419" s="272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50"/>
      <c r="Q420" s="316"/>
      <c r="R420" s="285"/>
      <c r="S420" s="21"/>
      <c r="T420" s="13"/>
      <c r="U420" s="370"/>
      <c r="V420" s="375"/>
      <c r="W420" s="374"/>
      <c r="X420" s="370"/>
      <c r="Y420" s="376"/>
      <c r="Z420" s="371"/>
      <c r="AA420" s="371"/>
      <c r="AB420" s="675"/>
      <c r="AC420" s="372"/>
      <c r="AD420" s="270"/>
      <c r="AE420" s="270"/>
      <c r="AF420" s="270"/>
      <c r="AG420" s="376"/>
      <c r="AH420" s="272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50"/>
      <c r="Q421" s="316"/>
      <c r="R421" s="285"/>
      <c r="S421" s="21"/>
      <c r="T421" s="13"/>
      <c r="U421" s="422"/>
      <c r="V421" s="375"/>
      <c r="W421" s="374"/>
      <c r="X421" s="370"/>
      <c r="Y421" s="376"/>
      <c r="Z421" s="371"/>
      <c r="AA421" s="371"/>
      <c r="AB421" s="675"/>
      <c r="AC421" s="372"/>
      <c r="AD421" s="270"/>
      <c r="AE421" s="270"/>
      <c r="AF421" s="270"/>
      <c r="AG421" s="376"/>
      <c r="AH421" s="272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50"/>
      <c r="Q422" s="316"/>
      <c r="R422" s="285"/>
      <c r="S422" s="21"/>
      <c r="T422" s="13"/>
      <c r="U422" s="422"/>
      <c r="V422" s="375"/>
      <c r="W422" s="374"/>
      <c r="X422" s="370"/>
      <c r="Y422" s="376"/>
      <c r="Z422" s="371"/>
      <c r="AA422" s="371"/>
      <c r="AB422" s="675"/>
      <c r="AC422" s="372"/>
      <c r="AD422" s="270"/>
      <c r="AE422" s="270"/>
      <c r="AF422" s="270"/>
      <c r="AG422" s="376"/>
      <c r="AH422" s="272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50"/>
      <c r="Q423" s="316"/>
      <c r="R423" s="285"/>
      <c r="S423" s="21"/>
      <c r="T423" s="13"/>
      <c r="U423" s="422"/>
      <c r="V423" s="375"/>
      <c r="W423" s="374"/>
      <c r="X423" s="370"/>
      <c r="Y423" s="376"/>
      <c r="Z423" s="371"/>
      <c r="AA423" s="371"/>
      <c r="AB423" s="675"/>
      <c r="AC423" s="372"/>
      <c r="AD423" s="270"/>
      <c r="AE423" s="270"/>
      <c r="AF423" s="270"/>
      <c r="AG423" s="376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50"/>
      <c r="Q424" s="316"/>
      <c r="R424" s="285"/>
      <c r="S424" s="21"/>
      <c r="T424" s="13"/>
      <c r="U424" s="422"/>
      <c r="V424" s="375"/>
      <c r="W424" s="374"/>
      <c r="X424" s="370"/>
      <c r="Y424" s="376"/>
      <c r="Z424" s="371"/>
      <c r="AA424" s="371"/>
      <c r="AB424" s="675"/>
      <c r="AC424" s="372"/>
      <c r="AD424" s="270"/>
      <c r="AE424" s="270"/>
      <c r="AF424" s="270"/>
      <c r="AG424" s="376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50"/>
      <c r="Q425" s="316"/>
      <c r="R425" s="285"/>
      <c r="S425" s="21"/>
      <c r="T425" s="13"/>
      <c r="U425" s="422"/>
      <c r="V425" s="375"/>
      <c r="W425" s="374"/>
      <c r="X425" s="370"/>
      <c r="Y425" s="376"/>
      <c r="Z425" s="371"/>
      <c r="AA425" s="371"/>
      <c r="AB425" s="675"/>
      <c r="AC425" s="372"/>
      <c r="AD425" s="270"/>
      <c r="AE425" s="270"/>
      <c r="AF425" s="270"/>
      <c r="AG425" s="376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50"/>
      <c r="Q426" s="316"/>
      <c r="R426" s="285"/>
      <c r="S426" s="21"/>
      <c r="T426" s="13"/>
      <c r="U426" s="422"/>
      <c r="V426" s="375"/>
      <c r="W426" s="374"/>
      <c r="X426" s="370"/>
      <c r="Y426" s="376"/>
      <c r="Z426" s="371"/>
      <c r="AA426" s="371"/>
      <c r="AB426" s="675"/>
      <c r="AC426" s="372"/>
      <c r="AD426" s="270"/>
      <c r="AE426" s="270"/>
      <c r="AF426" s="270"/>
      <c r="AG426" s="376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50"/>
      <c r="Q427" s="316"/>
      <c r="R427" s="285"/>
      <c r="S427" s="21"/>
      <c r="T427" s="13"/>
      <c r="U427" s="422"/>
      <c r="V427" s="375"/>
      <c r="W427" s="374"/>
      <c r="X427" s="370"/>
      <c r="Y427" s="376"/>
      <c r="Z427" s="371"/>
      <c r="AA427" s="371"/>
      <c r="AB427" s="675"/>
      <c r="AC427" s="372"/>
      <c r="AD427" s="270"/>
      <c r="AE427" s="270"/>
      <c r="AF427" s="270"/>
      <c r="AG427" s="376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50"/>
      <c r="Q428" s="316"/>
      <c r="R428" s="285"/>
      <c r="S428" s="21"/>
      <c r="T428" s="13"/>
      <c r="U428" s="422"/>
      <c r="V428" s="375"/>
      <c r="W428" s="374"/>
      <c r="X428" s="370"/>
      <c r="Y428" s="376"/>
      <c r="Z428" s="371"/>
      <c r="AA428" s="371"/>
      <c r="AB428" s="675"/>
      <c r="AC428" s="372"/>
      <c r="AD428" s="270"/>
      <c r="AE428" s="270"/>
      <c r="AF428" s="270"/>
      <c r="AG428" s="376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50"/>
      <c r="Q429" s="316"/>
      <c r="R429" s="285"/>
      <c r="S429" s="21"/>
      <c r="T429" s="13"/>
      <c r="U429" s="422"/>
      <c r="V429" s="375"/>
      <c r="W429" s="374"/>
      <c r="X429" s="370"/>
      <c r="Y429" s="376"/>
      <c r="Z429" s="371"/>
      <c r="AA429" s="371"/>
      <c r="AB429" s="675"/>
      <c r="AC429" s="372"/>
      <c r="AD429" s="270"/>
      <c r="AE429" s="270"/>
      <c r="AF429" s="270"/>
      <c r="AG429" s="376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50"/>
      <c r="Q430" s="316"/>
      <c r="R430" s="285"/>
      <c r="S430" s="21"/>
      <c r="T430" s="13"/>
      <c r="U430" s="422"/>
      <c r="V430" s="375"/>
      <c r="W430" s="374"/>
      <c r="X430" s="370"/>
      <c r="Y430" s="376"/>
      <c r="Z430" s="371"/>
      <c r="AA430" s="371"/>
      <c r="AB430" s="675"/>
      <c r="AC430" s="372"/>
      <c r="AD430" s="270"/>
      <c r="AE430" s="270"/>
      <c r="AF430" s="270"/>
      <c r="AG430" s="376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50"/>
      <c r="Q431" s="316"/>
      <c r="R431" s="285"/>
      <c r="S431" s="21"/>
      <c r="T431" s="13"/>
      <c r="U431" s="13"/>
      <c r="V431" s="21"/>
      <c r="W431" s="21"/>
      <c r="X431" s="21"/>
      <c r="Y431" s="260"/>
      <c r="Z431" s="177"/>
      <c r="AA431" s="177"/>
      <c r="AB431" s="676"/>
      <c r="AC431" s="64"/>
      <c r="AD431" s="50"/>
      <c r="AE431" s="50"/>
      <c r="AF431" s="19"/>
      <c r="AG431" s="376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50"/>
      <c r="Q432" s="316"/>
      <c r="R432" s="285"/>
      <c r="S432" s="21"/>
      <c r="T432" s="13"/>
      <c r="U432" s="13"/>
      <c r="V432" s="21"/>
      <c r="W432" s="21"/>
      <c r="X432" s="21"/>
      <c r="Y432" s="260"/>
      <c r="Z432" s="177"/>
      <c r="AA432" s="177"/>
      <c r="AB432" s="676"/>
      <c r="AC432" s="64"/>
      <c r="AD432" s="50"/>
      <c r="AE432" s="50"/>
      <c r="AF432" s="19"/>
      <c r="AG432" s="376"/>
      <c r="AH432" s="272"/>
      <c r="AI432" s="1"/>
      <c r="AJ432" s="21"/>
      <c r="AK432" s="21"/>
      <c r="AL432" s="21"/>
      <c r="AM432" s="21"/>
      <c r="AN432" s="21"/>
      <c r="AO432" s="21"/>
    </row>
    <row r="433" spans="1:44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50"/>
      <c r="Q433" s="316"/>
      <c r="R433" s="285"/>
      <c r="S433" s="21"/>
      <c r="T433" s="13"/>
      <c r="U433" s="13"/>
      <c r="V433" s="21"/>
      <c r="W433" s="21"/>
      <c r="X433" s="21"/>
      <c r="Y433" s="260"/>
      <c r="Z433" s="177"/>
      <c r="AA433" s="177"/>
      <c r="AB433" s="676"/>
      <c r="AC433" s="64"/>
      <c r="AD433" s="50"/>
      <c r="AE433" s="50"/>
      <c r="AF433" s="19"/>
      <c r="AG433" s="376"/>
      <c r="AH433" s="272"/>
      <c r="AI433" s="1"/>
      <c r="AJ433" s="21"/>
      <c r="AK433" s="21"/>
      <c r="AL433" s="21"/>
      <c r="AM433" s="21"/>
      <c r="AN433" s="21"/>
      <c r="AO433" s="21"/>
    </row>
    <row r="434" spans="1:44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50"/>
      <c r="Q434" s="316"/>
      <c r="R434" s="285"/>
      <c r="S434" s="21"/>
      <c r="T434" s="13"/>
      <c r="U434" s="13"/>
      <c r="V434" s="21"/>
      <c r="W434" s="21"/>
      <c r="X434" s="21"/>
      <c r="Y434" s="260"/>
      <c r="Z434" s="177"/>
      <c r="AA434" s="177"/>
      <c r="AB434" s="676"/>
      <c r="AC434" s="64"/>
      <c r="AD434" s="50"/>
      <c r="AE434" s="50"/>
      <c r="AF434" s="19"/>
      <c r="AG434" s="376"/>
      <c r="AH434" s="272"/>
      <c r="AI434" s="1"/>
      <c r="AJ434" s="21"/>
      <c r="AK434" s="21"/>
      <c r="AL434" s="21"/>
      <c r="AM434" s="21"/>
      <c r="AN434" s="21"/>
      <c r="AO434" s="21"/>
      <c r="AQ434" s="308"/>
      <c r="AR434" s="308"/>
    </row>
    <row r="435" spans="1:44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50"/>
      <c r="Q435" s="316"/>
      <c r="R435" s="285"/>
      <c r="S435" s="21"/>
      <c r="T435" s="13"/>
      <c r="U435" s="13"/>
      <c r="V435" s="21"/>
      <c r="W435" s="21"/>
      <c r="X435" s="21"/>
      <c r="Y435" s="260"/>
      <c r="Z435" s="177"/>
      <c r="AA435" s="177"/>
      <c r="AB435" s="676"/>
      <c r="AC435" s="64"/>
      <c r="AD435" s="50"/>
      <c r="AE435" s="50"/>
      <c r="AF435" s="19"/>
      <c r="AG435" s="376"/>
      <c r="AH435" s="272"/>
      <c r="AI435" s="1"/>
      <c r="AJ435" s="21"/>
      <c r="AK435" s="21"/>
      <c r="AL435" s="21"/>
      <c r="AM435" s="21"/>
      <c r="AN435" s="21"/>
      <c r="AO435" s="21"/>
      <c r="AQ435" s="308"/>
      <c r="AR435" s="308"/>
    </row>
    <row r="436" spans="1:44" s="308" customFormat="1" x14ac:dyDescent="0.2">
      <c r="A436" s="48"/>
      <c r="B436" s="306"/>
      <c r="C436" s="233"/>
      <c r="D436" s="233"/>
      <c r="E436" s="53"/>
      <c r="F436" s="13"/>
      <c r="G436" s="13"/>
      <c r="H436" s="53"/>
      <c r="I436" s="298"/>
      <c r="J436" s="21"/>
      <c r="K436" s="21"/>
      <c r="L436" s="13"/>
      <c r="M436" s="50"/>
      <c r="N436" s="97"/>
      <c r="O436" s="50"/>
      <c r="P436" s="50"/>
      <c r="Q436" s="316"/>
      <c r="R436" s="285"/>
      <c r="S436" s="21"/>
      <c r="T436" s="13"/>
      <c r="U436" s="13"/>
      <c r="V436" s="21"/>
      <c r="W436" s="21"/>
      <c r="X436" s="21"/>
      <c r="Y436" s="260"/>
      <c r="Z436" s="177"/>
      <c r="AA436" s="177"/>
      <c r="AB436" s="676"/>
      <c r="AC436" s="64"/>
      <c r="AD436" s="50"/>
      <c r="AE436" s="50"/>
      <c r="AF436" s="19"/>
      <c r="AG436" s="376"/>
      <c r="AH436" s="272"/>
      <c r="AI436" s="1"/>
      <c r="AJ436" s="21"/>
      <c r="AK436" s="21"/>
      <c r="AL436" s="21"/>
      <c r="AM436" s="21"/>
      <c r="AN436" s="21"/>
      <c r="AO436" s="21"/>
      <c r="AP436" s="53"/>
    </row>
    <row r="437" spans="1:44" s="308" customFormat="1" x14ac:dyDescent="0.2">
      <c r="A437" s="48"/>
      <c r="B437" s="306"/>
      <c r="C437" s="233"/>
      <c r="D437" s="233"/>
      <c r="E437" s="53"/>
      <c r="F437" s="13"/>
      <c r="G437" s="13"/>
      <c r="H437" s="53"/>
      <c r="I437" s="298"/>
      <c r="J437" s="21"/>
      <c r="K437" s="21"/>
      <c r="L437" s="13"/>
      <c r="M437" s="50"/>
      <c r="N437" s="97"/>
      <c r="O437" s="50"/>
      <c r="P437" s="50"/>
      <c r="Q437" s="316"/>
      <c r="R437" s="285"/>
      <c r="S437" s="21"/>
      <c r="T437" s="13"/>
      <c r="U437" s="13"/>
      <c r="V437" s="21"/>
      <c r="W437" s="21"/>
      <c r="X437" s="21"/>
      <c r="Y437" s="260"/>
      <c r="Z437" s="177"/>
      <c r="AA437" s="177"/>
      <c r="AB437" s="676"/>
      <c r="AC437" s="64"/>
      <c r="AD437" s="50"/>
      <c r="AE437" s="50"/>
      <c r="AF437" s="19"/>
      <c r="AG437" s="376"/>
      <c r="AH437" s="272"/>
      <c r="AI437" s="1"/>
      <c r="AJ437" s="21"/>
      <c r="AK437" s="21"/>
      <c r="AL437" s="21"/>
      <c r="AM437" s="21"/>
      <c r="AN437" s="21"/>
      <c r="AO437" s="21"/>
      <c r="AP437" s="53"/>
    </row>
    <row r="438" spans="1:44" s="308" customFormat="1" x14ac:dyDescent="0.2">
      <c r="A438" s="48"/>
      <c r="B438" s="306"/>
      <c r="C438" s="233"/>
      <c r="D438" s="233"/>
      <c r="E438" s="53"/>
      <c r="F438" s="13"/>
      <c r="G438" s="13"/>
      <c r="H438" s="53"/>
      <c r="I438" s="298"/>
      <c r="J438" s="21"/>
      <c r="K438" s="21"/>
      <c r="L438" s="13"/>
      <c r="M438" s="50"/>
      <c r="N438" s="97"/>
      <c r="O438" s="50"/>
      <c r="P438" s="50"/>
      <c r="Q438" s="316"/>
      <c r="R438" s="285"/>
      <c r="S438" s="21"/>
      <c r="T438" s="13"/>
      <c r="U438" s="13"/>
      <c r="V438" s="21"/>
      <c r="W438" s="21"/>
      <c r="X438" s="21"/>
      <c r="Y438" s="260"/>
      <c r="Z438" s="177"/>
      <c r="AA438" s="177"/>
      <c r="AB438" s="676"/>
      <c r="AC438" s="64"/>
      <c r="AD438" s="50"/>
      <c r="AE438" s="50"/>
      <c r="AF438" s="19"/>
      <c r="AG438" s="120"/>
      <c r="AH438" s="272"/>
      <c r="AI438" s="1"/>
      <c r="AJ438" s="21"/>
      <c r="AK438" s="21"/>
      <c r="AL438" s="21"/>
      <c r="AM438" s="21"/>
      <c r="AN438" s="21"/>
      <c r="AO438" s="21"/>
      <c r="AP438" s="53"/>
    </row>
    <row r="439" spans="1:44" s="308" customFormat="1" x14ac:dyDescent="0.2">
      <c r="A439" s="48"/>
      <c r="B439" s="306"/>
      <c r="C439" s="233"/>
      <c r="D439" s="233"/>
      <c r="E439" s="53"/>
      <c r="F439" s="13"/>
      <c r="G439" s="13"/>
      <c r="H439" s="53"/>
      <c r="I439" s="298"/>
      <c r="J439" s="21"/>
      <c r="K439" s="21"/>
      <c r="L439" s="13"/>
      <c r="M439" s="50"/>
      <c r="N439" s="97"/>
      <c r="O439" s="50"/>
      <c r="P439" s="50"/>
      <c r="Q439" s="316"/>
      <c r="R439" s="285"/>
      <c r="S439" s="21"/>
      <c r="T439" s="13"/>
      <c r="U439" s="13"/>
      <c r="V439" s="21"/>
      <c r="W439" s="21"/>
      <c r="X439" s="21"/>
      <c r="Y439" s="260"/>
      <c r="Z439" s="177"/>
      <c r="AA439" s="177"/>
      <c r="AB439" s="676"/>
      <c r="AC439" s="64"/>
      <c r="AD439" s="50"/>
      <c r="AE439" s="50"/>
      <c r="AF439" s="19"/>
      <c r="AG439" s="120"/>
      <c r="AH439" s="119"/>
      <c r="AI439" s="1"/>
      <c r="AJ439" s="21"/>
      <c r="AK439" s="21"/>
      <c r="AL439" s="21"/>
      <c r="AM439" s="21"/>
      <c r="AN439" s="21"/>
      <c r="AO439" s="21"/>
      <c r="AP439" s="53"/>
    </row>
    <row r="440" spans="1:44" s="308" customFormat="1" x14ac:dyDescent="0.2">
      <c r="A440" s="48"/>
      <c r="B440" s="306"/>
      <c r="C440" s="233"/>
      <c r="D440" s="233"/>
      <c r="E440" s="53"/>
      <c r="F440" s="13"/>
      <c r="G440" s="13"/>
      <c r="H440" s="53"/>
      <c r="I440" s="298"/>
      <c r="J440" s="21"/>
      <c r="K440" s="21"/>
      <c r="L440" s="13"/>
      <c r="M440" s="50"/>
      <c r="N440" s="97"/>
      <c r="O440" s="50"/>
      <c r="P440" s="50"/>
      <c r="Q440" s="316"/>
      <c r="R440" s="285"/>
      <c r="S440" s="21"/>
      <c r="T440" s="13"/>
      <c r="U440" s="13"/>
      <c r="V440" s="21"/>
      <c r="W440" s="21"/>
      <c r="X440" s="21"/>
      <c r="Y440" s="260"/>
      <c r="Z440" s="177"/>
      <c r="AA440" s="177"/>
      <c r="AB440" s="676"/>
      <c r="AC440" s="64"/>
      <c r="AD440" s="50"/>
      <c r="AE440" s="50"/>
      <c r="AF440" s="19"/>
      <c r="AG440" s="120"/>
      <c r="AH440" s="119"/>
      <c r="AI440" s="1"/>
      <c r="AJ440" s="21"/>
      <c r="AK440" s="21"/>
      <c r="AL440" s="21"/>
      <c r="AM440" s="21"/>
      <c r="AN440" s="21"/>
      <c r="AO440" s="21"/>
      <c r="AP440" s="53"/>
    </row>
    <row r="441" spans="1:44" s="308" customFormat="1" x14ac:dyDescent="0.2">
      <c r="A441" s="48"/>
      <c r="B441" s="306"/>
      <c r="C441" s="233"/>
      <c r="D441" s="233"/>
      <c r="E441" s="53"/>
      <c r="F441" s="13"/>
      <c r="G441" s="13"/>
      <c r="H441" s="53"/>
      <c r="I441" s="298"/>
      <c r="J441" s="21"/>
      <c r="K441" s="21"/>
      <c r="L441" s="13"/>
      <c r="M441" s="50"/>
      <c r="N441" s="97"/>
      <c r="O441" s="50"/>
      <c r="P441" s="50"/>
      <c r="Q441" s="316"/>
      <c r="R441" s="285"/>
      <c r="S441" s="21"/>
      <c r="T441" s="13"/>
      <c r="U441" s="13"/>
      <c r="V441" s="21"/>
      <c r="W441" s="21"/>
      <c r="X441" s="21"/>
      <c r="Y441" s="260"/>
      <c r="Z441" s="177"/>
      <c r="AA441" s="177"/>
      <c r="AB441" s="676"/>
      <c r="AC441" s="64"/>
      <c r="AD441" s="50"/>
      <c r="AE441" s="50"/>
      <c r="AF441" s="19"/>
      <c r="AG441" s="120"/>
      <c r="AH441" s="119"/>
      <c r="AI441" s="1"/>
      <c r="AJ441" s="21"/>
      <c r="AK441" s="21"/>
      <c r="AL441" s="21"/>
      <c r="AM441" s="21"/>
      <c r="AN441" s="21"/>
      <c r="AO441" s="21"/>
      <c r="AP441" s="53"/>
    </row>
    <row r="442" spans="1:44" s="308" customFormat="1" x14ac:dyDescent="0.2">
      <c r="A442" s="48"/>
      <c r="B442" s="306"/>
      <c r="C442" s="233"/>
      <c r="D442" s="233"/>
      <c r="E442" s="53"/>
      <c r="F442" s="13"/>
      <c r="G442" s="13"/>
      <c r="H442" s="53"/>
      <c r="I442" s="298"/>
      <c r="J442" s="21"/>
      <c r="K442" s="21"/>
      <c r="L442" s="13"/>
      <c r="M442" s="50"/>
      <c r="N442" s="97"/>
      <c r="O442" s="50"/>
      <c r="P442" s="50"/>
      <c r="Q442" s="316"/>
      <c r="R442" s="285"/>
      <c r="S442" s="21"/>
      <c r="T442" s="13"/>
      <c r="U442" s="13"/>
      <c r="V442" s="21"/>
      <c r="W442" s="21"/>
      <c r="X442" s="21"/>
      <c r="Y442" s="260"/>
      <c r="Z442" s="177"/>
      <c r="AA442" s="177"/>
      <c r="AB442" s="676"/>
      <c r="AC442" s="64"/>
      <c r="AD442" s="50"/>
      <c r="AE442" s="50"/>
      <c r="AF442" s="19"/>
      <c r="AG442" s="120"/>
      <c r="AH442" s="119"/>
      <c r="AI442" s="1"/>
      <c r="AJ442" s="21"/>
      <c r="AK442" s="21"/>
      <c r="AL442" s="21"/>
      <c r="AM442" s="21"/>
      <c r="AN442" s="21"/>
      <c r="AO442" s="21"/>
      <c r="AP442" s="53"/>
    </row>
    <row r="443" spans="1:44" s="308" customFormat="1" x14ac:dyDescent="0.2">
      <c r="A443" s="48"/>
      <c r="B443" s="306"/>
      <c r="C443" s="233"/>
      <c r="D443" s="233"/>
      <c r="E443" s="53"/>
      <c r="F443" s="13"/>
      <c r="G443" s="13"/>
      <c r="H443" s="53"/>
      <c r="I443" s="298"/>
      <c r="J443" s="21"/>
      <c r="K443" s="21"/>
      <c r="L443" s="13"/>
      <c r="M443" s="50"/>
      <c r="N443" s="97"/>
      <c r="O443" s="50"/>
      <c r="P443" s="50"/>
      <c r="Q443" s="316"/>
      <c r="R443" s="285"/>
      <c r="S443" s="21"/>
      <c r="T443" s="13"/>
      <c r="U443" s="13"/>
      <c r="V443" s="21"/>
      <c r="W443" s="21"/>
      <c r="X443" s="21"/>
      <c r="Y443" s="260"/>
      <c r="Z443" s="177"/>
      <c r="AA443" s="177"/>
      <c r="AB443" s="676"/>
      <c r="AC443" s="64"/>
      <c r="AD443" s="50"/>
      <c r="AE443" s="50"/>
      <c r="AF443" s="19"/>
      <c r="AG443" s="120"/>
      <c r="AH443" s="119"/>
      <c r="AI443" s="1"/>
      <c r="AJ443" s="21"/>
      <c r="AK443" s="21"/>
      <c r="AL443" s="21"/>
      <c r="AM443" s="21"/>
      <c r="AN443" s="21"/>
      <c r="AO443" s="21"/>
      <c r="AP443" s="53"/>
    </row>
    <row r="444" spans="1:44" s="308" customFormat="1" x14ac:dyDescent="0.2">
      <c r="A444" s="48"/>
      <c r="B444" s="306"/>
      <c r="C444" s="233"/>
      <c r="D444" s="233"/>
      <c r="E444" s="53"/>
      <c r="F444" s="13"/>
      <c r="G444" s="13"/>
      <c r="H444" s="53"/>
      <c r="I444" s="298"/>
      <c r="J444" s="21"/>
      <c r="K444" s="21"/>
      <c r="L444" s="13"/>
      <c r="M444" s="50"/>
      <c r="N444" s="97"/>
      <c r="O444" s="50"/>
      <c r="P444" s="50"/>
      <c r="Q444" s="316"/>
      <c r="R444" s="285"/>
      <c r="S444" s="21"/>
      <c r="T444" s="13"/>
      <c r="U444" s="13"/>
      <c r="V444" s="21"/>
      <c r="W444" s="21"/>
      <c r="X444" s="21"/>
      <c r="Y444" s="260"/>
      <c r="Z444" s="177"/>
      <c r="AA444" s="177"/>
      <c r="AB444" s="676"/>
      <c r="AC444" s="64"/>
      <c r="AD444" s="50"/>
      <c r="AE444" s="50"/>
      <c r="AF444" s="19"/>
      <c r="AG444" s="120"/>
      <c r="AH444" s="119"/>
      <c r="AI444" s="1"/>
      <c r="AJ444" s="21"/>
      <c r="AK444" s="21"/>
      <c r="AL444" s="21"/>
      <c r="AM444" s="21"/>
      <c r="AN444" s="21"/>
      <c r="AO444" s="21"/>
      <c r="AP444" s="53"/>
    </row>
    <row r="445" spans="1:44" s="308" customFormat="1" x14ac:dyDescent="0.2">
      <c r="A445" s="48"/>
      <c r="B445" s="306"/>
      <c r="C445" s="233"/>
      <c r="D445" s="233"/>
      <c r="E445" s="53"/>
      <c r="F445" s="13"/>
      <c r="G445" s="13"/>
      <c r="H445" s="53"/>
      <c r="I445" s="298"/>
      <c r="J445" s="21"/>
      <c r="K445" s="21"/>
      <c r="L445" s="13"/>
      <c r="M445" s="50"/>
      <c r="N445" s="97"/>
      <c r="O445" s="50"/>
      <c r="P445" s="50"/>
      <c r="Q445" s="316"/>
      <c r="R445" s="285"/>
      <c r="S445" s="21"/>
      <c r="T445" s="13"/>
      <c r="U445" s="13"/>
      <c r="V445" s="21"/>
      <c r="W445" s="21"/>
      <c r="X445" s="21"/>
      <c r="Y445" s="260"/>
      <c r="Z445" s="177"/>
      <c r="AA445" s="177"/>
      <c r="AB445" s="676"/>
      <c r="AC445" s="64"/>
      <c r="AD445" s="50"/>
      <c r="AE445" s="50"/>
      <c r="AF445" s="19"/>
      <c r="AG445" s="120"/>
      <c r="AH445" s="119"/>
      <c r="AI445" s="1"/>
      <c r="AJ445" s="21"/>
      <c r="AK445" s="21"/>
      <c r="AL445" s="21"/>
      <c r="AM445" s="21"/>
      <c r="AN445" s="21"/>
      <c r="AO445" s="21"/>
      <c r="AP445" s="53"/>
    </row>
    <row r="446" spans="1:44" s="308" customFormat="1" x14ac:dyDescent="0.2">
      <c r="A446" s="48"/>
      <c r="B446" s="306"/>
      <c r="C446" s="233"/>
      <c r="D446" s="233"/>
      <c r="E446" s="53"/>
      <c r="F446" s="13"/>
      <c r="G446" s="13"/>
      <c r="H446" s="53"/>
      <c r="I446" s="298"/>
      <c r="J446" s="21"/>
      <c r="K446" s="21"/>
      <c r="L446" s="13"/>
      <c r="M446" s="50"/>
      <c r="N446" s="97"/>
      <c r="O446" s="50"/>
      <c r="P446" s="50"/>
      <c r="Q446" s="316"/>
      <c r="R446" s="285"/>
      <c r="S446" s="21"/>
      <c r="T446" s="13"/>
      <c r="U446" s="13"/>
      <c r="V446" s="21"/>
      <c r="W446" s="21"/>
      <c r="X446" s="21"/>
      <c r="Y446" s="260"/>
      <c r="Z446" s="177"/>
      <c r="AA446" s="177"/>
      <c r="AB446" s="676"/>
      <c r="AC446" s="64"/>
      <c r="AD446" s="50"/>
      <c r="AE446" s="50"/>
      <c r="AF446" s="19"/>
      <c r="AG446" s="120"/>
      <c r="AH446" s="119"/>
      <c r="AI446" s="1"/>
      <c r="AJ446" s="21"/>
      <c r="AK446" s="21"/>
      <c r="AL446" s="21"/>
      <c r="AM446" s="21"/>
      <c r="AN446" s="21"/>
      <c r="AO446" s="21"/>
      <c r="AP446" s="53"/>
    </row>
    <row r="447" spans="1:44" s="308" customFormat="1" x14ac:dyDescent="0.2">
      <c r="A447" s="48"/>
      <c r="B447" s="306"/>
      <c r="C447" s="233"/>
      <c r="D447" s="233"/>
      <c r="E447" s="53"/>
      <c r="F447" s="13"/>
      <c r="G447" s="13"/>
      <c r="H447" s="53"/>
      <c r="I447" s="298"/>
      <c r="J447" s="21"/>
      <c r="K447" s="21"/>
      <c r="L447" s="13"/>
      <c r="M447" s="50"/>
      <c r="N447" s="97"/>
      <c r="O447" s="50"/>
      <c r="P447" s="50"/>
      <c r="Q447" s="316"/>
      <c r="R447" s="285"/>
      <c r="S447" s="21"/>
      <c r="T447" s="13"/>
      <c r="U447" s="13"/>
      <c r="V447" s="21"/>
      <c r="W447" s="21"/>
      <c r="X447" s="21"/>
      <c r="Y447" s="260"/>
      <c r="Z447" s="177"/>
      <c r="AA447" s="177"/>
      <c r="AB447" s="676"/>
      <c r="AC447" s="64"/>
      <c r="AD447" s="50"/>
      <c r="AE447" s="50"/>
      <c r="AF447" s="19"/>
      <c r="AG447" s="120"/>
      <c r="AH447" s="119"/>
      <c r="AI447" s="1"/>
      <c r="AJ447" s="21"/>
      <c r="AK447" s="21"/>
      <c r="AL447" s="21"/>
      <c r="AM447" s="21"/>
      <c r="AN447" s="21"/>
      <c r="AO447" s="21"/>
      <c r="AP447" s="53"/>
    </row>
    <row r="448" spans="1:44" s="308" customFormat="1" x14ac:dyDescent="0.2">
      <c r="A448" s="48"/>
      <c r="B448" s="306"/>
      <c r="C448" s="233"/>
      <c r="D448" s="233"/>
      <c r="E448" s="53"/>
      <c r="F448" s="13"/>
      <c r="G448" s="13"/>
      <c r="H448" s="53"/>
      <c r="I448" s="298"/>
      <c r="J448" s="21"/>
      <c r="K448" s="21"/>
      <c r="L448" s="13"/>
      <c r="M448" s="50"/>
      <c r="N448" s="97"/>
      <c r="O448" s="50"/>
      <c r="P448" s="50"/>
      <c r="Q448" s="316"/>
      <c r="R448" s="285"/>
      <c r="S448" s="21"/>
      <c r="T448" s="13"/>
      <c r="U448" s="13"/>
      <c r="V448" s="21"/>
      <c r="W448" s="21"/>
      <c r="X448" s="21"/>
      <c r="Y448" s="260"/>
      <c r="Z448" s="177"/>
      <c r="AA448" s="177"/>
      <c r="AB448" s="676"/>
      <c r="AC448" s="64"/>
      <c r="AD448" s="50"/>
      <c r="AE448" s="50"/>
      <c r="AF448" s="19"/>
      <c r="AG448" s="120"/>
      <c r="AH448" s="119"/>
      <c r="AI448" s="1"/>
      <c r="AJ448" s="21"/>
      <c r="AK448" s="21"/>
      <c r="AL448" s="21"/>
      <c r="AM448" s="21"/>
      <c r="AN448" s="21"/>
      <c r="AO448" s="21"/>
      <c r="AP448" s="53"/>
    </row>
    <row r="449" spans="1:42" s="308" customFormat="1" x14ac:dyDescent="0.2">
      <c r="A449" s="48"/>
      <c r="B449" s="306"/>
      <c r="C449" s="233"/>
      <c r="D449" s="233"/>
      <c r="E449" s="53"/>
      <c r="F449" s="13"/>
      <c r="G449" s="13"/>
      <c r="H449" s="53"/>
      <c r="I449" s="298"/>
      <c r="J449" s="21"/>
      <c r="K449" s="21"/>
      <c r="L449" s="13"/>
      <c r="M449" s="50"/>
      <c r="N449" s="97"/>
      <c r="O449" s="50"/>
      <c r="P449" s="50"/>
      <c r="Q449" s="316"/>
      <c r="R449" s="285"/>
      <c r="S449" s="21"/>
      <c r="T449" s="13"/>
      <c r="U449" s="13"/>
      <c r="V449" s="21"/>
      <c r="W449" s="21"/>
      <c r="X449" s="21"/>
      <c r="Y449" s="260"/>
      <c r="Z449" s="177"/>
      <c r="AA449" s="177"/>
      <c r="AB449" s="676"/>
      <c r="AC449" s="64"/>
      <c r="AD449" s="50"/>
      <c r="AE449" s="50"/>
      <c r="AF449" s="19"/>
      <c r="AG449" s="120"/>
      <c r="AH449" s="119"/>
      <c r="AI449" s="1"/>
      <c r="AJ449" s="21"/>
      <c r="AK449" s="21"/>
      <c r="AL449" s="21"/>
      <c r="AM449" s="21"/>
      <c r="AN449" s="21"/>
      <c r="AO449" s="21"/>
      <c r="AP449" s="53"/>
    </row>
    <row r="450" spans="1:42" s="308" customFormat="1" x14ac:dyDescent="0.2">
      <c r="A450" s="48"/>
      <c r="B450" s="306"/>
      <c r="C450" s="233"/>
      <c r="D450" s="233"/>
      <c r="E450" s="53"/>
      <c r="F450" s="13"/>
      <c r="G450" s="13"/>
      <c r="H450" s="53"/>
      <c r="I450" s="298"/>
      <c r="J450" s="21"/>
      <c r="K450" s="21"/>
      <c r="L450" s="13"/>
      <c r="M450" s="50"/>
      <c r="N450" s="97"/>
      <c r="O450" s="50"/>
      <c r="P450" s="50"/>
      <c r="Q450" s="316"/>
      <c r="R450" s="285"/>
      <c r="S450" s="21"/>
      <c r="T450" s="13"/>
      <c r="U450" s="13"/>
      <c r="V450" s="21"/>
      <c r="W450" s="21"/>
      <c r="X450" s="21"/>
      <c r="Y450" s="260"/>
      <c r="Z450" s="177"/>
      <c r="AA450" s="177"/>
      <c r="AB450" s="676"/>
      <c r="AC450" s="64"/>
      <c r="AD450" s="50"/>
      <c r="AE450" s="50"/>
      <c r="AF450" s="19"/>
      <c r="AG450" s="120"/>
      <c r="AH450" s="119"/>
      <c r="AI450" s="1"/>
      <c r="AJ450" s="21"/>
      <c r="AK450" s="21"/>
      <c r="AL450" s="21"/>
      <c r="AM450" s="21"/>
      <c r="AN450" s="21"/>
      <c r="AO450" s="21"/>
      <c r="AP450" s="53"/>
    </row>
    <row r="451" spans="1:42" s="308" customFormat="1" x14ac:dyDescent="0.2">
      <c r="A451" s="48"/>
      <c r="B451" s="306"/>
      <c r="C451" s="233"/>
      <c r="D451" s="233"/>
      <c r="E451" s="53"/>
      <c r="F451" s="13"/>
      <c r="G451" s="13"/>
      <c r="H451" s="53"/>
      <c r="I451" s="298"/>
      <c r="J451" s="21"/>
      <c r="K451" s="21"/>
      <c r="L451" s="13"/>
      <c r="M451" s="50"/>
      <c r="N451" s="97"/>
      <c r="O451" s="50"/>
      <c r="P451" s="50"/>
      <c r="Q451" s="316"/>
      <c r="R451" s="285"/>
      <c r="S451" s="21"/>
      <c r="T451" s="13"/>
      <c r="U451" s="13"/>
      <c r="V451" s="21"/>
      <c r="W451" s="21"/>
      <c r="X451" s="21"/>
      <c r="Y451" s="260"/>
      <c r="Z451" s="177"/>
      <c r="AA451" s="177"/>
      <c r="AB451" s="676"/>
      <c r="AC451" s="64"/>
      <c r="AD451" s="50"/>
      <c r="AE451" s="50"/>
      <c r="AF451" s="19"/>
      <c r="AG451" s="120"/>
      <c r="AH451" s="119"/>
      <c r="AI451" s="1"/>
      <c r="AJ451" s="21"/>
      <c r="AK451" s="21"/>
      <c r="AL451" s="21"/>
      <c r="AM451" s="21"/>
      <c r="AN451" s="21"/>
      <c r="AO451" s="21"/>
      <c r="AP451" s="53"/>
    </row>
    <row r="452" spans="1:42" s="308" customFormat="1" x14ac:dyDescent="0.2">
      <c r="A452" s="48"/>
      <c r="B452" s="306"/>
      <c r="C452" s="233"/>
      <c r="D452" s="233"/>
      <c r="E452" s="53"/>
      <c r="F452" s="13"/>
      <c r="G452" s="13"/>
      <c r="H452" s="53"/>
      <c r="I452" s="298"/>
      <c r="J452" s="21"/>
      <c r="K452" s="21"/>
      <c r="L452" s="13"/>
      <c r="M452" s="50"/>
      <c r="N452" s="97"/>
      <c r="O452" s="50"/>
      <c r="P452" s="50"/>
      <c r="Q452" s="316"/>
      <c r="R452" s="285"/>
      <c r="S452" s="21"/>
      <c r="T452" s="13"/>
      <c r="U452" s="13"/>
      <c r="V452" s="21"/>
      <c r="W452" s="21"/>
      <c r="X452" s="21"/>
      <c r="Y452" s="260"/>
      <c r="Z452" s="177"/>
      <c r="AA452" s="177"/>
      <c r="AB452" s="676"/>
      <c r="AC452" s="64"/>
      <c r="AD452" s="50"/>
      <c r="AE452" s="50"/>
      <c r="AF452" s="19"/>
      <c r="AG452" s="120"/>
      <c r="AH452" s="119"/>
      <c r="AI452" s="1"/>
      <c r="AJ452" s="21"/>
      <c r="AK452" s="21"/>
      <c r="AL452" s="21"/>
      <c r="AM452" s="21"/>
      <c r="AN452" s="21"/>
      <c r="AO452" s="21"/>
      <c r="AP452" s="53"/>
    </row>
    <row r="453" spans="1:42" s="308" customFormat="1" x14ac:dyDescent="0.2">
      <c r="A453" s="48"/>
      <c r="B453" s="306"/>
      <c r="C453" s="233"/>
      <c r="D453" s="233"/>
      <c r="E453" s="53"/>
      <c r="F453" s="13"/>
      <c r="G453" s="13"/>
      <c r="H453" s="53"/>
      <c r="I453" s="298"/>
      <c r="J453" s="21"/>
      <c r="K453" s="21"/>
      <c r="L453" s="13"/>
      <c r="M453" s="50"/>
      <c r="N453" s="97"/>
      <c r="O453" s="50"/>
      <c r="P453" s="50"/>
      <c r="Q453" s="316"/>
      <c r="R453" s="285"/>
      <c r="S453" s="21"/>
      <c r="T453" s="13"/>
      <c r="U453" s="13"/>
      <c r="V453" s="21"/>
      <c r="W453" s="21"/>
      <c r="X453" s="21"/>
      <c r="Y453" s="260"/>
      <c r="Z453" s="177"/>
      <c r="AA453" s="177"/>
      <c r="AB453" s="676"/>
      <c r="AC453" s="64"/>
      <c r="AD453" s="50"/>
      <c r="AE453" s="50"/>
      <c r="AF453" s="19"/>
      <c r="AG453" s="120"/>
      <c r="AH453" s="119"/>
      <c r="AI453" s="1"/>
      <c r="AJ453" s="21"/>
      <c r="AK453" s="21"/>
      <c r="AL453" s="21"/>
      <c r="AM453" s="21"/>
      <c r="AN453" s="21"/>
      <c r="AO453" s="21"/>
      <c r="AP453" s="53"/>
    </row>
    <row r="454" spans="1:42" s="308" customFormat="1" x14ac:dyDescent="0.2">
      <c r="A454" s="48"/>
      <c r="B454" s="306"/>
      <c r="C454" s="233"/>
      <c r="D454" s="233"/>
      <c r="E454" s="53"/>
      <c r="F454" s="13"/>
      <c r="G454" s="13"/>
      <c r="H454" s="53"/>
      <c r="I454" s="298"/>
      <c r="J454" s="21"/>
      <c r="K454" s="21"/>
      <c r="L454" s="13"/>
      <c r="M454" s="50"/>
      <c r="N454" s="97"/>
      <c r="O454" s="50"/>
      <c r="P454" s="50"/>
      <c r="Q454" s="316"/>
      <c r="R454" s="285"/>
      <c r="S454" s="21"/>
      <c r="T454" s="13"/>
      <c r="U454" s="13"/>
      <c r="V454" s="21"/>
      <c r="W454" s="21"/>
      <c r="X454" s="21"/>
      <c r="Y454" s="260"/>
      <c r="Z454" s="177"/>
      <c r="AA454" s="177"/>
      <c r="AB454" s="676"/>
      <c r="AC454" s="64"/>
      <c r="AD454" s="50"/>
      <c r="AE454" s="50"/>
      <c r="AF454" s="19"/>
      <c r="AG454" s="120"/>
      <c r="AH454" s="119"/>
      <c r="AI454" s="1"/>
      <c r="AJ454" s="21"/>
      <c r="AK454" s="21"/>
      <c r="AL454" s="21"/>
      <c r="AM454" s="21"/>
      <c r="AN454" s="21"/>
      <c r="AO454" s="21"/>
      <c r="AP454" s="53"/>
    </row>
    <row r="455" spans="1:42" s="308" customFormat="1" x14ac:dyDescent="0.2">
      <c r="A455" s="48"/>
      <c r="B455" s="306"/>
      <c r="C455" s="233"/>
      <c r="D455" s="233"/>
      <c r="E455" s="53"/>
      <c r="F455" s="13"/>
      <c r="G455" s="13"/>
      <c r="H455" s="53"/>
      <c r="I455" s="298"/>
      <c r="J455" s="21"/>
      <c r="K455" s="21"/>
      <c r="L455" s="13"/>
      <c r="M455" s="50"/>
      <c r="N455" s="97"/>
      <c r="O455" s="50"/>
      <c r="P455" s="50"/>
      <c r="Q455" s="316"/>
      <c r="R455" s="285"/>
      <c r="S455" s="21"/>
      <c r="T455" s="13"/>
      <c r="U455" s="13"/>
      <c r="V455" s="21"/>
      <c r="W455" s="21"/>
      <c r="X455" s="21"/>
      <c r="Y455" s="260"/>
      <c r="Z455" s="177"/>
      <c r="AA455" s="177"/>
      <c r="AB455" s="676"/>
      <c r="AC455" s="64"/>
      <c r="AD455" s="50"/>
      <c r="AE455" s="50"/>
      <c r="AF455" s="19"/>
      <c r="AG455" s="120"/>
      <c r="AH455" s="119"/>
      <c r="AI455" s="1"/>
      <c r="AJ455" s="21"/>
      <c r="AK455" s="21"/>
      <c r="AL455" s="21"/>
      <c r="AM455" s="21"/>
      <c r="AN455" s="21"/>
      <c r="AO455" s="21"/>
      <c r="AP455" s="53"/>
    </row>
    <row r="456" spans="1:42" s="308" customFormat="1" x14ac:dyDescent="0.2">
      <c r="A456" s="48"/>
      <c r="B456" s="306"/>
      <c r="C456" s="233"/>
      <c r="D456" s="233"/>
      <c r="E456" s="53"/>
      <c r="F456" s="13"/>
      <c r="G456" s="13"/>
      <c r="H456" s="53"/>
      <c r="I456" s="298"/>
      <c r="J456" s="21"/>
      <c r="K456" s="21"/>
      <c r="L456" s="13"/>
      <c r="M456" s="50"/>
      <c r="N456" s="97"/>
      <c r="O456" s="50"/>
      <c r="P456" s="50"/>
      <c r="Q456" s="316"/>
      <c r="R456" s="285"/>
      <c r="S456" s="21"/>
      <c r="T456" s="13"/>
      <c r="U456" s="13"/>
      <c r="V456" s="21"/>
      <c r="W456" s="21"/>
      <c r="X456" s="21"/>
      <c r="Y456" s="260"/>
      <c r="Z456" s="177"/>
      <c r="AA456" s="177"/>
      <c r="AB456" s="676"/>
      <c r="AC456" s="64"/>
      <c r="AD456" s="50"/>
      <c r="AE456" s="50"/>
      <c r="AF456" s="19"/>
      <c r="AG456" s="120"/>
      <c r="AH456" s="119"/>
      <c r="AI456" s="1"/>
      <c r="AJ456" s="21"/>
      <c r="AK456" s="21"/>
      <c r="AL456" s="21"/>
      <c r="AM456" s="21"/>
      <c r="AN456" s="21"/>
      <c r="AO456" s="21"/>
      <c r="AP456" s="53"/>
    </row>
    <row r="457" spans="1:42" s="308" customFormat="1" x14ac:dyDescent="0.2">
      <c r="A457" s="48"/>
      <c r="B457" s="306"/>
      <c r="C457" s="233"/>
      <c r="D457" s="233"/>
      <c r="E457" s="53"/>
      <c r="F457" s="13"/>
      <c r="G457" s="13"/>
      <c r="H457" s="53"/>
      <c r="I457" s="298"/>
      <c r="J457" s="21"/>
      <c r="K457" s="21"/>
      <c r="L457" s="13"/>
      <c r="M457" s="50"/>
      <c r="N457" s="97"/>
      <c r="O457" s="50"/>
      <c r="P457" s="50"/>
      <c r="Q457" s="316"/>
      <c r="R457" s="285"/>
      <c r="S457" s="21"/>
      <c r="T457" s="13"/>
      <c r="U457" s="13"/>
      <c r="V457" s="21"/>
      <c r="W457" s="21"/>
      <c r="X457" s="21"/>
      <c r="Y457" s="260"/>
      <c r="Z457" s="177"/>
      <c r="AA457" s="177"/>
      <c r="AB457" s="676"/>
      <c r="AC457" s="64"/>
      <c r="AD457" s="50"/>
      <c r="AE457" s="50"/>
      <c r="AF457" s="19"/>
      <c r="AG457" s="120"/>
      <c r="AH457" s="119"/>
      <c r="AI457" s="1"/>
      <c r="AJ457" s="21"/>
      <c r="AK457" s="21"/>
      <c r="AL457" s="21"/>
      <c r="AM457" s="21"/>
      <c r="AN457" s="21"/>
      <c r="AO457" s="21"/>
      <c r="AP457" s="53"/>
    </row>
    <row r="458" spans="1:42" s="308" customFormat="1" x14ac:dyDescent="0.2">
      <c r="A458" s="48"/>
      <c r="B458" s="306"/>
      <c r="C458" s="233"/>
      <c r="D458" s="233"/>
      <c r="E458" s="53"/>
      <c r="F458" s="13"/>
      <c r="G458" s="13"/>
      <c r="H458" s="5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13"/>
      <c r="V458" s="21"/>
      <c r="W458" s="21"/>
      <c r="X458" s="21"/>
      <c r="Y458" s="260"/>
      <c r="Z458" s="177"/>
      <c r="AA458" s="177"/>
      <c r="AB458" s="676"/>
      <c r="AC458" s="64"/>
      <c r="AD458" s="50"/>
      <c r="AE458" s="50"/>
      <c r="AF458" s="19"/>
      <c r="AG458" s="120"/>
      <c r="AH458" s="119"/>
      <c r="AI458" s="1"/>
      <c r="AJ458" s="21"/>
      <c r="AK458" s="21"/>
      <c r="AL458" s="21"/>
      <c r="AM458" s="21"/>
      <c r="AN458" s="21"/>
      <c r="AO458" s="21"/>
      <c r="AP458" s="53"/>
    </row>
    <row r="459" spans="1:42" s="308" customFormat="1" x14ac:dyDescent="0.2">
      <c r="A459" s="48"/>
      <c r="B459" s="306"/>
      <c r="C459" s="233"/>
      <c r="D459" s="233"/>
      <c r="E459" s="53"/>
      <c r="F459" s="13"/>
      <c r="G459" s="13"/>
      <c r="H459" s="5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13"/>
      <c r="V459" s="21"/>
      <c r="W459" s="21"/>
      <c r="X459" s="21"/>
      <c r="Y459" s="260"/>
      <c r="Z459" s="177"/>
      <c r="AA459" s="177"/>
      <c r="AB459" s="676"/>
      <c r="AC459" s="64"/>
      <c r="AD459" s="50"/>
      <c r="AE459" s="50"/>
      <c r="AF459" s="19"/>
      <c r="AG459" s="120"/>
      <c r="AH459" s="119"/>
      <c r="AI459" s="1"/>
      <c r="AJ459" s="21"/>
      <c r="AK459" s="21"/>
      <c r="AL459" s="21"/>
      <c r="AM459" s="21"/>
      <c r="AN459" s="21"/>
      <c r="AO459" s="21"/>
      <c r="AP459" s="53"/>
    </row>
    <row r="460" spans="1:42" s="308" customFormat="1" x14ac:dyDescent="0.2">
      <c r="A460" s="48"/>
      <c r="B460" s="306"/>
      <c r="C460" s="233"/>
      <c r="D460" s="233"/>
      <c r="E460" s="53"/>
      <c r="F460" s="13"/>
      <c r="G460" s="13"/>
      <c r="H460" s="5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13"/>
      <c r="V460" s="21"/>
      <c r="W460" s="21"/>
      <c r="X460" s="21"/>
      <c r="Y460" s="260"/>
      <c r="Z460" s="177"/>
      <c r="AA460" s="177"/>
      <c r="AB460" s="676"/>
      <c r="AC460" s="64"/>
      <c r="AD460" s="50"/>
      <c r="AE460" s="50"/>
      <c r="AF460" s="19"/>
      <c r="AG460" s="120"/>
      <c r="AH460" s="119"/>
      <c r="AI460" s="1"/>
      <c r="AJ460" s="21"/>
      <c r="AK460" s="21"/>
      <c r="AL460" s="21"/>
      <c r="AM460" s="21"/>
      <c r="AN460" s="21"/>
      <c r="AO460" s="21"/>
      <c r="AP460" s="53"/>
    </row>
    <row r="461" spans="1:42" s="308" customFormat="1" x14ac:dyDescent="0.2">
      <c r="A461" s="48"/>
      <c r="B461" s="306"/>
      <c r="C461" s="233"/>
      <c r="D461" s="233"/>
      <c r="E461" s="53"/>
      <c r="F461" s="13"/>
      <c r="G461" s="13"/>
      <c r="H461" s="5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13"/>
      <c r="V461" s="21"/>
      <c r="W461" s="21"/>
      <c r="X461" s="21"/>
      <c r="Y461" s="260"/>
      <c r="Z461" s="177"/>
      <c r="AA461" s="177"/>
      <c r="AB461" s="676"/>
      <c r="AC461" s="64"/>
      <c r="AD461" s="50"/>
      <c r="AE461" s="50"/>
      <c r="AF461" s="19"/>
      <c r="AG461" s="120"/>
      <c r="AH461" s="119"/>
      <c r="AI461" s="1"/>
      <c r="AJ461" s="21"/>
      <c r="AK461" s="21"/>
      <c r="AL461" s="21"/>
      <c r="AM461" s="21"/>
      <c r="AN461" s="21"/>
      <c r="AO461" s="21"/>
      <c r="AP461" s="53"/>
    </row>
    <row r="462" spans="1:42" s="308" customFormat="1" x14ac:dyDescent="0.2">
      <c r="A462" s="48"/>
      <c r="B462" s="306"/>
      <c r="C462" s="233"/>
      <c r="D462" s="233"/>
      <c r="E462" s="53"/>
      <c r="F462" s="13"/>
      <c r="G462" s="13"/>
      <c r="H462" s="5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13"/>
      <c r="V462" s="21"/>
      <c r="W462" s="21"/>
      <c r="X462" s="21"/>
      <c r="Y462" s="260"/>
      <c r="Z462" s="177"/>
      <c r="AA462" s="177"/>
      <c r="AB462" s="676"/>
      <c r="AC462" s="64"/>
      <c r="AD462" s="50"/>
      <c r="AE462" s="50"/>
      <c r="AF462" s="19"/>
      <c r="AG462" s="120"/>
      <c r="AH462" s="119"/>
      <c r="AI462" s="1"/>
      <c r="AJ462" s="21"/>
      <c r="AK462" s="21"/>
      <c r="AL462" s="21"/>
      <c r="AM462" s="21"/>
      <c r="AN462" s="21"/>
      <c r="AO462" s="21"/>
      <c r="AP462" s="53"/>
    </row>
    <row r="463" spans="1:42" s="308" customFormat="1" x14ac:dyDescent="0.2">
      <c r="A463" s="48"/>
      <c r="B463" s="306"/>
      <c r="C463" s="233"/>
      <c r="D463" s="233"/>
      <c r="E463" s="53"/>
      <c r="F463" s="13"/>
      <c r="G463" s="13"/>
      <c r="H463" s="5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13"/>
      <c r="V463" s="21"/>
      <c r="W463" s="21"/>
      <c r="X463" s="21"/>
      <c r="Y463" s="260"/>
      <c r="Z463" s="177"/>
      <c r="AA463" s="177"/>
      <c r="AB463" s="676"/>
      <c r="AC463" s="64"/>
      <c r="AD463" s="50"/>
      <c r="AE463" s="50"/>
      <c r="AF463" s="19"/>
      <c r="AG463" s="120"/>
      <c r="AH463" s="119"/>
      <c r="AI463" s="1"/>
      <c r="AJ463" s="21"/>
      <c r="AK463" s="21"/>
      <c r="AL463" s="21"/>
      <c r="AM463" s="21"/>
      <c r="AN463" s="21"/>
      <c r="AO463" s="21"/>
      <c r="AP463" s="53"/>
    </row>
    <row r="464" spans="1:42" s="308" customFormat="1" x14ac:dyDescent="0.2">
      <c r="A464" s="48"/>
      <c r="B464" s="306"/>
      <c r="C464" s="233"/>
      <c r="D464" s="233"/>
      <c r="E464" s="53"/>
      <c r="F464" s="13"/>
      <c r="G464" s="13"/>
      <c r="H464" s="5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13"/>
      <c r="V464" s="21"/>
      <c r="W464" s="21"/>
      <c r="X464" s="21"/>
      <c r="Y464" s="260"/>
      <c r="Z464" s="177"/>
      <c r="AA464" s="177"/>
      <c r="AB464" s="676"/>
      <c r="AC464" s="64"/>
      <c r="AD464" s="50"/>
      <c r="AE464" s="50"/>
      <c r="AF464" s="19"/>
      <c r="AG464" s="120"/>
      <c r="AH464" s="119"/>
      <c r="AI464" s="1"/>
      <c r="AJ464" s="21"/>
      <c r="AK464" s="21"/>
      <c r="AL464" s="21"/>
      <c r="AM464" s="21"/>
      <c r="AN464" s="21"/>
      <c r="AO464" s="21"/>
      <c r="AP464" s="53"/>
    </row>
    <row r="465" spans="1:42" s="308" customFormat="1" x14ac:dyDescent="0.2">
      <c r="A465" s="48"/>
      <c r="B465" s="306"/>
      <c r="C465" s="233"/>
      <c r="D465" s="233"/>
      <c r="E465" s="53"/>
      <c r="F465" s="13"/>
      <c r="G465" s="13"/>
      <c r="H465" s="5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13"/>
      <c r="V465" s="21"/>
      <c r="W465" s="21"/>
      <c r="X465" s="21"/>
      <c r="Y465" s="260"/>
      <c r="Z465" s="177"/>
      <c r="AA465" s="177"/>
      <c r="AB465" s="676"/>
      <c r="AC465" s="64"/>
      <c r="AD465" s="50"/>
      <c r="AE465" s="50"/>
      <c r="AF465" s="19"/>
      <c r="AG465" s="120"/>
      <c r="AH465" s="119"/>
      <c r="AI465" s="1"/>
      <c r="AJ465" s="21"/>
      <c r="AK465" s="21"/>
      <c r="AL465" s="21"/>
      <c r="AM465" s="21"/>
      <c r="AN465" s="21"/>
      <c r="AO465" s="21"/>
      <c r="AP465" s="53"/>
    </row>
    <row r="466" spans="1:42" s="308" customFormat="1" x14ac:dyDescent="0.2">
      <c r="A466" s="48"/>
      <c r="B466" s="306"/>
      <c r="C466" s="233"/>
      <c r="D466" s="233"/>
      <c r="E466" s="53"/>
      <c r="F466" s="13"/>
      <c r="G466" s="13"/>
      <c r="H466" s="5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13"/>
      <c r="V466" s="21"/>
      <c r="W466" s="21"/>
      <c r="X466" s="21"/>
      <c r="Y466" s="260"/>
      <c r="Z466" s="177"/>
      <c r="AA466" s="177"/>
      <c r="AB466" s="676"/>
      <c r="AC466" s="64"/>
      <c r="AD466" s="50"/>
      <c r="AE466" s="50"/>
      <c r="AF466" s="19"/>
      <c r="AG466" s="120"/>
      <c r="AH466" s="119"/>
      <c r="AI466" s="1"/>
      <c r="AJ466" s="21"/>
      <c r="AK466" s="21"/>
      <c r="AL466" s="21"/>
      <c r="AM466" s="21"/>
      <c r="AN466" s="21"/>
      <c r="AO466" s="21"/>
      <c r="AP466" s="53"/>
    </row>
    <row r="467" spans="1:42" s="308" customFormat="1" x14ac:dyDescent="0.2">
      <c r="A467" s="48"/>
      <c r="B467" s="306"/>
      <c r="C467" s="233"/>
      <c r="D467" s="233"/>
      <c r="E467" s="53"/>
      <c r="F467" s="13"/>
      <c r="G467" s="13"/>
      <c r="H467" s="5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13"/>
      <c r="V467" s="21"/>
      <c r="W467" s="21"/>
      <c r="X467" s="21"/>
      <c r="Y467" s="260"/>
      <c r="Z467" s="177"/>
      <c r="AA467" s="177"/>
      <c r="AB467" s="676"/>
      <c r="AC467" s="64"/>
      <c r="AD467" s="50"/>
      <c r="AE467" s="50"/>
      <c r="AF467" s="19"/>
      <c r="AG467" s="120"/>
      <c r="AH467" s="119"/>
      <c r="AI467" s="1"/>
      <c r="AJ467" s="21"/>
      <c r="AK467" s="21"/>
      <c r="AL467" s="21"/>
      <c r="AM467" s="21"/>
      <c r="AN467" s="21"/>
      <c r="AO467" s="21"/>
      <c r="AP467" s="53"/>
    </row>
    <row r="468" spans="1:42" s="308" customFormat="1" x14ac:dyDescent="0.2">
      <c r="A468" s="48"/>
      <c r="B468" s="306"/>
      <c r="C468" s="233"/>
      <c r="D468" s="233"/>
      <c r="E468" s="53"/>
      <c r="F468" s="13"/>
      <c r="G468" s="13"/>
      <c r="H468" s="5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13"/>
      <c r="V468" s="21"/>
      <c r="W468" s="21"/>
      <c r="X468" s="21"/>
      <c r="Y468" s="260"/>
      <c r="Z468" s="177"/>
      <c r="AA468" s="177"/>
      <c r="AB468" s="676"/>
      <c r="AC468" s="64"/>
      <c r="AD468" s="50"/>
      <c r="AE468" s="50"/>
      <c r="AF468" s="19"/>
      <c r="AG468" s="120"/>
      <c r="AH468" s="119"/>
      <c r="AI468" s="1"/>
      <c r="AJ468" s="21"/>
      <c r="AK468" s="21"/>
      <c r="AL468" s="21"/>
      <c r="AM468" s="21"/>
      <c r="AN468" s="21"/>
      <c r="AO468" s="21"/>
      <c r="AP468" s="53"/>
    </row>
    <row r="469" spans="1:42" s="308" customFormat="1" x14ac:dyDescent="0.2">
      <c r="A469" s="48"/>
      <c r="B469" s="306"/>
      <c r="C469" s="233"/>
      <c r="D469" s="233"/>
      <c r="E469" s="53"/>
      <c r="F469" s="13"/>
      <c r="G469" s="13"/>
      <c r="H469" s="5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13"/>
      <c r="V469" s="21"/>
      <c r="W469" s="21"/>
      <c r="X469" s="21"/>
      <c r="Y469" s="260"/>
      <c r="Z469" s="177"/>
      <c r="AA469" s="177"/>
      <c r="AB469" s="676"/>
      <c r="AC469" s="64"/>
      <c r="AD469" s="50"/>
      <c r="AE469" s="50"/>
      <c r="AF469" s="19"/>
      <c r="AG469" s="120"/>
      <c r="AH469" s="119"/>
      <c r="AI469" s="1"/>
      <c r="AJ469" s="21"/>
      <c r="AK469" s="21"/>
      <c r="AL469" s="21"/>
      <c r="AM469" s="21"/>
      <c r="AN469" s="21"/>
      <c r="AO469" s="21"/>
      <c r="AP469" s="53"/>
    </row>
    <row r="470" spans="1:42" s="308" customFormat="1" x14ac:dyDescent="0.2">
      <c r="A470" s="48"/>
      <c r="B470" s="306"/>
      <c r="C470" s="233"/>
      <c r="D470" s="233"/>
      <c r="E470" s="53"/>
      <c r="F470" s="13"/>
      <c r="G470" s="13"/>
      <c r="H470" s="5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13"/>
      <c r="V470" s="21"/>
      <c r="W470" s="21"/>
      <c r="X470" s="21"/>
      <c r="Y470" s="260"/>
      <c r="Z470" s="177"/>
      <c r="AA470" s="177"/>
      <c r="AB470" s="676"/>
      <c r="AC470" s="64"/>
      <c r="AD470" s="50"/>
      <c r="AE470" s="50"/>
      <c r="AF470" s="19"/>
      <c r="AG470" s="120"/>
      <c r="AH470" s="119"/>
      <c r="AI470" s="1"/>
      <c r="AJ470" s="21"/>
      <c r="AK470" s="21"/>
      <c r="AL470" s="21"/>
      <c r="AM470" s="21"/>
      <c r="AN470" s="21"/>
      <c r="AO470" s="21"/>
      <c r="AP470" s="53"/>
    </row>
    <row r="471" spans="1:42" s="308" customFormat="1" x14ac:dyDescent="0.2">
      <c r="A471" s="48"/>
      <c r="B471" s="306"/>
      <c r="C471" s="233"/>
      <c r="D471" s="233"/>
      <c r="E471" s="53"/>
      <c r="F471" s="13"/>
      <c r="G471" s="13"/>
      <c r="H471" s="5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13"/>
      <c r="V471" s="21"/>
      <c r="W471" s="21"/>
      <c r="X471" s="21"/>
      <c r="Y471" s="260"/>
      <c r="Z471" s="177"/>
      <c r="AA471" s="177"/>
      <c r="AB471" s="676"/>
      <c r="AC471" s="64"/>
      <c r="AD471" s="50"/>
      <c r="AE471" s="50"/>
      <c r="AF471" s="19"/>
      <c r="AG471" s="120"/>
      <c r="AH471" s="119"/>
      <c r="AI471" s="1"/>
      <c r="AJ471" s="21"/>
      <c r="AK471" s="21"/>
      <c r="AL471" s="21"/>
      <c r="AM471" s="21"/>
      <c r="AN471" s="21"/>
      <c r="AO471" s="21"/>
      <c r="AP471" s="53"/>
    </row>
    <row r="472" spans="1:42" s="308" customFormat="1" x14ac:dyDescent="0.2">
      <c r="A472" s="48"/>
      <c r="B472" s="306"/>
      <c r="C472" s="233"/>
      <c r="D472" s="233"/>
      <c r="E472" s="53"/>
      <c r="F472" s="13"/>
      <c r="G472" s="13"/>
      <c r="H472" s="5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13"/>
      <c r="V472" s="21"/>
      <c r="W472" s="21"/>
      <c r="X472" s="21"/>
      <c r="Y472" s="260"/>
      <c r="Z472" s="177"/>
      <c r="AA472" s="177"/>
      <c r="AB472" s="676"/>
      <c r="AC472" s="64"/>
      <c r="AD472" s="50"/>
      <c r="AE472" s="50"/>
      <c r="AF472" s="19"/>
      <c r="AG472" s="120"/>
      <c r="AH472" s="119"/>
      <c r="AI472" s="1"/>
      <c r="AJ472" s="21"/>
      <c r="AK472" s="21"/>
      <c r="AL472" s="21"/>
      <c r="AM472" s="21"/>
      <c r="AN472" s="21"/>
      <c r="AO472" s="21"/>
      <c r="AP472" s="53"/>
    </row>
    <row r="473" spans="1:42" s="308" customFormat="1" x14ac:dyDescent="0.2">
      <c r="A473" s="48"/>
      <c r="B473" s="306"/>
      <c r="C473" s="233"/>
      <c r="D473" s="233"/>
      <c r="E473" s="53"/>
      <c r="F473" s="13"/>
      <c r="G473" s="13"/>
      <c r="H473" s="5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13"/>
      <c r="V473" s="21"/>
      <c r="W473" s="21"/>
      <c r="X473" s="21"/>
      <c r="Y473" s="260"/>
      <c r="Z473" s="177"/>
      <c r="AA473" s="177"/>
      <c r="AB473" s="676"/>
      <c r="AC473" s="64"/>
      <c r="AD473" s="50"/>
      <c r="AE473" s="50"/>
      <c r="AF473" s="19"/>
      <c r="AG473" s="120"/>
      <c r="AH473" s="119"/>
      <c r="AI473" s="1"/>
      <c r="AJ473" s="21"/>
      <c r="AK473" s="21"/>
      <c r="AL473" s="21"/>
      <c r="AM473" s="21"/>
      <c r="AN473" s="21"/>
      <c r="AO473" s="21"/>
      <c r="AP473" s="53"/>
    </row>
    <row r="474" spans="1:42" s="308" customFormat="1" x14ac:dyDescent="0.2">
      <c r="A474" s="48"/>
      <c r="B474" s="306"/>
      <c r="C474" s="233"/>
      <c r="D474" s="233"/>
      <c r="E474" s="53"/>
      <c r="F474" s="13"/>
      <c r="G474" s="13"/>
      <c r="H474" s="5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13"/>
      <c r="V474" s="21"/>
      <c r="W474" s="21"/>
      <c r="X474" s="21"/>
      <c r="Y474" s="260"/>
      <c r="Z474" s="177"/>
      <c r="AA474" s="177"/>
      <c r="AB474" s="676"/>
      <c r="AC474" s="64"/>
      <c r="AD474" s="50"/>
      <c r="AE474" s="50"/>
      <c r="AF474" s="19"/>
      <c r="AG474" s="120"/>
      <c r="AH474" s="119"/>
      <c r="AI474" s="1"/>
      <c r="AJ474" s="21"/>
      <c r="AK474" s="21"/>
      <c r="AL474" s="21"/>
      <c r="AM474" s="21"/>
      <c r="AN474" s="21"/>
      <c r="AO474" s="21"/>
      <c r="AP474" s="53"/>
    </row>
    <row r="475" spans="1:42" s="308" customFormat="1" x14ac:dyDescent="0.2">
      <c r="A475" s="48"/>
      <c r="B475" s="306"/>
      <c r="C475" s="233"/>
      <c r="D475" s="233"/>
      <c r="E475" s="53"/>
      <c r="F475" s="13"/>
      <c r="G475" s="13"/>
      <c r="H475" s="5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13"/>
      <c r="V475" s="21"/>
      <c r="W475" s="21"/>
      <c r="X475" s="21"/>
      <c r="Y475" s="260"/>
      <c r="Z475" s="177"/>
      <c r="AA475" s="177"/>
      <c r="AB475" s="676"/>
      <c r="AC475" s="64"/>
      <c r="AD475" s="50"/>
      <c r="AE475" s="50"/>
      <c r="AF475" s="19"/>
      <c r="AG475" s="120"/>
      <c r="AH475" s="119"/>
      <c r="AI475" s="1"/>
      <c r="AJ475" s="21"/>
      <c r="AK475" s="21"/>
      <c r="AL475" s="21"/>
      <c r="AM475" s="21"/>
      <c r="AN475" s="21"/>
      <c r="AO475" s="21"/>
      <c r="AP475" s="53"/>
    </row>
    <row r="476" spans="1:42" s="308" customFormat="1" x14ac:dyDescent="0.2">
      <c r="A476" s="48"/>
      <c r="B476" s="306"/>
      <c r="C476" s="233"/>
      <c r="D476" s="233"/>
      <c r="E476" s="53"/>
      <c r="F476" s="13"/>
      <c r="G476" s="13"/>
      <c r="H476" s="5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76"/>
      <c r="AC476" s="64"/>
      <c r="AD476" s="50"/>
      <c r="AE476" s="50"/>
      <c r="AF476" s="19"/>
      <c r="AG476" s="120"/>
      <c r="AH476" s="119"/>
      <c r="AI476" s="1"/>
      <c r="AJ476" s="21"/>
      <c r="AK476" s="21"/>
      <c r="AL476" s="21"/>
      <c r="AM476" s="21"/>
      <c r="AN476" s="21"/>
      <c r="AO476" s="21"/>
      <c r="AP476" s="53"/>
    </row>
    <row r="477" spans="1:42" s="308" customFormat="1" x14ac:dyDescent="0.2">
      <c r="A477" s="48"/>
      <c r="B477" s="306"/>
      <c r="C477" s="233"/>
      <c r="D477" s="233"/>
      <c r="E477" s="53"/>
      <c r="F477" s="13"/>
      <c r="G477" s="13"/>
      <c r="H477" s="5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76"/>
      <c r="AC477" s="64"/>
      <c r="AD477" s="50"/>
      <c r="AE477" s="50"/>
      <c r="AF477" s="19"/>
      <c r="AG477" s="120"/>
      <c r="AH477" s="119"/>
      <c r="AI477" s="1"/>
      <c r="AJ477" s="21"/>
      <c r="AK477" s="21"/>
      <c r="AL477" s="21"/>
      <c r="AM477" s="21"/>
      <c r="AN477" s="21"/>
      <c r="AO477" s="21"/>
      <c r="AP477" s="53"/>
    </row>
    <row r="478" spans="1:42" s="308" customFormat="1" x14ac:dyDescent="0.2">
      <c r="A478" s="48"/>
      <c r="B478" s="306"/>
      <c r="C478" s="233"/>
      <c r="D478" s="233"/>
      <c r="E478" s="53"/>
      <c r="F478" s="13"/>
      <c r="G478" s="13"/>
      <c r="H478" s="5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76"/>
      <c r="AC478" s="64"/>
      <c r="AD478" s="50"/>
      <c r="AE478" s="50"/>
      <c r="AF478" s="19"/>
      <c r="AG478" s="120"/>
      <c r="AH478" s="119"/>
      <c r="AI478" s="1"/>
      <c r="AJ478" s="21"/>
      <c r="AK478" s="21"/>
      <c r="AL478" s="21"/>
      <c r="AM478" s="21"/>
      <c r="AN478" s="21"/>
      <c r="AO478" s="21"/>
      <c r="AP478" s="53"/>
    </row>
    <row r="479" spans="1:42" s="308" customFormat="1" x14ac:dyDescent="0.2">
      <c r="A479" s="48"/>
      <c r="B479" s="306"/>
      <c r="C479" s="233"/>
      <c r="D479" s="233"/>
      <c r="E479" s="53"/>
      <c r="F479" s="13"/>
      <c r="G479" s="13"/>
      <c r="H479" s="5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76"/>
      <c r="AC479" s="64"/>
      <c r="AD479" s="50"/>
      <c r="AE479" s="50"/>
      <c r="AF479" s="19"/>
      <c r="AG479" s="120"/>
      <c r="AH479" s="119"/>
      <c r="AI479" s="1"/>
      <c r="AJ479" s="21"/>
      <c r="AK479" s="21"/>
      <c r="AL479" s="21"/>
      <c r="AM479" s="21"/>
      <c r="AN479" s="21"/>
      <c r="AO479" s="21"/>
      <c r="AP479" s="53"/>
    </row>
    <row r="480" spans="1:42" s="308" customFormat="1" x14ac:dyDescent="0.2">
      <c r="A480" s="48"/>
      <c r="B480" s="306"/>
      <c r="C480" s="233"/>
      <c r="D480" s="233"/>
      <c r="E480" s="53"/>
      <c r="F480" s="13"/>
      <c r="G480" s="13"/>
      <c r="H480" s="5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76"/>
      <c r="AC480" s="64"/>
      <c r="AD480" s="50"/>
      <c r="AE480" s="50"/>
      <c r="AF480" s="19"/>
      <c r="AG480" s="120"/>
      <c r="AH480" s="119"/>
      <c r="AI480" s="1"/>
      <c r="AJ480" s="21"/>
      <c r="AK480" s="21"/>
      <c r="AL480" s="21"/>
      <c r="AM480" s="21"/>
      <c r="AN480" s="21"/>
      <c r="AO480" s="21"/>
      <c r="AP480" s="53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76"/>
      <c r="AC481" s="64"/>
      <c r="AD481" s="50"/>
      <c r="AE481" s="50"/>
      <c r="AF481" s="19"/>
      <c r="AG481" s="120"/>
      <c r="AH481" s="119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76"/>
      <c r="AC482" s="64"/>
      <c r="AD482" s="50"/>
      <c r="AE482" s="50"/>
      <c r="AF482" s="19"/>
      <c r="AG482" s="120"/>
      <c r="AH482" s="119"/>
      <c r="AI482" s="1"/>
      <c r="AJ482" s="21"/>
      <c r="AK482" s="21"/>
      <c r="AL482" s="21"/>
      <c r="AM482" s="21"/>
      <c r="AN482" s="21"/>
      <c r="AO482" s="21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76"/>
      <c r="AC483" s="64"/>
      <c r="AD483" s="50"/>
      <c r="AE483" s="50"/>
      <c r="AF483" s="19"/>
      <c r="AG483" s="120"/>
      <c r="AH483" s="119"/>
      <c r="AI483" s="1"/>
      <c r="AJ483" s="21"/>
      <c r="AK483" s="21"/>
      <c r="AL483" s="21"/>
      <c r="AM483" s="21"/>
      <c r="AN483" s="21"/>
      <c r="AO483" s="21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76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76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76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76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76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76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76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76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76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76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76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76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76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</row>
    <row r="497" spans="1:41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76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</row>
    <row r="498" spans="1:41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76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</row>
    <row r="499" spans="1:41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76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</row>
    <row r="500" spans="1:41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76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</row>
    <row r="501" spans="1:41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76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</row>
    <row r="502" spans="1:41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76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</row>
    <row r="503" spans="1:41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76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</row>
    <row r="504" spans="1:41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76"/>
      <c r="AC504" s="64"/>
      <c r="AD504" s="50"/>
      <c r="AE504" s="50"/>
      <c r="AF504" s="19"/>
      <c r="AG504" s="123"/>
      <c r="AH504" s="119"/>
      <c r="AI504" s="1"/>
      <c r="AJ504" s="21"/>
      <c r="AK504" s="21"/>
      <c r="AL504" s="21"/>
      <c r="AM504" s="21"/>
      <c r="AN504" s="21"/>
      <c r="AO504" s="21"/>
    </row>
    <row r="505" spans="1:41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76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</row>
    <row r="506" spans="1:41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76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</row>
    <row r="507" spans="1:41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76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</row>
    <row r="508" spans="1:41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76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</row>
    <row r="509" spans="1:41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76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</row>
    <row r="510" spans="1:41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76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</row>
    <row r="511" spans="1:41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76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</row>
    <row r="512" spans="1:41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76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</row>
    <row r="513" spans="1:41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76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</row>
    <row r="514" spans="1:41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76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</row>
    <row r="515" spans="1:41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76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</row>
    <row r="516" spans="1:41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76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</row>
    <row r="517" spans="1:41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76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</row>
    <row r="518" spans="1:41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76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</row>
    <row r="519" spans="1:41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76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</row>
    <row r="520" spans="1:41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76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</row>
    <row r="521" spans="1:41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76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</row>
    <row r="522" spans="1:41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76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</row>
    <row r="523" spans="1:41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76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</row>
    <row r="524" spans="1:41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76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</row>
    <row r="525" spans="1:41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76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</row>
    <row r="526" spans="1:41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76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</row>
    <row r="527" spans="1:41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76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1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76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76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76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76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76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76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76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76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76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76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76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76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76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76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76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76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76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76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76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76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76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76"/>
      <c r="AC549" s="64"/>
      <c r="AD549" s="50"/>
      <c r="AE549" s="50"/>
      <c r="AF549" s="19"/>
      <c r="AG549" s="120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76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76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76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76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76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76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76"/>
      <c r="AC556" s="64"/>
      <c r="AD556" s="50"/>
      <c r="AE556" s="50"/>
      <c r="AF556" s="19"/>
      <c r="AG556" s="120"/>
      <c r="AH556" s="123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76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76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76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76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76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76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76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76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76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76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76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76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76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76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76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76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76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76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76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76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76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76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76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C580" s="263"/>
      <c r="D580" s="26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76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C581" s="263"/>
      <c r="D581" s="26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76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C582" s="263"/>
      <c r="D582" s="26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76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C583" s="263"/>
      <c r="D583" s="26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76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C584" s="263"/>
      <c r="D584" s="26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76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C585" s="263"/>
      <c r="D585" s="26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76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C586" s="263"/>
      <c r="D586" s="26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76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C587" s="263"/>
      <c r="D587" s="26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76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C588" s="263"/>
      <c r="D588" s="26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76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C589" s="263"/>
      <c r="D589" s="26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76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C590" s="263"/>
      <c r="D590" s="26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76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C591" s="263"/>
      <c r="D591" s="26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76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C592" s="263"/>
      <c r="D592" s="26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76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C593" s="263"/>
      <c r="D593" s="26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76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C594" s="263"/>
      <c r="D594" s="26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76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C595" s="263"/>
      <c r="D595" s="26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76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C596" s="263"/>
      <c r="D596" s="26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76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C597" s="263"/>
      <c r="D597" s="26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76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C598" s="263"/>
      <c r="D598" s="26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76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C599" s="263"/>
      <c r="D599" s="26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76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C600" s="263"/>
      <c r="D600" s="26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76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C601" s="263"/>
      <c r="D601" s="26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76"/>
      <c r="AC601" s="64"/>
      <c r="AD601" s="50"/>
      <c r="AE601" s="50"/>
      <c r="AF601" s="19"/>
      <c r="AG601" s="120"/>
      <c r="AH601" s="119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C602" s="263"/>
      <c r="D602" s="26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76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C603" s="263"/>
      <c r="D603" s="26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76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C604" s="263"/>
      <c r="D604" s="26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76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C605" s="263"/>
      <c r="D605" s="26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76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C606" s="263"/>
      <c r="D606" s="26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76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C607" s="263"/>
      <c r="D607" s="26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76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C608" s="263"/>
      <c r="D608" s="26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76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4" s="308" customFormat="1" x14ac:dyDescent="0.2">
      <c r="A609" s="48"/>
      <c r="C609" s="263"/>
      <c r="D609" s="26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76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4" s="308" customFormat="1" x14ac:dyDescent="0.2">
      <c r="A610" s="48"/>
      <c r="C610" s="263"/>
      <c r="D610" s="26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76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4" s="308" customFormat="1" x14ac:dyDescent="0.2">
      <c r="A611" s="48"/>
      <c r="C611" s="263"/>
      <c r="D611" s="26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76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4" s="308" customFormat="1" x14ac:dyDescent="0.2">
      <c r="A612" s="48"/>
      <c r="C612" s="263"/>
      <c r="D612" s="26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76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4" s="308" customFormat="1" x14ac:dyDescent="0.2">
      <c r="A613" s="48"/>
      <c r="C613" s="263"/>
      <c r="D613" s="26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76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4" s="308" customFormat="1" x14ac:dyDescent="0.2">
      <c r="A614" s="48"/>
      <c r="C614" s="263"/>
      <c r="D614" s="26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76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4" s="308" customFormat="1" x14ac:dyDescent="0.2">
      <c r="A615" s="48"/>
      <c r="C615" s="263"/>
      <c r="D615" s="26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76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4" s="308" customFormat="1" x14ac:dyDescent="0.2">
      <c r="A616" s="48"/>
      <c r="C616" s="263"/>
      <c r="D616" s="26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76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4" s="308" customFormat="1" x14ac:dyDescent="0.2">
      <c r="A617" s="48"/>
      <c r="C617" s="263"/>
      <c r="D617" s="26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76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4" s="308" customFormat="1" x14ac:dyDescent="0.2">
      <c r="A618" s="48"/>
      <c r="C618" s="263"/>
      <c r="D618" s="26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76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4" s="308" customFormat="1" x14ac:dyDescent="0.2">
      <c r="A619" s="48"/>
      <c r="C619" s="263"/>
      <c r="D619" s="26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76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4" s="308" customFormat="1" x14ac:dyDescent="0.2">
      <c r="A620" s="48"/>
      <c r="C620" s="263"/>
      <c r="D620" s="26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76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4" s="308" customFormat="1" x14ac:dyDescent="0.2">
      <c r="A621" s="48"/>
      <c r="C621" s="263"/>
      <c r="D621" s="26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76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  <c r="AQ621" s="21"/>
      <c r="AR621" s="21"/>
    </row>
    <row r="622" spans="1:44" s="308" customFormat="1" x14ac:dyDescent="0.2">
      <c r="A622" s="48"/>
      <c r="C622" s="263"/>
      <c r="D622" s="26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76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  <c r="AQ622" s="21"/>
      <c r="AR622" s="21"/>
    </row>
    <row r="623" spans="1:44" x14ac:dyDescent="0.2">
      <c r="A623" s="48"/>
      <c r="AP623" s="308"/>
    </row>
    <row r="624" spans="1:44" x14ac:dyDescent="0.2">
      <c r="A624" s="48"/>
      <c r="AP624" s="308"/>
    </row>
    <row r="625" spans="1:44" x14ac:dyDescent="0.2">
      <c r="A625" s="48"/>
      <c r="AP625" s="308"/>
    </row>
    <row r="626" spans="1:44" x14ac:dyDescent="0.2">
      <c r="A626" s="48"/>
      <c r="AP626" s="308"/>
    </row>
    <row r="627" spans="1:44" x14ac:dyDescent="0.2">
      <c r="A627" s="48"/>
      <c r="AP627" s="308"/>
    </row>
    <row r="628" spans="1:44" x14ac:dyDescent="0.2">
      <c r="A628" s="48"/>
      <c r="AP628" s="308"/>
    </row>
    <row r="629" spans="1:44" x14ac:dyDescent="0.2">
      <c r="A629" s="48"/>
      <c r="AP629" s="308"/>
      <c r="AQ629" s="308"/>
      <c r="AR629" s="308"/>
    </row>
    <row r="630" spans="1:44" x14ac:dyDescent="0.2">
      <c r="A630" s="48"/>
      <c r="AP630" s="308"/>
      <c r="AQ630" s="308"/>
      <c r="AR630" s="308"/>
    </row>
    <row r="631" spans="1:44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76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4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76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4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76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4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76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4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76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4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76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4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76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4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76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4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76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4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76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4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76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4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76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4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76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4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76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4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76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4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76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4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76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4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76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4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76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4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76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4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76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4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76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4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76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4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76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4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76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4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76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  <c r="AQ656" s="21"/>
      <c r="AR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76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  <c r="AQ657" s="21"/>
      <c r="AR657" s="21"/>
    </row>
    <row r="658" spans="1:44" x14ac:dyDescent="0.2">
      <c r="A658" s="48"/>
      <c r="AP658" s="308"/>
    </row>
    <row r="659" spans="1:44" x14ac:dyDescent="0.2">
      <c r="A659" s="48"/>
      <c r="AP659" s="308"/>
    </row>
    <row r="660" spans="1:44" x14ac:dyDescent="0.2">
      <c r="A660" s="48"/>
      <c r="AP660" s="308"/>
    </row>
    <row r="661" spans="1:44" x14ac:dyDescent="0.2">
      <c r="A661" s="48"/>
      <c r="AP661" s="308"/>
    </row>
    <row r="662" spans="1:44" x14ac:dyDescent="0.2">
      <c r="A662" s="48"/>
      <c r="AP662" s="308"/>
    </row>
    <row r="663" spans="1:44" x14ac:dyDescent="0.2">
      <c r="A663" s="48"/>
      <c r="AP663" s="308"/>
    </row>
    <row r="664" spans="1:44" x14ac:dyDescent="0.2">
      <c r="A664" s="48"/>
      <c r="AP664" s="308"/>
    </row>
    <row r="665" spans="1:44" x14ac:dyDescent="0.2">
      <c r="A665" s="48"/>
      <c r="AP665" s="308"/>
    </row>
    <row r="666" spans="1:44" x14ac:dyDescent="0.2">
      <c r="A666" s="48"/>
      <c r="AP666" s="308"/>
    </row>
    <row r="667" spans="1:44" x14ac:dyDescent="0.2">
      <c r="A667" s="48"/>
      <c r="AP667" s="308"/>
    </row>
    <row r="668" spans="1:44" x14ac:dyDescent="0.2">
      <c r="A668" s="48"/>
      <c r="AP668" s="308"/>
    </row>
    <row r="669" spans="1:44" x14ac:dyDescent="0.2">
      <c r="A669" s="48"/>
    </row>
    <row r="670" spans="1:44" x14ac:dyDescent="0.2">
      <c r="A670" s="48"/>
    </row>
    <row r="671" spans="1:44" x14ac:dyDescent="0.2">
      <c r="A671" s="48"/>
    </row>
    <row r="672" spans="1:44" x14ac:dyDescent="0.2">
      <c r="A672" s="48"/>
    </row>
    <row r="673" spans="1:42" x14ac:dyDescent="0.2">
      <c r="A673" s="48"/>
    </row>
    <row r="674" spans="1:42" x14ac:dyDescent="0.2">
      <c r="A674" s="48"/>
    </row>
    <row r="675" spans="1:42" x14ac:dyDescent="0.2">
      <c r="A675" s="48"/>
    </row>
    <row r="676" spans="1:42" x14ac:dyDescent="0.2">
      <c r="A676" s="48"/>
    </row>
    <row r="677" spans="1:42" x14ac:dyDescent="0.2">
      <c r="A677" s="48"/>
      <c r="AP677" s="308"/>
    </row>
    <row r="678" spans="1:42" x14ac:dyDescent="0.2">
      <c r="A678" s="48"/>
      <c r="AP678" s="308"/>
    </row>
    <row r="679" spans="1:42" x14ac:dyDescent="0.2">
      <c r="A679" s="48"/>
      <c r="AP679" s="308"/>
    </row>
    <row r="680" spans="1:42" x14ac:dyDescent="0.2">
      <c r="A680" s="48"/>
      <c r="AP680" s="308"/>
    </row>
    <row r="681" spans="1:42" x14ac:dyDescent="0.2">
      <c r="A681" s="48"/>
      <c r="AP681" s="308"/>
    </row>
    <row r="682" spans="1:42" x14ac:dyDescent="0.2">
      <c r="A682" s="48"/>
      <c r="AP682" s="308"/>
    </row>
    <row r="683" spans="1:42" x14ac:dyDescent="0.2">
      <c r="A683" s="48"/>
      <c r="AP683" s="308"/>
    </row>
    <row r="684" spans="1:42" x14ac:dyDescent="0.2">
      <c r="A684" s="48"/>
      <c r="AP684" s="308"/>
    </row>
    <row r="685" spans="1:42" x14ac:dyDescent="0.2">
      <c r="A685" s="48"/>
      <c r="AP685" s="308"/>
    </row>
    <row r="686" spans="1:42" x14ac:dyDescent="0.2">
      <c r="A686" s="48"/>
      <c r="AP686" s="308"/>
    </row>
    <row r="687" spans="1:42" x14ac:dyDescent="0.2">
      <c r="A687" s="48"/>
      <c r="AP687" s="308"/>
    </row>
    <row r="688" spans="1:42" x14ac:dyDescent="0.2">
      <c r="A688" s="48"/>
      <c r="AP688" s="308"/>
    </row>
    <row r="689" spans="1:42" x14ac:dyDescent="0.2">
      <c r="A689" s="48"/>
      <c r="AP689" s="308"/>
    </row>
    <row r="690" spans="1:42" x14ac:dyDescent="0.2">
      <c r="A690" s="48"/>
      <c r="AP690" s="308"/>
    </row>
    <row r="691" spans="1:42" x14ac:dyDescent="0.2">
      <c r="A691" s="48"/>
      <c r="AP691" s="308"/>
    </row>
    <row r="692" spans="1:42" x14ac:dyDescent="0.2">
      <c r="A692" s="48"/>
      <c r="AP692" s="308"/>
    </row>
    <row r="693" spans="1:42" x14ac:dyDescent="0.2">
      <c r="A693" s="48"/>
      <c r="AP693" s="308"/>
    </row>
    <row r="694" spans="1:42" x14ac:dyDescent="0.2">
      <c r="A694" s="48"/>
      <c r="AP694" s="308"/>
    </row>
    <row r="695" spans="1:42" x14ac:dyDescent="0.2">
      <c r="A695" s="48"/>
      <c r="AP695" s="308"/>
    </row>
    <row r="696" spans="1:42" x14ac:dyDescent="0.2">
      <c r="A696" s="48"/>
      <c r="AP696" s="308"/>
    </row>
    <row r="697" spans="1:42" x14ac:dyDescent="0.2">
      <c r="A697" s="48"/>
      <c r="AP697" s="308"/>
    </row>
    <row r="698" spans="1:42" x14ac:dyDescent="0.2">
      <c r="A698" s="48"/>
      <c r="AP698" s="308"/>
    </row>
    <row r="699" spans="1:42" x14ac:dyDescent="0.2">
      <c r="A699" s="48"/>
      <c r="AP699" s="308"/>
    </row>
    <row r="700" spans="1:42" x14ac:dyDescent="0.2">
      <c r="A700" s="48"/>
      <c r="AP700" s="308"/>
    </row>
    <row r="701" spans="1:42" x14ac:dyDescent="0.2">
      <c r="A701" s="48"/>
      <c r="AP701" s="308"/>
    </row>
    <row r="702" spans="1:42" x14ac:dyDescent="0.2">
      <c r="A702" s="48"/>
      <c r="AP702" s="308"/>
    </row>
    <row r="703" spans="1:42" x14ac:dyDescent="0.2">
      <c r="A703" s="48"/>
      <c r="AP703" s="308"/>
    </row>
    <row r="704" spans="1:42" x14ac:dyDescent="0.2">
      <c r="A704" s="48"/>
    </row>
    <row r="705" spans="1:45" x14ac:dyDescent="0.2">
      <c r="A705" s="48"/>
    </row>
    <row r="706" spans="1:45" x14ac:dyDescent="0.2">
      <c r="A706" s="48"/>
    </row>
    <row r="707" spans="1:45" s="308" customFormat="1" x14ac:dyDescent="0.2">
      <c r="A707" s="48"/>
      <c r="C707" s="263"/>
      <c r="D707" s="263"/>
      <c r="E707" s="53"/>
      <c r="F707" s="13"/>
      <c r="G707" s="13"/>
      <c r="H707" s="53"/>
      <c r="I707" s="298"/>
      <c r="J707" s="21"/>
      <c r="K707" s="21"/>
      <c r="L707" s="13"/>
      <c r="M707" s="50"/>
      <c r="N707" s="97"/>
      <c r="O707" s="50"/>
      <c r="P707" s="50"/>
      <c r="Q707" s="316"/>
      <c r="R707" s="285"/>
      <c r="S707" s="21"/>
      <c r="T707" s="13"/>
      <c r="U707" s="13"/>
      <c r="V707" s="21"/>
      <c r="W707" s="21"/>
      <c r="X707" s="21"/>
      <c r="Y707" s="260"/>
      <c r="Z707" s="177"/>
      <c r="AA707" s="177"/>
      <c r="AB707" s="676"/>
      <c r="AC707" s="64"/>
      <c r="AD707" s="50"/>
      <c r="AE707" s="50"/>
      <c r="AF707" s="19"/>
      <c r="AG707" s="120"/>
      <c r="AH707" s="119"/>
      <c r="AI707" s="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1:45" s="308" customFormat="1" x14ac:dyDescent="0.2">
      <c r="A708" s="48"/>
      <c r="C708" s="263"/>
      <c r="D708" s="263"/>
      <c r="E708" s="53"/>
      <c r="F708" s="13"/>
      <c r="G708" s="13"/>
      <c r="H708" s="53"/>
      <c r="I708" s="298"/>
      <c r="J708" s="21"/>
      <c r="K708" s="21"/>
      <c r="L708" s="13"/>
      <c r="M708" s="50"/>
      <c r="N708" s="97"/>
      <c r="O708" s="50"/>
      <c r="P708" s="50"/>
      <c r="Q708" s="316"/>
      <c r="R708" s="285"/>
      <c r="S708" s="21"/>
      <c r="T708" s="13"/>
      <c r="U708" s="13"/>
      <c r="V708" s="21"/>
      <c r="W708" s="21"/>
      <c r="X708" s="21"/>
      <c r="Y708" s="260"/>
      <c r="Z708" s="177"/>
      <c r="AA708" s="177"/>
      <c r="AB708" s="676"/>
      <c r="AC708" s="64"/>
      <c r="AD708" s="50"/>
      <c r="AE708" s="50"/>
      <c r="AF708" s="19"/>
      <c r="AG708" s="120"/>
      <c r="AH708" s="119"/>
      <c r="AI708" s="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</sheetData>
  <autoFilter ref="A5:T226">
    <filterColumn colId="3" showButton="0"/>
  </autoFilter>
  <sortState ref="B6:T81">
    <sortCondition ref="C6:C81"/>
  </sortState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53"/>
  <sheetViews>
    <sheetView topLeftCell="P103" workbookViewId="0">
      <selection activeCell="W108" sqref="W108"/>
    </sheetView>
  </sheetViews>
  <sheetFormatPr baseColWidth="10" defaultRowHeight="12.75" outlineLevelCol="1" x14ac:dyDescent="0.2"/>
  <cols>
    <col min="1" max="1" width="6.42578125" style="13" bestFit="1" customWidth="1"/>
    <col min="2" max="2" width="7.5703125" style="308" bestFit="1" customWidth="1" outlineLevel="1"/>
    <col min="3" max="3" width="10.42578125" style="263" customWidth="1"/>
    <col min="4" max="4" width="7.85546875" style="263" customWidth="1" outlineLevel="1"/>
    <col min="5" max="5" width="30.140625" style="53" bestFit="1" customWidth="1"/>
    <col min="6" max="6" width="6.28515625" style="13" customWidth="1" outlineLevel="1"/>
    <col min="7" max="7" width="8.7109375" style="13" bestFit="1" customWidth="1"/>
    <col min="8" max="8" width="31.85546875" style="53" customWidth="1" outlineLevel="1"/>
    <col min="9" max="9" width="14" style="298" customWidth="1"/>
    <col min="10" max="10" width="2.28515625" style="21" hidden="1" customWidth="1" outlineLevel="1"/>
    <col min="11" max="11" width="23" style="21" customWidth="1" outlineLevel="1"/>
    <col min="12" max="12" width="17.7109375" style="13" bestFit="1" customWidth="1" outlineLevel="1"/>
    <col min="13" max="13" width="14.140625" style="50" bestFit="1" customWidth="1"/>
    <col min="14" max="14" width="11.140625" style="97" bestFit="1" customWidth="1"/>
    <col min="15" max="15" width="11.42578125" style="50" bestFit="1" customWidth="1" outlineLevel="1"/>
    <col min="16" max="16" width="12.85546875" style="50" bestFit="1" customWidth="1"/>
    <col min="17" max="17" width="17.28515625" style="316" hidden="1" customWidth="1" outlineLevel="1" collapsed="1"/>
    <col min="18" max="18" width="12.7109375" style="285" bestFit="1" customWidth="1" outlineLevel="1" collapsed="1"/>
    <col min="19" max="19" width="18.140625" style="21" bestFit="1" customWidth="1" outlineLevel="1" collapsed="1"/>
    <col min="20" max="20" width="22.28515625" style="13" bestFit="1" customWidth="1" outlineLevel="1"/>
    <col min="21" max="21" width="11.28515625" style="13" customWidth="1"/>
    <col min="22" max="22" width="9.5703125" style="21" bestFit="1" customWidth="1" outlineLevel="1"/>
    <col min="23" max="23" width="8" style="21" customWidth="1" outlineLevel="1"/>
    <col min="24" max="24" width="30.140625" style="21" bestFit="1" customWidth="1" outlineLevel="1"/>
    <col min="25" max="25" width="5.42578125" style="260" bestFit="1" customWidth="1" outlineLevel="1"/>
    <col min="26" max="26" width="8.7109375" style="177" bestFit="1" customWidth="1" outlineLevel="1"/>
    <col min="27" max="27" width="12" style="177" bestFit="1" customWidth="1" outlineLevel="1"/>
    <col min="28" max="28" width="3.85546875" style="61" bestFit="1" customWidth="1"/>
    <col min="29" max="29" width="12.5703125" style="64" customWidth="1" outlineLevel="1"/>
    <col min="30" max="30" width="7.5703125" style="50" bestFit="1" customWidth="1" outlineLevel="1"/>
    <col min="31" max="31" width="10.5703125" style="50" bestFit="1" customWidth="1"/>
    <col min="32" max="32" width="9.85546875" style="19" bestFit="1" customWidth="1"/>
    <col min="33" max="33" width="11.140625" style="120" bestFit="1" customWidth="1"/>
    <col min="34" max="34" width="10.42578125" style="119" customWidth="1"/>
    <col min="35" max="35" width="11.42578125" style="1"/>
    <col min="36" max="16384" width="11.42578125" style="21"/>
  </cols>
  <sheetData>
    <row r="1" spans="1:45" s="6" customFormat="1" x14ac:dyDescent="0.2">
      <c r="A1" s="1" t="s">
        <v>49</v>
      </c>
      <c r="B1" s="571"/>
      <c r="C1" s="337" t="s">
        <v>133</v>
      </c>
      <c r="D1" s="338"/>
      <c r="E1" s="337"/>
      <c r="F1" s="339"/>
      <c r="G1" s="339"/>
      <c r="H1" s="337"/>
      <c r="I1" s="340"/>
      <c r="J1" s="3"/>
      <c r="K1" s="3"/>
      <c r="L1" s="176"/>
      <c r="M1" s="341" t="s">
        <v>115</v>
      </c>
      <c r="N1" s="342" t="s">
        <v>222</v>
      </c>
      <c r="O1" s="343"/>
      <c r="P1" s="343"/>
      <c r="Q1" s="344">
        <f>(97-25)*360</f>
        <v>25920</v>
      </c>
      <c r="R1" s="345"/>
      <c r="S1" s="583"/>
      <c r="U1" s="1"/>
      <c r="V1" s="1"/>
      <c r="Z1" s="259"/>
      <c r="AA1" s="177"/>
      <c r="AB1" s="743"/>
      <c r="AC1" s="5"/>
      <c r="AD1" s="63"/>
      <c r="AE1" s="5"/>
      <c r="AF1" s="5"/>
      <c r="AG1" s="52"/>
      <c r="AH1" s="119"/>
      <c r="AI1" s="123"/>
    </row>
    <row r="2" spans="1:45" s="6" customFormat="1" x14ac:dyDescent="0.2">
      <c r="A2" s="1"/>
      <c r="B2" s="572"/>
      <c r="C2" s="126" t="s">
        <v>50</v>
      </c>
      <c r="D2" s="113"/>
      <c r="E2" s="126"/>
      <c r="F2" s="8"/>
      <c r="G2" s="8"/>
      <c r="H2" s="126"/>
      <c r="I2" s="116"/>
      <c r="J2" s="8"/>
      <c r="K2" s="8"/>
      <c r="L2" s="8"/>
      <c r="M2" s="69"/>
      <c r="N2" s="164">
        <v>0.5</v>
      </c>
      <c r="O2" s="314"/>
      <c r="P2" s="314"/>
      <c r="Q2" s="317"/>
      <c r="R2" s="275"/>
      <c r="S2" s="583"/>
      <c r="T2" s="32"/>
      <c r="U2" s="1"/>
      <c r="V2" s="1"/>
      <c r="Z2" s="259"/>
      <c r="AA2" s="177"/>
      <c r="AB2" s="743"/>
      <c r="AC2" s="5"/>
      <c r="AD2" s="63"/>
      <c r="AE2" s="5"/>
      <c r="AF2" s="5"/>
      <c r="AG2" s="52"/>
      <c r="AH2" s="119"/>
      <c r="AI2" s="123"/>
    </row>
    <row r="3" spans="1:45" s="6" customFormat="1" ht="13.5" thickBot="1" x14ac:dyDescent="0.25">
      <c r="A3" s="1"/>
      <c r="B3" s="572"/>
      <c r="C3" s="127" t="s">
        <v>5348</v>
      </c>
      <c r="D3" s="261"/>
      <c r="E3" s="127"/>
      <c r="F3" s="11"/>
      <c r="G3" s="11"/>
      <c r="H3" s="127"/>
      <c r="I3" s="116"/>
      <c r="J3" s="11"/>
      <c r="K3" s="11"/>
      <c r="L3" s="11"/>
      <c r="M3" s="5"/>
      <c r="N3" s="108" t="s">
        <v>201</v>
      </c>
      <c r="O3" s="70"/>
      <c r="P3" s="70"/>
      <c r="Q3" s="70"/>
      <c r="R3" s="276"/>
      <c r="S3" s="583"/>
      <c r="T3" s="32"/>
      <c r="U3" s="67" t="s">
        <v>133</v>
      </c>
      <c r="V3" s="67"/>
      <c r="Z3" s="259"/>
      <c r="AA3" s="177"/>
      <c r="AB3" s="743"/>
      <c r="AC3" s="5"/>
      <c r="AD3" s="654"/>
      <c r="AE3" s="5"/>
      <c r="AF3" s="5"/>
      <c r="AG3" s="52"/>
      <c r="AH3" s="119"/>
      <c r="AI3" s="123"/>
    </row>
    <row r="4" spans="1:45" ht="13.5" thickBot="1" x14ac:dyDescent="0.25">
      <c r="B4" s="573"/>
      <c r="C4" s="113"/>
      <c r="D4" s="266"/>
      <c r="E4" s="563"/>
      <c r="F4" s="564"/>
      <c r="G4" s="565"/>
      <c r="H4" s="566"/>
      <c r="I4" s="116"/>
      <c r="J4" s="267"/>
      <c r="K4" s="567" t="s">
        <v>25</v>
      </c>
      <c r="L4" s="48"/>
      <c r="M4" s="568" t="s">
        <v>201</v>
      </c>
      <c r="N4" s="569" t="s">
        <v>34</v>
      </c>
      <c r="O4" s="570" t="s">
        <v>32</v>
      </c>
      <c r="P4" s="71"/>
      <c r="Q4" s="71"/>
      <c r="R4" s="411" t="s">
        <v>96</v>
      </c>
      <c r="S4" s="584"/>
      <c r="T4" s="21"/>
      <c r="U4" s="67" t="s">
        <v>5349</v>
      </c>
      <c r="V4" s="67"/>
      <c r="W4" s="67"/>
      <c r="Y4" s="21"/>
      <c r="Z4" s="260"/>
      <c r="AB4" s="743"/>
      <c r="AC4" s="823" t="s">
        <v>153</v>
      </c>
      <c r="AD4" s="824"/>
      <c r="AE4" s="824"/>
      <c r="AF4" s="825"/>
      <c r="AG4" s="19"/>
      <c r="AI4" s="123"/>
    </row>
    <row r="5" spans="1:45" s="22" customFormat="1" ht="34.5" thickBot="1" x14ac:dyDescent="0.25">
      <c r="A5" s="22">
        <v>0</v>
      </c>
      <c r="B5" s="574" t="s">
        <v>51</v>
      </c>
      <c r="C5" s="575" t="s">
        <v>52</v>
      </c>
      <c r="D5" s="826" t="s">
        <v>53</v>
      </c>
      <c r="E5" s="827"/>
      <c r="F5" s="576" t="s">
        <v>47</v>
      </c>
      <c r="G5" s="577" t="s">
        <v>155</v>
      </c>
      <c r="H5" s="577" t="s">
        <v>189</v>
      </c>
      <c r="I5" s="578" t="s">
        <v>54</v>
      </c>
      <c r="J5" s="576" t="s">
        <v>364</v>
      </c>
      <c r="K5" s="576" t="s">
        <v>55</v>
      </c>
      <c r="L5" s="576" t="s">
        <v>56</v>
      </c>
      <c r="M5" s="579" t="s">
        <v>302</v>
      </c>
      <c r="N5" s="580" t="s">
        <v>303</v>
      </c>
      <c r="O5" s="579" t="s">
        <v>304</v>
      </c>
      <c r="P5" s="579" t="s">
        <v>305</v>
      </c>
      <c r="Q5" s="579" t="s">
        <v>0</v>
      </c>
      <c r="R5" s="581" t="s">
        <v>376</v>
      </c>
      <c r="S5" s="582" t="s">
        <v>377</v>
      </c>
      <c r="T5" s="22" t="s">
        <v>359</v>
      </c>
      <c r="U5" s="579" t="s">
        <v>156</v>
      </c>
      <c r="V5" s="579" t="s">
        <v>347</v>
      </c>
      <c r="W5" s="579" t="s">
        <v>332</v>
      </c>
      <c r="X5" s="585" t="s">
        <v>154</v>
      </c>
      <c r="Y5" s="585" t="s">
        <v>36</v>
      </c>
      <c r="Z5" s="586" t="s">
        <v>236</v>
      </c>
      <c r="AA5" s="178"/>
      <c r="AB5" s="310"/>
      <c r="AC5" s="587" t="s">
        <v>237</v>
      </c>
      <c r="AD5" s="588" t="s">
        <v>330</v>
      </c>
      <c r="AE5" s="589" t="s">
        <v>331</v>
      </c>
      <c r="AF5" s="590" t="s">
        <v>303</v>
      </c>
      <c r="AG5" s="591"/>
      <c r="AH5" s="121"/>
      <c r="AI5" s="121"/>
    </row>
    <row r="6" spans="1:45" s="291" customFormat="1" x14ac:dyDescent="0.2">
      <c r="A6" s="423">
        <v>1</v>
      </c>
      <c r="B6" s="720" t="s">
        <v>5475</v>
      </c>
      <c r="C6" s="655">
        <v>520108</v>
      </c>
      <c r="D6" s="658">
        <v>2593</v>
      </c>
      <c r="E6" s="655" t="s">
        <v>685</v>
      </c>
      <c r="F6" s="539">
        <v>2018</v>
      </c>
      <c r="G6" s="659">
        <v>42975</v>
      </c>
      <c r="H6" s="655" t="s">
        <v>788</v>
      </c>
      <c r="I6" s="655" t="s">
        <v>5698</v>
      </c>
      <c r="J6" s="712"/>
      <c r="K6" s="655" t="s">
        <v>5822</v>
      </c>
      <c r="L6" s="655" t="s">
        <v>5947</v>
      </c>
      <c r="M6" s="660">
        <v>395529.4</v>
      </c>
      <c r="N6" s="660">
        <v>19901.63</v>
      </c>
      <c r="O6" s="660">
        <v>66468.97</v>
      </c>
      <c r="P6" s="660">
        <v>481900</v>
      </c>
      <c r="Q6" s="541"/>
      <c r="R6" s="660">
        <v>342616.49</v>
      </c>
      <c r="S6" s="542">
        <f t="shared" ref="S6:S69" si="0">+P6-R6</f>
        <v>139283.51</v>
      </c>
      <c r="T6" s="113" t="s">
        <v>131</v>
      </c>
      <c r="U6" s="621" t="str">
        <f>+B6</f>
        <v>AA11748</v>
      </c>
      <c r="V6" s="622" t="str">
        <f>+I6</f>
        <v>0034-TCN18</v>
      </c>
      <c r="W6" s="621">
        <f>+C6</f>
        <v>520108</v>
      </c>
      <c r="X6" s="621" t="str">
        <f>+E6</f>
        <v>CAMRY XLE 4 -DOOR</v>
      </c>
      <c r="Y6" s="622">
        <f>+F6</f>
        <v>2018</v>
      </c>
      <c r="Z6" s="623">
        <f>+M6</f>
        <v>395529.4</v>
      </c>
      <c r="AA6" s="624">
        <f>+Z6</f>
        <v>395529.4</v>
      </c>
      <c r="AB6" s="663">
        <v>1</v>
      </c>
      <c r="AC6" s="624">
        <f t="shared" ref="AC6:AC69" si="1">VLOOKUP(Z6,TARIFA,1)</f>
        <v>344993.21</v>
      </c>
      <c r="AD6" s="625">
        <f t="shared" ref="AD6:AD69" si="2">VLOOKUP(Z6,TARIFA,4)</f>
        <v>0.15</v>
      </c>
      <c r="AE6" s="624">
        <f t="shared" ref="AE6:AE69" si="3">VLOOKUP(Z6,TARIFA,3)</f>
        <v>12321.2</v>
      </c>
      <c r="AF6" s="624">
        <f t="shared" ref="AF6:AF24" si="4">IF(Z6&lt;281240.78,(((Z6-AC6)*AD6+AE6)/2),(Z6-AC6)*AD6+AE6)</f>
        <v>19901.628499999999</v>
      </c>
      <c r="AG6" s="632">
        <f>+N6-AF6</f>
        <v>1.5000000021245796E-3</v>
      </c>
      <c r="AH6" s="361"/>
      <c r="AI6" s="313"/>
      <c r="AK6" s="296"/>
      <c r="AL6" s="296"/>
      <c r="AM6" s="296"/>
    </row>
    <row r="7" spans="1:45" s="291" customFormat="1" x14ac:dyDescent="0.2">
      <c r="A7" s="423">
        <f>+A6+1</f>
        <v>2</v>
      </c>
      <c r="B7" s="721" t="s">
        <v>5477</v>
      </c>
      <c r="C7" s="655">
        <v>520111</v>
      </c>
      <c r="D7" s="658">
        <v>2620</v>
      </c>
      <c r="E7" s="655" t="s">
        <v>5618</v>
      </c>
      <c r="F7" s="546">
        <v>2018</v>
      </c>
      <c r="G7" s="659">
        <v>42976</v>
      </c>
      <c r="H7" s="655" t="s">
        <v>817</v>
      </c>
      <c r="I7" s="655" t="s">
        <v>5700</v>
      </c>
      <c r="J7" s="712"/>
      <c r="K7" s="655" t="s">
        <v>3878</v>
      </c>
      <c r="L7" s="655" t="s">
        <v>5949</v>
      </c>
      <c r="M7" s="660">
        <v>371541.4</v>
      </c>
      <c r="N7" s="660">
        <v>16303.43</v>
      </c>
      <c r="O7" s="660">
        <v>62055.17</v>
      </c>
      <c r="P7" s="660">
        <v>449900</v>
      </c>
      <c r="Q7" s="548"/>
      <c r="R7" s="660">
        <v>321632.33</v>
      </c>
      <c r="S7" s="549">
        <f t="shared" si="0"/>
        <v>128267.66999999998</v>
      </c>
      <c r="T7" s="267" t="s">
        <v>131</v>
      </c>
      <c r="U7" s="626" t="str">
        <f t="shared" ref="U7:U70" si="5">+B7</f>
        <v>AA11762</v>
      </c>
      <c r="V7" s="627" t="str">
        <f t="shared" ref="V7:V70" si="6">+I7</f>
        <v>0033-TCN18</v>
      </c>
      <c r="W7" s="626">
        <f t="shared" ref="W7:W70" si="7">+C7</f>
        <v>520111</v>
      </c>
      <c r="X7" s="626" t="str">
        <f t="shared" ref="X7:Y70" si="8">+E7</f>
        <v>CAMRY 2018 SE</v>
      </c>
      <c r="Y7" s="627">
        <f t="shared" si="8"/>
        <v>2018</v>
      </c>
      <c r="Z7" s="628">
        <f t="shared" ref="Z7:Z70" si="9">+M7</f>
        <v>371541.4</v>
      </c>
      <c r="AA7" s="629"/>
      <c r="AB7" s="664"/>
      <c r="AC7" s="629">
        <v>0</v>
      </c>
      <c r="AD7" s="630">
        <v>0</v>
      </c>
      <c r="AE7" s="629">
        <v>0</v>
      </c>
      <c r="AF7" s="629">
        <f>+N7</f>
        <v>16303.43</v>
      </c>
      <c r="AG7" s="555">
        <f t="shared" ref="AG7:AG70" si="10">+N7-AF7</f>
        <v>0</v>
      </c>
      <c r="AH7" s="361"/>
      <c r="AI7" s="313"/>
    </row>
    <row r="8" spans="1:45" s="291" customFormat="1" x14ac:dyDescent="0.2">
      <c r="A8" s="423">
        <f t="shared" ref="A8:A71" si="11">+A7+1</f>
        <v>3</v>
      </c>
      <c r="B8" s="721" t="s">
        <v>5478</v>
      </c>
      <c r="C8" s="655">
        <v>520111</v>
      </c>
      <c r="D8" s="658">
        <v>2620</v>
      </c>
      <c r="E8" s="655" t="s">
        <v>5618</v>
      </c>
      <c r="F8" s="546">
        <v>2018</v>
      </c>
      <c r="G8" s="659">
        <v>42976</v>
      </c>
      <c r="H8" s="655" t="s">
        <v>3694</v>
      </c>
      <c r="I8" s="655" t="s">
        <v>5701</v>
      </c>
      <c r="J8" s="712"/>
      <c r="K8" s="655" t="s">
        <v>5824</v>
      </c>
      <c r="L8" s="655" t="s">
        <v>5950</v>
      </c>
      <c r="M8" s="660">
        <v>371541.4</v>
      </c>
      <c r="N8" s="660">
        <v>16303.43</v>
      </c>
      <c r="O8" s="660">
        <v>62055.17</v>
      </c>
      <c r="P8" s="660">
        <v>449900</v>
      </c>
      <c r="Q8" s="548"/>
      <c r="R8" s="660">
        <v>321986.81</v>
      </c>
      <c r="S8" s="549">
        <f t="shared" si="0"/>
        <v>127913.19</v>
      </c>
      <c r="T8" s="113" t="s">
        <v>131</v>
      </c>
      <c r="U8" s="626" t="str">
        <f t="shared" si="5"/>
        <v>AA11761</v>
      </c>
      <c r="V8" s="627" t="str">
        <f t="shared" si="6"/>
        <v>0035-TCN18</v>
      </c>
      <c r="W8" s="626">
        <f t="shared" si="7"/>
        <v>520111</v>
      </c>
      <c r="X8" s="626" t="str">
        <f t="shared" si="8"/>
        <v>CAMRY 2018 SE</v>
      </c>
      <c r="Y8" s="627">
        <f t="shared" si="8"/>
        <v>2018</v>
      </c>
      <c r="Z8" s="628">
        <f t="shared" si="9"/>
        <v>371541.4</v>
      </c>
      <c r="AA8" s="629">
        <f>+Z7+Z8</f>
        <v>743082.8</v>
      </c>
      <c r="AB8" s="664">
        <v>2</v>
      </c>
      <c r="AC8" s="629">
        <f t="shared" si="1"/>
        <v>344993.21</v>
      </c>
      <c r="AD8" s="630">
        <f t="shared" si="2"/>
        <v>0.15</v>
      </c>
      <c r="AE8" s="629">
        <f t="shared" si="3"/>
        <v>12321.2</v>
      </c>
      <c r="AF8" s="629">
        <f t="shared" si="4"/>
        <v>16303.428500000002</v>
      </c>
      <c r="AG8" s="555">
        <f t="shared" si="10"/>
        <v>1.4999999984866008E-3</v>
      </c>
      <c r="AH8" s="361"/>
      <c r="AI8" s="313"/>
      <c r="AL8" s="296"/>
      <c r="AM8" s="296"/>
    </row>
    <row r="9" spans="1:45" s="291" customFormat="1" x14ac:dyDescent="0.2">
      <c r="A9" s="423">
        <f t="shared" si="11"/>
        <v>4</v>
      </c>
      <c r="B9" s="721" t="s">
        <v>5474</v>
      </c>
      <c r="C9" s="655">
        <v>520112</v>
      </c>
      <c r="D9" s="658">
        <v>2593</v>
      </c>
      <c r="E9" s="655" t="s">
        <v>685</v>
      </c>
      <c r="F9" s="546">
        <v>2017</v>
      </c>
      <c r="G9" s="659">
        <v>42961</v>
      </c>
      <c r="H9" s="655" t="s">
        <v>788</v>
      </c>
      <c r="I9" s="655" t="s">
        <v>2284</v>
      </c>
      <c r="J9" s="712"/>
      <c r="K9" s="655" t="s">
        <v>5821</v>
      </c>
      <c r="L9" s="655" t="s">
        <v>2582</v>
      </c>
      <c r="M9" s="660">
        <v>331212.06</v>
      </c>
      <c r="N9" s="660">
        <v>10943.11</v>
      </c>
      <c r="O9" s="660">
        <v>54744.83</v>
      </c>
      <c r="P9" s="660">
        <v>396900</v>
      </c>
      <c r="Q9" s="548"/>
      <c r="R9" s="660">
        <v>289122.77</v>
      </c>
      <c r="S9" s="549">
        <f t="shared" si="0"/>
        <v>107777.22999999998</v>
      </c>
      <c r="T9" s="267" t="s">
        <v>131</v>
      </c>
      <c r="U9" s="626" t="str">
        <f t="shared" si="5"/>
        <v>AA11659</v>
      </c>
      <c r="V9" s="627" t="str">
        <f t="shared" si="6"/>
        <v>0772-TCN17</v>
      </c>
      <c r="W9" s="626">
        <f t="shared" si="7"/>
        <v>520112</v>
      </c>
      <c r="X9" s="626" t="str">
        <f t="shared" si="8"/>
        <v>CAMRY XLE 4 -DOOR</v>
      </c>
      <c r="Y9" s="627">
        <f t="shared" si="8"/>
        <v>2017</v>
      </c>
      <c r="Z9" s="628">
        <f t="shared" si="9"/>
        <v>331212.06</v>
      </c>
      <c r="AA9" s="629">
        <f>+Z9</f>
        <v>331212.06</v>
      </c>
      <c r="AB9" s="664">
        <v>1</v>
      </c>
      <c r="AC9" s="629">
        <f t="shared" si="1"/>
        <v>295708.34000000003</v>
      </c>
      <c r="AD9" s="630">
        <f t="shared" si="2"/>
        <v>0.1</v>
      </c>
      <c r="AE9" s="629">
        <f t="shared" si="3"/>
        <v>7392.74</v>
      </c>
      <c r="AF9" s="629">
        <f t="shared" si="4"/>
        <v>10943.111999999997</v>
      </c>
      <c r="AG9" s="555">
        <f t="shared" si="10"/>
        <v>-1.9999999967694748E-3</v>
      </c>
      <c r="AH9" s="361"/>
      <c r="AI9" s="313"/>
    </row>
    <row r="10" spans="1:45" s="291" customFormat="1" x14ac:dyDescent="0.2">
      <c r="A10" s="423">
        <f t="shared" si="11"/>
        <v>5</v>
      </c>
      <c r="B10" s="721" t="s">
        <v>5476</v>
      </c>
      <c r="C10" s="655">
        <v>520118</v>
      </c>
      <c r="D10" s="658">
        <v>2593</v>
      </c>
      <c r="E10" s="655" t="s">
        <v>685</v>
      </c>
      <c r="F10" s="546">
        <v>2018</v>
      </c>
      <c r="G10" s="659">
        <v>42976</v>
      </c>
      <c r="H10" s="655" t="s">
        <v>2215</v>
      </c>
      <c r="I10" s="655" t="s">
        <v>5699</v>
      </c>
      <c r="J10" s="712"/>
      <c r="K10" s="655" t="s">
        <v>5823</v>
      </c>
      <c r="L10" s="655" t="s">
        <v>5948</v>
      </c>
      <c r="M10" s="660">
        <v>395529.4</v>
      </c>
      <c r="N10" s="660">
        <v>19901.63</v>
      </c>
      <c r="O10" s="660">
        <v>66468.97</v>
      </c>
      <c r="P10" s="660">
        <v>481900</v>
      </c>
      <c r="Q10" s="548"/>
      <c r="R10" s="660">
        <v>342262.01</v>
      </c>
      <c r="S10" s="549">
        <f t="shared" si="0"/>
        <v>139637.99</v>
      </c>
      <c r="T10" s="113" t="s">
        <v>131</v>
      </c>
      <c r="U10" s="626" t="str">
        <f t="shared" si="5"/>
        <v>AA11751</v>
      </c>
      <c r="V10" s="627" t="str">
        <f t="shared" si="6"/>
        <v>0032-TCN18</v>
      </c>
      <c r="W10" s="626">
        <f t="shared" si="7"/>
        <v>520118</v>
      </c>
      <c r="X10" s="626" t="str">
        <f t="shared" si="8"/>
        <v>CAMRY XLE 4 -DOOR</v>
      </c>
      <c r="Y10" s="627">
        <f t="shared" si="8"/>
        <v>2018</v>
      </c>
      <c r="Z10" s="628">
        <f t="shared" si="9"/>
        <v>395529.4</v>
      </c>
      <c r="AA10" s="629">
        <f>+Z10</f>
        <v>395529.4</v>
      </c>
      <c r="AB10" s="664">
        <v>1</v>
      </c>
      <c r="AC10" s="629">
        <f t="shared" si="1"/>
        <v>344993.21</v>
      </c>
      <c r="AD10" s="630">
        <f t="shared" si="2"/>
        <v>0.15</v>
      </c>
      <c r="AE10" s="629">
        <f t="shared" si="3"/>
        <v>12321.2</v>
      </c>
      <c r="AF10" s="629">
        <f t="shared" si="4"/>
        <v>19901.628499999999</v>
      </c>
      <c r="AG10" s="555">
        <f t="shared" si="10"/>
        <v>1.5000000021245796E-3</v>
      </c>
      <c r="AH10" s="361"/>
      <c r="AI10" s="313"/>
      <c r="AK10" s="296"/>
      <c r="AL10" s="296"/>
      <c r="AM10" s="296"/>
    </row>
    <row r="11" spans="1:45" s="348" customFormat="1" x14ac:dyDescent="0.2">
      <c r="A11" s="423">
        <f t="shared" si="11"/>
        <v>6</v>
      </c>
      <c r="B11" s="721" t="s">
        <v>5399</v>
      </c>
      <c r="C11" s="655">
        <v>520222</v>
      </c>
      <c r="D11" s="658">
        <v>1797</v>
      </c>
      <c r="E11" s="655" t="s">
        <v>688</v>
      </c>
      <c r="F11" s="546">
        <v>2017</v>
      </c>
      <c r="G11" s="659">
        <v>42968</v>
      </c>
      <c r="H11" s="655" t="s">
        <v>2216</v>
      </c>
      <c r="I11" s="655" t="s">
        <v>5649</v>
      </c>
      <c r="J11" s="712"/>
      <c r="K11" s="655" t="s">
        <v>5793</v>
      </c>
      <c r="L11" s="655" t="s">
        <v>5898</v>
      </c>
      <c r="M11" s="660">
        <v>234721.75</v>
      </c>
      <c r="N11" s="660">
        <v>2347.2199999999998</v>
      </c>
      <c r="O11" s="660">
        <v>37931.03</v>
      </c>
      <c r="P11" s="660">
        <v>275000</v>
      </c>
      <c r="Q11" s="548"/>
      <c r="R11" s="660">
        <v>212746.59</v>
      </c>
      <c r="S11" s="549">
        <f t="shared" si="0"/>
        <v>62253.41</v>
      </c>
      <c r="T11" s="113" t="s">
        <v>131</v>
      </c>
      <c r="U11" s="626" t="str">
        <f t="shared" si="5"/>
        <v>AA11701</v>
      </c>
      <c r="V11" s="627" t="str">
        <f t="shared" si="6"/>
        <v>1711-TCN17</v>
      </c>
      <c r="W11" s="626">
        <f t="shared" si="7"/>
        <v>520222</v>
      </c>
      <c r="X11" s="626" t="str">
        <f t="shared" si="8"/>
        <v>COROLLA BASE MANUAL</v>
      </c>
      <c r="Y11" s="627">
        <f t="shared" si="8"/>
        <v>2017</v>
      </c>
      <c r="Z11" s="628">
        <f t="shared" si="9"/>
        <v>234721.75</v>
      </c>
      <c r="AA11" s="629">
        <f>+Z11</f>
        <v>234721.75</v>
      </c>
      <c r="AB11" s="664">
        <v>1</v>
      </c>
      <c r="AC11" s="629">
        <f t="shared" ref="AC11:AC16" si="12">VLOOKUP(Z11,TARIFA,1)</f>
        <v>0.01</v>
      </c>
      <c r="AD11" s="630">
        <f t="shared" ref="AD11:AD16" si="13">VLOOKUP(Z11,TARIFA,4)</f>
        <v>0.02</v>
      </c>
      <c r="AE11" s="629">
        <f t="shared" ref="AE11:AE16" si="14">VLOOKUP(Z11,TARIFA,3)</f>
        <v>0</v>
      </c>
      <c r="AF11" s="629">
        <f t="shared" ref="AF11:AF16" si="15">IF(Z11&lt;281240.78,(((Z11-AC11)*AD11+AE11)/2),(Z11-AC11)*AD11+AE11)</f>
        <v>2347.2174</v>
      </c>
      <c r="AG11" s="555">
        <f t="shared" si="10"/>
        <v>2.599999999802094E-3</v>
      </c>
      <c r="AH11" s="361"/>
      <c r="AI11" s="389"/>
      <c r="AJ11" s="374"/>
      <c r="AK11" s="374"/>
      <c r="AL11" s="374"/>
      <c r="AM11" s="374"/>
      <c r="AN11" s="291"/>
      <c r="AO11" s="291"/>
      <c r="AP11" s="291"/>
      <c r="AQ11" s="291"/>
      <c r="AR11" s="291"/>
      <c r="AS11" s="291"/>
    </row>
    <row r="12" spans="1:45" s="291" customFormat="1" x14ac:dyDescent="0.2">
      <c r="A12" s="423">
        <f t="shared" si="11"/>
        <v>7</v>
      </c>
      <c r="B12" s="721" t="s">
        <v>5390</v>
      </c>
      <c r="C12" s="655">
        <v>520223</v>
      </c>
      <c r="D12" s="658">
        <v>1796</v>
      </c>
      <c r="E12" s="655" t="s">
        <v>689</v>
      </c>
      <c r="F12" s="546">
        <v>2017</v>
      </c>
      <c r="G12" s="659">
        <v>42948</v>
      </c>
      <c r="H12" s="655" t="s">
        <v>747</v>
      </c>
      <c r="I12" s="655" t="s">
        <v>5641</v>
      </c>
      <c r="J12" s="712"/>
      <c r="K12" s="655" t="s">
        <v>830</v>
      </c>
      <c r="L12" s="655" t="s">
        <v>5890</v>
      </c>
      <c r="M12" s="660">
        <v>242062.14</v>
      </c>
      <c r="N12" s="660">
        <v>2420.62</v>
      </c>
      <c r="O12" s="660">
        <v>39117.24</v>
      </c>
      <c r="P12" s="660">
        <v>283600</v>
      </c>
      <c r="Q12" s="548"/>
      <c r="R12" s="660">
        <v>220610.22</v>
      </c>
      <c r="S12" s="549">
        <f t="shared" si="0"/>
        <v>62989.78</v>
      </c>
      <c r="T12" s="113" t="s">
        <v>131</v>
      </c>
      <c r="U12" s="626" t="str">
        <f t="shared" si="5"/>
        <v>AA11588</v>
      </c>
      <c r="V12" s="627" t="str">
        <f t="shared" si="6"/>
        <v>1574-TCN17</v>
      </c>
      <c r="W12" s="626">
        <f t="shared" si="7"/>
        <v>520223</v>
      </c>
      <c r="X12" s="626" t="str">
        <f t="shared" si="8"/>
        <v>COROLLA BASE AT</v>
      </c>
      <c r="Y12" s="627">
        <f t="shared" si="8"/>
        <v>2017</v>
      </c>
      <c r="Z12" s="628">
        <f t="shared" si="9"/>
        <v>242062.14</v>
      </c>
      <c r="AA12" s="629"/>
      <c r="AB12" s="664"/>
      <c r="AC12" s="629">
        <f t="shared" si="12"/>
        <v>0.01</v>
      </c>
      <c r="AD12" s="630">
        <f t="shared" si="13"/>
        <v>0.02</v>
      </c>
      <c r="AE12" s="629">
        <f t="shared" si="14"/>
        <v>0</v>
      </c>
      <c r="AF12" s="629">
        <f t="shared" si="15"/>
        <v>2420.6213000000002</v>
      </c>
      <c r="AG12" s="555">
        <f t="shared" si="10"/>
        <v>-1.3000000003557943E-3</v>
      </c>
      <c r="AH12" s="361"/>
      <c r="AI12" s="313"/>
      <c r="AK12" s="374"/>
      <c r="AL12" s="374"/>
      <c r="AM12" s="374"/>
    </row>
    <row r="13" spans="1:45" s="296" customFormat="1" x14ac:dyDescent="0.2">
      <c r="A13" s="423">
        <f t="shared" si="11"/>
        <v>8</v>
      </c>
      <c r="B13" s="721" t="s">
        <v>5391</v>
      </c>
      <c r="C13" s="655">
        <v>520223</v>
      </c>
      <c r="D13" s="658">
        <v>1796</v>
      </c>
      <c r="E13" s="655" t="s">
        <v>689</v>
      </c>
      <c r="F13" s="546">
        <v>2017</v>
      </c>
      <c r="G13" s="659">
        <v>42948</v>
      </c>
      <c r="H13" s="655" t="s">
        <v>747</v>
      </c>
      <c r="I13" s="655" t="s">
        <v>5642</v>
      </c>
      <c r="J13" s="712"/>
      <c r="K13" s="655" t="s">
        <v>830</v>
      </c>
      <c r="L13" s="655" t="s">
        <v>5891</v>
      </c>
      <c r="M13" s="660">
        <v>242062.14</v>
      </c>
      <c r="N13" s="660">
        <v>2420.62</v>
      </c>
      <c r="O13" s="660">
        <v>39117.24</v>
      </c>
      <c r="P13" s="660">
        <v>283600</v>
      </c>
      <c r="Q13" s="548"/>
      <c r="R13" s="660">
        <v>220610.22</v>
      </c>
      <c r="S13" s="549">
        <f t="shared" si="0"/>
        <v>62989.78</v>
      </c>
      <c r="T13" s="113" t="s">
        <v>131</v>
      </c>
      <c r="U13" s="626" t="str">
        <f t="shared" si="5"/>
        <v>AA11587</v>
      </c>
      <c r="V13" s="627" t="str">
        <f t="shared" si="6"/>
        <v>1575-TCN17</v>
      </c>
      <c r="W13" s="626">
        <f t="shared" si="7"/>
        <v>520223</v>
      </c>
      <c r="X13" s="626" t="str">
        <f t="shared" si="8"/>
        <v>COROLLA BASE AT</v>
      </c>
      <c r="Y13" s="627">
        <f t="shared" si="8"/>
        <v>2017</v>
      </c>
      <c r="Z13" s="628">
        <f t="shared" si="9"/>
        <v>242062.14</v>
      </c>
      <c r="AA13" s="629"/>
      <c r="AB13" s="664"/>
      <c r="AC13" s="629">
        <f t="shared" si="12"/>
        <v>0.01</v>
      </c>
      <c r="AD13" s="630">
        <f t="shared" si="13"/>
        <v>0.02</v>
      </c>
      <c r="AE13" s="629">
        <f t="shared" si="14"/>
        <v>0</v>
      </c>
      <c r="AF13" s="629">
        <f t="shared" si="15"/>
        <v>2420.6213000000002</v>
      </c>
      <c r="AG13" s="555">
        <f t="shared" si="10"/>
        <v>-1.3000000003557943E-3</v>
      </c>
      <c r="AH13" s="361"/>
      <c r="AI13" s="313"/>
      <c r="AJ13" s="291"/>
      <c r="AL13" s="374"/>
      <c r="AM13" s="374"/>
    </row>
    <row r="14" spans="1:45" s="291" customFormat="1" x14ac:dyDescent="0.2">
      <c r="A14" s="423">
        <f t="shared" si="11"/>
        <v>9</v>
      </c>
      <c r="B14" s="721" t="s">
        <v>5392</v>
      </c>
      <c r="C14" s="655">
        <v>520223</v>
      </c>
      <c r="D14" s="658">
        <v>1796</v>
      </c>
      <c r="E14" s="655" t="s">
        <v>689</v>
      </c>
      <c r="F14" s="546">
        <v>2017</v>
      </c>
      <c r="G14" s="659">
        <v>42948</v>
      </c>
      <c r="H14" s="655" t="s">
        <v>747</v>
      </c>
      <c r="I14" s="655" t="s">
        <v>5643</v>
      </c>
      <c r="J14" s="712"/>
      <c r="K14" s="655" t="s">
        <v>830</v>
      </c>
      <c r="L14" s="655" t="s">
        <v>5892</v>
      </c>
      <c r="M14" s="660">
        <v>242062.14</v>
      </c>
      <c r="N14" s="660">
        <v>2420.62</v>
      </c>
      <c r="O14" s="660">
        <v>39117.24</v>
      </c>
      <c r="P14" s="660">
        <v>283600</v>
      </c>
      <c r="Q14" s="548"/>
      <c r="R14" s="660">
        <v>220610.22</v>
      </c>
      <c r="S14" s="549">
        <f t="shared" si="0"/>
        <v>62989.78</v>
      </c>
      <c r="T14" s="113" t="s">
        <v>131</v>
      </c>
      <c r="U14" s="626" t="str">
        <f t="shared" si="5"/>
        <v>AA11586</v>
      </c>
      <c r="V14" s="627" t="str">
        <f t="shared" si="6"/>
        <v>1576-TCN17</v>
      </c>
      <c r="W14" s="626">
        <f t="shared" si="7"/>
        <v>520223</v>
      </c>
      <c r="X14" s="626" t="str">
        <f t="shared" si="8"/>
        <v>COROLLA BASE AT</v>
      </c>
      <c r="Y14" s="627">
        <f t="shared" si="8"/>
        <v>2017</v>
      </c>
      <c r="Z14" s="628">
        <f t="shared" si="9"/>
        <v>242062.14</v>
      </c>
      <c r="AA14" s="629"/>
      <c r="AB14" s="664"/>
      <c r="AC14" s="629">
        <f t="shared" si="12"/>
        <v>0.01</v>
      </c>
      <c r="AD14" s="630">
        <f t="shared" si="13"/>
        <v>0.02</v>
      </c>
      <c r="AE14" s="629">
        <f t="shared" si="14"/>
        <v>0</v>
      </c>
      <c r="AF14" s="629">
        <f t="shared" si="15"/>
        <v>2420.6213000000002</v>
      </c>
      <c r="AG14" s="555">
        <f t="shared" si="10"/>
        <v>-1.3000000003557943E-3</v>
      </c>
      <c r="AH14" s="361"/>
      <c r="AI14" s="313"/>
      <c r="AJ14" s="374"/>
      <c r="AK14" s="296"/>
      <c r="AL14" s="374"/>
      <c r="AM14" s="374"/>
    </row>
    <row r="15" spans="1:45" s="291" customFormat="1" x14ac:dyDescent="0.2">
      <c r="A15" s="423">
        <f t="shared" si="11"/>
        <v>10</v>
      </c>
      <c r="B15" s="721" t="s">
        <v>5393</v>
      </c>
      <c r="C15" s="655">
        <v>520223</v>
      </c>
      <c r="D15" s="658">
        <v>1796</v>
      </c>
      <c r="E15" s="655" t="s">
        <v>689</v>
      </c>
      <c r="F15" s="546">
        <v>2017</v>
      </c>
      <c r="G15" s="659">
        <v>42948</v>
      </c>
      <c r="H15" s="655" t="s">
        <v>747</v>
      </c>
      <c r="I15" s="655" t="s">
        <v>5644</v>
      </c>
      <c r="J15" s="712"/>
      <c r="K15" s="655" t="s">
        <v>830</v>
      </c>
      <c r="L15" s="655" t="s">
        <v>5893</v>
      </c>
      <c r="M15" s="660">
        <v>242062.14</v>
      </c>
      <c r="N15" s="660">
        <v>2420.62</v>
      </c>
      <c r="O15" s="660">
        <v>39117.24</v>
      </c>
      <c r="P15" s="660">
        <v>283600</v>
      </c>
      <c r="Q15" s="548"/>
      <c r="R15" s="660">
        <v>220610.22</v>
      </c>
      <c r="S15" s="549">
        <f t="shared" si="0"/>
        <v>62989.78</v>
      </c>
      <c r="T15" s="113" t="s">
        <v>131</v>
      </c>
      <c r="U15" s="626" t="str">
        <f t="shared" si="5"/>
        <v>AA11584</v>
      </c>
      <c r="V15" s="627" t="str">
        <f t="shared" si="6"/>
        <v>1577-TCN17</v>
      </c>
      <c r="W15" s="626">
        <f t="shared" si="7"/>
        <v>520223</v>
      </c>
      <c r="X15" s="626" t="str">
        <f t="shared" si="8"/>
        <v>COROLLA BASE AT</v>
      </c>
      <c r="Y15" s="627">
        <f t="shared" si="8"/>
        <v>2017</v>
      </c>
      <c r="Z15" s="628">
        <f t="shared" si="9"/>
        <v>242062.14</v>
      </c>
      <c r="AA15" s="629"/>
      <c r="AB15" s="664"/>
      <c r="AC15" s="629">
        <f t="shared" si="12"/>
        <v>0.01</v>
      </c>
      <c r="AD15" s="630">
        <f t="shared" si="13"/>
        <v>0.02</v>
      </c>
      <c r="AE15" s="629">
        <f t="shared" si="14"/>
        <v>0</v>
      </c>
      <c r="AF15" s="629">
        <f t="shared" si="15"/>
        <v>2420.6213000000002</v>
      </c>
      <c r="AG15" s="555">
        <f t="shared" si="10"/>
        <v>-1.3000000003557943E-3</v>
      </c>
      <c r="AH15" s="361"/>
      <c r="AI15" s="313"/>
      <c r="AK15" s="296"/>
      <c r="AL15" s="374"/>
      <c r="AM15" s="374"/>
    </row>
    <row r="16" spans="1:45" s="291" customFormat="1" x14ac:dyDescent="0.2">
      <c r="A16" s="423">
        <f t="shared" si="11"/>
        <v>11</v>
      </c>
      <c r="B16" s="721" t="s">
        <v>5394</v>
      </c>
      <c r="C16" s="655">
        <v>520223</v>
      </c>
      <c r="D16" s="658">
        <v>1796</v>
      </c>
      <c r="E16" s="655" t="s">
        <v>689</v>
      </c>
      <c r="F16" s="546">
        <v>2017</v>
      </c>
      <c r="G16" s="659">
        <v>42948</v>
      </c>
      <c r="H16" s="655" t="s">
        <v>747</v>
      </c>
      <c r="I16" s="655" t="s">
        <v>5645</v>
      </c>
      <c r="J16" s="712"/>
      <c r="K16" s="655" t="s">
        <v>830</v>
      </c>
      <c r="L16" s="655" t="s">
        <v>5894</v>
      </c>
      <c r="M16" s="660">
        <v>242062.14</v>
      </c>
      <c r="N16" s="660">
        <v>2420.62</v>
      </c>
      <c r="O16" s="660">
        <v>39117.24</v>
      </c>
      <c r="P16" s="660">
        <v>283600</v>
      </c>
      <c r="Q16" s="548"/>
      <c r="R16" s="660">
        <v>219912.8</v>
      </c>
      <c r="S16" s="549">
        <f t="shared" si="0"/>
        <v>63687.200000000012</v>
      </c>
      <c r="T16" s="267" t="s">
        <v>131</v>
      </c>
      <c r="U16" s="626" t="str">
        <f t="shared" si="5"/>
        <v>AA11590</v>
      </c>
      <c r="V16" s="627" t="str">
        <f t="shared" si="6"/>
        <v>1668-TCN17</v>
      </c>
      <c r="W16" s="626">
        <f t="shared" si="7"/>
        <v>520223</v>
      </c>
      <c r="X16" s="626" t="str">
        <f t="shared" si="8"/>
        <v>COROLLA BASE AT</v>
      </c>
      <c r="Y16" s="627">
        <f t="shared" si="8"/>
        <v>2017</v>
      </c>
      <c r="Z16" s="628">
        <f t="shared" si="9"/>
        <v>242062.14</v>
      </c>
      <c r="AA16" s="629">
        <f>+SUM(Z12:Z16)</f>
        <v>1210310.7000000002</v>
      </c>
      <c r="AB16" s="664">
        <v>5</v>
      </c>
      <c r="AC16" s="629">
        <f t="shared" si="12"/>
        <v>0.01</v>
      </c>
      <c r="AD16" s="630">
        <f t="shared" si="13"/>
        <v>0.02</v>
      </c>
      <c r="AE16" s="629">
        <f t="shared" si="14"/>
        <v>0</v>
      </c>
      <c r="AF16" s="629">
        <f t="shared" si="15"/>
        <v>2420.6213000000002</v>
      </c>
      <c r="AG16" s="555">
        <f t="shared" si="10"/>
        <v>-1.3000000003557943E-3</v>
      </c>
      <c r="AH16" s="361"/>
      <c r="AI16" s="313"/>
      <c r="AK16" s="374"/>
      <c r="AL16" s="374"/>
      <c r="AM16" s="374"/>
    </row>
    <row r="17" spans="1:45" s="348" customFormat="1" x14ac:dyDescent="0.2">
      <c r="A17" s="423">
        <f t="shared" si="11"/>
        <v>12</v>
      </c>
      <c r="B17" s="721" t="s">
        <v>5378</v>
      </c>
      <c r="C17" s="655">
        <v>520225</v>
      </c>
      <c r="D17" s="658">
        <v>1782</v>
      </c>
      <c r="E17" s="655" t="s">
        <v>691</v>
      </c>
      <c r="F17" s="546">
        <v>2017</v>
      </c>
      <c r="G17" s="659">
        <v>42978</v>
      </c>
      <c r="H17" s="655" t="s">
        <v>2213</v>
      </c>
      <c r="I17" s="655" t="s">
        <v>4788</v>
      </c>
      <c r="J17" s="712"/>
      <c r="K17" s="655" t="s">
        <v>5789</v>
      </c>
      <c r="L17" s="655" t="s">
        <v>5266</v>
      </c>
      <c r="M17" s="660">
        <v>284850.98</v>
      </c>
      <c r="N17" s="660">
        <v>3424.88</v>
      </c>
      <c r="O17" s="660">
        <v>46124.14</v>
      </c>
      <c r="P17" s="660">
        <v>334400</v>
      </c>
      <c r="Q17" s="548"/>
      <c r="R17" s="660">
        <v>253141.85</v>
      </c>
      <c r="S17" s="549">
        <f t="shared" si="0"/>
        <v>81258.149999999994</v>
      </c>
      <c r="T17" s="444" t="s">
        <v>131</v>
      </c>
      <c r="U17" s="626" t="str">
        <f t="shared" si="5"/>
        <v>AA11791</v>
      </c>
      <c r="V17" s="627" t="str">
        <f t="shared" si="6"/>
        <v>0724-TCN17</v>
      </c>
      <c r="W17" s="626">
        <f t="shared" si="7"/>
        <v>520225</v>
      </c>
      <c r="X17" s="626" t="str">
        <f t="shared" si="8"/>
        <v>COROLLA SE CVT</v>
      </c>
      <c r="Y17" s="627">
        <f t="shared" si="8"/>
        <v>2017</v>
      </c>
      <c r="Z17" s="628">
        <f t="shared" si="9"/>
        <v>284850.98</v>
      </c>
      <c r="AA17" s="629">
        <f>+Z17</f>
        <v>284850.98</v>
      </c>
      <c r="AB17" s="664">
        <v>1</v>
      </c>
      <c r="AC17" s="629">
        <f t="shared" ref="AC17" si="16">VLOOKUP(Z17,TARIFA,1)</f>
        <v>246423.66</v>
      </c>
      <c r="AD17" s="630">
        <f t="shared" ref="AD17" si="17">VLOOKUP(Z17,TARIFA,4)</f>
        <v>0.05</v>
      </c>
      <c r="AE17" s="629">
        <f t="shared" ref="AE17" si="18">VLOOKUP(Z17,TARIFA,3)</f>
        <v>4928.3900000000003</v>
      </c>
      <c r="AF17" s="629">
        <f>+N17</f>
        <v>3424.88</v>
      </c>
      <c r="AG17" s="555">
        <f t="shared" si="10"/>
        <v>0</v>
      </c>
      <c r="AH17" s="361"/>
      <c r="AI17" s="364"/>
      <c r="AK17" s="330"/>
      <c r="AL17" s="330"/>
      <c r="AM17" s="330"/>
      <c r="AN17" s="353"/>
    </row>
    <row r="18" spans="1:45" s="291" customFormat="1" x14ac:dyDescent="0.2">
      <c r="A18" s="423">
        <f t="shared" si="11"/>
        <v>13</v>
      </c>
      <c r="B18" s="721" t="s">
        <v>5379</v>
      </c>
      <c r="C18" s="655">
        <v>520226</v>
      </c>
      <c r="D18" s="658">
        <v>1783</v>
      </c>
      <c r="E18" s="655" t="s">
        <v>692</v>
      </c>
      <c r="F18" s="546">
        <v>2017</v>
      </c>
      <c r="G18" s="659">
        <v>42954</v>
      </c>
      <c r="H18" s="655" t="s">
        <v>727</v>
      </c>
      <c r="I18" s="655" t="s">
        <v>5638</v>
      </c>
      <c r="J18" s="712"/>
      <c r="K18" s="655" t="s">
        <v>5790</v>
      </c>
      <c r="L18" s="655" t="s">
        <v>5887</v>
      </c>
      <c r="M18" s="660">
        <v>297356.26</v>
      </c>
      <c r="N18" s="660">
        <v>7557.53</v>
      </c>
      <c r="O18" s="660">
        <v>48786.21</v>
      </c>
      <c r="P18" s="660">
        <v>353700</v>
      </c>
      <c r="Q18" s="548"/>
      <c r="R18" s="660">
        <v>275292.3</v>
      </c>
      <c r="S18" s="549">
        <f t="shared" si="0"/>
        <v>78407.700000000012</v>
      </c>
      <c r="T18" s="267" t="s">
        <v>131</v>
      </c>
      <c r="U18" s="626" t="str">
        <f t="shared" si="5"/>
        <v>AA11625</v>
      </c>
      <c r="V18" s="627" t="str">
        <f t="shared" si="6"/>
        <v>1678-TCN17</v>
      </c>
      <c r="W18" s="626">
        <f t="shared" si="7"/>
        <v>520226</v>
      </c>
      <c r="X18" s="626" t="str">
        <f t="shared" si="8"/>
        <v>COROLLA SE  PLUS  AT</v>
      </c>
      <c r="Y18" s="627">
        <f t="shared" si="8"/>
        <v>2017</v>
      </c>
      <c r="Z18" s="628">
        <f t="shared" si="9"/>
        <v>297356.26</v>
      </c>
      <c r="AA18" s="629"/>
      <c r="AB18" s="664"/>
      <c r="AC18" s="629">
        <f t="shared" ref="AC18:AC20" si="19">VLOOKUP(Z18,TARIFA,1)</f>
        <v>295708.34000000003</v>
      </c>
      <c r="AD18" s="630">
        <f t="shared" ref="AD18:AD20" si="20">VLOOKUP(Z18,TARIFA,4)</f>
        <v>0.1</v>
      </c>
      <c r="AE18" s="629">
        <f t="shared" ref="AE18:AE20" si="21">VLOOKUP(Z18,TARIFA,3)</f>
        <v>7392.74</v>
      </c>
      <c r="AF18" s="629">
        <f t="shared" ref="AF18:AF20" si="22">IF(Z18&lt;281240.78,(((Z18-AC18)*AD18+AE18)/2),(Z18-AC18)*AD18+AE18)</f>
        <v>7557.5319999999983</v>
      </c>
      <c r="AG18" s="555">
        <f t="shared" si="10"/>
        <v>-1.9999999985884642E-3</v>
      </c>
      <c r="AH18" s="361"/>
      <c r="AI18" s="361"/>
      <c r="AK18" s="374"/>
      <c r="AL18" s="374"/>
      <c r="AM18" s="374"/>
      <c r="AN18" s="296"/>
    </row>
    <row r="19" spans="1:45" s="291" customFormat="1" x14ac:dyDescent="0.2">
      <c r="A19" s="423">
        <f t="shared" si="11"/>
        <v>14</v>
      </c>
      <c r="B19" s="721" t="s">
        <v>5387</v>
      </c>
      <c r="C19" s="655">
        <v>520226</v>
      </c>
      <c r="D19" s="658">
        <v>1783</v>
      </c>
      <c r="E19" s="655" t="s">
        <v>692</v>
      </c>
      <c r="F19" s="546">
        <v>2017</v>
      </c>
      <c r="G19" s="659">
        <v>42975</v>
      </c>
      <c r="H19" s="655" t="s">
        <v>2213</v>
      </c>
      <c r="I19" s="655" t="s">
        <v>5639</v>
      </c>
      <c r="J19" s="712"/>
      <c r="K19" s="655" t="s">
        <v>5792</v>
      </c>
      <c r="L19" s="655" t="s">
        <v>5888</v>
      </c>
      <c r="M19" s="660">
        <v>297356.26</v>
      </c>
      <c r="N19" s="660">
        <v>7557.53</v>
      </c>
      <c r="O19" s="660">
        <v>48786.21</v>
      </c>
      <c r="P19" s="660">
        <v>353700</v>
      </c>
      <c r="Q19" s="548"/>
      <c r="R19" s="660">
        <v>275292.3</v>
      </c>
      <c r="S19" s="549">
        <f t="shared" si="0"/>
        <v>78407.700000000012</v>
      </c>
      <c r="T19" s="113" t="s">
        <v>131</v>
      </c>
      <c r="U19" s="626" t="str">
        <f t="shared" si="5"/>
        <v>AA11740</v>
      </c>
      <c r="V19" s="627" t="str">
        <f t="shared" si="6"/>
        <v>1706-TCN17</v>
      </c>
      <c r="W19" s="626">
        <f t="shared" si="7"/>
        <v>520226</v>
      </c>
      <c r="X19" s="626" t="str">
        <f t="shared" si="8"/>
        <v>COROLLA SE  PLUS  AT</v>
      </c>
      <c r="Y19" s="627">
        <f t="shared" si="8"/>
        <v>2017</v>
      </c>
      <c r="Z19" s="628">
        <f t="shared" si="9"/>
        <v>297356.26</v>
      </c>
      <c r="AA19" s="629">
        <f>+Z19+Z18</f>
        <v>594712.52</v>
      </c>
      <c r="AB19" s="664">
        <v>2</v>
      </c>
      <c r="AC19" s="629">
        <f t="shared" si="19"/>
        <v>295708.34000000003</v>
      </c>
      <c r="AD19" s="630">
        <f t="shared" si="20"/>
        <v>0.1</v>
      </c>
      <c r="AE19" s="629">
        <f t="shared" si="21"/>
        <v>7392.74</v>
      </c>
      <c r="AF19" s="629">
        <f t="shared" si="22"/>
        <v>7557.5319999999983</v>
      </c>
      <c r="AG19" s="555">
        <f t="shared" si="10"/>
        <v>-1.9999999985884642E-3</v>
      </c>
      <c r="AH19" s="361"/>
      <c r="AI19" s="313"/>
      <c r="AK19" s="296"/>
      <c r="AL19" s="374"/>
      <c r="AM19" s="374"/>
      <c r="AN19" s="296"/>
    </row>
    <row r="20" spans="1:45" s="291" customFormat="1" x14ac:dyDescent="0.2">
      <c r="A20" s="423">
        <f t="shared" si="11"/>
        <v>15</v>
      </c>
      <c r="B20" s="721" t="s">
        <v>5510</v>
      </c>
      <c r="C20" s="655">
        <v>520513</v>
      </c>
      <c r="D20" s="658">
        <v>5396</v>
      </c>
      <c r="E20" s="655" t="s">
        <v>132</v>
      </c>
      <c r="F20" s="546">
        <v>2017</v>
      </c>
      <c r="G20" s="659">
        <v>42952</v>
      </c>
      <c r="H20" s="655" t="s">
        <v>5622</v>
      </c>
      <c r="I20" s="655" t="s">
        <v>5714</v>
      </c>
      <c r="J20" s="712"/>
      <c r="K20" s="655" t="s">
        <v>5830</v>
      </c>
      <c r="L20" s="655" t="s">
        <v>5963</v>
      </c>
      <c r="M20" s="660">
        <v>481083.78</v>
      </c>
      <c r="N20" s="660">
        <v>33485.19</v>
      </c>
      <c r="O20" s="660">
        <v>82331.03</v>
      </c>
      <c r="P20" s="660">
        <v>596900</v>
      </c>
      <c r="Q20" s="548"/>
      <c r="R20" s="660">
        <v>426221.11</v>
      </c>
      <c r="S20" s="549">
        <f t="shared" si="0"/>
        <v>170678.89</v>
      </c>
      <c r="T20" s="267" t="s">
        <v>131</v>
      </c>
      <c r="U20" s="626" t="str">
        <f t="shared" si="5"/>
        <v>AA11619</v>
      </c>
      <c r="V20" s="627" t="str">
        <f t="shared" si="6"/>
        <v>1635-TCN17</v>
      </c>
      <c r="W20" s="626">
        <f t="shared" si="7"/>
        <v>520513</v>
      </c>
      <c r="X20" s="626" t="str">
        <f t="shared" si="8"/>
        <v>SIENNA XLE</v>
      </c>
      <c r="Y20" s="627">
        <f t="shared" si="8"/>
        <v>2017</v>
      </c>
      <c r="Z20" s="628">
        <f t="shared" si="9"/>
        <v>481083.78</v>
      </c>
      <c r="AA20" s="629"/>
      <c r="AB20" s="664"/>
      <c r="AC20" s="629">
        <f t="shared" si="19"/>
        <v>443562.4</v>
      </c>
      <c r="AD20" s="630">
        <f t="shared" si="20"/>
        <v>0.17</v>
      </c>
      <c r="AE20" s="629">
        <f t="shared" si="21"/>
        <v>27106.55</v>
      </c>
      <c r="AF20" s="629">
        <f t="shared" si="22"/>
        <v>33485.184600000001</v>
      </c>
      <c r="AG20" s="555">
        <f t="shared" si="10"/>
        <v>5.4000000018277206E-3</v>
      </c>
      <c r="AH20" s="361"/>
      <c r="AI20" s="313"/>
      <c r="AK20" s="296"/>
      <c r="AL20" s="374"/>
      <c r="AM20" s="374"/>
    </row>
    <row r="21" spans="1:45" s="291" customFormat="1" x14ac:dyDescent="0.2">
      <c r="A21" s="423">
        <f t="shared" si="11"/>
        <v>16</v>
      </c>
      <c r="B21" s="721" t="s">
        <v>5513</v>
      </c>
      <c r="C21" s="655">
        <v>520513</v>
      </c>
      <c r="D21" s="658">
        <v>5396</v>
      </c>
      <c r="E21" s="655" t="s">
        <v>132</v>
      </c>
      <c r="F21" s="546">
        <v>2017</v>
      </c>
      <c r="G21" s="659">
        <v>42954</v>
      </c>
      <c r="H21" s="655" t="s">
        <v>739</v>
      </c>
      <c r="I21" s="655" t="s">
        <v>5716</v>
      </c>
      <c r="J21" s="712"/>
      <c r="K21" s="655" t="s">
        <v>1705</v>
      </c>
      <c r="L21" s="655" t="s">
        <v>5965</v>
      </c>
      <c r="M21" s="660">
        <v>481083.78</v>
      </c>
      <c r="N21" s="660">
        <v>33485.19</v>
      </c>
      <c r="O21" s="660">
        <v>82331.03</v>
      </c>
      <c r="P21" s="660">
        <v>596900</v>
      </c>
      <c r="Q21" s="548"/>
      <c r="R21" s="660">
        <v>425866.63</v>
      </c>
      <c r="S21" s="549">
        <f t="shared" si="0"/>
        <v>171033.37</v>
      </c>
      <c r="T21" s="267" t="s">
        <v>131</v>
      </c>
      <c r="U21" s="626" t="str">
        <f t="shared" si="5"/>
        <v>AA11622</v>
      </c>
      <c r="V21" s="627" t="str">
        <f t="shared" si="6"/>
        <v>1654-TCN17</v>
      </c>
      <c r="W21" s="626">
        <f t="shared" si="7"/>
        <v>520513</v>
      </c>
      <c r="X21" s="626" t="str">
        <f t="shared" si="8"/>
        <v>SIENNA XLE</v>
      </c>
      <c r="Y21" s="627">
        <f t="shared" si="8"/>
        <v>2017</v>
      </c>
      <c r="Z21" s="628">
        <f t="shared" si="9"/>
        <v>481083.78</v>
      </c>
      <c r="AA21" s="629"/>
      <c r="AB21" s="664"/>
      <c r="AC21" s="629">
        <f t="shared" si="1"/>
        <v>443562.4</v>
      </c>
      <c r="AD21" s="630">
        <f t="shared" si="2"/>
        <v>0.17</v>
      </c>
      <c r="AE21" s="629">
        <f t="shared" si="3"/>
        <v>27106.55</v>
      </c>
      <c r="AF21" s="629">
        <f t="shared" si="4"/>
        <v>33485.184600000001</v>
      </c>
      <c r="AG21" s="555">
        <f t="shared" si="10"/>
        <v>5.4000000018277206E-3</v>
      </c>
      <c r="AH21" s="361"/>
      <c r="AI21" s="313"/>
      <c r="AK21" s="296"/>
      <c r="AL21" s="374"/>
      <c r="AM21" s="374"/>
    </row>
    <row r="22" spans="1:45" s="348" customFormat="1" x14ac:dyDescent="0.2">
      <c r="A22" s="423">
        <f t="shared" si="11"/>
        <v>17</v>
      </c>
      <c r="B22" s="721" t="s">
        <v>5514</v>
      </c>
      <c r="C22" s="655">
        <v>520513</v>
      </c>
      <c r="D22" s="658">
        <v>5396</v>
      </c>
      <c r="E22" s="655" t="s">
        <v>132</v>
      </c>
      <c r="F22" s="546">
        <v>2017</v>
      </c>
      <c r="G22" s="659">
        <v>42972</v>
      </c>
      <c r="H22" s="655" t="s">
        <v>739</v>
      </c>
      <c r="I22" s="655" t="s">
        <v>5717</v>
      </c>
      <c r="J22" s="712"/>
      <c r="K22" s="655" t="s">
        <v>5831</v>
      </c>
      <c r="L22" s="655" t="s">
        <v>5966</v>
      </c>
      <c r="M22" s="660">
        <v>481083.78</v>
      </c>
      <c r="N22" s="660">
        <v>33485.19</v>
      </c>
      <c r="O22" s="660">
        <v>82331.03</v>
      </c>
      <c r="P22" s="660">
        <v>596900</v>
      </c>
      <c r="Q22" s="548"/>
      <c r="R22" s="660">
        <v>425866.63</v>
      </c>
      <c r="S22" s="549">
        <f t="shared" si="0"/>
        <v>171033.37</v>
      </c>
      <c r="T22" s="113" t="s">
        <v>131</v>
      </c>
      <c r="U22" s="626" t="str">
        <f t="shared" si="5"/>
        <v>AA11732</v>
      </c>
      <c r="V22" s="627" t="str">
        <f t="shared" si="6"/>
        <v>1733-TCN17</v>
      </c>
      <c r="W22" s="626">
        <f t="shared" si="7"/>
        <v>520513</v>
      </c>
      <c r="X22" s="626" t="str">
        <f t="shared" si="8"/>
        <v>SIENNA XLE</v>
      </c>
      <c r="Y22" s="627">
        <f t="shared" si="8"/>
        <v>2017</v>
      </c>
      <c r="Z22" s="628">
        <f t="shared" si="9"/>
        <v>481083.78</v>
      </c>
      <c r="AA22" s="629">
        <f>+Z22+Z21+Z20</f>
        <v>1443251.34</v>
      </c>
      <c r="AB22" s="664">
        <v>3</v>
      </c>
      <c r="AC22" s="629">
        <f t="shared" si="1"/>
        <v>443562.4</v>
      </c>
      <c r="AD22" s="630">
        <f t="shared" si="2"/>
        <v>0.17</v>
      </c>
      <c r="AE22" s="629">
        <f t="shared" si="3"/>
        <v>27106.55</v>
      </c>
      <c r="AF22" s="629">
        <f>IF(Z22&lt;281240.78,(((Z22-AC22)*AD22+AE22)/2),(Z22-AC22)*AD22+AE22)</f>
        <v>33485.184600000001</v>
      </c>
      <c r="AG22" s="555">
        <f t="shared" si="10"/>
        <v>5.4000000018277206E-3</v>
      </c>
      <c r="AH22" s="361"/>
      <c r="AI22" s="313"/>
      <c r="AJ22" s="291"/>
      <c r="AK22" s="296"/>
      <c r="AL22" s="374"/>
      <c r="AM22" s="374"/>
      <c r="AN22" s="291"/>
      <c r="AO22" s="291"/>
      <c r="AP22" s="291"/>
      <c r="AQ22" s="291"/>
      <c r="AR22" s="291"/>
      <c r="AS22" s="291"/>
    </row>
    <row r="23" spans="1:45" s="348" customFormat="1" x14ac:dyDescent="0.2">
      <c r="A23" s="423">
        <f t="shared" si="11"/>
        <v>18</v>
      </c>
      <c r="B23" s="721" t="s">
        <v>5517</v>
      </c>
      <c r="C23" s="655">
        <v>520514</v>
      </c>
      <c r="D23" s="658">
        <v>5398</v>
      </c>
      <c r="E23" s="655" t="s">
        <v>117</v>
      </c>
      <c r="F23" s="546">
        <v>2017</v>
      </c>
      <c r="G23" s="659">
        <v>42950</v>
      </c>
      <c r="H23" s="655" t="s">
        <v>727</v>
      </c>
      <c r="I23" s="655" t="s">
        <v>3034</v>
      </c>
      <c r="J23" s="712"/>
      <c r="K23" s="655" t="s">
        <v>5832</v>
      </c>
      <c r="L23" s="655" t="s">
        <v>3300</v>
      </c>
      <c r="M23" s="660">
        <v>527208.15</v>
      </c>
      <c r="N23" s="660">
        <v>41326.33</v>
      </c>
      <c r="O23" s="660">
        <v>90965.52</v>
      </c>
      <c r="P23" s="660">
        <v>659500</v>
      </c>
      <c r="Q23" s="548"/>
      <c r="R23" s="660">
        <v>456016.94</v>
      </c>
      <c r="S23" s="549">
        <f t="shared" si="0"/>
        <v>203483.06</v>
      </c>
      <c r="T23" s="113" t="s">
        <v>131</v>
      </c>
      <c r="U23" s="626" t="str">
        <f t="shared" si="5"/>
        <v>AA11614</v>
      </c>
      <c r="V23" s="627" t="str">
        <f t="shared" si="6"/>
        <v>1147-TCN17</v>
      </c>
      <c r="W23" s="626">
        <f t="shared" si="7"/>
        <v>520514</v>
      </c>
      <c r="X23" s="626" t="str">
        <f t="shared" si="8"/>
        <v>SIENNA XLE PIEL</v>
      </c>
      <c r="Y23" s="627">
        <f t="shared" si="8"/>
        <v>2017</v>
      </c>
      <c r="Z23" s="628">
        <f t="shared" si="9"/>
        <v>527208.15</v>
      </c>
      <c r="AA23" s="629">
        <f>+Z23</f>
        <v>527208.15</v>
      </c>
      <c r="AB23" s="664">
        <v>1</v>
      </c>
      <c r="AC23" s="629">
        <f t="shared" si="1"/>
        <v>443562.4</v>
      </c>
      <c r="AD23" s="630">
        <f t="shared" si="2"/>
        <v>0.17</v>
      </c>
      <c r="AE23" s="629">
        <f t="shared" si="3"/>
        <v>27106.55</v>
      </c>
      <c r="AF23" s="629">
        <f>IF(Z23&lt;281240.78,(((Z23-AC23)*AD23+AE23)/2),(Z23-AC23)*AD23+AE23)</f>
        <v>41326.327499999999</v>
      </c>
      <c r="AG23" s="555">
        <f t="shared" si="10"/>
        <v>2.5000000023283064E-3</v>
      </c>
      <c r="AH23" s="361"/>
      <c r="AI23" s="363"/>
      <c r="AK23" s="353"/>
      <c r="AL23" s="330"/>
      <c r="AM23" s="330"/>
    </row>
    <row r="24" spans="1:45" s="348" customFormat="1" x14ac:dyDescent="0.2">
      <c r="A24" s="423">
        <f t="shared" si="11"/>
        <v>19</v>
      </c>
      <c r="B24" s="721" t="s">
        <v>5485</v>
      </c>
      <c r="C24" s="655">
        <v>520814</v>
      </c>
      <c r="D24" s="658">
        <v>4493</v>
      </c>
      <c r="E24" s="655" t="s">
        <v>693</v>
      </c>
      <c r="F24" s="546">
        <v>2017</v>
      </c>
      <c r="G24" s="659">
        <v>42958</v>
      </c>
      <c r="H24" s="655" t="s">
        <v>739</v>
      </c>
      <c r="I24" s="655" t="s">
        <v>5704</v>
      </c>
      <c r="J24" s="712"/>
      <c r="K24" s="655" t="s">
        <v>741</v>
      </c>
      <c r="L24" s="655" t="s">
        <v>5953</v>
      </c>
      <c r="M24" s="660">
        <v>315616.45</v>
      </c>
      <c r="N24" s="660">
        <v>9383.5499999999993</v>
      </c>
      <c r="O24" s="660">
        <v>52000</v>
      </c>
      <c r="P24" s="660">
        <v>377000</v>
      </c>
      <c r="Q24" s="548"/>
      <c r="R24" s="660">
        <v>277001.46999999997</v>
      </c>
      <c r="S24" s="549">
        <f t="shared" si="0"/>
        <v>99998.530000000028</v>
      </c>
      <c r="T24" s="267" t="s">
        <v>131</v>
      </c>
      <c r="U24" s="626" t="str">
        <f t="shared" si="5"/>
        <v>AA11654</v>
      </c>
      <c r="V24" s="627" t="str">
        <f t="shared" si="6"/>
        <v>1675-TCN17</v>
      </c>
      <c r="W24" s="626">
        <f t="shared" si="7"/>
        <v>520814</v>
      </c>
      <c r="X24" s="626" t="str">
        <f t="shared" si="8"/>
        <v>RAV4 4X2  SUV  LE</v>
      </c>
      <c r="Y24" s="627">
        <f t="shared" si="8"/>
        <v>2017</v>
      </c>
      <c r="Z24" s="628">
        <f t="shared" si="9"/>
        <v>315616.45</v>
      </c>
      <c r="AA24" s="629"/>
      <c r="AB24" s="664"/>
      <c r="AC24" s="629">
        <f t="shared" si="1"/>
        <v>295708.34000000003</v>
      </c>
      <c r="AD24" s="630">
        <f t="shared" si="2"/>
        <v>0.1</v>
      </c>
      <c r="AE24" s="629">
        <f t="shared" si="3"/>
        <v>7392.74</v>
      </c>
      <c r="AF24" s="629">
        <f t="shared" si="4"/>
        <v>9383.5509999999995</v>
      </c>
      <c r="AG24" s="555">
        <f t="shared" si="10"/>
        <v>-1.0000000002037268E-3</v>
      </c>
      <c r="AH24" s="361"/>
      <c r="AI24" s="363"/>
      <c r="AK24" s="353"/>
      <c r="AL24" s="330"/>
      <c r="AM24" s="330"/>
    </row>
    <row r="25" spans="1:45" s="348" customFormat="1" x14ac:dyDescent="0.2">
      <c r="A25" s="423">
        <f t="shared" si="11"/>
        <v>20</v>
      </c>
      <c r="B25" s="721" t="s">
        <v>5489</v>
      </c>
      <c r="C25" s="655">
        <v>520814</v>
      </c>
      <c r="D25" s="658">
        <v>4493</v>
      </c>
      <c r="E25" s="655" t="s">
        <v>693</v>
      </c>
      <c r="F25" s="546">
        <v>2017</v>
      </c>
      <c r="G25" s="659">
        <v>42970</v>
      </c>
      <c r="H25" s="655" t="s">
        <v>5129</v>
      </c>
      <c r="I25" s="655" t="s">
        <v>5706</v>
      </c>
      <c r="J25" s="712"/>
      <c r="K25" s="655" t="s">
        <v>5826</v>
      </c>
      <c r="L25" s="655" t="s">
        <v>5955</v>
      </c>
      <c r="M25" s="660">
        <v>315616.45</v>
      </c>
      <c r="N25" s="660">
        <v>9383.5499999999993</v>
      </c>
      <c r="O25" s="660">
        <v>52000</v>
      </c>
      <c r="P25" s="660">
        <v>377000</v>
      </c>
      <c r="Q25" s="548"/>
      <c r="R25" s="660">
        <v>277001.46999999997</v>
      </c>
      <c r="S25" s="549">
        <f t="shared" si="0"/>
        <v>99998.530000000028</v>
      </c>
      <c r="T25" s="113" t="s">
        <v>131</v>
      </c>
      <c r="U25" s="626" t="str">
        <f t="shared" si="5"/>
        <v>AA11716</v>
      </c>
      <c r="V25" s="627" t="str">
        <f t="shared" si="6"/>
        <v>1683-TCN17</v>
      </c>
      <c r="W25" s="626">
        <f t="shared" si="7"/>
        <v>520814</v>
      </c>
      <c r="X25" s="626" t="str">
        <f t="shared" si="8"/>
        <v>RAV4 4X2  SUV  LE</v>
      </c>
      <c r="Y25" s="627">
        <f t="shared" si="8"/>
        <v>2017</v>
      </c>
      <c r="Z25" s="628">
        <f t="shared" si="9"/>
        <v>315616.45</v>
      </c>
      <c r="AA25" s="629">
        <f>+Z25+Z24</f>
        <v>631232.9</v>
      </c>
      <c r="AB25" s="664">
        <v>2</v>
      </c>
      <c r="AC25" s="629">
        <f>VLOOKUP(Z25,TARIFA,1)</f>
        <v>295708.34000000003</v>
      </c>
      <c r="AD25" s="630">
        <f>VLOOKUP(Z25,TARIFA,4)</f>
        <v>0.1</v>
      </c>
      <c r="AE25" s="629">
        <f>VLOOKUP(Z25,TARIFA,3)</f>
        <v>7392.74</v>
      </c>
      <c r="AF25" s="629">
        <f>IF(Z25&lt;281240.78,(((Z25-AC25)*AD25+AE25)/2),(Z25-AC25)*AD25+AE25)</f>
        <v>9383.5509999999995</v>
      </c>
      <c r="AG25" s="555">
        <f>+N25-AF25</f>
        <v>-1.0000000002037268E-3</v>
      </c>
      <c r="AH25" s="361"/>
      <c r="AI25" s="313"/>
      <c r="AJ25" s="291"/>
      <c r="AK25" s="296"/>
      <c r="AL25" s="374"/>
      <c r="AM25" s="374"/>
      <c r="AN25" s="291"/>
      <c r="AO25" s="291"/>
      <c r="AP25" s="291"/>
      <c r="AQ25" s="291"/>
      <c r="AR25" s="291"/>
      <c r="AS25" s="291"/>
    </row>
    <row r="26" spans="1:45" s="291" customFormat="1" x14ac:dyDescent="0.2">
      <c r="A26" s="423">
        <f t="shared" si="11"/>
        <v>21</v>
      </c>
      <c r="B26" s="721" t="s">
        <v>5483</v>
      </c>
      <c r="C26" s="655">
        <v>520815</v>
      </c>
      <c r="D26" s="658">
        <v>4492</v>
      </c>
      <c r="E26" s="655" t="s">
        <v>694</v>
      </c>
      <c r="F26" s="546">
        <v>2017</v>
      </c>
      <c r="G26" s="659">
        <v>42969</v>
      </c>
      <c r="H26" s="655" t="s">
        <v>722</v>
      </c>
      <c r="I26" s="655" t="s">
        <v>5702</v>
      </c>
      <c r="J26" s="712"/>
      <c r="K26" s="655" t="s">
        <v>5825</v>
      </c>
      <c r="L26" s="655" t="s">
        <v>5951</v>
      </c>
      <c r="M26" s="660">
        <v>352051.14</v>
      </c>
      <c r="N26" s="660">
        <v>13379.89</v>
      </c>
      <c r="O26" s="660">
        <v>58468.97</v>
      </c>
      <c r="P26" s="660">
        <v>423900</v>
      </c>
      <c r="Q26" s="548"/>
      <c r="R26" s="660">
        <v>311605.18</v>
      </c>
      <c r="S26" s="549">
        <f t="shared" si="0"/>
        <v>112294.82</v>
      </c>
      <c r="T26" s="267" t="s">
        <v>131</v>
      </c>
      <c r="U26" s="626" t="str">
        <f t="shared" si="5"/>
        <v>AA11710</v>
      </c>
      <c r="V26" s="627" t="str">
        <f t="shared" si="6"/>
        <v>1638-TCN17</v>
      </c>
      <c r="W26" s="626">
        <f t="shared" si="7"/>
        <v>520815</v>
      </c>
      <c r="X26" s="626" t="str">
        <f t="shared" si="8"/>
        <v>RAV4 L4 AWD XLE</v>
      </c>
      <c r="Y26" s="627">
        <f t="shared" si="8"/>
        <v>2017</v>
      </c>
      <c r="Z26" s="628">
        <f t="shared" si="9"/>
        <v>352051.14</v>
      </c>
      <c r="AA26" s="629">
        <f>+Z26</f>
        <v>352051.14</v>
      </c>
      <c r="AB26" s="664">
        <v>1</v>
      </c>
      <c r="AC26" s="629">
        <f t="shared" ref="AC26:AC28" si="23">VLOOKUP(Z26,TARIFA,1)</f>
        <v>344993.21</v>
      </c>
      <c r="AD26" s="630">
        <f t="shared" ref="AD26:AD28" si="24">VLOOKUP(Z26,TARIFA,4)</f>
        <v>0.15</v>
      </c>
      <c r="AE26" s="629">
        <f t="shared" ref="AE26:AE28" si="25">VLOOKUP(Z26,TARIFA,3)</f>
        <v>12321.2</v>
      </c>
      <c r="AF26" s="629">
        <f t="shared" ref="AF26:AF28" si="26">IF(Z26&lt;281240.78,(((Z26-AC26)*AD26+AE26)/2),(Z26-AC26)*AD26+AE26)</f>
        <v>13379.889499999999</v>
      </c>
      <c r="AG26" s="555">
        <f t="shared" ref="AG26:AG29" si="27">+N26-AF26</f>
        <v>5.0000000010186341E-4</v>
      </c>
      <c r="AH26" s="361"/>
      <c r="AI26" s="313"/>
      <c r="AK26" s="296"/>
      <c r="AL26" s="374"/>
      <c r="AM26" s="374"/>
    </row>
    <row r="27" spans="1:45" s="348" customFormat="1" x14ac:dyDescent="0.2">
      <c r="A27" s="423">
        <f t="shared" si="11"/>
        <v>22</v>
      </c>
      <c r="B27" s="721" t="s">
        <v>5497</v>
      </c>
      <c r="C27" s="655">
        <v>520818</v>
      </c>
      <c r="D27" s="658">
        <v>4495</v>
      </c>
      <c r="E27" s="655" t="s">
        <v>1519</v>
      </c>
      <c r="F27" s="546">
        <v>2017</v>
      </c>
      <c r="G27" s="659">
        <v>42959</v>
      </c>
      <c r="H27" s="655" t="s">
        <v>751</v>
      </c>
      <c r="I27" s="655" t="s">
        <v>5709</v>
      </c>
      <c r="J27" s="712"/>
      <c r="K27" s="655" t="s">
        <v>5827</v>
      </c>
      <c r="L27" s="655" t="s">
        <v>5958</v>
      </c>
      <c r="M27" s="660">
        <v>373865.24</v>
      </c>
      <c r="N27" s="660">
        <v>16652</v>
      </c>
      <c r="O27" s="660">
        <v>62482.76</v>
      </c>
      <c r="P27" s="660">
        <v>453000</v>
      </c>
      <c r="Q27" s="548"/>
      <c r="R27" s="660">
        <v>366742.27</v>
      </c>
      <c r="S27" s="549">
        <f t="shared" si="0"/>
        <v>86257.729999999981</v>
      </c>
      <c r="T27" s="113" t="s">
        <v>131</v>
      </c>
      <c r="U27" s="626" t="str">
        <f t="shared" si="5"/>
        <v>AA11657</v>
      </c>
      <c r="V27" s="627" t="str">
        <f t="shared" si="6"/>
        <v>1629-TCN17</v>
      </c>
      <c r="W27" s="626">
        <f t="shared" si="7"/>
        <v>520818</v>
      </c>
      <c r="X27" s="626" t="str">
        <f t="shared" si="8"/>
        <v>RAV4 SE 4WD 2.5L</v>
      </c>
      <c r="Y27" s="627">
        <f t="shared" si="8"/>
        <v>2017</v>
      </c>
      <c r="Z27" s="628">
        <f t="shared" si="9"/>
        <v>373865.24</v>
      </c>
      <c r="AA27" s="629"/>
      <c r="AB27" s="664"/>
      <c r="AC27" s="629">
        <f t="shared" si="23"/>
        <v>344993.21</v>
      </c>
      <c r="AD27" s="630">
        <f t="shared" si="24"/>
        <v>0.15</v>
      </c>
      <c r="AE27" s="629">
        <f t="shared" si="25"/>
        <v>12321.2</v>
      </c>
      <c r="AF27" s="629">
        <f t="shared" si="26"/>
        <v>16652.004499999995</v>
      </c>
      <c r="AG27" s="555">
        <f t="shared" si="27"/>
        <v>-4.4999999954598024E-3</v>
      </c>
      <c r="AH27" s="361"/>
      <c r="AI27" s="313"/>
      <c r="AJ27" s="291"/>
      <c r="AK27" s="296"/>
      <c r="AL27" s="374"/>
      <c r="AM27" s="374"/>
      <c r="AN27" s="291"/>
      <c r="AO27" s="291"/>
      <c r="AP27" s="291"/>
      <c r="AQ27" s="291"/>
      <c r="AR27" s="291"/>
      <c r="AS27" s="291"/>
    </row>
    <row r="28" spans="1:45" s="291" customFormat="1" x14ac:dyDescent="0.2">
      <c r="A28" s="423">
        <f t="shared" si="11"/>
        <v>23</v>
      </c>
      <c r="B28" s="721" t="s">
        <v>5501</v>
      </c>
      <c r="C28" s="655">
        <v>520818</v>
      </c>
      <c r="D28" s="658">
        <v>4495</v>
      </c>
      <c r="E28" s="655" t="s">
        <v>1519</v>
      </c>
      <c r="F28" s="546">
        <v>2017</v>
      </c>
      <c r="G28" s="659">
        <v>42971</v>
      </c>
      <c r="H28" s="655" t="s">
        <v>2214</v>
      </c>
      <c r="I28" s="655" t="s">
        <v>5710</v>
      </c>
      <c r="J28" s="712"/>
      <c r="K28" s="655" t="s">
        <v>5828</v>
      </c>
      <c r="L28" s="655" t="s">
        <v>5959</v>
      </c>
      <c r="M28" s="660">
        <v>412770.78</v>
      </c>
      <c r="N28" s="660">
        <v>22487.84</v>
      </c>
      <c r="O28" s="660">
        <v>69641.38</v>
      </c>
      <c r="P28" s="660">
        <v>504900</v>
      </c>
      <c r="Q28" s="548"/>
      <c r="R28" s="660">
        <v>366387.78</v>
      </c>
      <c r="S28" s="549">
        <f t="shared" si="0"/>
        <v>138512.21999999997</v>
      </c>
      <c r="T28" s="267" t="s">
        <v>131</v>
      </c>
      <c r="U28" s="626" t="str">
        <f t="shared" si="5"/>
        <v>AA11727</v>
      </c>
      <c r="V28" s="627" t="str">
        <f t="shared" si="6"/>
        <v>1677-TCN17</v>
      </c>
      <c r="W28" s="626">
        <f t="shared" si="7"/>
        <v>520818</v>
      </c>
      <c r="X28" s="626" t="str">
        <f t="shared" si="8"/>
        <v>RAV4 SE 4WD 2.5L</v>
      </c>
      <c r="Y28" s="627">
        <f t="shared" si="8"/>
        <v>2017</v>
      </c>
      <c r="Z28" s="628">
        <f t="shared" si="9"/>
        <v>412770.78</v>
      </c>
      <c r="AA28" s="629"/>
      <c r="AB28" s="664"/>
      <c r="AC28" s="629">
        <f t="shared" si="23"/>
        <v>344993.21</v>
      </c>
      <c r="AD28" s="630">
        <f t="shared" si="24"/>
        <v>0.15</v>
      </c>
      <c r="AE28" s="629">
        <f t="shared" si="25"/>
        <v>12321.2</v>
      </c>
      <c r="AF28" s="629">
        <f t="shared" si="26"/>
        <v>22487.835500000001</v>
      </c>
      <c r="AG28" s="555">
        <f t="shared" si="27"/>
        <v>4.4999999990977813E-3</v>
      </c>
      <c r="AH28" s="361"/>
      <c r="AI28" s="313"/>
      <c r="AK28" s="296"/>
      <c r="AL28" s="374"/>
      <c r="AM28" s="374"/>
    </row>
    <row r="29" spans="1:45" s="348" customFormat="1" x14ac:dyDescent="0.2">
      <c r="A29" s="423">
        <f t="shared" si="11"/>
        <v>24</v>
      </c>
      <c r="B29" s="721" t="s">
        <v>5504</v>
      </c>
      <c r="C29" s="655">
        <v>520818</v>
      </c>
      <c r="D29" s="658">
        <v>4495</v>
      </c>
      <c r="E29" s="655" t="s">
        <v>1519</v>
      </c>
      <c r="F29" s="546">
        <v>2017</v>
      </c>
      <c r="G29" s="659">
        <v>42976</v>
      </c>
      <c r="H29" s="655" t="s">
        <v>5129</v>
      </c>
      <c r="I29" s="655" t="s">
        <v>5711</v>
      </c>
      <c r="J29" s="712"/>
      <c r="K29" s="655" t="s">
        <v>5829</v>
      </c>
      <c r="L29" s="655" t="s">
        <v>5960</v>
      </c>
      <c r="M29" s="660">
        <v>409022.66</v>
      </c>
      <c r="N29" s="660">
        <v>21925.62</v>
      </c>
      <c r="O29" s="660">
        <v>68951.72</v>
      </c>
      <c r="P29" s="660">
        <v>499900</v>
      </c>
      <c r="Q29" s="548"/>
      <c r="R29" s="660">
        <v>366387.79</v>
      </c>
      <c r="S29" s="549">
        <f t="shared" si="0"/>
        <v>133512.21000000002</v>
      </c>
      <c r="T29" s="113" t="s">
        <v>131</v>
      </c>
      <c r="U29" s="626" t="str">
        <f t="shared" si="5"/>
        <v>AA11759</v>
      </c>
      <c r="V29" s="627" t="str">
        <f t="shared" si="6"/>
        <v>1686-TCN17</v>
      </c>
      <c r="W29" s="626">
        <f t="shared" si="7"/>
        <v>520818</v>
      </c>
      <c r="X29" s="626" t="str">
        <f t="shared" si="8"/>
        <v>RAV4 SE 4WD 2.5L</v>
      </c>
      <c r="Y29" s="627">
        <f t="shared" si="8"/>
        <v>2017</v>
      </c>
      <c r="Z29" s="628">
        <f t="shared" si="9"/>
        <v>409022.66</v>
      </c>
      <c r="AA29" s="629">
        <f>+Z29+Z28+Z27</f>
        <v>1195658.68</v>
      </c>
      <c r="AB29" s="664">
        <v>3</v>
      </c>
      <c r="AC29" s="629">
        <f t="shared" ref="AC29" si="28">VLOOKUP(Z29,TARIFA,1)</f>
        <v>344993.21</v>
      </c>
      <c r="AD29" s="630">
        <f t="shared" ref="AD29" si="29">VLOOKUP(Z29,TARIFA,4)</f>
        <v>0.15</v>
      </c>
      <c r="AE29" s="629">
        <f t="shared" ref="AE29" si="30">VLOOKUP(Z29,TARIFA,3)</f>
        <v>12321.2</v>
      </c>
      <c r="AF29" s="629">
        <f t="shared" ref="AF29" si="31">IF(Z29&lt;281240.78,(((Z29-AC29)*AD29+AE29)/2),(Z29-AC29)*AD29+AE29)</f>
        <v>21925.617499999993</v>
      </c>
      <c r="AG29" s="555">
        <f t="shared" si="27"/>
        <v>2.5000000059662852E-3</v>
      </c>
      <c r="AH29" s="361"/>
      <c r="AI29" s="313"/>
      <c r="AJ29" s="291"/>
      <c r="AK29" s="296"/>
      <c r="AL29" s="374"/>
      <c r="AM29" s="374"/>
      <c r="AN29" s="291"/>
      <c r="AO29" s="291"/>
      <c r="AP29" s="291"/>
      <c r="AQ29" s="291"/>
      <c r="AR29" s="291"/>
      <c r="AS29" s="291"/>
    </row>
    <row r="30" spans="1:45" s="291" customFormat="1" x14ac:dyDescent="0.2">
      <c r="A30" s="423">
        <f t="shared" si="11"/>
        <v>25</v>
      </c>
      <c r="B30" s="721" t="s">
        <v>5428</v>
      </c>
      <c r="C30" s="655">
        <v>520908</v>
      </c>
      <c r="D30" s="658">
        <v>2008</v>
      </c>
      <c r="E30" s="655" t="s">
        <v>697</v>
      </c>
      <c r="F30" s="546">
        <v>2017</v>
      </c>
      <c r="G30" s="659">
        <v>42977</v>
      </c>
      <c r="H30" s="655" t="s">
        <v>2214</v>
      </c>
      <c r="I30" s="655" t="s">
        <v>4820</v>
      </c>
      <c r="J30" s="712"/>
      <c r="K30" s="655" t="s">
        <v>5811</v>
      </c>
      <c r="L30" s="655" t="s">
        <v>5299</v>
      </c>
      <c r="M30" s="660">
        <v>204224.14</v>
      </c>
      <c r="N30" s="660">
        <v>0</v>
      </c>
      <c r="O30" s="660">
        <v>32675.86</v>
      </c>
      <c r="P30" s="660">
        <v>236900</v>
      </c>
      <c r="Q30" s="548"/>
      <c r="R30" s="660">
        <v>188753.05</v>
      </c>
      <c r="S30" s="549">
        <f t="shared" si="0"/>
        <v>48146.950000000012</v>
      </c>
      <c r="T30" s="113" t="s">
        <v>131</v>
      </c>
      <c r="U30" s="626" t="str">
        <f t="shared" si="5"/>
        <v>AA11764</v>
      </c>
      <c r="V30" s="627" t="str">
        <f t="shared" si="6"/>
        <v>1613-TCN17</v>
      </c>
      <c r="W30" s="626">
        <f t="shared" si="7"/>
        <v>520908</v>
      </c>
      <c r="X30" s="626" t="str">
        <f t="shared" si="8"/>
        <v>YARIS HB S MT</v>
      </c>
      <c r="Y30" s="627">
        <f t="shared" si="8"/>
        <v>2017</v>
      </c>
      <c r="Z30" s="628">
        <f t="shared" si="9"/>
        <v>204224.14</v>
      </c>
      <c r="AA30" s="629"/>
      <c r="AB30" s="664"/>
      <c r="AC30" s="629">
        <f t="shared" ref="AC30:AC33" si="32">VLOOKUP(Z30,TARIFA,1)</f>
        <v>0.01</v>
      </c>
      <c r="AD30" s="630">
        <f t="shared" ref="AD30:AD33" si="33">VLOOKUP(Z30,TARIFA,4)</f>
        <v>0.02</v>
      </c>
      <c r="AE30" s="629">
        <f t="shared" ref="AE30:AE33" si="34">VLOOKUP(Z30,TARIFA,3)</f>
        <v>0</v>
      </c>
      <c r="AF30" s="629">
        <v>0</v>
      </c>
      <c r="AG30" s="555">
        <f t="shared" si="10"/>
        <v>0</v>
      </c>
      <c r="AH30" s="361"/>
      <c r="AI30" s="313"/>
      <c r="AK30" s="296"/>
      <c r="AL30" s="374"/>
      <c r="AM30" s="374"/>
    </row>
    <row r="31" spans="1:45" s="348" customFormat="1" x14ac:dyDescent="0.2">
      <c r="A31" s="423">
        <f t="shared" si="11"/>
        <v>26</v>
      </c>
      <c r="B31" s="721" t="s">
        <v>5427</v>
      </c>
      <c r="C31" s="655">
        <v>520908</v>
      </c>
      <c r="D31" s="658">
        <v>2008</v>
      </c>
      <c r="E31" s="655" t="s">
        <v>697</v>
      </c>
      <c r="F31" s="546">
        <v>2017</v>
      </c>
      <c r="G31" s="659">
        <v>42957</v>
      </c>
      <c r="H31" s="655" t="s">
        <v>2215</v>
      </c>
      <c r="I31" s="655" t="s">
        <v>4820</v>
      </c>
      <c r="J31" s="712"/>
      <c r="K31" s="655" t="s">
        <v>5161</v>
      </c>
      <c r="L31" s="655" t="s">
        <v>5299</v>
      </c>
      <c r="M31" s="660">
        <v>-208534.48</v>
      </c>
      <c r="N31" s="660">
        <v>0</v>
      </c>
      <c r="O31" s="660">
        <v>-33365.519999999997</v>
      </c>
      <c r="P31" s="660">
        <v>-241900</v>
      </c>
      <c r="Q31" s="548"/>
      <c r="R31" s="660">
        <v>-188753.05</v>
      </c>
      <c r="S31" s="549">
        <f t="shared" si="0"/>
        <v>-53146.950000000012</v>
      </c>
      <c r="T31" s="113" t="s">
        <v>1266</v>
      </c>
      <c r="U31" s="626" t="str">
        <f t="shared" si="5"/>
        <v>ZA04241</v>
      </c>
      <c r="V31" s="627" t="str">
        <f t="shared" si="6"/>
        <v>1613-TCN17</v>
      </c>
      <c r="W31" s="626">
        <f t="shared" si="7"/>
        <v>520908</v>
      </c>
      <c r="X31" s="626" t="str">
        <f t="shared" si="8"/>
        <v>YARIS HB S MT</v>
      </c>
      <c r="Y31" s="627">
        <f t="shared" si="8"/>
        <v>2017</v>
      </c>
      <c r="Z31" s="628">
        <f t="shared" si="9"/>
        <v>-208534.48</v>
      </c>
      <c r="AA31" s="629"/>
      <c r="AB31" s="664"/>
      <c r="AC31" s="629"/>
      <c r="AD31" s="630"/>
      <c r="AE31" s="629"/>
      <c r="AF31" s="629">
        <v>0</v>
      </c>
      <c r="AG31" s="555">
        <f>+N31-AF31</f>
        <v>0</v>
      </c>
      <c r="AH31" s="361"/>
      <c r="AI31" s="313"/>
      <c r="AJ31" s="291"/>
      <c r="AK31" s="296"/>
      <c r="AL31" s="374"/>
      <c r="AM31" s="374"/>
      <c r="AN31" s="291"/>
      <c r="AO31" s="291"/>
      <c r="AP31" s="291"/>
      <c r="AQ31" s="291"/>
      <c r="AR31" s="291"/>
      <c r="AS31" s="291"/>
    </row>
    <row r="32" spans="1:45" s="291" customFormat="1" x14ac:dyDescent="0.2">
      <c r="A32" s="423">
        <f t="shared" si="11"/>
        <v>27</v>
      </c>
      <c r="B32" s="721" t="s">
        <v>5431</v>
      </c>
      <c r="C32" s="655">
        <v>520909</v>
      </c>
      <c r="D32" s="658">
        <v>2009</v>
      </c>
      <c r="E32" s="655" t="s">
        <v>698</v>
      </c>
      <c r="F32" s="546">
        <v>2017</v>
      </c>
      <c r="G32" s="659">
        <v>42972</v>
      </c>
      <c r="H32" s="655" t="s">
        <v>2215</v>
      </c>
      <c r="I32" s="655" t="s">
        <v>5672</v>
      </c>
      <c r="J32" s="712"/>
      <c r="K32" s="655" t="s">
        <v>258</v>
      </c>
      <c r="L32" s="655" t="s">
        <v>5921</v>
      </c>
      <c r="M32" s="660">
        <v>218189.66</v>
      </c>
      <c r="N32" s="660">
        <v>0</v>
      </c>
      <c r="O32" s="660">
        <v>34910.339999999997</v>
      </c>
      <c r="P32" s="660">
        <v>253100</v>
      </c>
      <c r="Q32" s="548"/>
      <c r="R32" s="660">
        <v>201322.01</v>
      </c>
      <c r="S32" s="549">
        <f t="shared" si="0"/>
        <v>51777.989999999991</v>
      </c>
      <c r="T32" s="267" t="s">
        <v>131</v>
      </c>
      <c r="U32" s="626" t="str">
        <f t="shared" si="5"/>
        <v>AA11731</v>
      </c>
      <c r="V32" s="627" t="str">
        <f t="shared" si="6"/>
        <v>1617-TCN17</v>
      </c>
      <c r="W32" s="626">
        <f t="shared" si="7"/>
        <v>520909</v>
      </c>
      <c r="X32" s="626" t="str">
        <f t="shared" si="8"/>
        <v>YARIS HB S CVT</v>
      </c>
      <c r="Y32" s="627">
        <f t="shared" si="8"/>
        <v>2017</v>
      </c>
      <c r="Z32" s="628">
        <f t="shared" si="9"/>
        <v>218189.66</v>
      </c>
      <c r="AA32" s="629">
        <f>+SUM(Z30:Z32)</f>
        <v>213879.32</v>
      </c>
      <c r="AB32" s="665">
        <v>1</v>
      </c>
      <c r="AC32" s="629">
        <f t="shared" si="32"/>
        <v>0.01</v>
      </c>
      <c r="AD32" s="630">
        <f t="shared" si="33"/>
        <v>0.02</v>
      </c>
      <c r="AE32" s="629">
        <f t="shared" si="34"/>
        <v>0</v>
      </c>
      <c r="AF32" s="629">
        <v>0</v>
      </c>
      <c r="AG32" s="555">
        <f t="shared" si="10"/>
        <v>0</v>
      </c>
      <c r="AH32" s="361"/>
      <c r="AI32" s="313"/>
      <c r="AK32" s="296"/>
      <c r="AL32" s="374"/>
      <c r="AM32" s="374"/>
    </row>
    <row r="33" spans="1:47" s="291" customFormat="1" x14ac:dyDescent="0.2">
      <c r="A33" s="423">
        <f t="shared" si="11"/>
        <v>28</v>
      </c>
      <c r="B33" s="721" t="s">
        <v>5376</v>
      </c>
      <c r="C33" s="655">
        <v>521101</v>
      </c>
      <c r="D33" s="658">
        <v>1253</v>
      </c>
      <c r="E33" s="655" t="s">
        <v>30</v>
      </c>
      <c r="F33" s="546">
        <v>2017</v>
      </c>
      <c r="G33" s="659">
        <v>42976</v>
      </c>
      <c r="H33" s="655" t="s">
        <v>912</v>
      </c>
      <c r="I33" s="655" t="s">
        <v>5636</v>
      </c>
      <c r="J33" s="712"/>
      <c r="K33" s="655" t="s">
        <v>5788</v>
      </c>
      <c r="L33" s="655" t="s">
        <v>5885</v>
      </c>
      <c r="M33" s="660">
        <v>343103.45</v>
      </c>
      <c r="N33" s="660">
        <v>0</v>
      </c>
      <c r="O33" s="660">
        <v>54896.55</v>
      </c>
      <c r="P33" s="660">
        <v>398000</v>
      </c>
      <c r="Q33" s="548"/>
      <c r="R33" s="660">
        <v>326020.56</v>
      </c>
      <c r="S33" s="549">
        <f t="shared" si="0"/>
        <v>71979.44</v>
      </c>
      <c r="T33" s="113" t="s">
        <v>131</v>
      </c>
      <c r="U33" s="626" t="str">
        <f t="shared" si="5"/>
        <v>AA11757</v>
      </c>
      <c r="V33" s="627" t="str">
        <f t="shared" si="6"/>
        <v>0792-TCN17</v>
      </c>
      <c r="W33" s="626">
        <f t="shared" si="7"/>
        <v>521101</v>
      </c>
      <c r="X33" s="626" t="str">
        <f t="shared" si="8"/>
        <v>PRIUS</v>
      </c>
      <c r="Y33" s="627">
        <f t="shared" si="8"/>
        <v>2017</v>
      </c>
      <c r="Z33" s="628">
        <f t="shared" si="9"/>
        <v>343103.45</v>
      </c>
      <c r="AA33" s="629"/>
      <c r="AB33" s="664"/>
      <c r="AC33" s="629">
        <f t="shared" si="32"/>
        <v>295708.34000000003</v>
      </c>
      <c r="AD33" s="630">
        <f t="shared" si="33"/>
        <v>0.1</v>
      </c>
      <c r="AE33" s="629">
        <f t="shared" si="34"/>
        <v>7392.74</v>
      </c>
      <c r="AF33" s="629">
        <v>0</v>
      </c>
      <c r="AG33" s="555">
        <f t="shared" si="10"/>
        <v>0</v>
      </c>
      <c r="AH33" s="361"/>
      <c r="AI33" s="313"/>
      <c r="AK33" s="296"/>
      <c r="AL33" s="374"/>
      <c r="AM33" s="374"/>
    </row>
    <row r="34" spans="1:47" s="291" customFormat="1" x14ac:dyDescent="0.2">
      <c r="A34" s="423">
        <f t="shared" si="11"/>
        <v>29</v>
      </c>
      <c r="B34" s="721" t="s">
        <v>5369</v>
      </c>
      <c r="C34" s="655">
        <v>521101</v>
      </c>
      <c r="D34" s="658">
        <v>1251</v>
      </c>
      <c r="E34" s="655" t="s">
        <v>700</v>
      </c>
      <c r="F34" s="546">
        <v>2017</v>
      </c>
      <c r="G34" s="659">
        <v>42978</v>
      </c>
      <c r="H34" s="655" t="s">
        <v>1207</v>
      </c>
      <c r="I34" s="655" t="s">
        <v>5633</v>
      </c>
      <c r="J34" s="712"/>
      <c r="K34" s="655" t="s">
        <v>5785</v>
      </c>
      <c r="L34" s="655" t="s">
        <v>5882</v>
      </c>
      <c r="M34" s="660">
        <v>307758.62</v>
      </c>
      <c r="N34" s="660">
        <v>0</v>
      </c>
      <c r="O34" s="660">
        <v>49241.38</v>
      </c>
      <c r="P34" s="660">
        <v>357000</v>
      </c>
      <c r="Q34" s="548"/>
      <c r="R34" s="660">
        <v>283666.84000000003</v>
      </c>
      <c r="S34" s="549">
        <f t="shared" si="0"/>
        <v>73333.159999999974</v>
      </c>
      <c r="T34" s="267" t="s">
        <v>131</v>
      </c>
      <c r="U34" s="626" t="str">
        <f t="shared" si="5"/>
        <v>AA11792</v>
      </c>
      <c r="V34" s="627" t="str">
        <f t="shared" si="6"/>
        <v>0936-TCN17</v>
      </c>
      <c r="W34" s="626">
        <f t="shared" si="7"/>
        <v>521101</v>
      </c>
      <c r="X34" s="626" t="str">
        <f t="shared" si="8"/>
        <v>PRIUS HYBRID BASE</v>
      </c>
      <c r="Y34" s="627">
        <f t="shared" si="8"/>
        <v>2017</v>
      </c>
      <c r="Z34" s="628">
        <f t="shared" si="9"/>
        <v>307758.62</v>
      </c>
      <c r="AA34" s="629"/>
      <c r="AB34" s="664"/>
      <c r="AC34" s="629">
        <f t="shared" ref="AC34:AC40" si="35">VLOOKUP(Z34,TARIFA,1)</f>
        <v>295708.34000000003</v>
      </c>
      <c r="AD34" s="630">
        <f t="shared" ref="AD34:AD40" si="36">VLOOKUP(Z34,TARIFA,4)</f>
        <v>0.1</v>
      </c>
      <c r="AE34" s="629">
        <f t="shared" ref="AE34:AE40" si="37">VLOOKUP(Z34,TARIFA,3)</f>
        <v>7392.74</v>
      </c>
      <c r="AF34" s="629">
        <v>0</v>
      </c>
      <c r="AG34" s="555">
        <f t="shared" si="10"/>
        <v>0</v>
      </c>
      <c r="AH34" s="361"/>
      <c r="AI34" s="313"/>
      <c r="AK34" s="296"/>
      <c r="AL34" s="374"/>
      <c r="AM34" s="374"/>
    </row>
    <row r="35" spans="1:47" s="291" customFormat="1" x14ac:dyDescent="0.2">
      <c r="A35" s="423">
        <f t="shared" si="11"/>
        <v>30</v>
      </c>
      <c r="B35" s="721" t="s">
        <v>5364</v>
      </c>
      <c r="C35" s="655">
        <v>521101</v>
      </c>
      <c r="D35" s="658">
        <v>1251</v>
      </c>
      <c r="E35" s="655" t="s">
        <v>700</v>
      </c>
      <c r="F35" s="546">
        <v>2017</v>
      </c>
      <c r="G35" s="659">
        <v>42956</v>
      </c>
      <c r="H35" s="655" t="s">
        <v>751</v>
      </c>
      <c r="I35" s="655" t="s">
        <v>5630</v>
      </c>
      <c r="J35" s="712"/>
      <c r="K35" s="655" t="s">
        <v>4744</v>
      </c>
      <c r="L35" s="655" t="s">
        <v>5879</v>
      </c>
      <c r="M35" s="660">
        <v>293103.45</v>
      </c>
      <c r="N35" s="660">
        <v>0</v>
      </c>
      <c r="O35" s="660">
        <v>46896.55</v>
      </c>
      <c r="P35" s="660">
        <v>340000</v>
      </c>
      <c r="Q35" s="548"/>
      <c r="R35" s="660">
        <v>283666.84000000003</v>
      </c>
      <c r="S35" s="549">
        <f t="shared" si="0"/>
        <v>56333.159999999974</v>
      </c>
      <c r="T35" s="113" t="s">
        <v>131</v>
      </c>
      <c r="U35" s="626" t="str">
        <f t="shared" si="5"/>
        <v>AA11643</v>
      </c>
      <c r="V35" s="627" t="str">
        <f t="shared" si="6"/>
        <v>0937-TCN17</v>
      </c>
      <c r="W35" s="626">
        <f t="shared" si="7"/>
        <v>521101</v>
      </c>
      <c r="X35" s="626" t="str">
        <f t="shared" si="8"/>
        <v>PRIUS HYBRID BASE</v>
      </c>
      <c r="Y35" s="627">
        <f t="shared" si="8"/>
        <v>2017</v>
      </c>
      <c r="Z35" s="628">
        <f t="shared" si="9"/>
        <v>293103.45</v>
      </c>
      <c r="AA35" s="629"/>
      <c r="AB35" s="664"/>
      <c r="AC35" s="629">
        <f t="shared" si="35"/>
        <v>246423.66</v>
      </c>
      <c r="AD35" s="630">
        <f t="shared" si="36"/>
        <v>0.05</v>
      </c>
      <c r="AE35" s="629">
        <f t="shared" si="37"/>
        <v>4928.3900000000003</v>
      </c>
      <c r="AF35" s="629">
        <v>0</v>
      </c>
      <c r="AG35" s="555">
        <f t="shared" si="10"/>
        <v>0</v>
      </c>
      <c r="AH35" s="361"/>
      <c r="AI35" s="313"/>
      <c r="AK35" s="296"/>
      <c r="AL35" s="374"/>
      <c r="AM35" s="374"/>
    </row>
    <row r="36" spans="1:47" s="291" customFormat="1" x14ac:dyDescent="0.2">
      <c r="A36" s="423">
        <f t="shared" si="11"/>
        <v>31</v>
      </c>
      <c r="B36" s="721" t="s">
        <v>5363</v>
      </c>
      <c r="C36" s="655">
        <v>521101</v>
      </c>
      <c r="D36" s="658">
        <v>1251</v>
      </c>
      <c r="E36" s="655" t="s">
        <v>700</v>
      </c>
      <c r="F36" s="546">
        <v>2017</v>
      </c>
      <c r="G36" s="659">
        <v>42955</v>
      </c>
      <c r="H36" s="655" t="s">
        <v>727</v>
      </c>
      <c r="I36" s="655" t="s">
        <v>5628</v>
      </c>
      <c r="J36" s="712"/>
      <c r="K36" s="655" t="s">
        <v>5782</v>
      </c>
      <c r="L36" s="655" t="s">
        <v>5877</v>
      </c>
      <c r="M36" s="660">
        <v>327931.03000000003</v>
      </c>
      <c r="N36" s="660">
        <v>0</v>
      </c>
      <c r="O36" s="660">
        <v>52468.97</v>
      </c>
      <c r="P36" s="660">
        <v>380400</v>
      </c>
      <c r="Q36" s="548"/>
      <c r="R36" s="660">
        <v>283666.84000000003</v>
      </c>
      <c r="S36" s="549">
        <f t="shared" si="0"/>
        <v>96733.159999999974</v>
      </c>
      <c r="T36" s="113" t="s">
        <v>131</v>
      </c>
      <c r="U36" s="626" t="str">
        <f t="shared" si="5"/>
        <v>AA11633</v>
      </c>
      <c r="V36" s="627" t="str">
        <f t="shared" si="6"/>
        <v>1170-TCN17</v>
      </c>
      <c r="W36" s="626">
        <f t="shared" si="7"/>
        <v>521101</v>
      </c>
      <c r="X36" s="626" t="str">
        <f t="shared" si="8"/>
        <v>PRIUS HYBRID BASE</v>
      </c>
      <c r="Y36" s="627">
        <f t="shared" si="8"/>
        <v>2017</v>
      </c>
      <c r="Z36" s="628">
        <f t="shared" si="9"/>
        <v>327931.03000000003</v>
      </c>
      <c r="AA36" s="629"/>
      <c r="AB36" s="664"/>
      <c r="AC36" s="629">
        <f t="shared" si="35"/>
        <v>295708.34000000003</v>
      </c>
      <c r="AD36" s="630">
        <f t="shared" si="36"/>
        <v>0.1</v>
      </c>
      <c r="AE36" s="629">
        <f t="shared" si="37"/>
        <v>7392.74</v>
      </c>
      <c r="AF36" s="629">
        <v>0</v>
      </c>
      <c r="AG36" s="555">
        <f t="shared" si="10"/>
        <v>0</v>
      </c>
      <c r="AH36" s="361"/>
      <c r="AI36" s="313"/>
      <c r="AK36" s="296"/>
      <c r="AL36" s="374"/>
      <c r="AM36" s="374"/>
    </row>
    <row r="37" spans="1:47" s="348" customFormat="1" x14ac:dyDescent="0.2">
      <c r="A37" s="423">
        <f t="shared" si="11"/>
        <v>32</v>
      </c>
      <c r="B37" s="721" t="s">
        <v>5365</v>
      </c>
      <c r="C37" s="655">
        <v>521101</v>
      </c>
      <c r="D37" s="658">
        <v>1251</v>
      </c>
      <c r="E37" s="655" t="s">
        <v>700</v>
      </c>
      <c r="F37" s="546">
        <v>2017</v>
      </c>
      <c r="G37" s="659">
        <v>42957</v>
      </c>
      <c r="H37" s="655" t="s">
        <v>819</v>
      </c>
      <c r="I37" s="655" t="s">
        <v>5631</v>
      </c>
      <c r="J37" s="712"/>
      <c r="K37" s="655" t="s">
        <v>5783</v>
      </c>
      <c r="L37" s="655" t="s">
        <v>5880</v>
      </c>
      <c r="M37" s="660">
        <v>327931.03000000003</v>
      </c>
      <c r="N37" s="660">
        <v>0</v>
      </c>
      <c r="O37" s="660">
        <v>52468.97</v>
      </c>
      <c r="P37" s="660">
        <v>380400</v>
      </c>
      <c r="Q37" s="548"/>
      <c r="R37" s="660">
        <v>283666.84000000003</v>
      </c>
      <c r="S37" s="549">
        <f t="shared" si="0"/>
        <v>96733.159999999974</v>
      </c>
      <c r="T37" s="267" t="s">
        <v>131</v>
      </c>
      <c r="U37" s="626" t="str">
        <f t="shared" si="5"/>
        <v>AA11647</v>
      </c>
      <c r="V37" s="627" t="str">
        <f t="shared" si="6"/>
        <v>1239-TCN17</v>
      </c>
      <c r="W37" s="626">
        <f t="shared" si="7"/>
        <v>521101</v>
      </c>
      <c r="X37" s="626" t="str">
        <f t="shared" si="8"/>
        <v>PRIUS HYBRID BASE</v>
      </c>
      <c r="Y37" s="627">
        <f t="shared" si="8"/>
        <v>2017</v>
      </c>
      <c r="Z37" s="628">
        <f t="shared" si="9"/>
        <v>327931.03000000003</v>
      </c>
      <c r="AA37" s="629"/>
      <c r="AB37" s="664"/>
      <c r="AC37" s="629">
        <f t="shared" si="35"/>
        <v>295708.34000000003</v>
      </c>
      <c r="AD37" s="630">
        <f t="shared" si="36"/>
        <v>0.1</v>
      </c>
      <c r="AE37" s="629">
        <f t="shared" si="37"/>
        <v>7392.74</v>
      </c>
      <c r="AF37" s="629">
        <v>0</v>
      </c>
      <c r="AG37" s="555">
        <f t="shared" si="10"/>
        <v>0</v>
      </c>
      <c r="AH37" s="361"/>
      <c r="AI37" s="347"/>
      <c r="AK37" s="353"/>
      <c r="AL37" s="330"/>
      <c r="AM37" s="330"/>
    </row>
    <row r="38" spans="1:47" s="291" customFormat="1" x14ac:dyDescent="0.2">
      <c r="A38" s="423">
        <f t="shared" si="11"/>
        <v>33</v>
      </c>
      <c r="B38" s="721" t="s">
        <v>5368</v>
      </c>
      <c r="C38" s="655">
        <v>521101</v>
      </c>
      <c r="D38" s="658">
        <v>1251</v>
      </c>
      <c r="E38" s="655" t="s">
        <v>700</v>
      </c>
      <c r="F38" s="546">
        <v>2017</v>
      </c>
      <c r="G38" s="659">
        <v>42977</v>
      </c>
      <c r="H38" s="655" t="s">
        <v>5621</v>
      </c>
      <c r="I38" s="655" t="s">
        <v>5632</v>
      </c>
      <c r="J38" s="712"/>
      <c r="K38" s="655" t="s">
        <v>5784</v>
      </c>
      <c r="L38" s="655" t="s">
        <v>5881</v>
      </c>
      <c r="M38" s="660">
        <v>321896.55</v>
      </c>
      <c r="N38" s="660">
        <v>0</v>
      </c>
      <c r="O38" s="660">
        <v>51503.45</v>
      </c>
      <c r="P38" s="660">
        <v>373400</v>
      </c>
      <c r="Q38" s="548"/>
      <c r="R38" s="660">
        <v>300037.53000000003</v>
      </c>
      <c r="S38" s="549">
        <f t="shared" si="0"/>
        <v>73362.469999999972</v>
      </c>
      <c r="T38" s="267" t="s">
        <v>131</v>
      </c>
      <c r="U38" s="626" t="str">
        <f t="shared" si="5"/>
        <v>AA11767</v>
      </c>
      <c r="V38" s="627" t="str">
        <f t="shared" si="6"/>
        <v>1601-TCN17</v>
      </c>
      <c r="W38" s="626">
        <f t="shared" si="7"/>
        <v>521101</v>
      </c>
      <c r="X38" s="626" t="str">
        <f t="shared" si="8"/>
        <v>PRIUS HYBRID BASE</v>
      </c>
      <c r="Y38" s="627">
        <f t="shared" si="8"/>
        <v>2017</v>
      </c>
      <c r="Z38" s="628">
        <f t="shared" si="9"/>
        <v>321896.55</v>
      </c>
      <c r="AA38" s="629"/>
      <c r="AB38" s="664"/>
      <c r="AC38" s="629">
        <f t="shared" si="35"/>
        <v>295708.34000000003</v>
      </c>
      <c r="AD38" s="630">
        <f t="shared" si="36"/>
        <v>0.1</v>
      </c>
      <c r="AE38" s="629">
        <f t="shared" si="37"/>
        <v>7392.74</v>
      </c>
      <c r="AF38" s="629">
        <v>0</v>
      </c>
      <c r="AG38" s="555">
        <f t="shared" si="10"/>
        <v>0</v>
      </c>
      <c r="AH38" s="361"/>
      <c r="AI38" s="313"/>
      <c r="AK38" s="296"/>
      <c r="AL38" s="313"/>
      <c r="AM38" s="374"/>
    </row>
    <row r="39" spans="1:47" s="348" customFormat="1" x14ac:dyDescent="0.2">
      <c r="A39" s="423">
        <f t="shared" si="11"/>
        <v>34</v>
      </c>
      <c r="B39" s="721" t="s">
        <v>5375</v>
      </c>
      <c r="C39" s="655">
        <v>521101</v>
      </c>
      <c r="D39" s="658">
        <v>1253</v>
      </c>
      <c r="E39" s="655" t="s">
        <v>30</v>
      </c>
      <c r="F39" s="546">
        <v>2017</v>
      </c>
      <c r="G39" s="659">
        <v>42968</v>
      </c>
      <c r="H39" s="655" t="s">
        <v>739</v>
      </c>
      <c r="I39" s="655" t="s">
        <v>5634</v>
      </c>
      <c r="J39" s="712"/>
      <c r="K39" s="655" t="s">
        <v>5786</v>
      </c>
      <c r="L39" s="655" t="s">
        <v>5883</v>
      </c>
      <c r="M39" s="660">
        <v>377586.21</v>
      </c>
      <c r="N39" s="660">
        <v>0</v>
      </c>
      <c r="O39" s="660">
        <v>60413.79</v>
      </c>
      <c r="P39" s="660">
        <v>438000</v>
      </c>
      <c r="Q39" s="548"/>
      <c r="R39" s="660">
        <v>344834.35</v>
      </c>
      <c r="S39" s="549">
        <f t="shared" si="0"/>
        <v>93165.650000000023</v>
      </c>
      <c r="T39" s="444" t="s">
        <v>131</v>
      </c>
      <c r="U39" s="626" t="str">
        <f t="shared" si="5"/>
        <v>AA11704</v>
      </c>
      <c r="V39" s="627" t="str">
        <f t="shared" si="6"/>
        <v>1604-TCN17</v>
      </c>
      <c r="W39" s="626">
        <f t="shared" si="7"/>
        <v>521101</v>
      </c>
      <c r="X39" s="626" t="str">
        <f t="shared" si="8"/>
        <v>PRIUS</v>
      </c>
      <c r="Y39" s="627">
        <f t="shared" si="8"/>
        <v>2017</v>
      </c>
      <c r="Z39" s="628">
        <f t="shared" si="9"/>
        <v>377586.21</v>
      </c>
      <c r="AA39" s="629"/>
      <c r="AB39" s="664"/>
      <c r="AC39" s="629">
        <f t="shared" si="35"/>
        <v>344993.21</v>
      </c>
      <c r="AD39" s="630">
        <f t="shared" si="36"/>
        <v>0.15</v>
      </c>
      <c r="AE39" s="629">
        <f t="shared" si="37"/>
        <v>12321.2</v>
      </c>
      <c r="AF39" s="629">
        <v>0</v>
      </c>
      <c r="AG39" s="555">
        <f t="shared" si="10"/>
        <v>0</v>
      </c>
      <c r="AH39" s="361"/>
      <c r="AI39" s="363"/>
      <c r="AK39" s="353"/>
      <c r="AL39" s="330"/>
      <c r="AM39" s="330"/>
    </row>
    <row r="40" spans="1:47" s="291" customFormat="1" x14ac:dyDescent="0.2">
      <c r="A40" s="423">
        <f t="shared" si="11"/>
        <v>35</v>
      </c>
      <c r="B40" s="721" t="s">
        <v>5373</v>
      </c>
      <c r="C40" s="655">
        <v>521101</v>
      </c>
      <c r="D40" s="658">
        <v>1253</v>
      </c>
      <c r="E40" s="655" t="s">
        <v>30</v>
      </c>
      <c r="F40" s="546">
        <v>2017</v>
      </c>
      <c r="G40" s="659">
        <v>42964</v>
      </c>
      <c r="H40" s="655" t="s">
        <v>810</v>
      </c>
      <c r="I40" s="655" t="s">
        <v>5635</v>
      </c>
      <c r="J40" s="712"/>
      <c r="K40" s="655" t="s">
        <v>5787</v>
      </c>
      <c r="L40" s="655" t="s">
        <v>5884</v>
      </c>
      <c r="M40" s="660">
        <v>377586.21</v>
      </c>
      <c r="N40" s="660">
        <v>0</v>
      </c>
      <c r="O40" s="660">
        <v>60413.79</v>
      </c>
      <c r="P40" s="660">
        <v>438000</v>
      </c>
      <c r="Q40" s="548"/>
      <c r="R40" s="660">
        <v>344834.35</v>
      </c>
      <c r="S40" s="549">
        <f t="shared" si="0"/>
        <v>93165.650000000023</v>
      </c>
      <c r="T40" s="267" t="s">
        <v>131</v>
      </c>
      <c r="U40" s="626" t="str">
        <f t="shared" si="5"/>
        <v>AA11678</v>
      </c>
      <c r="V40" s="627" t="str">
        <f t="shared" si="6"/>
        <v>1671-TCN17</v>
      </c>
      <c r="W40" s="626">
        <f t="shared" si="7"/>
        <v>521101</v>
      </c>
      <c r="X40" s="626" t="str">
        <f t="shared" si="8"/>
        <v>PRIUS</v>
      </c>
      <c r="Y40" s="627">
        <f t="shared" si="8"/>
        <v>2017</v>
      </c>
      <c r="Z40" s="628">
        <f t="shared" si="9"/>
        <v>377586.21</v>
      </c>
      <c r="AA40" s="629">
        <f>+SUM(Z33:Z40)</f>
        <v>2676896.5500000003</v>
      </c>
      <c r="AB40" s="679">
        <v>8</v>
      </c>
      <c r="AC40" s="629">
        <f t="shared" si="35"/>
        <v>344993.21</v>
      </c>
      <c r="AD40" s="630">
        <f t="shared" si="36"/>
        <v>0.15</v>
      </c>
      <c r="AE40" s="629">
        <f t="shared" si="37"/>
        <v>12321.2</v>
      </c>
      <c r="AF40" s="629">
        <v>0</v>
      </c>
      <c r="AG40" s="555">
        <f t="shared" si="10"/>
        <v>0</v>
      </c>
      <c r="AH40" s="361"/>
      <c r="AI40" s="313"/>
      <c r="AK40" s="296"/>
      <c r="AL40" s="374"/>
      <c r="AM40" s="374"/>
    </row>
    <row r="41" spans="1:47" s="291" customFormat="1" x14ac:dyDescent="0.2">
      <c r="A41" s="423">
        <f t="shared" si="11"/>
        <v>36</v>
      </c>
      <c r="B41" s="721" t="s">
        <v>5404</v>
      </c>
      <c r="C41" s="655">
        <v>521702</v>
      </c>
      <c r="D41" s="658">
        <v>2005</v>
      </c>
      <c r="E41" s="655" t="s">
        <v>701</v>
      </c>
      <c r="F41" s="546">
        <v>2017</v>
      </c>
      <c r="G41" s="659">
        <v>42963</v>
      </c>
      <c r="H41" s="655" t="s">
        <v>1038</v>
      </c>
      <c r="I41" s="655" t="s">
        <v>5653</v>
      </c>
      <c r="J41" s="712"/>
      <c r="K41" s="655" t="s">
        <v>5796</v>
      </c>
      <c r="L41" s="655" t="s">
        <v>5902</v>
      </c>
      <c r="M41" s="660">
        <v>183620.69</v>
      </c>
      <c r="N41" s="660">
        <v>0</v>
      </c>
      <c r="O41" s="660">
        <v>29379.31</v>
      </c>
      <c r="P41" s="660">
        <v>213000</v>
      </c>
      <c r="Q41" s="548"/>
      <c r="R41" s="660">
        <v>166863.51999999999</v>
      </c>
      <c r="S41" s="549">
        <f t="shared" si="0"/>
        <v>46136.48000000001</v>
      </c>
      <c r="T41" s="267" t="s">
        <v>131</v>
      </c>
      <c r="U41" s="626" t="str">
        <f t="shared" si="5"/>
        <v>AA11671</v>
      </c>
      <c r="V41" s="627" t="str">
        <f t="shared" si="6"/>
        <v>1656-TCN17</v>
      </c>
      <c r="W41" s="626">
        <f t="shared" si="7"/>
        <v>521702</v>
      </c>
      <c r="X41" s="626" t="str">
        <f t="shared" si="8"/>
        <v>YARIS CORE MT, SEDAN</v>
      </c>
      <c r="Y41" s="627">
        <f t="shared" si="8"/>
        <v>2017</v>
      </c>
      <c r="Z41" s="628">
        <f t="shared" si="9"/>
        <v>183620.69</v>
      </c>
      <c r="AA41" s="629"/>
      <c r="AB41" s="664"/>
      <c r="AC41" s="629">
        <f t="shared" si="1"/>
        <v>0.01</v>
      </c>
      <c r="AD41" s="630">
        <f t="shared" si="2"/>
        <v>0.02</v>
      </c>
      <c r="AE41" s="629">
        <f t="shared" si="3"/>
        <v>0</v>
      </c>
      <c r="AF41" s="629">
        <v>0</v>
      </c>
      <c r="AG41" s="555">
        <f t="shared" si="10"/>
        <v>0</v>
      </c>
      <c r="AH41" s="361"/>
      <c r="AI41" s="313"/>
      <c r="AJ41" s="296"/>
      <c r="AK41" s="296"/>
      <c r="AL41" s="374"/>
      <c r="AM41" s="374"/>
      <c r="AN41" s="296"/>
      <c r="AO41" s="296"/>
      <c r="AP41" s="296"/>
      <c r="AQ41" s="296"/>
      <c r="AR41" s="296"/>
      <c r="AS41" s="296"/>
      <c r="AT41" s="296"/>
      <c r="AU41" s="296"/>
    </row>
    <row r="42" spans="1:47" s="348" customFormat="1" x14ac:dyDescent="0.2">
      <c r="A42" s="423">
        <f t="shared" si="11"/>
        <v>37</v>
      </c>
      <c r="B42" s="721" t="s">
        <v>5402</v>
      </c>
      <c r="C42" s="655">
        <v>521702</v>
      </c>
      <c r="D42" s="658">
        <v>2005</v>
      </c>
      <c r="E42" s="655" t="s">
        <v>701</v>
      </c>
      <c r="F42" s="546">
        <v>2017</v>
      </c>
      <c r="G42" s="659">
        <v>42948</v>
      </c>
      <c r="H42" s="655" t="s">
        <v>4241</v>
      </c>
      <c r="I42" s="655" t="s">
        <v>5651</v>
      </c>
      <c r="J42" s="712"/>
      <c r="K42" s="655" t="s">
        <v>5794</v>
      </c>
      <c r="L42" s="655" t="s">
        <v>5900</v>
      </c>
      <c r="M42" s="660">
        <v>183620.69</v>
      </c>
      <c r="N42" s="660">
        <v>0</v>
      </c>
      <c r="O42" s="660">
        <v>29379.31</v>
      </c>
      <c r="P42" s="660">
        <v>213000</v>
      </c>
      <c r="Q42" s="548"/>
      <c r="R42" s="660">
        <v>166508.04</v>
      </c>
      <c r="S42" s="549">
        <f t="shared" si="0"/>
        <v>46491.959999999992</v>
      </c>
      <c r="T42" s="267" t="s">
        <v>131</v>
      </c>
      <c r="U42" s="626" t="str">
        <f t="shared" si="5"/>
        <v>AA11581</v>
      </c>
      <c r="V42" s="627" t="str">
        <f t="shared" si="6"/>
        <v>1661-TCN17</v>
      </c>
      <c r="W42" s="626">
        <f t="shared" si="7"/>
        <v>521702</v>
      </c>
      <c r="X42" s="626" t="str">
        <f t="shared" si="8"/>
        <v>YARIS CORE MT, SEDAN</v>
      </c>
      <c r="Y42" s="627">
        <f t="shared" si="8"/>
        <v>2017</v>
      </c>
      <c r="Z42" s="628">
        <f t="shared" si="9"/>
        <v>183620.69</v>
      </c>
      <c r="AA42" s="629"/>
      <c r="AB42" s="664"/>
      <c r="AC42" s="629">
        <f t="shared" si="1"/>
        <v>0.01</v>
      </c>
      <c r="AD42" s="630">
        <f t="shared" si="2"/>
        <v>0.02</v>
      </c>
      <c r="AE42" s="629">
        <f t="shared" si="3"/>
        <v>0</v>
      </c>
      <c r="AF42" s="629">
        <v>0</v>
      </c>
      <c r="AG42" s="555">
        <f t="shared" si="10"/>
        <v>0</v>
      </c>
      <c r="AH42" s="361"/>
      <c r="AI42" s="363"/>
      <c r="AJ42" s="353"/>
      <c r="AK42" s="353"/>
      <c r="AL42" s="330"/>
      <c r="AM42" s="330"/>
      <c r="AN42" s="353"/>
      <c r="AO42" s="353"/>
      <c r="AP42" s="353"/>
      <c r="AQ42" s="353"/>
      <c r="AR42" s="353"/>
      <c r="AS42" s="353"/>
      <c r="AT42" s="353"/>
      <c r="AU42" s="353"/>
    </row>
    <row r="43" spans="1:47" s="291" customFormat="1" x14ac:dyDescent="0.2">
      <c r="A43" s="423">
        <f t="shared" si="11"/>
        <v>38</v>
      </c>
      <c r="B43" s="721" t="s">
        <v>5403</v>
      </c>
      <c r="C43" s="655">
        <v>521702</v>
      </c>
      <c r="D43" s="658">
        <v>2005</v>
      </c>
      <c r="E43" s="655" t="s">
        <v>701</v>
      </c>
      <c r="F43" s="546">
        <v>2017</v>
      </c>
      <c r="G43" s="659">
        <v>42955</v>
      </c>
      <c r="H43" s="655" t="s">
        <v>3694</v>
      </c>
      <c r="I43" s="655" t="s">
        <v>5652</v>
      </c>
      <c r="J43" s="712"/>
      <c r="K43" s="655" t="s">
        <v>5795</v>
      </c>
      <c r="L43" s="655" t="s">
        <v>5901</v>
      </c>
      <c r="M43" s="660">
        <v>183620.69</v>
      </c>
      <c r="N43" s="660">
        <v>0</v>
      </c>
      <c r="O43" s="660">
        <v>29379.31</v>
      </c>
      <c r="P43" s="660">
        <v>213000</v>
      </c>
      <c r="Q43" s="548"/>
      <c r="R43" s="660">
        <v>166862.53</v>
      </c>
      <c r="S43" s="549">
        <f t="shared" si="0"/>
        <v>46137.47</v>
      </c>
      <c r="T43" s="267" t="s">
        <v>131</v>
      </c>
      <c r="U43" s="626" t="str">
        <f t="shared" si="5"/>
        <v>AA11636</v>
      </c>
      <c r="V43" s="627" t="str">
        <f t="shared" si="6"/>
        <v>1679-TCN17</v>
      </c>
      <c r="W43" s="626">
        <f t="shared" si="7"/>
        <v>521702</v>
      </c>
      <c r="X43" s="626" t="str">
        <f t="shared" si="8"/>
        <v>YARIS CORE MT, SEDAN</v>
      </c>
      <c r="Y43" s="627">
        <f t="shared" si="8"/>
        <v>2017</v>
      </c>
      <c r="Z43" s="628">
        <f t="shared" si="9"/>
        <v>183620.69</v>
      </c>
      <c r="AA43" s="629"/>
      <c r="AB43" s="664"/>
      <c r="AC43" s="629">
        <f t="shared" si="1"/>
        <v>0.01</v>
      </c>
      <c r="AD43" s="630">
        <f t="shared" si="2"/>
        <v>0.02</v>
      </c>
      <c r="AE43" s="629">
        <f t="shared" si="3"/>
        <v>0</v>
      </c>
      <c r="AF43" s="629">
        <v>0</v>
      </c>
      <c r="AG43" s="555">
        <f t="shared" si="10"/>
        <v>0</v>
      </c>
      <c r="AH43" s="361"/>
      <c r="AI43" s="313"/>
      <c r="AJ43" s="296"/>
      <c r="AK43" s="296"/>
      <c r="AL43" s="374"/>
      <c r="AM43" s="374"/>
      <c r="AN43" s="296"/>
      <c r="AO43" s="296"/>
      <c r="AP43" s="296"/>
      <c r="AQ43" s="296"/>
      <c r="AR43" s="296"/>
      <c r="AS43" s="296"/>
      <c r="AT43" s="296"/>
      <c r="AU43" s="296"/>
    </row>
    <row r="44" spans="1:47" s="291" customFormat="1" x14ac:dyDescent="0.2">
      <c r="A44" s="423">
        <f t="shared" si="11"/>
        <v>39</v>
      </c>
      <c r="B44" s="721" t="s">
        <v>5410</v>
      </c>
      <c r="C44" s="655">
        <v>521702</v>
      </c>
      <c r="D44" s="658">
        <v>2005</v>
      </c>
      <c r="E44" s="655" t="s">
        <v>701</v>
      </c>
      <c r="F44" s="546">
        <v>2017</v>
      </c>
      <c r="G44" s="659">
        <v>42970</v>
      </c>
      <c r="H44" s="655" t="s">
        <v>722</v>
      </c>
      <c r="I44" s="655" t="s">
        <v>5659</v>
      </c>
      <c r="J44" s="712"/>
      <c r="K44" s="655" t="s">
        <v>5799</v>
      </c>
      <c r="L44" s="655" t="s">
        <v>5908</v>
      </c>
      <c r="M44" s="660">
        <v>183620.69</v>
      </c>
      <c r="N44" s="660">
        <v>0</v>
      </c>
      <c r="O44" s="660">
        <v>29379.31</v>
      </c>
      <c r="P44" s="660">
        <v>213000</v>
      </c>
      <c r="Q44" s="548"/>
      <c r="R44" s="660">
        <v>166508.04</v>
      </c>
      <c r="S44" s="549">
        <f t="shared" si="0"/>
        <v>46491.959999999992</v>
      </c>
      <c r="T44" s="267" t="s">
        <v>131</v>
      </c>
      <c r="U44" s="626" t="str">
        <f t="shared" si="5"/>
        <v>AA11721</v>
      </c>
      <c r="V44" s="627" t="str">
        <f t="shared" si="6"/>
        <v>1680-TCN17</v>
      </c>
      <c r="W44" s="626">
        <f t="shared" si="7"/>
        <v>521702</v>
      </c>
      <c r="X44" s="626" t="str">
        <f t="shared" si="8"/>
        <v>YARIS CORE MT, SEDAN</v>
      </c>
      <c r="Y44" s="627">
        <f t="shared" si="8"/>
        <v>2017</v>
      </c>
      <c r="Z44" s="628">
        <f t="shared" si="9"/>
        <v>183620.69</v>
      </c>
      <c r="AA44" s="629"/>
      <c r="AB44" s="664"/>
      <c r="AC44" s="629">
        <f t="shared" si="1"/>
        <v>0.01</v>
      </c>
      <c r="AD44" s="630">
        <f t="shared" si="2"/>
        <v>0.02</v>
      </c>
      <c r="AE44" s="629">
        <f t="shared" si="3"/>
        <v>0</v>
      </c>
      <c r="AF44" s="629">
        <v>0</v>
      </c>
      <c r="AG44" s="555">
        <f t="shared" si="10"/>
        <v>0</v>
      </c>
      <c r="AH44" s="361"/>
      <c r="AI44" s="313"/>
      <c r="AJ44" s="374"/>
      <c r="AK44" s="374"/>
      <c r="AL44" s="374"/>
      <c r="AM44" s="374"/>
      <c r="AN44" s="296"/>
      <c r="AO44" s="296"/>
      <c r="AP44" s="296"/>
      <c r="AQ44" s="296"/>
      <c r="AR44" s="296"/>
      <c r="AS44" s="296"/>
      <c r="AT44" s="296"/>
      <c r="AU44" s="296"/>
    </row>
    <row r="45" spans="1:47" s="291" customFormat="1" x14ac:dyDescent="0.2">
      <c r="A45" s="423">
        <f t="shared" si="11"/>
        <v>40</v>
      </c>
      <c r="B45" s="721" t="s">
        <v>5405</v>
      </c>
      <c r="C45" s="655">
        <v>521702</v>
      </c>
      <c r="D45" s="658">
        <v>2005</v>
      </c>
      <c r="E45" s="655" t="s">
        <v>701</v>
      </c>
      <c r="F45" s="546">
        <v>2017</v>
      </c>
      <c r="G45" s="659">
        <v>42963</v>
      </c>
      <c r="H45" s="655" t="s">
        <v>810</v>
      </c>
      <c r="I45" s="655" t="s">
        <v>5654</v>
      </c>
      <c r="J45" s="712"/>
      <c r="K45" s="655" t="s">
        <v>5797</v>
      </c>
      <c r="L45" s="655" t="s">
        <v>5903</v>
      </c>
      <c r="M45" s="660">
        <v>183620.69</v>
      </c>
      <c r="N45" s="660">
        <v>0</v>
      </c>
      <c r="O45" s="660">
        <v>29379.31</v>
      </c>
      <c r="P45" s="660">
        <v>213000</v>
      </c>
      <c r="Q45" s="548"/>
      <c r="R45" s="660">
        <v>166508.03</v>
      </c>
      <c r="S45" s="549">
        <f t="shared" si="0"/>
        <v>46491.97</v>
      </c>
      <c r="T45" s="113" t="s">
        <v>131</v>
      </c>
      <c r="U45" s="626" t="str">
        <f t="shared" si="5"/>
        <v>AA11670</v>
      </c>
      <c r="V45" s="627" t="str">
        <f t="shared" si="6"/>
        <v>1703-TCN17</v>
      </c>
      <c r="W45" s="626">
        <f t="shared" si="7"/>
        <v>521702</v>
      </c>
      <c r="X45" s="626" t="str">
        <f t="shared" si="8"/>
        <v>YARIS CORE MT, SEDAN</v>
      </c>
      <c r="Y45" s="627">
        <f t="shared" si="8"/>
        <v>2017</v>
      </c>
      <c r="Z45" s="628">
        <f t="shared" si="9"/>
        <v>183620.69</v>
      </c>
      <c r="AA45" s="629"/>
      <c r="AB45" s="664"/>
      <c r="AC45" s="629">
        <f t="shared" si="1"/>
        <v>0.01</v>
      </c>
      <c r="AD45" s="630">
        <f t="shared" si="2"/>
        <v>0.02</v>
      </c>
      <c r="AE45" s="629">
        <f t="shared" si="3"/>
        <v>0</v>
      </c>
      <c r="AF45" s="629">
        <v>0</v>
      </c>
      <c r="AG45" s="555">
        <f t="shared" si="10"/>
        <v>0</v>
      </c>
      <c r="AH45" s="361"/>
      <c r="AI45" s="313"/>
      <c r="AJ45" s="374"/>
      <c r="AK45" s="374"/>
      <c r="AL45" s="374"/>
      <c r="AM45" s="374"/>
      <c r="AN45" s="296"/>
      <c r="AO45" s="296"/>
      <c r="AP45" s="296"/>
      <c r="AQ45" s="296"/>
      <c r="AR45" s="296"/>
      <c r="AS45" s="296"/>
      <c r="AT45" s="296"/>
      <c r="AU45" s="296"/>
    </row>
    <row r="46" spans="1:47" s="291" customFormat="1" x14ac:dyDescent="0.2">
      <c r="A46" s="423">
        <f t="shared" si="11"/>
        <v>41</v>
      </c>
      <c r="B46" s="721" t="s">
        <v>5407</v>
      </c>
      <c r="C46" s="655">
        <v>521702</v>
      </c>
      <c r="D46" s="658">
        <v>2005</v>
      </c>
      <c r="E46" s="655" t="s">
        <v>701</v>
      </c>
      <c r="F46" s="546">
        <v>2017</v>
      </c>
      <c r="G46" s="659">
        <v>42968</v>
      </c>
      <c r="H46" s="655" t="s">
        <v>5621</v>
      </c>
      <c r="I46" s="655" t="s">
        <v>5656</v>
      </c>
      <c r="J46" s="712"/>
      <c r="K46" s="655" t="s">
        <v>5798</v>
      </c>
      <c r="L46" s="655" t="s">
        <v>5905</v>
      </c>
      <c r="M46" s="660">
        <v>183620.69</v>
      </c>
      <c r="N46" s="660">
        <v>0</v>
      </c>
      <c r="O46" s="660">
        <v>29379.31</v>
      </c>
      <c r="P46" s="660">
        <v>213000</v>
      </c>
      <c r="Q46" s="548"/>
      <c r="R46" s="660">
        <v>166508.04</v>
      </c>
      <c r="S46" s="549">
        <f t="shared" si="0"/>
        <v>46491.959999999992</v>
      </c>
      <c r="T46" s="113" t="s">
        <v>131</v>
      </c>
      <c r="U46" s="626" t="str">
        <f t="shared" si="5"/>
        <v>AA11690</v>
      </c>
      <c r="V46" s="627" t="str">
        <f t="shared" si="6"/>
        <v>1707-TCN17</v>
      </c>
      <c r="W46" s="626">
        <f t="shared" si="7"/>
        <v>521702</v>
      </c>
      <c r="X46" s="626" t="str">
        <f t="shared" si="8"/>
        <v>YARIS CORE MT, SEDAN</v>
      </c>
      <c r="Y46" s="627">
        <f t="shared" si="8"/>
        <v>2017</v>
      </c>
      <c r="Z46" s="628">
        <f t="shared" si="9"/>
        <v>183620.69</v>
      </c>
      <c r="AA46" s="629"/>
      <c r="AB46" s="664"/>
      <c r="AC46" s="629">
        <f t="shared" si="1"/>
        <v>0.01</v>
      </c>
      <c r="AD46" s="630">
        <f t="shared" si="2"/>
        <v>0.02</v>
      </c>
      <c r="AE46" s="629">
        <f t="shared" si="3"/>
        <v>0</v>
      </c>
      <c r="AF46" s="629">
        <v>0</v>
      </c>
      <c r="AG46" s="555">
        <f t="shared" si="10"/>
        <v>0</v>
      </c>
      <c r="AH46" s="361"/>
      <c r="AI46" s="313"/>
      <c r="AJ46" s="374"/>
      <c r="AK46" s="374"/>
      <c r="AL46" s="374"/>
      <c r="AM46" s="374"/>
      <c r="AN46" s="296"/>
      <c r="AO46" s="296"/>
      <c r="AP46" s="296"/>
      <c r="AQ46" s="296"/>
      <c r="AR46" s="296"/>
      <c r="AS46" s="296"/>
      <c r="AT46" s="296"/>
      <c r="AU46" s="296"/>
    </row>
    <row r="47" spans="1:47" s="291" customFormat="1" x14ac:dyDescent="0.2">
      <c r="A47" s="423">
        <f t="shared" si="11"/>
        <v>42</v>
      </c>
      <c r="B47" s="721" t="s">
        <v>5413</v>
      </c>
      <c r="C47" s="655">
        <v>521702</v>
      </c>
      <c r="D47" s="658">
        <v>2005</v>
      </c>
      <c r="E47" s="655" t="s">
        <v>701</v>
      </c>
      <c r="F47" s="546">
        <v>2017</v>
      </c>
      <c r="G47" s="659">
        <v>42978</v>
      </c>
      <c r="H47" s="655" t="s">
        <v>792</v>
      </c>
      <c r="I47" s="655" t="s">
        <v>5662</v>
      </c>
      <c r="J47" s="712"/>
      <c r="K47" s="655" t="s">
        <v>5801</v>
      </c>
      <c r="L47" s="655" t="s">
        <v>5911</v>
      </c>
      <c r="M47" s="660">
        <v>183620.69</v>
      </c>
      <c r="N47" s="660">
        <v>0</v>
      </c>
      <c r="O47" s="660">
        <v>29379.31</v>
      </c>
      <c r="P47" s="660">
        <v>213000</v>
      </c>
      <c r="Q47" s="548"/>
      <c r="R47" s="660">
        <v>166508.04</v>
      </c>
      <c r="S47" s="549">
        <f t="shared" si="0"/>
        <v>46491.959999999992</v>
      </c>
      <c r="T47" s="113" t="s">
        <v>131</v>
      </c>
      <c r="U47" s="626" t="str">
        <f t="shared" si="5"/>
        <v>AA11773</v>
      </c>
      <c r="V47" s="627" t="str">
        <f t="shared" si="6"/>
        <v>1723-TCN17</v>
      </c>
      <c r="W47" s="626">
        <f t="shared" si="7"/>
        <v>521702</v>
      </c>
      <c r="X47" s="626" t="str">
        <f t="shared" si="8"/>
        <v>YARIS CORE MT, SEDAN</v>
      </c>
      <c r="Y47" s="627">
        <f t="shared" si="8"/>
        <v>2017</v>
      </c>
      <c r="Z47" s="628">
        <f t="shared" si="9"/>
        <v>183620.69</v>
      </c>
      <c r="AA47" s="629"/>
      <c r="AB47" s="664"/>
      <c r="AC47" s="629">
        <f t="shared" si="1"/>
        <v>0.01</v>
      </c>
      <c r="AD47" s="630">
        <f t="shared" si="2"/>
        <v>0.02</v>
      </c>
      <c r="AE47" s="629">
        <f t="shared" si="3"/>
        <v>0</v>
      </c>
      <c r="AF47" s="629">
        <v>0</v>
      </c>
      <c r="AG47" s="555">
        <f t="shared" si="10"/>
        <v>0</v>
      </c>
      <c r="AH47" s="361"/>
      <c r="AI47" s="313"/>
      <c r="AJ47" s="374"/>
      <c r="AK47" s="374"/>
      <c r="AL47" s="374"/>
      <c r="AM47" s="374"/>
      <c r="AN47" s="296"/>
      <c r="AO47" s="296"/>
      <c r="AP47" s="296"/>
      <c r="AQ47" s="296"/>
      <c r="AR47" s="296"/>
      <c r="AS47" s="296"/>
      <c r="AT47" s="296"/>
      <c r="AU47" s="296"/>
    </row>
    <row r="48" spans="1:47" s="291" customFormat="1" x14ac:dyDescent="0.2">
      <c r="A48" s="423">
        <f t="shared" si="11"/>
        <v>43</v>
      </c>
      <c r="B48" s="721" t="s">
        <v>5414</v>
      </c>
      <c r="C48" s="655">
        <v>521702</v>
      </c>
      <c r="D48" s="658">
        <v>2005</v>
      </c>
      <c r="E48" s="655" t="s">
        <v>701</v>
      </c>
      <c r="F48" s="546">
        <v>2017</v>
      </c>
      <c r="G48" s="659">
        <v>42978</v>
      </c>
      <c r="H48" s="655" t="s">
        <v>817</v>
      </c>
      <c r="I48" s="655" t="s">
        <v>5663</v>
      </c>
      <c r="J48" s="712"/>
      <c r="K48" s="655" t="s">
        <v>5802</v>
      </c>
      <c r="L48" s="655" t="s">
        <v>5912</v>
      </c>
      <c r="M48" s="660">
        <v>183620.69</v>
      </c>
      <c r="N48" s="660">
        <v>0</v>
      </c>
      <c r="O48" s="660">
        <v>29379.31</v>
      </c>
      <c r="P48" s="660">
        <v>213000</v>
      </c>
      <c r="Q48" s="548"/>
      <c r="R48" s="660">
        <v>166508.04</v>
      </c>
      <c r="S48" s="549">
        <f t="shared" si="0"/>
        <v>46491.959999999992</v>
      </c>
      <c r="T48" s="113" t="s">
        <v>131</v>
      </c>
      <c r="U48" s="626" t="str">
        <f t="shared" si="5"/>
        <v>AA11787</v>
      </c>
      <c r="V48" s="627" t="str">
        <f t="shared" si="6"/>
        <v>1734-TCN17</v>
      </c>
      <c r="W48" s="626">
        <f t="shared" si="7"/>
        <v>521702</v>
      </c>
      <c r="X48" s="626" t="str">
        <f t="shared" si="8"/>
        <v>YARIS CORE MT, SEDAN</v>
      </c>
      <c r="Y48" s="627">
        <f t="shared" si="8"/>
        <v>2017</v>
      </c>
      <c r="Z48" s="628">
        <f t="shared" si="9"/>
        <v>183620.69</v>
      </c>
      <c r="AA48" s="629"/>
      <c r="AB48" s="664"/>
      <c r="AC48" s="629">
        <f t="shared" si="1"/>
        <v>0.01</v>
      </c>
      <c r="AD48" s="630">
        <f t="shared" si="2"/>
        <v>0.02</v>
      </c>
      <c r="AE48" s="629">
        <f t="shared" si="3"/>
        <v>0</v>
      </c>
      <c r="AF48" s="629">
        <v>0</v>
      </c>
      <c r="AG48" s="555">
        <f t="shared" si="10"/>
        <v>0</v>
      </c>
      <c r="AH48" s="361"/>
      <c r="AI48" s="313"/>
      <c r="AJ48" s="374"/>
      <c r="AK48" s="374"/>
      <c r="AL48" s="374"/>
      <c r="AM48" s="374"/>
      <c r="AN48" s="296"/>
      <c r="AO48" s="296"/>
      <c r="AP48" s="296"/>
      <c r="AQ48" s="296"/>
      <c r="AR48" s="296"/>
      <c r="AS48" s="296"/>
      <c r="AT48" s="296"/>
      <c r="AU48" s="296"/>
    </row>
    <row r="49" spans="1:47" s="291" customFormat="1" x14ac:dyDescent="0.2">
      <c r="A49" s="423">
        <f t="shared" si="11"/>
        <v>44</v>
      </c>
      <c r="B49" s="721" t="s">
        <v>5415</v>
      </c>
      <c r="C49" s="655">
        <v>521702</v>
      </c>
      <c r="D49" s="658">
        <v>2005</v>
      </c>
      <c r="E49" s="655" t="s">
        <v>701</v>
      </c>
      <c r="F49" s="546">
        <v>2017</v>
      </c>
      <c r="G49" s="659">
        <v>42978</v>
      </c>
      <c r="H49" s="655" t="s">
        <v>792</v>
      </c>
      <c r="I49" s="655" t="s">
        <v>5664</v>
      </c>
      <c r="J49" s="712"/>
      <c r="K49" s="655" t="s">
        <v>5803</v>
      </c>
      <c r="L49" s="655" t="s">
        <v>5913</v>
      </c>
      <c r="M49" s="660">
        <v>183620.69</v>
      </c>
      <c r="N49" s="660">
        <v>0</v>
      </c>
      <c r="O49" s="660">
        <v>29379.31</v>
      </c>
      <c r="P49" s="660">
        <v>213000</v>
      </c>
      <c r="Q49" s="548"/>
      <c r="R49" s="660">
        <v>166508.04</v>
      </c>
      <c r="S49" s="549">
        <f t="shared" si="0"/>
        <v>46491.959999999992</v>
      </c>
      <c r="T49" s="113" t="s">
        <v>131</v>
      </c>
      <c r="U49" s="626" t="str">
        <f t="shared" si="5"/>
        <v>AA11781</v>
      </c>
      <c r="V49" s="627" t="str">
        <f t="shared" si="6"/>
        <v>1735-TCN17</v>
      </c>
      <c r="W49" s="626">
        <f t="shared" si="7"/>
        <v>521702</v>
      </c>
      <c r="X49" s="626" t="str">
        <f t="shared" si="8"/>
        <v>YARIS CORE MT, SEDAN</v>
      </c>
      <c r="Y49" s="627">
        <f t="shared" si="8"/>
        <v>2017</v>
      </c>
      <c r="Z49" s="628">
        <f t="shared" si="9"/>
        <v>183620.69</v>
      </c>
      <c r="AA49" s="629">
        <f>+SUM(Z41:Z49)</f>
        <v>1652586.2099999997</v>
      </c>
      <c r="AB49" s="665">
        <v>9</v>
      </c>
      <c r="AC49" s="629">
        <f t="shared" si="1"/>
        <v>0.01</v>
      </c>
      <c r="AD49" s="630">
        <f t="shared" si="2"/>
        <v>0.02</v>
      </c>
      <c r="AE49" s="629">
        <f t="shared" si="3"/>
        <v>0</v>
      </c>
      <c r="AF49" s="629">
        <v>0</v>
      </c>
      <c r="AG49" s="555">
        <f t="shared" si="10"/>
        <v>0</v>
      </c>
      <c r="AH49" s="361"/>
      <c r="AI49" s="313"/>
      <c r="AJ49" s="374"/>
      <c r="AK49" s="374"/>
      <c r="AL49" s="374"/>
      <c r="AM49" s="374"/>
      <c r="AN49" s="296"/>
      <c r="AO49" s="296"/>
      <c r="AP49" s="296"/>
      <c r="AQ49" s="296"/>
      <c r="AR49" s="296"/>
      <c r="AS49" s="296"/>
      <c r="AT49" s="296"/>
      <c r="AU49" s="296"/>
    </row>
    <row r="50" spans="1:47" s="291" customFormat="1" x14ac:dyDescent="0.2">
      <c r="A50" s="423">
        <f t="shared" si="11"/>
        <v>45</v>
      </c>
      <c r="B50" s="721" t="s">
        <v>5421</v>
      </c>
      <c r="C50" s="655">
        <v>521707</v>
      </c>
      <c r="D50" s="658">
        <v>2006</v>
      </c>
      <c r="E50" s="655" t="s">
        <v>702</v>
      </c>
      <c r="F50" s="546">
        <v>2017</v>
      </c>
      <c r="G50" s="659">
        <v>42968</v>
      </c>
      <c r="H50" s="655" t="s">
        <v>2213</v>
      </c>
      <c r="I50" s="655" t="s">
        <v>5670</v>
      </c>
      <c r="J50" s="712"/>
      <c r="K50" s="655" t="s">
        <v>5808</v>
      </c>
      <c r="L50" s="655" t="s">
        <v>5919</v>
      </c>
      <c r="M50" s="660">
        <v>201982.76</v>
      </c>
      <c r="N50" s="660">
        <v>0</v>
      </c>
      <c r="O50" s="660">
        <v>32317.24</v>
      </c>
      <c r="P50" s="660">
        <v>234300</v>
      </c>
      <c r="Q50" s="548"/>
      <c r="R50" s="660">
        <v>183052.26</v>
      </c>
      <c r="S50" s="549">
        <f t="shared" si="0"/>
        <v>51247.739999999991</v>
      </c>
      <c r="T50" s="113" t="s">
        <v>131</v>
      </c>
      <c r="U50" s="626" t="str">
        <f t="shared" si="5"/>
        <v>AA11689</v>
      </c>
      <c r="V50" s="627" t="str">
        <f t="shared" si="6"/>
        <v>1281-TCN17</v>
      </c>
      <c r="W50" s="626">
        <f t="shared" si="7"/>
        <v>521707</v>
      </c>
      <c r="X50" s="626" t="str">
        <f t="shared" si="8"/>
        <v>YARIS CORE,SEDAN CVT.</v>
      </c>
      <c r="Y50" s="627">
        <f t="shared" si="8"/>
        <v>2017</v>
      </c>
      <c r="Z50" s="628">
        <f t="shared" si="9"/>
        <v>201982.76</v>
      </c>
      <c r="AA50" s="629"/>
      <c r="AB50" s="664"/>
      <c r="AC50" s="629">
        <f t="shared" si="1"/>
        <v>0.01</v>
      </c>
      <c r="AD50" s="630">
        <f t="shared" si="2"/>
        <v>0.02</v>
      </c>
      <c r="AE50" s="629">
        <f t="shared" si="3"/>
        <v>0</v>
      </c>
      <c r="AF50" s="629">
        <v>0</v>
      </c>
      <c r="AG50" s="555">
        <f t="shared" si="10"/>
        <v>0</v>
      </c>
      <c r="AH50" s="361"/>
      <c r="AI50" s="313"/>
      <c r="AJ50" s="374"/>
      <c r="AK50" s="374"/>
      <c r="AL50" s="374"/>
      <c r="AM50" s="374"/>
      <c r="AN50" s="296"/>
      <c r="AO50" s="296"/>
      <c r="AP50" s="296"/>
      <c r="AQ50" s="296"/>
      <c r="AR50" s="296"/>
      <c r="AS50" s="296"/>
      <c r="AT50" s="296"/>
      <c r="AU50" s="296"/>
    </row>
    <row r="51" spans="1:47" s="291" customFormat="1" x14ac:dyDescent="0.2">
      <c r="A51" s="423">
        <f t="shared" si="11"/>
        <v>46</v>
      </c>
      <c r="B51" s="721" t="s">
        <v>5418</v>
      </c>
      <c r="C51" s="655">
        <v>521707</v>
      </c>
      <c r="D51" s="658">
        <v>2006</v>
      </c>
      <c r="E51" s="655" t="s">
        <v>702</v>
      </c>
      <c r="F51" s="546">
        <v>2017</v>
      </c>
      <c r="G51" s="659">
        <v>42962</v>
      </c>
      <c r="H51" s="655" t="s">
        <v>819</v>
      </c>
      <c r="I51" s="655" t="s">
        <v>5667</v>
      </c>
      <c r="J51" s="712"/>
      <c r="K51" s="655" t="s">
        <v>5805</v>
      </c>
      <c r="L51" s="655" t="s">
        <v>5916</v>
      </c>
      <c r="M51" s="660">
        <v>201982.76</v>
      </c>
      <c r="N51" s="660">
        <v>0</v>
      </c>
      <c r="O51" s="660">
        <v>32317.24</v>
      </c>
      <c r="P51" s="660">
        <v>234300</v>
      </c>
      <c r="Q51" s="548"/>
      <c r="R51" s="660">
        <v>183052.26</v>
      </c>
      <c r="S51" s="549">
        <f t="shared" si="0"/>
        <v>51247.739999999991</v>
      </c>
      <c r="T51" s="113" t="s">
        <v>131</v>
      </c>
      <c r="U51" s="626" t="str">
        <f t="shared" si="5"/>
        <v>AA11668</v>
      </c>
      <c r="V51" s="627" t="str">
        <f t="shared" si="6"/>
        <v>1315-TCN17</v>
      </c>
      <c r="W51" s="626">
        <f t="shared" si="7"/>
        <v>521707</v>
      </c>
      <c r="X51" s="626" t="str">
        <f t="shared" si="8"/>
        <v>YARIS CORE,SEDAN CVT.</v>
      </c>
      <c r="Y51" s="627">
        <f t="shared" si="8"/>
        <v>2017</v>
      </c>
      <c r="Z51" s="628">
        <f t="shared" si="9"/>
        <v>201982.76</v>
      </c>
      <c r="AA51" s="629"/>
      <c r="AB51" s="664"/>
      <c r="AC51" s="629">
        <f t="shared" ref="AC51" si="38">VLOOKUP(Z51,TARIFA,1)</f>
        <v>0.01</v>
      </c>
      <c r="AD51" s="630">
        <f t="shared" ref="AD51" si="39">VLOOKUP(Z51,TARIFA,4)</f>
        <v>0.02</v>
      </c>
      <c r="AE51" s="629">
        <f t="shared" ref="AE51" si="40">VLOOKUP(Z51,TARIFA,3)</f>
        <v>0</v>
      </c>
      <c r="AF51" s="629">
        <v>0</v>
      </c>
      <c r="AG51" s="555">
        <f t="shared" si="10"/>
        <v>0</v>
      </c>
      <c r="AH51" s="361"/>
      <c r="AI51" s="313"/>
      <c r="AJ51" s="374"/>
      <c r="AK51" s="374"/>
      <c r="AL51" s="374"/>
      <c r="AM51" s="374"/>
      <c r="AN51" s="296"/>
      <c r="AO51" s="296"/>
      <c r="AP51" s="296"/>
      <c r="AQ51" s="296"/>
      <c r="AR51" s="296"/>
      <c r="AS51" s="296"/>
      <c r="AT51" s="296"/>
      <c r="AU51" s="296"/>
    </row>
    <row r="52" spans="1:47" s="291" customFormat="1" x14ac:dyDescent="0.2">
      <c r="A52" s="423">
        <f t="shared" si="11"/>
        <v>47</v>
      </c>
      <c r="B52" s="721" t="s">
        <v>5426</v>
      </c>
      <c r="C52" s="655">
        <v>521707</v>
      </c>
      <c r="D52" s="658">
        <v>2006</v>
      </c>
      <c r="E52" s="655" t="s">
        <v>702</v>
      </c>
      <c r="F52" s="546">
        <v>2017</v>
      </c>
      <c r="G52" s="659">
        <v>42978</v>
      </c>
      <c r="H52" s="655" t="s">
        <v>2215</v>
      </c>
      <c r="I52" s="655" t="s">
        <v>5666</v>
      </c>
      <c r="J52" s="712"/>
      <c r="K52" s="655" t="s">
        <v>5810</v>
      </c>
      <c r="L52" s="655" t="s">
        <v>5915</v>
      </c>
      <c r="M52" s="660">
        <v>201982.76</v>
      </c>
      <c r="N52" s="660">
        <v>0</v>
      </c>
      <c r="O52" s="660">
        <v>32317.24</v>
      </c>
      <c r="P52" s="660">
        <v>234300</v>
      </c>
      <c r="Q52" s="548"/>
      <c r="R52" s="660">
        <v>183052.26</v>
      </c>
      <c r="S52" s="549">
        <f t="shared" si="0"/>
        <v>51247.739999999991</v>
      </c>
      <c r="T52" s="267" t="s">
        <v>131</v>
      </c>
      <c r="U52" s="626" t="str">
        <f t="shared" si="5"/>
        <v>AA11774</v>
      </c>
      <c r="V52" s="627" t="str">
        <f t="shared" si="6"/>
        <v>1340-TCN17</v>
      </c>
      <c r="W52" s="626">
        <f t="shared" si="7"/>
        <v>521707</v>
      </c>
      <c r="X52" s="626" t="str">
        <f t="shared" si="8"/>
        <v>YARIS CORE,SEDAN CVT.</v>
      </c>
      <c r="Y52" s="627">
        <f t="shared" si="8"/>
        <v>2017</v>
      </c>
      <c r="Z52" s="628">
        <f t="shared" si="9"/>
        <v>201982.76</v>
      </c>
      <c r="AA52" s="629"/>
      <c r="AB52" s="664"/>
      <c r="AC52" s="629">
        <f t="shared" si="1"/>
        <v>0.01</v>
      </c>
      <c r="AD52" s="630">
        <f t="shared" si="2"/>
        <v>0.02</v>
      </c>
      <c r="AE52" s="629">
        <f t="shared" si="3"/>
        <v>0</v>
      </c>
      <c r="AF52" s="629">
        <v>0</v>
      </c>
      <c r="AG52" s="555">
        <f t="shared" si="10"/>
        <v>0</v>
      </c>
      <c r="AH52" s="361"/>
      <c r="AI52" s="313"/>
      <c r="AJ52" s="374"/>
      <c r="AK52" s="374"/>
      <c r="AL52" s="374"/>
      <c r="AM52" s="374"/>
      <c r="AN52" s="296"/>
      <c r="AO52" s="296"/>
      <c r="AP52" s="296"/>
      <c r="AQ52" s="296"/>
      <c r="AR52" s="296"/>
      <c r="AS52" s="296"/>
      <c r="AT52" s="296"/>
      <c r="AU52" s="296"/>
    </row>
    <row r="53" spans="1:47" s="291" customFormat="1" x14ac:dyDescent="0.2">
      <c r="A53" s="423">
        <f t="shared" si="11"/>
        <v>48</v>
      </c>
      <c r="B53" s="721" t="s">
        <v>5419</v>
      </c>
      <c r="C53" s="655">
        <v>521707</v>
      </c>
      <c r="D53" s="658">
        <v>2006</v>
      </c>
      <c r="E53" s="655" t="s">
        <v>702</v>
      </c>
      <c r="F53" s="546">
        <v>2017</v>
      </c>
      <c r="G53" s="659">
        <v>42962</v>
      </c>
      <c r="H53" s="655" t="s">
        <v>727</v>
      </c>
      <c r="I53" s="655" t="s">
        <v>5668</v>
      </c>
      <c r="J53" s="712"/>
      <c r="K53" s="655" t="s">
        <v>5806</v>
      </c>
      <c r="L53" s="655" t="s">
        <v>5917</v>
      </c>
      <c r="M53" s="660">
        <v>201982.76</v>
      </c>
      <c r="N53" s="660">
        <v>0</v>
      </c>
      <c r="O53" s="660">
        <v>32317.24</v>
      </c>
      <c r="P53" s="660">
        <v>234300</v>
      </c>
      <c r="Q53" s="548"/>
      <c r="R53" s="660">
        <v>183052.26</v>
      </c>
      <c r="S53" s="549">
        <f t="shared" si="0"/>
        <v>51247.739999999991</v>
      </c>
      <c r="T53" s="113" t="s">
        <v>131</v>
      </c>
      <c r="U53" s="626" t="str">
        <f t="shared" si="5"/>
        <v>AA11663</v>
      </c>
      <c r="V53" s="627" t="str">
        <f t="shared" si="6"/>
        <v>1474-TCN17</v>
      </c>
      <c r="W53" s="626">
        <f t="shared" si="7"/>
        <v>521707</v>
      </c>
      <c r="X53" s="626" t="str">
        <f t="shared" si="8"/>
        <v>YARIS CORE,SEDAN CVT.</v>
      </c>
      <c r="Y53" s="627">
        <f t="shared" si="8"/>
        <v>2017</v>
      </c>
      <c r="Z53" s="628">
        <f t="shared" si="9"/>
        <v>201982.76</v>
      </c>
      <c r="AA53" s="629"/>
      <c r="AB53" s="664"/>
      <c r="AC53" s="629">
        <f t="shared" si="1"/>
        <v>0.01</v>
      </c>
      <c r="AD53" s="630">
        <f t="shared" si="2"/>
        <v>0.02</v>
      </c>
      <c r="AE53" s="629">
        <f t="shared" si="3"/>
        <v>0</v>
      </c>
      <c r="AF53" s="629">
        <v>0</v>
      </c>
      <c r="AG53" s="555">
        <f t="shared" si="10"/>
        <v>0</v>
      </c>
      <c r="AH53" s="361"/>
      <c r="AI53" s="313"/>
      <c r="AJ53" s="374"/>
      <c r="AK53" s="374"/>
      <c r="AL53" s="374"/>
      <c r="AM53" s="374"/>
      <c r="AN53" s="296"/>
      <c r="AO53" s="296"/>
      <c r="AP53" s="296"/>
      <c r="AQ53" s="296"/>
      <c r="AR53" s="296"/>
      <c r="AS53" s="296"/>
      <c r="AT53" s="296"/>
      <c r="AU53" s="296"/>
    </row>
    <row r="54" spans="1:47" s="291" customFormat="1" x14ac:dyDescent="0.2">
      <c r="A54" s="423">
        <f t="shared" si="11"/>
        <v>49</v>
      </c>
      <c r="B54" s="721" t="s">
        <v>5416</v>
      </c>
      <c r="C54" s="655">
        <v>521707</v>
      </c>
      <c r="D54" s="658">
        <v>2006</v>
      </c>
      <c r="E54" s="655" t="s">
        <v>702</v>
      </c>
      <c r="F54" s="546">
        <v>2017</v>
      </c>
      <c r="G54" s="659">
        <v>42948</v>
      </c>
      <c r="H54" s="655" t="s">
        <v>819</v>
      </c>
      <c r="I54" s="655" t="s">
        <v>5665</v>
      </c>
      <c r="J54" s="712"/>
      <c r="K54" s="655" t="s">
        <v>1008</v>
      </c>
      <c r="L54" s="655" t="s">
        <v>5914</v>
      </c>
      <c r="M54" s="660">
        <v>201982.76</v>
      </c>
      <c r="N54" s="660">
        <v>0</v>
      </c>
      <c r="O54" s="660">
        <v>32317.24</v>
      </c>
      <c r="P54" s="660">
        <v>234300</v>
      </c>
      <c r="Q54" s="548"/>
      <c r="R54" s="660">
        <v>183052.26</v>
      </c>
      <c r="S54" s="549">
        <f t="shared" si="0"/>
        <v>51247.739999999991</v>
      </c>
      <c r="T54" s="267" t="s">
        <v>131</v>
      </c>
      <c r="U54" s="626" t="str">
        <f t="shared" si="5"/>
        <v>AA11589</v>
      </c>
      <c r="V54" s="627" t="str">
        <f t="shared" si="6"/>
        <v>1515-TCN17</v>
      </c>
      <c r="W54" s="626">
        <f t="shared" si="7"/>
        <v>521707</v>
      </c>
      <c r="X54" s="626" t="str">
        <f t="shared" si="8"/>
        <v>YARIS CORE,SEDAN CVT.</v>
      </c>
      <c r="Y54" s="627">
        <f t="shared" si="8"/>
        <v>2017</v>
      </c>
      <c r="Z54" s="628">
        <f t="shared" si="9"/>
        <v>201982.76</v>
      </c>
      <c r="AA54" s="629"/>
      <c r="AB54" s="664"/>
      <c r="AC54" s="629">
        <f t="shared" si="1"/>
        <v>0.01</v>
      </c>
      <c r="AD54" s="630">
        <f t="shared" si="2"/>
        <v>0.02</v>
      </c>
      <c r="AE54" s="629">
        <f t="shared" si="3"/>
        <v>0</v>
      </c>
      <c r="AF54" s="629">
        <v>0</v>
      </c>
      <c r="AG54" s="555">
        <f t="shared" si="10"/>
        <v>0</v>
      </c>
      <c r="AH54" s="361"/>
      <c r="AI54" s="313"/>
      <c r="AJ54" s="374"/>
      <c r="AK54" s="374"/>
      <c r="AL54" s="374"/>
      <c r="AM54" s="374"/>
      <c r="AN54" s="296"/>
      <c r="AO54" s="296"/>
      <c r="AP54" s="296"/>
      <c r="AQ54" s="296"/>
      <c r="AR54" s="296"/>
      <c r="AS54" s="296"/>
      <c r="AT54" s="296"/>
      <c r="AU54" s="296"/>
    </row>
    <row r="55" spans="1:47" s="291" customFormat="1" x14ac:dyDescent="0.2">
      <c r="A55" s="423">
        <f t="shared" si="11"/>
        <v>50</v>
      </c>
      <c r="B55" s="721" t="s">
        <v>5420</v>
      </c>
      <c r="C55" s="655">
        <v>521707</v>
      </c>
      <c r="D55" s="658">
        <v>2006</v>
      </c>
      <c r="E55" s="655" t="s">
        <v>702</v>
      </c>
      <c r="F55" s="546">
        <v>2017</v>
      </c>
      <c r="G55" s="659">
        <v>42965</v>
      </c>
      <c r="H55" s="655" t="s">
        <v>727</v>
      </c>
      <c r="I55" s="655" t="s">
        <v>5669</v>
      </c>
      <c r="J55" s="712"/>
      <c r="K55" s="655" t="s">
        <v>5807</v>
      </c>
      <c r="L55" s="655" t="s">
        <v>5918</v>
      </c>
      <c r="M55" s="660">
        <v>201982.76</v>
      </c>
      <c r="N55" s="660">
        <v>0</v>
      </c>
      <c r="O55" s="660">
        <v>32317.24</v>
      </c>
      <c r="P55" s="660">
        <v>234300</v>
      </c>
      <c r="Q55" s="548"/>
      <c r="R55" s="660">
        <v>183052.26</v>
      </c>
      <c r="S55" s="549">
        <f t="shared" si="0"/>
        <v>51247.739999999991</v>
      </c>
      <c r="T55" s="113" t="s">
        <v>131</v>
      </c>
      <c r="U55" s="626" t="str">
        <f t="shared" si="5"/>
        <v>AA11681</v>
      </c>
      <c r="V55" s="627" t="str">
        <f t="shared" si="6"/>
        <v>1589-TCN17</v>
      </c>
      <c r="W55" s="626">
        <f t="shared" si="7"/>
        <v>521707</v>
      </c>
      <c r="X55" s="626" t="str">
        <f t="shared" si="8"/>
        <v>YARIS CORE,SEDAN CVT.</v>
      </c>
      <c r="Y55" s="627">
        <f t="shared" si="8"/>
        <v>2017</v>
      </c>
      <c r="Z55" s="628">
        <f t="shared" si="9"/>
        <v>201982.76</v>
      </c>
      <c r="AA55" s="629"/>
      <c r="AB55" s="664"/>
      <c r="AC55" s="629">
        <f t="shared" ref="AC55" si="41">VLOOKUP(Z55,TARIFA,1)</f>
        <v>0.01</v>
      </c>
      <c r="AD55" s="630">
        <f t="shared" ref="AD55" si="42">VLOOKUP(Z55,TARIFA,4)</f>
        <v>0.02</v>
      </c>
      <c r="AE55" s="629">
        <f t="shared" ref="AE55" si="43">VLOOKUP(Z55,TARIFA,3)</f>
        <v>0</v>
      </c>
      <c r="AF55" s="629">
        <v>0</v>
      </c>
      <c r="AG55" s="555">
        <f t="shared" si="10"/>
        <v>0</v>
      </c>
      <c r="AH55" s="361"/>
      <c r="AI55" s="313"/>
      <c r="AJ55" s="374"/>
      <c r="AK55" s="374"/>
      <c r="AL55" s="374"/>
      <c r="AM55" s="374"/>
      <c r="AN55" s="296"/>
      <c r="AO55" s="296"/>
      <c r="AP55" s="296"/>
      <c r="AQ55" s="296"/>
      <c r="AR55" s="296"/>
      <c r="AS55" s="296"/>
      <c r="AT55" s="296"/>
      <c r="AU55" s="296"/>
    </row>
    <row r="56" spans="1:47" s="291" customFormat="1" x14ac:dyDescent="0.2">
      <c r="A56" s="423">
        <f t="shared" si="11"/>
        <v>51</v>
      </c>
      <c r="B56" s="721" t="s">
        <v>5422</v>
      </c>
      <c r="C56" s="655">
        <v>521707</v>
      </c>
      <c r="D56" s="658">
        <v>2006</v>
      </c>
      <c r="E56" s="655" t="s">
        <v>702</v>
      </c>
      <c r="F56" s="546">
        <v>2017</v>
      </c>
      <c r="G56" s="659">
        <v>42972</v>
      </c>
      <c r="H56" s="655" t="s">
        <v>788</v>
      </c>
      <c r="I56" s="655" t="s">
        <v>5671</v>
      </c>
      <c r="J56" s="712"/>
      <c r="K56" s="655" t="s">
        <v>5809</v>
      </c>
      <c r="L56" s="655" t="s">
        <v>5920</v>
      </c>
      <c r="M56" s="660">
        <v>201982.76</v>
      </c>
      <c r="N56" s="660">
        <v>0</v>
      </c>
      <c r="O56" s="660">
        <v>32317.24</v>
      </c>
      <c r="P56" s="660">
        <v>234300</v>
      </c>
      <c r="Q56" s="548"/>
      <c r="R56" s="660">
        <v>183052.26</v>
      </c>
      <c r="S56" s="549">
        <f t="shared" si="0"/>
        <v>51247.739999999991</v>
      </c>
      <c r="T56" s="267" t="s">
        <v>131</v>
      </c>
      <c r="U56" s="626" t="str">
        <f t="shared" si="5"/>
        <v>AA11734</v>
      </c>
      <c r="V56" s="627" t="str">
        <f t="shared" si="6"/>
        <v>1593-TCN17</v>
      </c>
      <c r="W56" s="626">
        <f t="shared" si="7"/>
        <v>521707</v>
      </c>
      <c r="X56" s="626" t="str">
        <f t="shared" si="8"/>
        <v>YARIS CORE,SEDAN CVT.</v>
      </c>
      <c r="Y56" s="627">
        <f t="shared" si="8"/>
        <v>2017</v>
      </c>
      <c r="Z56" s="628">
        <f t="shared" si="9"/>
        <v>201982.76</v>
      </c>
      <c r="AA56" s="629">
        <f>+SUM(Z50:Z56)</f>
        <v>1413879.32</v>
      </c>
      <c r="AB56" s="665">
        <v>7</v>
      </c>
      <c r="AC56" s="629">
        <f t="shared" si="1"/>
        <v>0.01</v>
      </c>
      <c r="AD56" s="630">
        <f t="shared" si="2"/>
        <v>0.02</v>
      </c>
      <c r="AE56" s="629">
        <f t="shared" si="3"/>
        <v>0</v>
      </c>
      <c r="AF56" s="629">
        <v>0</v>
      </c>
      <c r="AG56" s="555">
        <f t="shared" si="10"/>
        <v>0</v>
      </c>
      <c r="AH56" s="361"/>
      <c r="AI56" s="313"/>
      <c r="AJ56" s="374"/>
      <c r="AK56" s="374"/>
      <c r="AL56" s="374"/>
      <c r="AM56" s="374"/>
      <c r="AN56" s="296"/>
      <c r="AO56" s="296"/>
      <c r="AP56" s="296"/>
      <c r="AQ56" s="296"/>
      <c r="AR56" s="296"/>
      <c r="AS56" s="296"/>
      <c r="AT56" s="296"/>
      <c r="AU56" s="296"/>
    </row>
    <row r="57" spans="1:47" s="291" customFormat="1" x14ac:dyDescent="0.2">
      <c r="A57" s="423">
        <f t="shared" si="11"/>
        <v>52</v>
      </c>
      <c r="B57" s="721" t="s">
        <v>5434</v>
      </c>
      <c r="C57" s="655">
        <v>521801</v>
      </c>
      <c r="D57" s="658">
        <v>2201</v>
      </c>
      <c r="E57" s="655" t="s">
        <v>704</v>
      </c>
      <c r="F57" s="546">
        <v>2017</v>
      </c>
      <c r="G57" s="659">
        <v>42949</v>
      </c>
      <c r="H57" s="655" t="s">
        <v>2216</v>
      </c>
      <c r="I57" s="655" t="s">
        <v>5673</v>
      </c>
      <c r="J57" s="712"/>
      <c r="K57" s="655" t="s">
        <v>5812</v>
      </c>
      <c r="L57" s="655" t="s">
        <v>5922</v>
      </c>
      <c r="M57" s="660">
        <v>197672.41</v>
      </c>
      <c r="N57" s="660">
        <v>0</v>
      </c>
      <c r="O57" s="660">
        <v>31627.59</v>
      </c>
      <c r="P57" s="660">
        <v>229300</v>
      </c>
      <c r="Q57" s="548"/>
      <c r="R57" s="660">
        <v>183632.36</v>
      </c>
      <c r="S57" s="549">
        <f t="shared" si="0"/>
        <v>45667.640000000014</v>
      </c>
      <c r="T57" s="267" t="s">
        <v>131</v>
      </c>
      <c r="U57" s="626" t="str">
        <f t="shared" si="5"/>
        <v>AA11601</v>
      </c>
      <c r="V57" s="627" t="str">
        <f t="shared" si="6"/>
        <v>1550-TCN17</v>
      </c>
      <c r="W57" s="626">
        <f t="shared" si="7"/>
        <v>521801</v>
      </c>
      <c r="X57" s="626" t="str">
        <f t="shared" si="8"/>
        <v>AVANZA HI 5MT</v>
      </c>
      <c r="Y57" s="627">
        <f t="shared" si="8"/>
        <v>2017</v>
      </c>
      <c r="Z57" s="628">
        <f t="shared" si="9"/>
        <v>197672.41</v>
      </c>
      <c r="AA57" s="629"/>
      <c r="AB57" s="664"/>
      <c r="AC57" s="629">
        <f>VLOOKUP(Z57,TARIFA,1)</f>
        <v>0.01</v>
      </c>
      <c r="AD57" s="630">
        <f>VLOOKUP(Z57,TARIFA,4)</f>
        <v>0.02</v>
      </c>
      <c r="AE57" s="629">
        <f>VLOOKUP(Z57,TARIFA,3)</f>
        <v>0</v>
      </c>
      <c r="AF57" s="629">
        <f>+N57</f>
        <v>0</v>
      </c>
      <c r="AG57" s="555">
        <f t="shared" si="10"/>
        <v>0</v>
      </c>
      <c r="AH57" s="361"/>
      <c r="AI57" s="313"/>
      <c r="AJ57" s="374"/>
      <c r="AK57" s="374"/>
      <c r="AL57" s="374"/>
      <c r="AM57" s="374"/>
      <c r="AN57" s="296"/>
      <c r="AO57" s="296"/>
      <c r="AP57" s="296"/>
      <c r="AQ57" s="296"/>
      <c r="AR57" s="296"/>
      <c r="AS57" s="296"/>
      <c r="AT57" s="296"/>
      <c r="AU57" s="296"/>
    </row>
    <row r="58" spans="1:47" s="348" customFormat="1" x14ac:dyDescent="0.2">
      <c r="A58" s="423">
        <f t="shared" si="11"/>
        <v>53</v>
      </c>
      <c r="B58" s="721" t="s">
        <v>5437</v>
      </c>
      <c r="C58" s="655">
        <v>521801</v>
      </c>
      <c r="D58" s="658">
        <v>2201</v>
      </c>
      <c r="E58" s="655" t="s">
        <v>704</v>
      </c>
      <c r="F58" s="546">
        <v>2017</v>
      </c>
      <c r="G58" s="659">
        <v>42954</v>
      </c>
      <c r="H58" s="655" t="s">
        <v>747</v>
      </c>
      <c r="I58" s="655" t="s">
        <v>5675</v>
      </c>
      <c r="J58" s="712"/>
      <c r="K58" s="655" t="s">
        <v>2460</v>
      </c>
      <c r="L58" s="655" t="s">
        <v>5924</v>
      </c>
      <c r="M58" s="660">
        <v>197672.41</v>
      </c>
      <c r="N58" s="660">
        <v>0</v>
      </c>
      <c r="O58" s="660">
        <v>31627.59</v>
      </c>
      <c r="P58" s="660">
        <v>229300</v>
      </c>
      <c r="Q58" s="548"/>
      <c r="R58" s="660">
        <v>183986.84</v>
      </c>
      <c r="S58" s="549">
        <f t="shared" si="0"/>
        <v>45313.16</v>
      </c>
      <c r="T58" s="113" t="s">
        <v>131</v>
      </c>
      <c r="U58" s="626" t="str">
        <f t="shared" si="5"/>
        <v>AA11627</v>
      </c>
      <c r="V58" s="627" t="str">
        <f t="shared" si="6"/>
        <v>1565-TCN17</v>
      </c>
      <c r="W58" s="626">
        <f t="shared" si="7"/>
        <v>521801</v>
      </c>
      <c r="X58" s="626" t="str">
        <f t="shared" si="8"/>
        <v>AVANZA HI 5MT</v>
      </c>
      <c r="Y58" s="627">
        <f t="shared" si="8"/>
        <v>2017</v>
      </c>
      <c r="Z58" s="628">
        <f t="shared" si="9"/>
        <v>197672.41</v>
      </c>
      <c r="AA58" s="629"/>
      <c r="AB58" s="664"/>
      <c r="AC58" s="629">
        <f t="shared" si="1"/>
        <v>0.01</v>
      </c>
      <c r="AD58" s="630">
        <f t="shared" si="2"/>
        <v>0.02</v>
      </c>
      <c r="AE58" s="629">
        <f t="shared" si="3"/>
        <v>0</v>
      </c>
      <c r="AF58" s="629">
        <v>0</v>
      </c>
      <c r="AG58" s="555">
        <f t="shared" si="10"/>
        <v>0</v>
      </c>
      <c r="AH58" s="361"/>
      <c r="AI58" s="363"/>
      <c r="AJ58" s="330"/>
      <c r="AK58" s="330"/>
      <c r="AL58" s="330"/>
      <c r="AM58" s="330"/>
      <c r="AN58" s="353"/>
      <c r="AO58" s="353"/>
      <c r="AP58" s="353"/>
      <c r="AQ58" s="353"/>
      <c r="AR58" s="353"/>
      <c r="AS58" s="353"/>
      <c r="AT58" s="353"/>
      <c r="AU58" s="353"/>
    </row>
    <row r="59" spans="1:47" s="348" customFormat="1" x14ac:dyDescent="0.2">
      <c r="A59" s="423">
        <f t="shared" si="11"/>
        <v>54</v>
      </c>
      <c r="B59" s="721" t="s">
        <v>5439</v>
      </c>
      <c r="C59" s="655">
        <v>521801</v>
      </c>
      <c r="D59" s="658">
        <v>2201</v>
      </c>
      <c r="E59" s="655" t="s">
        <v>704</v>
      </c>
      <c r="F59" s="546">
        <v>2017</v>
      </c>
      <c r="G59" s="659">
        <v>42962</v>
      </c>
      <c r="H59" s="655" t="s">
        <v>747</v>
      </c>
      <c r="I59" s="655" t="s">
        <v>5677</v>
      </c>
      <c r="J59" s="712"/>
      <c r="K59" s="655" t="s">
        <v>5813</v>
      </c>
      <c r="L59" s="655" t="s">
        <v>5926</v>
      </c>
      <c r="M59" s="660">
        <v>197672.41</v>
      </c>
      <c r="N59" s="660">
        <v>0</v>
      </c>
      <c r="O59" s="660">
        <v>31627.59</v>
      </c>
      <c r="P59" s="660">
        <v>229300</v>
      </c>
      <c r="Q59" s="548"/>
      <c r="R59" s="660">
        <v>183986.84</v>
      </c>
      <c r="S59" s="549">
        <f t="shared" si="0"/>
        <v>45313.16</v>
      </c>
      <c r="T59" s="113" t="s">
        <v>131</v>
      </c>
      <c r="U59" s="626" t="str">
        <f t="shared" si="5"/>
        <v>AA11662</v>
      </c>
      <c r="V59" s="627" t="str">
        <f t="shared" si="6"/>
        <v>1696-TCN17</v>
      </c>
      <c r="W59" s="626">
        <f t="shared" si="7"/>
        <v>521801</v>
      </c>
      <c r="X59" s="626" t="str">
        <f t="shared" si="8"/>
        <v>AVANZA HI 5MT</v>
      </c>
      <c r="Y59" s="627">
        <f t="shared" si="8"/>
        <v>2017</v>
      </c>
      <c r="Z59" s="628">
        <f t="shared" si="9"/>
        <v>197672.41</v>
      </c>
      <c r="AA59" s="629"/>
      <c r="AB59" s="664"/>
      <c r="AC59" s="629">
        <f>VLOOKUP(Z59,TARIFA,1)</f>
        <v>0.01</v>
      </c>
      <c r="AD59" s="630">
        <f>VLOOKUP(Z59,TARIFA,4)</f>
        <v>0.02</v>
      </c>
      <c r="AE59" s="629">
        <f>VLOOKUP(Z59,TARIFA,3)</f>
        <v>0</v>
      </c>
      <c r="AF59" s="629">
        <f>+N59</f>
        <v>0</v>
      </c>
      <c r="AG59" s="555">
        <f t="shared" si="10"/>
        <v>0</v>
      </c>
      <c r="AH59" s="361"/>
      <c r="AI59" s="363"/>
      <c r="AJ59" s="330"/>
      <c r="AK59" s="330"/>
      <c r="AL59" s="330"/>
      <c r="AM59" s="330"/>
      <c r="AN59" s="353"/>
      <c r="AO59" s="353"/>
      <c r="AP59" s="353"/>
      <c r="AQ59" s="353"/>
      <c r="AR59" s="353"/>
      <c r="AS59" s="353"/>
      <c r="AT59" s="353"/>
      <c r="AU59" s="353"/>
    </row>
    <row r="60" spans="1:47" s="348" customFormat="1" x14ac:dyDescent="0.2">
      <c r="A60" s="423">
        <f t="shared" si="11"/>
        <v>55</v>
      </c>
      <c r="B60" s="721" t="s">
        <v>5446</v>
      </c>
      <c r="C60" s="655">
        <v>521801</v>
      </c>
      <c r="D60" s="658">
        <v>2201</v>
      </c>
      <c r="E60" s="655" t="s">
        <v>704</v>
      </c>
      <c r="F60" s="546">
        <v>2017</v>
      </c>
      <c r="G60" s="659">
        <v>42976</v>
      </c>
      <c r="H60" s="655" t="s">
        <v>4241</v>
      </c>
      <c r="I60" s="655" t="s">
        <v>5679</v>
      </c>
      <c r="J60" s="712"/>
      <c r="K60" s="655" t="s">
        <v>4278</v>
      </c>
      <c r="L60" s="655" t="s">
        <v>5928</v>
      </c>
      <c r="M60" s="660">
        <v>202844.83</v>
      </c>
      <c r="N60" s="660">
        <v>0</v>
      </c>
      <c r="O60" s="660">
        <v>32455.17</v>
      </c>
      <c r="P60" s="660">
        <v>235300</v>
      </c>
      <c r="Q60" s="548"/>
      <c r="R60" s="660">
        <v>183986.84</v>
      </c>
      <c r="S60" s="549">
        <f t="shared" si="0"/>
        <v>51313.16</v>
      </c>
      <c r="T60" s="113" t="s">
        <v>131</v>
      </c>
      <c r="U60" s="626" t="str">
        <f t="shared" si="5"/>
        <v>AA11750</v>
      </c>
      <c r="V60" s="627" t="str">
        <f t="shared" si="6"/>
        <v>1697-TCN17</v>
      </c>
      <c r="W60" s="626">
        <f t="shared" si="7"/>
        <v>521801</v>
      </c>
      <c r="X60" s="626" t="str">
        <f t="shared" si="8"/>
        <v>AVANZA HI 5MT</v>
      </c>
      <c r="Y60" s="627">
        <f t="shared" si="8"/>
        <v>2017</v>
      </c>
      <c r="Z60" s="628">
        <f t="shared" si="9"/>
        <v>202844.83</v>
      </c>
      <c r="AA60" s="629"/>
      <c r="AB60" s="664"/>
      <c r="AC60" s="629">
        <f>VLOOKUP(Z60,TARIFA,1)</f>
        <v>0.01</v>
      </c>
      <c r="AD60" s="630">
        <f>VLOOKUP(Z60,TARIFA,4)</f>
        <v>0.02</v>
      </c>
      <c r="AE60" s="629">
        <f>VLOOKUP(Z60,TARIFA,3)</f>
        <v>0</v>
      </c>
      <c r="AF60" s="629">
        <f>+N60</f>
        <v>0</v>
      </c>
      <c r="AG60" s="555">
        <f t="shared" si="10"/>
        <v>0</v>
      </c>
      <c r="AH60" s="361"/>
      <c r="AI60" s="363"/>
      <c r="AJ60" s="330"/>
      <c r="AK60" s="330"/>
      <c r="AL60" s="330"/>
      <c r="AM60" s="330"/>
      <c r="AN60" s="353"/>
      <c r="AO60" s="353"/>
      <c r="AP60" s="353"/>
      <c r="AQ60" s="353"/>
      <c r="AR60" s="353"/>
      <c r="AS60" s="353"/>
      <c r="AT60" s="353"/>
      <c r="AU60" s="353"/>
    </row>
    <row r="61" spans="1:47" s="348" customFormat="1" x14ac:dyDescent="0.2">
      <c r="A61" s="423">
        <f t="shared" si="11"/>
        <v>56</v>
      </c>
      <c r="B61" s="721" t="s">
        <v>5447</v>
      </c>
      <c r="C61" s="655">
        <v>521801</v>
      </c>
      <c r="D61" s="658">
        <v>2201</v>
      </c>
      <c r="E61" s="655" t="s">
        <v>704</v>
      </c>
      <c r="F61" s="546">
        <v>2017</v>
      </c>
      <c r="G61" s="659">
        <v>42977</v>
      </c>
      <c r="H61" s="655" t="s">
        <v>817</v>
      </c>
      <c r="I61" s="655" t="s">
        <v>5682</v>
      </c>
      <c r="J61" s="712"/>
      <c r="K61" s="655" t="s">
        <v>5815</v>
      </c>
      <c r="L61" s="655" t="s">
        <v>5931</v>
      </c>
      <c r="M61" s="660">
        <v>197672.41</v>
      </c>
      <c r="N61" s="660">
        <v>0</v>
      </c>
      <c r="O61" s="660">
        <v>31627.59</v>
      </c>
      <c r="P61" s="660">
        <v>229300</v>
      </c>
      <c r="Q61" s="548"/>
      <c r="R61" s="660">
        <v>183986.84</v>
      </c>
      <c r="S61" s="549">
        <f t="shared" si="0"/>
        <v>45313.16</v>
      </c>
      <c r="T61" s="113" t="s">
        <v>131</v>
      </c>
      <c r="U61" s="626" t="str">
        <f t="shared" si="5"/>
        <v>AA11769</v>
      </c>
      <c r="V61" s="627" t="str">
        <f t="shared" si="6"/>
        <v>1781-TCN17</v>
      </c>
      <c r="W61" s="626">
        <f t="shared" si="7"/>
        <v>521801</v>
      </c>
      <c r="X61" s="626" t="str">
        <f t="shared" si="8"/>
        <v>AVANZA HI 5MT</v>
      </c>
      <c r="Y61" s="627">
        <f t="shared" si="8"/>
        <v>2017</v>
      </c>
      <c r="Z61" s="628">
        <f t="shared" si="9"/>
        <v>197672.41</v>
      </c>
      <c r="AA61" s="629">
        <f>+SUM(Z57:Z61)</f>
        <v>993534.47</v>
      </c>
      <c r="AB61" s="665">
        <v>5</v>
      </c>
      <c r="AC61" s="629">
        <f>VLOOKUP(Z61,TARIFA,1)</f>
        <v>0.01</v>
      </c>
      <c r="AD61" s="630">
        <f>VLOOKUP(Z61,TARIFA,4)</f>
        <v>0.02</v>
      </c>
      <c r="AE61" s="629">
        <f>VLOOKUP(Z61,TARIFA,3)</f>
        <v>0</v>
      </c>
      <c r="AF61" s="629">
        <f>+N61</f>
        <v>0</v>
      </c>
      <c r="AG61" s="555">
        <f t="shared" si="10"/>
        <v>0</v>
      </c>
      <c r="AH61" s="361"/>
      <c r="AI61" s="363"/>
      <c r="AJ61" s="330"/>
      <c r="AK61" s="330"/>
      <c r="AL61" s="330"/>
      <c r="AM61" s="330"/>
      <c r="AN61" s="353"/>
      <c r="AO61" s="353"/>
      <c r="AP61" s="353"/>
      <c r="AQ61" s="353"/>
      <c r="AR61" s="353"/>
      <c r="AS61" s="353"/>
      <c r="AT61" s="353"/>
      <c r="AU61" s="353"/>
    </row>
    <row r="62" spans="1:47" s="348" customFormat="1" x14ac:dyDescent="0.2">
      <c r="A62" s="423">
        <f t="shared" si="11"/>
        <v>57</v>
      </c>
      <c r="B62" s="721" t="s">
        <v>5458</v>
      </c>
      <c r="C62" s="655">
        <v>521802</v>
      </c>
      <c r="D62" s="658">
        <v>2202</v>
      </c>
      <c r="E62" s="655" t="s">
        <v>703</v>
      </c>
      <c r="F62" s="546">
        <v>2017</v>
      </c>
      <c r="G62" s="659">
        <v>42955</v>
      </c>
      <c r="H62" s="655" t="s">
        <v>5129</v>
      </c>
      <c r="I62" s="655" t="s">
        <v>5685</v>
      </c>
      <c r="J62" s="712"/>
      <c r="K62" s="655" t="s">
        <v>5816</v>
      </c>
      <c r="L62" s="655" t="s">
        <v>5934</v>
      </c>
      <c r="M62" s="660">
        <v>202155.17</v>
      </c>
      <c r="N62" s="660">
        <v>0</v>
      </c>
      <c r="O62" s="660">
        <v>32344.83</v>
      </c>
      <c r="P62" s="660">
        <v>234500</v>
      </c>
      <c r="Q62" s="548"/>
      <c r="R62" s="660">
        <v>188022.32</v>
      </c>
      <c r="S62" s="549">
        <f t="shared" si="0"/>
        <v>46477.679999999993</v>
      </c>
      <c r="T62" s="267" t="s">
        <v>131</v>
      </c>
      <c r="U62" s="626" t="str">
        <f t="shared" si="5"/>
        <v>AA11635</v>
      </c>
      <c r="V62" s="627" t="str">
        <f t="shared" si="6"/>
        <v>1444-TCN17</v>
      </c>
      <c r="W62" s="626">
        <f t="shared" si="7"/>
        <v>521802</v>
      </c>
      <c r="X62" s="626" t="str">
        <f t="shared" si="8"/>
        <v>AVANZA HI 4AT</v>
      </c>
      <c r="Y62" s="627">
        <f t="shared" si="8"/>
        <v>2017</v>
      </c>
      <c r="Z62" s="628">
        <f t="shared" si="9"/>
        <v>202155.17</v>
      </c>
      <c r="AA62" s="629"/>
      <c r="AB62" s="664"/>
      <c r="AC62" s="629">
        <f>VLOOKUP(Z62,TARIFA,1)</f>
        <v>0.01</v>
      </c>
      <c r="AD62" s="630">
        <f>VLOOKUP(Z62,TARIFA,4)</f>
        <v>0.02</v>
      </c>
      <c r="AE62" s="629">
        <f>VLOOKUP(Z62,TARIFA,3)</f>
        <v>0</v>
      </c>
      <c r="AF62" s="629">
        <f>+N62</f>
        <v>0</v>
      </c>
      <c r="AG62" s="555">
        <f t="shared" si="10"/>
        <v>0</v>
      </c>
      <c r="AH62" s="364"/>
      <c r="AI62" s="363"/>
      <c r="AJ62" s="330"/>
      <c r="AK62" s="330"/>
      <c r="AL62" s="330"/>
      <c r="AM62" s="330"/>
      <c r="AN62" s="353"/>
      <c r="AO62" s="353"/>
      <c r="AP62" s="353"/>
      <c r="AQ62" s="353"/>
      <c r="AR62" s="353"/>
      <c r="AS62" s="353"/>
      <c r="AT62" s="353"/>
      <c r="AU62" s="353"/>
    </row>
    <row r="63" spans="1:47" s="291" customFormat="1" x14ac:dyDescent="0.2">
      <c r="A63" s="423">
        <f t="shared" si="11"/>
        <v>58</v>
      </c>
      <c r="B63" s="721" t="s">
        <v>5472</v>
      </c>
      <c r="C63" s="655">
        <v>521802</v>
      </c>
      <c r="D63" s="658">
        <v>2204</v>
      </c>
      <c r="E63" s="655" t="s">
        <v>705</v>
      </c>
      <c r="F63" s="546">
        <v>2017</v>
      </c>
      <c r="G63" s="659">
        <v>42956</v>
      </c>
      <c r="H63" s="655" t="s">
        <v>788</v>
      </c>
      <c r="I63" s="655" t="s">
        <v>5696</v>
      </c>
      <c r="J63" s="712"/>
      <c r="K63" s="655" t="s">
        <v>5820</v>
      </c>
      <c r="L63" s="655" t="s">
        <v>5945</v>
      </c>
      <c r="M63" s="660">
        <v>229941.96</v>
      </c>
      <c r="N63" s="660">
        <v>2299.42</v>
      </c>
      <c r="O63" s="660">
        <v>37158.620000000003</v>
      </c>
      <c r="P63" s="660">
        <v>269400</v>
      </c>
      <c r="Q63" s="548"/>
      <c r="R63" s="660">
        <v>208019.78</v>
      </c>
      <c r="S63" s="549">
        <f t="shared" si="0"/>
        <v>61380.22</v>
      </c>
      <c r="T63" s="113" t="s">
        <v>131</v>
      </c>
      <c r="U63" s="626" t="str">
        <f t="shared" si="5"/>
        <v>AA11640</v>
      </c>
      <c r="V63" s="627" t="str">
        <f t="shared" si="6"/>
        <v>1476-TCN17</v>
      </c>
      <c r="W63" s="626">
        <f t="shared" si="7"/>
        <v>521802</v>
      </c>
      <c r="X63" s="626" t="str">
        <f t="shared" si="8"/>
        <v>AVANZA LIMITED</v>
      </c>
      <c r="Y63" s="627">
        <f t="shared" si="8"/>
        <v>2017</v>
      </c>
      <c r="Z63" s="628">
        <f t="shared" si="9"/>
        <v>229941.96</v>
      </c>
      <c r="AA63" s="629"/>
      <c r="AB63" s="664"/>
      <c r="AC63" s="629">
        <f>VLOOKUP(Z63,TARIFA,1)</f>
        <v>0.01</v>
      </c>
      <c r="AD63" s="630">
        <f>VLOOKUP(Z63,TARIFA,4)</f>
        <v>0.02</v>
      </c>
      <c r="AE63" s="629">
        <f>VLOOKUP(Z63,TARIFA,3)</f>
        <v>0</v>
      </c>
      <c r="AF63" s="629">
        <f>+N63</f>
        <v>2299.42</v>
      </c>
      <c r="AG63" s="555">
        <f t="shared" si="10"/>
        <v>0</v>
      </c>
      <c r="AH63" s="361"/>
      <c r="AI63" s="313"/>
      <c r="AJ63" s="374"/>
      <c r="AK63" s="374"/>
      <c r="AL63" s="374"/>
      <c r="AM63" s="374"/>
      <c r="AN63" s="296"/>
      <c r="AO63" s="296"/>
      <c r="AP63" s="296"/>
      <c r="AQ63" s="296"/>
      <c r="AR63" s="296"/>
      <c r="AS63" s="296"/>
      <c r="AT63" s="296"/>
      <c r="AU63" s="296"/>
    </row>
    <row r="64" spans="1:47" s="291" customFormat="1" x14ac:dyDescent="0.2">
      <c r="A64" s="423">
        <f t="shared" si="11"/>
        <v>59</v>
      </c>
      <c r="B64" s="721" t="s">
        <v>5459</v>
      </c>
      <c r="C64" s="655">
        <v>521802</v>
      </c>
      <c r="D64" s="658">
        <v>2202</v>
      </c>
      <c r="E64" s="655" t="s">
        <v>703</v>
      </c>
      <c r="F64" s="546">
        <v>2017</v>
      </c>
      <c r="G64" s="659">
        <v>42956</v>
      </c>
      <c r="H64" s="655" t="s">
        <v>792</v>
      </c>
      <c r="I64" s="655" t="s">
        <v>5686</v>
      </c>
      <c r="J64" s="712"/>
      <c r="K64" s="655" t="s">
        <v>5817</v>
      </c>
      <c r="L64" s="655" t="s">
        <v>5935</v>
      </c>
      <c r="M64" s="660">
        <v>202155.17</v>
      </c>
      <c r="N64" s="660">
        <v>0</v>
      </c>
      <c r="O64" s="660">
        <v>32344.83</v>
      </c>
      <c r="P64" s="660">
        <v>234500</v>
      </c>
      <c r="Q64" s="548"/>
      <c r="R64" s="660">
        <v>188021.32</v>
      </c>
      <c r="S64" s="549">
        <f t="shared" si="0"/>
        <v>46478.679999999993</v>
      </c>
      <c r="T64" s="267" t="s">
        <v>131</v>
      </c>
      <c r="U64" s="626" t="str">
        <f t="shared" si="5"/>
        <v>AA11641</v>
      </c>
      <c r="V64" s="627" t="str">
        <f t="shared" si="6"/>
        <v>1573-TCN17</v>
      </c>
      <c r="W64" s="626">
        <f t="shared" si="7"/>
        <v>521802</v>
      </c>
      <c r="X64" s="626" t="str">
        <f t="shared" si="8"/>
        <v>AVANZA HI 4AT</v>
      </c>
      <c r="Y64" s="627">
        <f t="shared" si="8"/>
        <v>2017</v>
      </c>
      <c r="Z64" s="628">
        <f t="shared" si="9"/>
        <v>202155.17</v>
      </c>
      <c r="AA64" s="629"/>
      <c r="AB64" s="664"/>
      <c r="AC64" s="629">
        <f t="shared" si="1"/>
        <v>0.01</v>
      </c>
      <c r="AD64" s="630">
        <f t="shared" si="2"/>
        <v>0.02</v>
      </c>
      <c r="AE64" s="629">
        <f t="shared" si="3"/>
        <v>0</v>
      </c>
      <c r="AF64" s="629">
        <f t="shared" ref="AF64:AF81" si="44">+N64</f>
        <v>0</v>
      </c>
      <c r="AG64" s="555">
        <f t="shared" si="10"/>
        <v>0</v>
      </c>
      <c r="AH64" s="361"/>
      <c r="AI64" s="313"/>
      <c r="AJ64" s="374"/>
      <c r="AK64" s="374"/>
      <c r="AL64" s="374"/>
      <c r="AM64" s="374"/>
      <c r="AN64" s="296"/>
      <c r="AO64" s="296"/>
      <c r="AP64" s="296"/>
      <c r="AQ64" s="296"/>
      <c r="AR64" s="296"/>
      <c r="AS64" s="296"/>
      <c r="AT64" s="296"/>
      <c r="AU64" s="296"/>
    </row>
    <row r="65" spans="1:47" s="291" customFormat="1" x14ac:dyDescent="0.2">
      <c r="A65" s="423">
        <f t="shared" si="11"/>
        <v>60</v>
      </c>
      <c r="B65" s="721" t="s">
        <v>5457</v>
      </c>
      <c r="C65" s="655">
        <v>521802</v>
      </c>
      <c r="D65" s="658">
        <v>2202</v>
      </c>
      <c r="E65" s="655" t="s">
        <v>703</v>
      </c>
      <c r="F65" s="546">
        <v>2017</v>
      </c>
      <c r="G65" s="659">
        <v>42949</v>
      </c>
      <c r="H65" s="655" t="s">
        <v>2954</v>
      </c>
      <c r="I65" s="655" t="s">
        <v>5684</v>
      </c>
      <c r="J65" s="712"/>
      <c r="K65" s="655" t="s">
        <v>5166</v>
      </c>
      <c r="L65" s="655" t="s">
        <v>5933</v>
      </c>
      <c r="M65" s="660">
        <v>202155.17</v>
      </c>
      <c r="N65" s="660">
        <v>0</v>
      </c>
      <c r="O65" s="660">
        <v>32344.83</v>
      </c>
      <c r="P65" s="660">
        <v>234500</v>
      </c>
      <c r="Q65" s="548"/>
      <c r="R65" s="660">
        <v>183212.98</v>
      </c>
      <c r="S65" s="549">
        <f t="shared" si="0"/>
        <v>51287.01999999999</v>
      </c>
      <c r="T65" s="267" t="s">
        <v>131</v>
      </c>
      <c r="U65" s="626" t="str">
        <f t="shared" si="5"/>
        <v>AA11607</v>
      </c>
      <c r="V65" s="627" t="str">
        <f t="shared" si="6"/>
        <v>1585-TCN17</v>
      </c>
      <c r="W65" s="626">
        <f t="shared" si="7"/>
        <v>521802</v>
      </c>
      <c r="X65" s="626" t="str">
        <f t="shared" si="8"/>
        <v>AVANZA HI 4AT</v>
      </c>
      <c r="Y65" s="627">
        <f t="shared" si="8"/>
        <v>2017</v>
      </c>
      <c r="Z65" s="628">
        <f t="shared" si="9"/>
        <v>202155.17</v>
      </c>
      <c r="AA65" s="629"/>
      <c r="AB65" s="664"/>
      <c r="AC65" s="629">
        <f t="shared" si="1"/>
        <v>0.01</v>
      </c>
      <c r="AD65" s="630">
        <f t="shared" si="2"/>
        <v>0.02</v>
      </c>
      <c r="AE65" s="629">
        <f t="shared" si="3"/>
        <v>0</v>
      </c>
      <c r="AF65" s="629">
        <f t="shared" si="44"/>
        <v>0</v>
      </c>
      <c r="AG65" s="555">
        <f t="shared" si="10"/>
        <v>0</v>
      </c>
      <c r="AH65" s="361"/>
      <c r="AI65" s="313"/>
      <c r="AJ65" s="374"/>
      <c r="AK65" s="374"/>
      <c r="AL65" s="374"/>
      <c r="AM65" s="374"/>
      <c r="AN65" s="296"/>
      <c r="AO65" s="296"/>
      <c r="AP65" s="296"/>
      <c r="AQ65" s="296"/>
      <c r="AR65" s="296"/>
      <c r="AS65" s="296"/>
      <c r="AT65" s="296"/>
      <c r="AU65" s="296"/>
    </row>
    <row r="66" spans="1:47" s="291" customFormat="1" x14ac:dyDescent="0.2">
      <c r="A66" s="423">
        <f t="shared" si="11"/>
        <v>61</v>
      </c>
      <c r="B66" s="721" t="s">
        <v>5464</v>
      </c>
      <c r="C66" s="655">
        <v>521802</v>
      </c>
      <c r="D66" s="658">
        <v>2202</v>
      </c>
      <c r="E66" s="655" t="s">
        <v>703</v>
      </c>
      <c r="F66" s="546">
        <v>2017</v>
      </c>
      <c r="G66" s="659">
        <v>42971</v>
      </c>
      <c r="H66" s="655" t="s">
        <v>2213</v>
      </c>
      <c r="I66" s="655" t="s">
        <v>5690</v>
      </c>
      <c r="J66" s="712"/>
      <c r="K66" s="655" t="s">
        <v>5814</v>
      </c>
      <c r="L66" s="655" t="s">
        <v>5939</v>
      </c>
      <c r="M66" s="660">
        <v>199034.48</v>
      </c>
      <c r="N66" s="660">
        <v>0</v>
      </c>
      <c r="O66" s="660">
        <v>31845.52</v>
      </c>
      <c r="P66" s="660">
        <v>230880</v>
      </c>
      <c r="Q66" s="548"/>
      <c r="R66" s="660">
        <v>188021.32</v>
      </c>
      <c r="S66" s="549">
        <f t="shared" si="0"/>
        <v>42858.679999999993</v>
      </c>
      <c r="T66" s="267" t="s">
        <v>131</v>
      </c>
      <c r="U66" s="626" t="str">
        <f t="shared" si="5"/>
        <v>AA11728</v>
      </c>
      <c r="V66" s="627" t="str">
        <f t="shared" si="6"/>
        <v>1636-TCN17</v>
      </c>
      <c r="W66" s="626">
        <f t="shared" si="7"/>
        <v>521802</v>
      </c>
      <c r="X66" s="626" t="str">
        <f t="shared" si="8"/>
        <v>AVANZA HI 4AT</v>
      </c>
      <c r="Y66" s="627">
        <f t="shared" si="8"/>
        <v>2017</v>
      </c>
      <c r="Z66" s="628">
        <f t="shared" si="9"/>
        <v>199034.48</v>
      </c>
      <c r="AA66" s="629"/>
      <c r="AB66" s="664"/>
      <c r="AC66" s="629">
        <f t="shared" si="1"/>
        <v>0.01</v>
      </c>
      <c r="AD66" s="630">
        <f t="shared" si="2"/>
        <v>0.02</v>
      </c>
      <c r="AE66" s="629">
        <f t="shared" si="3"/>
        <v>0</v>
      </c>
      <c r="AF66" s="629">
        <f t="shared" si="44"/>
        <v>0</v>
      </c>
      <c r="AG66" s="555">
        <f t="shared" si="10"/>
        <v>0</v>
      </c>
      <c r="AH66" s="361"/>
      <c r="AI66" s="313"/>
      <c r="AJ66" s="374"/>
      <c r="AK66" s="374"/>
      <c r="AL66" s="374"/>
      <c r="AM66" s="374"/>
      <c r="AN66" s="296"/>
      <c r="AO66" s="296"/>
      <c r="AP66" s="296"/>
      <c r="AQ66" s="296"/>
      <c r="AR66" s="296"/>
      <c r="AS66" s="296"/>
      <c r="AT66" s="296"/>
      <c r="AU66" s="296"/>
    </row>
    <row r="67" spans="1:47" s="348" customFormat="1" x14ac:dyDescent="0.2">
      <c r="A67" s="423">
        <f t="shared" si="11"/>
        <v>62</v>
      </c>
      <c r="B67" s="721" t="s">
        <v>5466</v>
      </c>
      <c r="C67" s="655">
        <v>521802</v>
      </c>
      <c r="D67" s="658">
        <v>2202</v>
      </c>
      <c r="E67" s="655" t="s">
        <v>703</v>
      </c>
      <c r="F67" s="546">
        <v>2017</v>
      </c>
      <c r="G67" s="659">
        <v>42975</v>
      </c>
      <c r="H67" s="655" t="s">
        <v>2215</v>
      </c>
      <c r="I67" s="655" t="s">
        <v>5692</v>
      </c>
      <c r="J67" s="712"/>
      <c r="K67" s="655" t="s">
        <v>5818</v>
      </c>
      <c r="L67" s="655" t="s">
        <v>5941</v>
      </c>
      <c r="M67" s="660">
        <v>202155.17</v>
      </c>
      <c r="N67" s="660">
        <v>0</v>
      </c>
      <c r="O67" s="660">
        <v>32344.83</v>
      </c>
      <c r="P67" s="660">
        <v>234500</v>
      </c>
      <c r="Q67" s="548"/>
      <c r="R67" s="660">
        <v>188021.32</v>
      </c>
      <c r="S67" s="549">
        <f t="shared" si="0"/>
        <v>46478.679999999993</v>
      </c>
      <c r="T67" s="267" t="s">
        <v>131</v>
      </c>
      <c r="U67" s="626" t="str">
        <f t="shared" si="5"/>
        <v>AA11745</v>
      </c>
      <c r="V67" s="627" t="str">
        <f t="shared" si="6"/>
        <v>1644-TCN17</v>
      </c>
      <c r="W67" s="626">
        <f t="shared" si="7"/>
        <v>521802</v>
      </c>
      <c r="X67" s="626" t="str">
        <f t="shared" si="8"/>
        <v>AVANZA HI 4AT</v>
      </c>
      <c r="Y67" s="627">
        <f t="shared" si="8"/>
        <v>2017</v>
      </c>
      <c r="Z67" s="628">
        <f t="shared" si="9"/>
        <v>202155.17</v>
      </c>
      <c r="AA67" s="629"/>
      <c r="AB67" s="664"/>
      <c r="AC67" s="629">
        <f t="shared" si="1"/>
        <v>0.01</v>
      </c>
      <c r="AD67" s="630">
        <f t="shared" si="2"/>
        <v>0.02</v>
      </c>
      <c r="AE67" s="629">
        <f t="shared" si="3"/>
        <v>0</v>
      </c>
      <c r="AF67" s="629">
        <f t="shared" si="44"/>
        <v>0</v>
      </c>
      <c r="AG67" s="555">
        <f t="shared" si="10"/>
        <v>0</v>
      </c>
      <c r="AH67" s="361"/>
      <c r="AI67" s="313"/>
      <c r="AJ67" s="374"/>
      <c r="AK67" s="374"/>
      <c r="AL67" s="374"/>
      <c r="AM67" s="374"/>
      <c r="AN67" s="296"/>
      <c r="AO67" s="296"/>
      <c r="AP67" s="296"/>
      <c r="AQ67" s="296"/>
      <c r="AR67" s="296"/>
      <c r="AS67" s="296"/>
      <c r="AT67" s="353"/>
      <c r="AU67" s="353"/>
    </row>
    <row r="68" spans="1:47" s="351" customFormat="1" x14ac:dyDescent="0.2">
      <c r="A68" s="423">
        <f t="shared" si="11"/>
        <v>63</v>
      </c>
      <c r="B68" s="721" t="s">
        <v>5468</v>
      </c>
      <c r="C68" s="655">
        <v>521802</v>
      </c>
      <c r="D68" s="658">
        <v>2202</v>
      </c>
      <c r="E68" s="655" t="s">
        <v>703</v>
      </c>
      <c r="F68" s="546">
        <v>2017</v>
      </c>
      <c r="G68" s="659">
        <v>42976</v>
      </c>
      <c r="H68" s="655" t="s">
        <v>819</v>
      </c>
      <c r="I68" s="655" t="s">
        <v>5688</v>
      </c>
      <c r="J68" s="712"/>
      <c r="K68" s="655" t="s">
        <v>830</v>
      </c>
      <c r="L68" s="655" t="s">
        <v>5937</v>
      </c>
      <c r="M68" s="660">
        <v>202155.17</v>
      </c>
      <c r="N68" s="660">
        <v>0</v>
      </c>
      <c r="O68" s="660">
        <v>32344.83</v>
      </c>
      <c r="P68" s="660">
        <v>234500</v>
      </c>
      <c r="Q68" s="548"/>
      <c r="R68" s="660">
        <v>188021.32</v>
      </c>
      <c r="S68" s="549">
        <f t="shared" si="0"/>
        <v>46478.679999999993</v>
      </c>
      <c r="T68" s="113" t="s">
        <v>131</v>
      </c>
      <c r="U68" s="626" t="str">
        <f t="shared" si="5"/>
        <v>AA11760</v>
      </c>
      <c r="V68" s="627" t="str">
        <f t="shared" si="6"/>
        <v>1701-TCN17</v>
      </c>
      <c r="W68" s="626">
        <f t="shared" si="7"/>
        <v>521802</v>
      </c>
      <c r="X68" s="626" t="str">
        <f t="shared" si="8"/>
        <v>AVANZA HI 4AT</v>
      </c>
      <c r="Y68" s="627">
        <f t="shared" si="8"/>
        <v>2017</v>
      </c>
      <c r="Z68" s="628">
        <f t="shared" si="9"/>
        <v>202155.17</v>
      </c>
      <c r="AA68" s="629"/>
      <c r="AB68" s="664"/>
      <c r="AC68" s="629">
        <f t="shared" si="1"/>
        <v>0.01</v>
      </c>
      <c r="AD68" s="630">
        <f t="shared" si="2"/>
        <v>0.02</v>
      </c>
      <c r="AE68" s="629">
        <f t="shared" si="3"/>
        <v>0</v>
      </c>
      <c r="AF68" s="629">
        <f t="shared" si="44"/>
        <v>0</v>
      </c>
      <c r="AG68" s="555">
        <f t="shared" si="10"/>
        <v>0</v>
      </c>
      <c r="AH68" s="361"/>
      <c r="AI68" s="313"/>
      <c r="AJ68" s="374"/>
      <c r="AK68" s="374"/>
      <c r="AL68" s="374"/>
      <c r="AM68" s="374"/>
      <c r="AN68" s="296"/>
      <c r="AO68" s="296"/>
      <c r="AP68" s="296"/>
      <c r="AQ68" s="296"/>
      <c r="AR68" s="296"/>
      <c r="AS68" s="296"/>
      <c r="AT68" s="352"/>
      <c r="AU68" s="352"/>
    </row>
    <row r="69" spans="1:47" s="348" customFormat="1" x14ac:dyDescent="0.2">
      <c r="A69" s="423">
        <f t="shared" si="11"/>
        <v>64</v>
      </c>
      <c r="B69" s="721" t="s">
        <v>5470</v>
      </c>
      <c r="C69" s="655">
        <v>521802</v>
      </c>
      <c r="D69" s="658">
        <v>2202</v>
      </c>
      <c r="E69" s="655" t="s">
        <v>703</v>
      </c>
      <c r="F69" s="546">
        <v>2017</v>
      </c>
      <c r="G69" s="659">
        <v>42978</v>
      </c>
      <c r="H69" s="655" t="s">
        <v>2215</v>
      </c>
      <c r="I69" s="655" t="s">
        <v>5694</v>
      </c>
      <c r="J69" s="712"/>
      <c r="K69" s="655" t="s">
        <v>5819</v>
      </c>
      <c r="L69" s="655" t="s">
        <v>5943</v>
      </c>
      <c r="M69" s="660">
        <v>207327.59</v>
      </c>
      <c r="N69" s="660">
        <v>0</v>
      </c>
      <c r="O69" s="660">
        <v>33172.410000000003</v>
      </c>
      <c r="P69" s="660">
        <v>240500</v>
      </c>
      <c r="Q69" s="548"/>
      <c r="R69" s="660">
        <v>187666.84</v>
      </c>
      <c r="S69" s="549">
        <f t="shared" si="0"/>
        <v>52833.16</v>
      </c>
      <c r="T69" s="113" t="s">
        <v>131</v>
      </c>
      <c r="U69" s="626" t="str">
        <f t="shared" si="5"/>
        <v>AA11784</v>
      </c>
      <c r="V69" s="627" t="str">
        <f t="shared" si="6"/>
        <v>1764-TCN17</v>
      </c>
      <c r="W69" s="626">
        <f t="shared" si="7"/>
        <v>521802</v>
      </c>
      <c r="X69" s="626" t="str">
        <f t="shared" si="8"/>
        <v>AVANZA HI 4AT</v>
      </c>
      <c r="Y69" s="627">
        <f t="shared" si="8"/>
        <v>2017</v>
      </c>
      <c r="Z69" s="628">
        <f t="shared" si="9"/>
        <v>207327.59</v>
      </c>
      <c r="AA69" s="629"/>
      <c r="AB69" s="664"/>
      <c r="AC69" s="629">
        <f t="shared" si="1"/>
        <v>0.01</v>
      </c>
      <c r="AD69" s="630">
        <f t="shared" si="2"/>
        <v>0.02</v>
      </c>
      <c r="AE69" s="629">
        <f t="shared" si="3"/>
        <v>0</v>
      </c>
      <c r="AF69" s="629">
        <f t="shared" si="44"/>
        <v>0</v>
      </c>
      <c r="AG69" s="555">
        <f t="shared" si="10"/>
        <v>0</v>
      </c>
      <c r="AH69" s="361"/>
      <c r="AI69" s="363"/>
      <c r="AJ69" s="330"/>
      <c r="AK69" s="330"/>
      <c r="AL69" s="330"/>
      <c r="AM69" s="330"/>
      <c r="AN69" s="353"/>
      <c r="AO69" s="353"/>
      <c r="AP69" s="353"/>
      <c r="AQ69" s="353"/>
      <c r="AR69" s="353"/>
      <c r="AS69" s="353"/>
      <c r="AT69" s="353"/>
      <c r="AU69" s="353"/>
    </row>
    <row r="70" spans="1:47" s="348" customFormat="1" x14ac:dyDescent="0.2">
      <c r="A70" s="423">
        <f t="shared" si="11"/>
        <v>65</v>
      </c>
      <c r="B70" s="721" t="s">
        <v>5452</v>
      </c>
      <c r="C70" s="655">
        <v>521802</v>
      </c>
      <c r="D70" s="658">
        <v>2202</v>
      </c>
      <c r="E70" s="655" t="s">
        <v>703</v>
      </c>
      <c r="F70" s="546">
        <v>2017</v>
      </c>
      <c r="G70" s="659">
        <v>42948</v>
      </c>
      <c r="H70" s="655" t="s">
        <v>2954</v>
      </c>
      <c r="I70" s="655" t="s">
        <v>4831</v>
      </c>
      <c r="J70" s="712"/>
      <c r="K70" s="655" t="s">
        <v>5166</v>
      </c>
      <c r="L70" s="655" t="s">
        <v>5345</v>
      </c>
      <c r="M70" s="660">
        <v>-198275.86</v>
      </c>
      <c r="N70" s="660">
        <v>0</v>
      </c>
      <c r="O70" s="660">
        <v>-31724.14</v>
      </c>
      <c r="P70" s="660">
        <v>-230000</v>
      </c>
      <c r="Q70" s="548"/>
      <c r="R70" s="660">
        <v>-182856.5</v>
      </c>
      <c r="S70" s="549">
        <f t="shared" ref="S70:S133" si="45">+P70-R70</f>
        <v>-47143.5</v>
      </c>
      <c r="T70" s="113" t="s">
        <v>1266</v>
      </c>
      <c r="U70" s="626" t="str">
        <f t="shared" si="5"/>
        <v>ZA04217</v>
      </c>
      <c r="V70" s="627" t="str">
        <f t="shared" si="6"/>
        <v>0749-TCN17</v>
      </c>
      <c r="W70" s="626">
        <f t="shared" si="7"/>
        <v>521802</v>
      </c>
      <c r="X70" s="626" t="str">
        <f t="shared" si="8"/>
        <v>AVANZA HI 4AT</v>
      </c>
      <c r="Y70" s="627">
        <f t="shared" si="8"/>
        <v>2017</v>
      </c>
      <c r="Z70" s="628">
        <f t="shared" si="9"/>
        <v>-198275.86</v>
      </c>
      <c r="AA70" s="629">
        <f>+SUM(Z62:Z70)</f>
        <v>1448804.02</v>
      </c>
      <c r="AB70" s="665">
        <v>7</v>
      </c>
      <c r="AC70" s="629" t="e">
        <f t="shared" ref="AC70:AC81" si="46">VLOOKUP(Z70,TARIFA,1)</f>
        <v>#N/A</v>
      </c>
      <c r="AD70" s="630" t="e">
        <f t="shared" ref="AD70:AD81" si="47">VLOOKUP(Z70,TARIFA,4)</f>
        <v>#N/A</v>
      </c>
      <c r="AE70" s="629" t="e">
        <f t="shared" ref="AE70:AE81" si="48">VLOOKUP(Z70,TARIFA,3)</f>
        <v>#N/A</v>
      </c>
      <c r="AF70" s="629">
        <f t="shared" si="44"/>
        <v>0</v>
      </c>
      <c r="AG70" s="555">
        <f t="shared" si="10"/>
        <v>0</v>
      </c>
      <c r="AH70" s="361"/>
      <c r="AI70" s="313"/>
      <c r="AJ70" s="374"/>
      <c r="AK70" s="374"/>
      <c r="AL70" s="374"/>
      <c r="AM70" s="374"/>
      <c r="AN70" s="296"/>
      <c r="AO70" s="296"/>
      <c r="AP70" s="296"/>
      <c r="AQ70" s="296"/>
      <c r="AR70" s="296"/>
      <c r="AS70" s="296"/>
      <c r="AT70" s="353"/>
      <c r="AU70" s="353"/>
    </row>
    <row r="71" spans="1:47" s="351" customFormat="1" x14ac:dyDescent="0.2">
      <c r="A71" s="423">
        <f t="shared" si="11"/>
        <v>66</v>
      </c>
      <c r="B71" s="721" t="s">
        <v>5528</v>
      </c>
      <c r="C71" s="655">
        <v>521908</v>
      </c>
      <c r="D71" s="658">
        <v>6980</v>
      </c>
      <c r="E71" s="655" t="s">
        <v>706</v>
      </c>
      <c r="F71" s="546">
        <v>2017</v>
      </c>
      <c r="G71" s="659">
        <v>42957</v>
      </c>
      <c r="H71" s="655" t="s">
        <v>747</v>
      </c>
      <c r="I71" s="655" t="s">
        <v>5724</v>
      </c>
      <c r="J71" s="712"/>
      <c r="K71" s="655" t="s">
        <v>5835</v>
      </c>
      <c r="L71" s="655" t="s">
        <v>5973</v>
      </c>
      <c r="M71" s="660">
        <v>520282.13</v>
      </c>
      <c r="N71" s="660">
        <v>40148.9</v>
      </c>
      <c r="O71" s="660">
        <v>89668.97</v>
      </c>
      <c r="P71" s="660">
        <v>650100</v>
      </c>
      <c r="Q71" s="548"/>
      <c r="R71" s="660">
        <v>460716.66</v>
      </c>
      <c r="S71" s="549">
        <f t="shared" si="45"/>
        <v>189383.34000000003</v>
      </c>
      <c r="T71" s="113" t="s">
        <v>131</v>
      </c>
      <c r="U71" s="626" t="str">
        <f t="shared" ref="U71:U81" si="49">+B71</f>
        <v>AA11648</v>
      </c>
      <c r="V71" s="627" t="str">
        <f t="shared" ref="V71:V81" si="50">+I71</f>
        <v>1681-TCN17</v>
      </c>
      <c r="W71" s="626">
        <f t="shared" ref="W71:W81" si="51">+C71</f>
        <v>521908</v>
      </c>
      <c r="X71" s="626" t="str">
        <f t="shared" ref="X71:Y81" si="52">+E71</f>
        <v>HIGHLANDER  XLE</v>
      </c>
      <c r="Y71" s="627">
        <f t="shared" si="52"/>
        <v>2017</v>
      </c>
      <c r="Z71" s="628">
        <f t="shared" ref="Z71:Z81" si="53">+M71</f>
        <v>520282.13</v>
      </c>
      <c r="AA71" s="629">
        <f>+Z71</f>
        <v>520282.13</v>
      </c>
      <c r="AB71" s="664">
        <v>1</v>
      </c>
      <c r="AC71" s="629">
        <f t="shared" si="46"/>
        <v>443562.4</v>
      </c>
      <c r="AD71" s="630">
        <f t="shared" si="47"/>
        <v>0.17</v>
      </c>
      <c r="AE71" s="629">
        <f t="shared" si="48"/>
        <v>27106.55</v>
      </c>
      <c r="AF71" s="629">
        <f t="shared" si="44"/>
        <v>40148.9</v>
      </c>
      <c r="AG71" s="555">
        <f t="shared" ref="AG71:AG81" si="54">+N71-AF71</f>
        <v>0</v>
      </c>
      <c r="AH71" s="361"/>
      <c r="AI71" s="313"/>
      <c r="AJ71" s="374"/>
      <c r="AK71" s="374"/>
      <c r="AL71" s="374"/>
      <c r="AM71" s="374"/>
      <c r="AN71" s="296"/>
      <c r="AO71" s="296"/>
      <c r="AP71" s="296"/>
      <c r="AQ71" s="296"/>
      <c r="AR71" s="296"/>
      <c r="AS71" s="296"/>
      <c r="AT71" s="352"/>
      <c r="AU71" s="352"/>
    </row>
    <row r="72" spans="1:47" s="348" customFormat="1" x14ac:dyDescent="0.2">
      <c r="A72" s="423">
        <f t="shared" ref="A72:A135" si="55">+A71+1</f>
        <v>67</v>
      </c>
      <c r="B72" s="721" t="s">
        <v>5529</v>
      </c>
      <c r="C72" s="655">
        <v>521909</v>
      </c>
      <c r="D72" s="658">
        <v>6986</v>
      </c>
      <c r="E72" s="655" t="s">
        <v>707</v>
      </c>
      <c r="F72" s="546">
        <v>2017</v>
      </c>
      <c r="G72" s="659">
        <v>42962</v>
      </c>
      <c r="H72" s="655" t="s">
        <v>774</v>
      </c>
      <c r="I72" s="655" t="s">
        <v>5725</v>
      </c>
      <c r="J72" s="712"/>
      <c r="K72" s="655" t="s">
        <v>5836</v>
      </c>
      <c r="L72" s="655" t="s">
        <v>5974</v>
      </c>
      <c r="M72" s="660">
        <v>583795.25</v>
      </c>
      <c r="N72" s="660">
        <v>50946.13</v>
      </c>
      <c r="O72" s="660">
        <v>101558.62</v>
      </c>
      <c r="P72" s="660">
        <v>736300</v>
      </c>
      <c r="Q72" s="548"/>
      <c r="R72" s="660">
        <v>516607.2</v>
      </c>
      <c r="S72" s="549">
        <f t="shared" si="45"/>
        <v>219692.79999999999</v>
      </c>
      <c r="T72" s="113" t="s">
        <v>131</v>
      </c>
      <c r="U72" s="626" t="str">
        <f t="shared" si="49"/>
        <v>AA11665</v>
      </c>
      <c r="V72" s="627" t="str">
        <f t="shared" si="50"/>
        <v>1702-TCN17</v>
      </c>
      <c r="W72" s="626">
        <f t="shared" si="51"/>
        <v>521909</v>
      </c>
      <c r="X72" s="626" t="str">
        <f t="shared" si="52"/>
        <v>HIGHLANDER LIMITED BLUE- RAY</v>
      </c>
      <c r="Y72" s="627">
        <f t="shared" si="52"/>
        <v>2017</v>
      </c>
      <c r="Z72" s="628">
        <f t="shared" si="53"/>
        <v>583795.25</v>
      </c>
      <c r="AA72" s="629">
        <f>+Z72</f>
        <v>583795.25</v>
      </c>
      <c r="AB72" s="664">
        <v>1</v>
      </c>
      <c r="AC72" s="629">
        <f t="shared" si="46"/>
        <v>443562.4</v>
      </c>
      <c r="AD72" s="630">
        <f t="shared" si="47"/>
        <v>0.17</v>
      </c>
      <c r="AE72" s="629">
        <f t="shared" si="48"/>
        <v>27106.55</v>
      </c>
      <c r="AF72" s="629">
        <f t="shared" si="44"/>
        <v>50946.13</v>
      </c>
      <c r="AG72" s="555">
        <f t="shared" si="54"/>
        <v>0</v>
      </c>
      <c r="AH72" s="361"/>
      <c r="AI72" s="313"/>
      <c r="AJ72" s="374"/>
      <c r="AK72" s="374"/>
      <c r="AL72" s="374"/>
      <c r="AM72" s="374"/>
      <c r="AN72" s="296"/>
      <c r="AO72" s="296"/>
      <c r="AP72" s="296"/>
      <c r="AQ72" s="296"/>
      <c r="AR72" s="296"/>
      <c r="AS72" s="296"/>
      <c r="AT72" s="353"/>
      <c r="AU72" s="353"/>
    </row>
    <row r="73" spans="1:47" s="291" customFormat="1" x14ac:dyDescent="0.2">
      <c r="A73" s="423">
        <f t="shared" si="55"/>
        <v>68</v>
      </c>
      <c r="B73" s="721" t="s">
        <v>5352</v>
      </c>
      <c r="C73" s="655">
        <v>522403</v>
      </c>
      <c r="D73" s="658">
        <v>1060</v>
      </c>
      <c r="E73" s="655" t="s">
        <v>5617</v>
      </c>
      <c r="F73" s="546">
        <v>2017</v>
      </c>
      <c r="G73" s="659">
        <v>42970</v>
      </c>
      <c r="H73" s="655" t="s">
        <v>5129</v>
      </c>
      <c r="I73" s="655" t="s">
        <v>5626</v>
      </c>
      <c r="J73" s="712"/>
      <c r="K73" s="655" t="s">
        <v>5781</v>
      </c>
      <c r="L73" s="655" t="s">
        <v>5875</v>
      </c>
      <c r="M73" s="660">
        <v>212241.38</v>
      </c>
      <c r="N73" s="660">
        <v>0</v>
      </c>
      <c r="O73" s="660">
        <v>33958.620000000003</v>
      </c>
      <c r="P73" s="660">
        <v>246200</v>
      </c>
      <c r="Q73" s="548"/>
      <c r="R73" s="660">
        <v>192306.02</v>
      </c>
      <c r="S73" s="549">
        <f t="shared" si="45"/>
        <v>53893.98000000001</v>
      </c>
      <c r="T73" s="113" t="s">
        <v>131</v>
      </c>
      <c r="U73" s="626" t="str">
        <f t="shared" si="49"/>
        <v>AA11717</v>
      </c>
      <c r="V73" s="627" t="str">
        <f t="shared" si="50"/>
        <v>1712-TCN17</v>
      </c>
      <c r="W73" s="626">
        <f t="shared" si="51"/>
        <v>522403</v>
      </c>
      <c r="X73" s="626" t="str">
        <f t="shared" si="52"/>
        <v>YARIS R LE MT</v>
      </c>
      <c r="Y73" s="627">
        <f t="shared" si="52"/>
        <v>2017</v>
      </c>
      <c r="Z73" s="628">
        <f t="shared" si="53"/>
        <v>212241.38</v>
      </c>
      <c r="AA73" s="629">
        <f>+Z73</f>
        <v>212241.38</v>
      </c>
      <c r="AB73" s="665">
        <v>1</v>
      </c>
      <c r="AC73" s="629">
        <f t="shared" si="46"/>
        <v>0.01</v>
      </c>
      <c r="AD73" s="630">
        <f t="shared" si="47"/>
        <v>0.02</v>
      </c>
      <c r="AE73" s="629">
        <f t="shared" si="48"/>
        <v>0</v>
      </c>
      <c r="AF73" s="629">
        <f t="shared" si="44"/>
        <v>0</v>
      </c>
      <c r="AG73" s="555">
        <f t="shared" si="54"/>
        <v>0</v>
      </c>
      <c r="AH73" s="361"/>
      <c r="AI73" s="313"/>
      <c r="AJ73" s="374"/>
      <c r="AK73" s="374"/>
      <c r="AL73" s="374"/>
      <c r="AM73" s="374"/>
      <c r="AN73" s="296"/>
      <c r="AO73" s="296"/>
      <c r="AP73" s="296"/>
      <c r="AQ73" s="296"/>
      <c r="AR73" s="296"/>
      <c r="AS73" s="296"/>
      <c r="AT73" s="296"/>
      <c r="AU73" s="296"/>
    </row>
    <row r="74" spans="1:47" s="351" customFormat="1" x14ac:dyDescent="0.2">
      <c r="A74" s="423">
        <f t="shared" si="55"/>
        <v>69</v>
      </c>
      <c r="B74" s="721" t="s">
        <v>5545</v>
      </c>
      <c r="C74" s="655">
        <v>1520104</v>
      </c>
      <c r="D74" s="658">
        <v>7493</v>
      </c>
      <c r="E74" s="655" t="s">
        <v>711</v>
      </c>
      <c r="F74" s="546">
        <v>2017</v>
      </c>
      <c r="G74" s="659">
        <v>42949</v>
      </c>
      <c r="H74" s="655" t="s">
        <v>819</v>
      </c>
      <c r="I74" s="655" t="s">
        <v>4861</v>
      </c>
      <c r="J74" s="712"/>
      <c r="K74" s="655" t="s">
        <v>5180</v>
      </c>
      <c r="L74" s="655" t="s">
        <v>5327</v>
      </c>
      <c r="M74" s="660">
        <v>241789.82</v>
      </c>
      <c r="N74" s="660">
        <v>12089.49</v>
      </c>
      <c r="O74" s="660">
        <v>40620.69</v>
      </c>
      <c r="P74" s="660">
        <v>294500</v>
      </c>
      <c r="Q74" s="548"/>
      <c r="R74" s="660">
        <v>229061.05</v>
      </c>
      <c r="S74" s="549">
        <f t="shared" si="45"/>
        <v>65438.950000000012</v>
      </c>
      <c r="T74" s="113" t="s">
        <v>131</v>
      </c>
      <c r="U74" s="626" t="str">
        <f t="shared" si="49"/>
        <v>AA11600</v>
      </c>
      <c r="V74" s="627" t="str">
        <f t="shared" si="50"/>
        <v>1349-TCN17</v>
      </c>
      <c r="W74" s="626">
        <f t="shared" si="51"/>
        <v>1520104</v>
      </c>
      <c r="X74" s="626" t="str">
        <f t="shared" si="52"/>
        <v>HILUX PICK UP BASIC CAB L4 16V AC</v>
      </c>
      <c r="Y74" s="627">
        <f t="shared" si="52"/>
        <v>2017</v>
      </c>
      <c r="Z74" s="628">
        <f t="shared" si="53"/>
        <v>241789.82</v>
      </c>
      <c r="AA74" s="629"/>
      <c r="AB74" s="664"/>
      <c r="AC74" s="629">
        <f t="shared" si="46"/>
        <v>0.01</v>
      </c>
      <c r="AD74" s="630">
        <f t="shared" si="47"/>
        <v>0.02</v>
      </c>
      <c r="AE74" s="629">
        <f t="shared" si="48"/>
        <v>0</v>
      </c>
      <c r="AF74" s="629">
        <f t="shared" si="44"/>
        <v>12089.49</v>
      </c>
      <c r="AG74" s="555">
        <f t="shared" si="54"/>
        <v>0</v>
      </c>
      <c r="AH74" s="361"/>
      <c r="AI74" s="313"/>
      <c r="AJ74" s="374"/>
      <c r="AK74" s="374"/>
      <c r="AL74" s="374"/>
      <c r="AM74" s="374"/>
      <c r="AN74" s="296"/>
      <c r="AO74" s="296"/>
      <c r="AP74" s="296"/>
      <c r="AQ74" s="296"/>
      <c r="AR74" s="296"/>
      <c r="AS74" s="296"/>
      <c r="AT74" s="352"/>
      <c r="AU74" s="352"/>
    </row>
    <row r="75" spans="1:47" s="351" customFormat="1" x14ac:dyDescent="0.2">
      <c r="A75" s="423">
        <f t="shared" si="55"/>
        <v>70</v>
      </c>
      <c r="B75" s="721" t="s">
        <v>5546</v>
      </c>
      <c r="C75" s="655">
        <v>1520104</v>
      </c>
      <c r="D75" s="658">
        <v>7493</v>
      </c>
      <c r="E75" s="655" t="s">
        <v>711</v>
      </c>
      <c r="F75" s="546">
        <v>2017</v>
      </c>
      <c r="G75" s="659">
        <v>42971</v>
      </c>
      <c r="H75" s="655" t="s">
        <v>819</v>
      </c>
      <c r="I75" s="655" t="s">
        <v>5731</v>
      </c>
      <c r="J75" s="712"/>
      <c r="K75" s="655" t="s">
        <v>1008</v>
      </c>
      <c r="L75" s="655" t="s">
        <v>5980</v>
      </c>
      <c r="M75" s="660">
        <v>241789.82</v>
      </c>
      <c r="N75" s="660">
        <v>12089.49</v>
      </c>
      <c r="O75" s="660">
        <v>40620.69</v>
      </c>
      <c r="P75" s="660">
        <v>294500</v>
      </c>
      <c r="Q75" s="548"/>
      <c r="R75" s="660">
        <v>229061.05</v>
      </c>
      <c r="S75" s="549">
        <f t="shared" si="45"/>
        <v>65438.950000000012</v>
      </c>
      <c r="T75" s="113" t="s">
        <v>131</v>
      </c>
      <c r="U75" s="626" t="str">
        <f t="shared" si="49"/>
        <v>AA11726</v>
      </c>
      <c r="V75" s="627" t="str">
        <f t="shared" si="50"/>
        <v>1511-TCN17</v>
      </c>
      <c r="W75" s="626">
        <f t="shared" si="51"/>
        <v>1520104</v>
      </c>
      <c r="X75" s="626" t="str">
        <f t="shared" si="52"/>
        <v>HILUX PICK UP BASIC CAB L4 16V AC</v>
      </c>
      <c r="Y75" s="627">
        <f t="shared" si="52"/>
        <v>2017</v>
      </c>
      <c r="Z75" s="628">
        <f t="shared" si="53"/>
        <v>241789.82</v>
      </c>
      <c r="AA75" s="629"/>
      <c r="AB75" s="664"/>
      <c r="AC75" s="629">
        <f t="shared" si="46"/>
        <v>0.01</v>
      </c>
      <c r="AD75" s="630">
        <f t="shared" si="47"/>
        <v>0.02</v>
      </c>
      <c r="AE75" s="629">
        <f t="shared" si="48"/>
        <v>0</v>
      </c>
      <c r="AF75" s="629">
        <f t="shared" si="44"/>
        <v>12089.49</v>
      </c>
      <c r="AG75" s="555">
        <f t="shared" si="54"/>
        <v>0</v>
      </c>
      <c r="AH75" s="361"/>
      <c r="AI75" s="313"/>
      <c r="AJ75" s="374"/>
      <c r="AK75" s="374"/>
      <c r="AL75" s="374"/>
      <c r="AM75" s="374"/>
      <c r="AN75" s="296"/>
      <c r="AO75" s="296"/>
      <c r="AP75" s="296"/>
      <c r="AQ75" s="296"/>
      <c r="AR75" s="296"/>
      <c r="AS75" s="296"/>
      <c r="AT75" s="352"/>
      <c r="AU75" s="352"/>
    </row>
    <row r="76" spans="1:47" s="348" customFormat="1" x14ac:dyDescent="0.2">
      <c r="A76" s="423">
        <f t="shared" si="55"/>
        <v>71</v>
      </c>
      <c r="B76" s="721" t="s">
        <v>5547</v>
      </c>
      <c r="C76" s="655">
        <v>1520104</v>
      </c>
      <c r="D76" s="658">
        <v>7493</v>
      </c>
      <c r="E76" s="655" t="s">
        <v>711</v>
      </c>
      <c r="F76" s="546">
        <v>2017</v>
      </c>
      <c r="G76" s="659">
        <v>42971</v>
      </c>
      <c r="H76" s="655" t="s">
        <v>819</v>
      </c>
      <c r="I76" s="655" t="s">
        <v>5732</v>
      </c>
      <c r="J76" s="712"/>
      <c r="K76" s="655" t="s">
        <v>1008</v>
      </c>
      <c r="L76" s="655" t="s">
        <v>5981</v>
      </c>
      <c r="M76" s="660">
        <v>241789.82</v>
      </c>
      <c r="N76" s="660">
        <v>12089.49</v>
      </c>
      <c r="O76" s="660">
        <v>40620.69</v>
      </c>
      <c r="P76" s="660">
        <v>294500</v>
      </c>
      <c r="Q76" s="548"/>
      <c r="R76" s="660">
        <v>229061.05</v>
      </c>
      <c r="S76" s="549">
        <f t="shared" si="45"/>
        <v>65438.950000000012</v>
      </c>
      <c r="T76" s="113" t="s">
        <v>131</v>
      </c>
      <c r="U76" s="626" t="str">
        <f t="shared" si="49"/>
        <v>AA11724</v>
      </c>
      <c r="V76" s="627" t="str">
        <f t="shared" si="50"/>
        <v>1513-TCN17</v>
      </c>
      <c r="W76" s="626">
        <f t="shared" si="51"/>
        <v>1520104</v>
      </c>
      <c r="X76" s="626" t="str">
        <f t="shared" si="52"/>
        <v>HILUX PICK UP BASIC CAB L4 16V AC</v>
      </c>
      <c r="Y76" s="627">
        <f t="shared" si="52"/>
        <v>2017</v>
      </c>
      <c r="Z76" s="628">
        <f t="shared" si="53"/>
        <v>241789.82</v>
      </c>
      <c r="AA76" s="629"/>
      <c r="AB76" s="664"/>
      <c r="AC76" s="629"/>
      <c r="AD76" s="630"/>
      <c r="AE76" s="629"/>
      <c r="AF76" s="629">
        <f t="shared" si="44"/>
        <v>12089.49</v>
      </c>
      <c r="AG76" s="555">
        <f t="shared" si="54"/>
        <v>0</v>
      </c>
      <c r="AH76" s="361"/>
      <c r="AI76" s="363"/>
      <c r="AJ76" s="330"/>
      <c r="AK76" s="330"/>
      <c r="AL76" s="330"/>
      <c r="AM76" s="330"/>
      <c r="AN76" s="353"/>
      <c r="AO76" s="353"/>
      <c r="AP76" s="353"/>
      <c r="AQ76" s="353"/>
      <c r="AR76" s="353"/>
      <c r="AS76" s="353"/>
      <c r="AT76" s="353"/>
      <c r="AU76" s="353"/>
    </row>
    <row r="77" spans="1:47" s="348" customFormat="1" x14ac:dyDescent="0.2">
      <c r="A77" s="423">
        <f t="shared" si="55"/>
        <v>72</v>
      </c>
      <c r="B77" s="721" t="s">
        <v>5536</v>
      </c>
      <c r="C77" s="655">
        <v>1520104</v>
      </c>
      <c r="D77" s="658">
        <v>7493</v>
      </c>
      <c r="E77" s="655" t="s">
        <v>711</v>
      </c>
      <c r="F77" s="546">
        <v>2017</v>
      </c>
      <c r="G77" s="659">
        <v>42949</v>
      </c>
      <c r="H77" s="655" t="s">
        <v>819</v>
      </c>
      <c r="I77" s="655" t="s">
        <v>4861</v>
      </c>
      <c r="J77" s="712"/>
      <c r="K77" s="655" t="s">
        <v>5180</v>
      </c>
      <c r="L77" s="655" t="s">
        <v>5327</v>
      </c>
      <c r="M77" s="660">
        <v>-250000</v>
      </c>
      <c r="N77" s="660">
        <v>-12500</v>
      </c>
      <c r="O77" s="660">
        <v>-42000</v>
      </c>
      <c r="P77" s="660">
        <v>-304500</v>
      </c>
      <c r="Q77" s="548"/>
      <c r="R77" s="660">
        <v>-229061.05</v>
      </c>
      <c r="S77" s="549">
        <f t="shared" si="45"/>
        <v>-75438.950000000012</v>
      </c>
      <c r="T77" s="113" t="s">
        <v>1266</v>
      </c>
      <c r="U77" s="626" t="str">
        <f t="shared" si="49"/>
        <v>ZA04219</v>
      </c>
      <c r="V77" s="627" t="str">
        <f t="shared" si="50"/>
        <v>1349-TCN17</v>
      </c>
      <c r="W77" s="626">
        <f t="shared" si="51"/>
        <v>1520104</v>
      </c>
      <c r="X77" s="626" t="str">
        <f t="shared" si="52"/>
        <v>HILUX PICK UP BASIC CAB L4 16V AC</v>
      </c>
      <c r="Y77" s="627">
        <f t="shared" si="52"/>
        <v>2017</v>
      </c>
      <c r="Z77" s="628">
        <f t="shared" si="53"/>
        <v>-250000</v>
      </c>
      <c r="AA77" s="629">
        <f>+SUM(Z74:Z77)</f>
        <v>475369.45999999996</v>
      </c>
      <c r="AB77" s="677">
        <v>2</v>
      </c>
      <c r="AC77" s="629" t="e">
        <f t="shared" si="46"/>
        <v>#N/A</v>
      </c>
      <c r="AD77" s="630" t="e">
        <f t="shared" si="47"/>
        <v>#N/A</v>
      </c>
      <c r="AE77" s="629" t="e">
        <f t="shared" si="48"/>
        <v>#N/A</v>
      </c>
      <c r="AF77" s="629">
        <f t="shared" si="44"/>
        <v>-12500</v>
      </c>
      <c r="AG77" s="555">
        <f t="shared" si="54"/>
        <v>0</v>
      </c>
      <c r="AH77" s="361"/>
      <c r="AI77" s="363"/>
      <c r="AJ77" s="330"/>
      <c r="AK77" s="330"/>
      <c r="AL77" s="330"/>
      <c r="AM77" s="330"/>
      <c r="AN77" s="353"/>
      <c r="AO77" s="353"/>
      <c r="AP77" s="353"/>
      <c r="AQ77" s="353"/>
      <c r="AR77" s="353"/>
      <c r="AS77" s="353"/>
      <c r="AT77" s="353"/>
      <c r="AU77" s="353"/>
    </row>
    <row r="78" spans="1:47" s="291" customFormat="1" x14ac:dyDescent="0.2">
      <c r="A78" s="423">
        <f t="shared" si="55"/>
        <v>73</v>
      </c>
      <c r="B78" s="721" t="s">
        <v>5554</v>
      </c>
      <c r="C78" s="655">
        <v>1520105</v>
      </c>
      <c r="D78" s="658">
        <v>7494</v>
      </c>
      <c r="E78" s="655" t="s">
        <v>712</v>
      </c>
      <c r="F78" s="546">
        <v>2017</v>
      </c>
      <c r="G78" s="659">
        <v>42977</v>
      </c>
      <c r="H78" s="655" t="s">
        <v>2216</v>
      </c>
      <c r="I78" s="655" t="s">
        <v>5736</v>
      </c>
      <c r="J78" s="712"/>
      <c r="K78" s="655" t="s">
        <v>5841</v>
      </c>
      <c r="L78" s="655" t="s">
        <v>5985</v>
      </c>
      <c r="M78" s="660">
        <v>235139.57</v>
      </c>
      <c r="N78" s="660">
        <v>11756.98</v>
      </c>
      <c r="O78" s="660">
        <v>39503.449999999997</v>
      </c>
      <c r="P78" s="660">
        <v>286400</v>
      </c>
      <c r="Q78" s="548"/>
      <c r="R78" s="660">
        <v>215512.69</v>
      </c>
      <c r="S78" s="549">
        <f t="shared" si="45"/>
        <v>70887.31</v>
      </c>
      <c r="T78" s="113" t="s">
        <v>131</v>
      </c>
      <c r="U78" s="626" t="str">
        <f t="shared" si="49"/>
        <v>AA11768</v>
      </c>
      <c r="V78" s="627" t="str">
        <f t="shared" si="50"/>
        <v>1722-TCN17</v>
      </c>
      <c r="W78" s="626">
        <f t="shared" si="51"/>
        <v>1520105</v>
      </c>
      <c r="X78" s="626" t="str">
        <f t="shared" si="52"/>
        <v>HILUX PICK UP CHASSIS CAB</v>
      </c>
      <c r="Y78" s="627">
        <f t="shared" si="52"/>
        <v>2017</v>
      </c>
      <c r="Z78" s="628">
        <f t="shared" si="53"/>
        <v>235139.57</v>
      </c>
      <c r="AA78" s="629"/>
      <c r="AB78" s="664"/>
      <c r="AC78" s="629">
        <f t="shared" si="46"/>
        <v>0.01</v>
      </c>
      <c r="AD78" s="630">
        <f t="shared" si="47"/>
        <v>0.02</v>
      </c>
      <c r="AE78" s="629">
        <f t="shared" si="48"/>
        <v>0</v>
      </c>
      <c r="AF78" s="629">
        <f t="shared" si="44"/>
        <v>11756.98</v>
      </c>
      <c r="AG78" s="555">
        <f t="shared" si="54"/>
        <v>0</v>
      </c>
      <c r="AH78" s="361"/>
      <c r="AI78" s="313"/>
      <c r="AJ78" s="374"/>
      <c r="AK78" s="374"/>
      <c r="AL78" s="374"/>
      <c r="AM78" s="374"/>
      <c r="AN78" s="296"/>
      <c r="AO78" s="296"/>
      <c r="AP78" s="296"/>
      <c r="AQ78" s="296"/>
      <c r="AR78" s="296"/>
      <c r="AS78" s="296"/>
      <c r="AT78" s="296"/>
      <c r="AU78" s="296"/>
    </row>
    <row r="79" spans="1:47" s="351" customFormat="1" x14ac:dyDescent="0.2">
      <c r="A79" s="423">
        <f t="shared" si="55"/>
        <v>74</v>
      </c>
      <c r="B79" s="721" t="s">
        <v>5555</v>
      </c>
      <c r="C79" s="655">
        <v>1520105</v>
      </c>
      <c r="D79" s="658">
        <v>7494</v>
      </c>
      <c r="E79" s="655" t="s">
        <v>712</v>
      </c>
      <c r="F79" s="546">
        <v>2017</v>
      </c>
      <c r="G79" s="659">
        <v>42978</v>
      </c>
      <c r="H79" s="655" t="s">
        <v>747</v>
      </c>
      <c r="I79" s="655" t="s">
        <v>5738</v>
      </c>
      <c r="J79" s="712"/>
      <c r="K79" s="655" t="s">
        <v>830</v>
      </c>
      <c r="L79" s="655" t="s">
        <v>5987</v>
      </c>
      <c r="M79" s="660">
        <v>235139.57</v>
      </c>
      <c r="N79" s="660">
        <v>11756.98</v>
      </c>
      <c r="O79" s="660">
        <v>39503.449999999997</v>
      </c>
      <c r="P79" s="660">
        <v>286400</v>
      </c>
      <c r="Q79" s="548"/>
      <c r="R79" s="660">
        <v>215867.16</v>
      </c>
      <c r="S79" s="549">
        <f t="shared" si="45"/>
        <v>70532.84</v>
      </c>
      <c r="T79" s="113" t="s">
        <v>131</v>
      </c>
      <c r="U79" s="626" t="str">
        <f t="shared" si="49"/>
        <v>AA11776</v>
      </c>
      <c r="V79" s="627" t="str">
        <f t="shared" si="50"/>
        <v>1783-TCN17</v>
      </c>
      <c r="W79" s="626">
        <f t="shared" si="51"/>
        <v>1520105</v>
      </c>
      <c r="X79" s="626" t="str">
        <f t="shared" si="52"/>
        <v>HILUX PICK UP CHASSIS CAB</v>
      </c>
      <c r="Y79" s="627">
        <f t="shared" si="52"/>
        <v>2017</v>
      </c>
      <c r="Z79" s="628">
        <f t="shared" si="53"/>
        <v>235139.57</v>
      </c>
      <c r="AA79" s="629">
        <f>+Z79+Z78</f>
        <v>470279.14</v>
      </c>
      <c r="AB79" s="677">
        <v>2</v>
      </c>
      <c r="AC79" s="629">
        <f t="shared" si="46"/>
        <v>0.01</v>
      </c>
      <c r="AD79" s="630">
        <f t="shared" si="47"/>
        <v>0.02</v>
      </c>
      <c r="AE79" s="629">
        <f t="shared" si="48"/>
        <v>0</v>
      </c>
      <c r="AF79" s="629">
        <f t="shared" si="44"/>
        <v>11756.98</v>
      </c>
      <c r="AG79" s="555">
        <f t="shared" si="54"/>
        <v>0</v>
      </c>
      <c r="AH79" s="361"/>
      <c r="AI79" s="313"/>
      <c r="AJ79" s="374"/>
      <c r="AK79" s="331"/>
      <c r="AL79" s="331"/>
      <c r="AM79" s="331"/>
      <c r="AN79" s="352"/>
      <c r="AO79" s="352"/>
      <c r="AP79" s="352"/>
      <c r="AQ79" s="352"/>
      <c r="AR79" s="352"/>
      <c r="AS79" s="352"/>
      <c r="AT79" s="352"/>
      <c r="AU79" s="352"/>
    </row>
    <row r="80" spans="1:47" s="291" customFormat="1" x14ac:dyDescent="0.2">
      <c r="A80" s="423">
        <f t="shared" si="55"/>
        <v>75</v>
      </c>
      <c r="B80" s="721" t="s">
        <v>5519</v>
      </c>
      <c r="C80" s="655">
        <v>1520204</v>
      </c>
      <c r="D80" s="658">
        <v>5603</v>
      </c>
      <c r="E80" s="655" t="s">
        <v>713</v>
      </c>
      <c r="F80" s="546">
        <v>2018</v>
      </c>
      <c r="G80" s="659">
        <v>42955</v>
      </c>
      <c r="H80" s="655" t="s">
        <v>810</v>
      </c>
      <c r="I80" s="655" t="s">
        <v>5719</v>
      </c>
      <c r="J80" s="712"/>
      <c r="K80" s="655" t="s">
        <v>5833</v>
      </c>
      <c r="L80" s="655" t="s">
        <v>5968</v>
      </c>
      <c r="M80" s="660">
        <v>314614.12</v>
      </c>
      <c r="N80" s="660">
        <v>15730.71</v>
      </c>
      <c r="O80" s="660">
        <v>52855.17</v>
      </c>
      <c r="P80" s="660">
        <v>383200</v>
      </c>
      <c r="Q80" s="548"/>
      <c r="R80" s="660">
        <v>286281.8</v>
      </c>
      <c r="S80" s="549">
        <f t="shared" si="45"/>
        <v>96918.200000000012</v>
      </c>
      <c r="T80" s="113" t="s">
        <v>131</v>
      </c>
      <c r="U80" s="626" t="str">
        <f t="shared" si="49"/>
        <v>AA11638</v>
      </c>
      <c r="V80" s="627" t="str">
        <f t="shared" si="50"/>
        <v>0024-TCN18</v>
      </c>
      <c r="W80" s="626">
        <f t="shared" si="51"/>
        <v>1520204</v>
      </c>
      <c r="X80" s="626" t="str">
        <f t="shared" si="52"/>
        <v>HIACE PANEL SUP LARGA C/VENT</v>
      </c>
      <c r="Y80" s="627">
        <f t="shared" si="52"/>
        <v>2018</v>
      </c>
      <c r="Z80" s="628">
        <f t="shared" si="53"/>
        <v>314614.12</v>
      </c>
      <c r="AA80" s="629"/>
      <c r="AB80" s="664"/>
      <c r="AC80" s="629">
        <f t="shared" si="46"/>
        <v>295708.34000000003</v>
      </c>
      <c r="AD80" s="630">
        <f t="shared" si="47"/>
        <v>0.1</v>
      </c>
      <c r="AE80" s="629">
        <f t="shared" si="48"/>
        <v>7392.74</v>
      </c>
      <c r="AF80" s="629">
        <f t="shared" si="44"/>
        <v>15730.71</v>
      </c>
      <c r="AG80" s="555">
        <f t="shared" si="54"/>
        <v>0</v>
      </c>
      <c r="AH80" s="361"/>
      <c r="AI80" s="313"/>
      <c r="AJ80" s="374"/>
      <c r="AK80" s="374"/>
      <c r="AL80" s="374"/>
      <c r="AM80" s="374"/>
      <c r="AN80" s="296"/>
      <c r="AO80" s="296"/>
      <c r="AP80" s="296"/>
      <c r="AQ80" s="296"/>
      <c r="AR80" s="296"/>
      <c r="AS80" s="296"/>
      <c r="AT80" s="296"/>
      <c r="AU80" s="296"/>
    </row>
    <row r="81" spans="1:47" s="351" customFormat="1" x14ac:dyDescent="0.2">
      <c r="A81" s="423">
        <f t="shared" si="55"/>
        <v>76</v>
      </c>
      <c r="B81" s="721" t="s">
        <v>5521</v>
      </c>
      <c r="C81" s="655">
        <v>1520204</v>
      </c>
      <c r="D81" s="658">
        <v>5603</v>
      </c>
      <c r="E81" s="655" t="s">
        <v>713</v>
      </c>
      <c r="F81" s="546">
        <v>2018</v>
      </c>
      <c r="G81" s="659">
        <v>42966</v>
      </c>
      <c r="H81" s="655" t="s">
        <v>810</v>
      </c>
      <c r="I81" s="655" t="s">
        <v>5721</v>
      </c>
      <c r="J81" s="712"/>
      <c r="K81" s="655" t="s">
        <v>5834</v>
      </c>
      <c r="L81" s="655" t="s">
        <v>5970</v>
      </c>
      <c r="M81" s="660">
        <v>314614.12</v>
      </c>
      <c r="N81" s="660">
        <v>15730.71</v>
      </c>
      <c r="O81" s="660">
        <v>52855.17</v>
      </c>
      <c r="P81" s="660">
        <v>383200</v>
      </c>
      <c r="Q81" s="548"/>
      <c r="R81" s="660">
        <v>286281.8</v>
      </c>
      <c r="S81" s="549">
        <f t="shared" si="45"/>
        <v>96918.200000000012</v>
      </c>
      <c r="T81" s="267" t="s">
        <v>131</v>
      </c>
      <c r="U81" s="722" t="str">
        <f t="shared" si="49"/>
        <v>AA11687</v>
      </c>
      <c r="V81" s="723" t="str">
        <f t="shared" si="50"/>
        <v>0025-TCN18</v>
      </c>
      <c r="W81" s="722">
        <f t="shared" si="51"/>
        <v>1520204</v>
      </c>
      <c r="X81" s="722" t="str">
        <f t="shared" si="52"/>
        <v>HIACE PANEL SUP LARGA C/VENT</v>
      </c>
      <c r="Y81" s="723">
        <f t="shared" si="52"/>
        <v>2018</v>
      </c>
      <c r="Z81" s="724">
        <f t="shared" si="53"/>
        <v>314614.12</v>
      </c>
      <c r="AA81" s="725">
        <f>+Z81+Z80</f>
        <v>629228.24</v>
      </c>
      <c r="AB81" s="736">
        <v>2</v>
      </c>
      <c r="AC81" s="725">
        <f t="shared" si="46"/>
        <v>295708.34000000003</v>
      </c>
      <c r="AD81" s="726">
        <f t="shared" si="47"/>
        <v>0.1</v>
      </c>
      <c r="AE81" s="725">
        <f t="shared" si="48"/>
        <v>7392.74</v>
      </c>
      <c r="AF81" s="725">
        <f t="shared" si="44"/>
        <v>15730.71</v>
      </c>
      <c r="AG81" s="727">
        <f t="shared" si="54"/>
        <v>0</v>
      </c>
      <c r="AH81" s="361"/>
      <c r="AI81" s="313"/>
      <c r="AJ81" s="374"/>
      <c r="AK81" s="331"/>
      <c r="AL81" s="331"/>
      <c r="AM81" s="331"/>
      <c r="AN81" s="352"/>
      <c r="AO81" s="352"/>
      <c r="AP81" s="352"/>
      <c r="AQ81" s="352"/>
      <c r="AR81" s="352"/>
      <c r="AS81" s="352"/>
      <c r="AT81" s="352"/>
      <c r="AU81" s="352"/>
    </row>
    <row r="82" spans="1:47" s="291" customFormat="1" x14ac:dyDescent="0.2">
      <c r="A82" s="423">
        <f t="shared" si="55"/>
        <v>77</v>
      </c>
      <c r="B82" s="721" t="s">
        <v>5535</v>
      </c>
      <c r="C82" s="655">
        <v>1520302</v>
      </c>
      <c r="D82" s="658">
        <v>7441</v>
      </c>
      <c r="E82" s="655" t="s">
        <v>715</v>
      </c>
      <c r="F82" s="546">
        <v>2017</v>
      </c>
      <c r="G82" s="659">
        <v>42975</v>
      </c>
      <c r="H82" s="655" t="s">
        <v>739</v>
      </c>
      <c r="I82" s="655" t="s">
        <v>5730</v>
      </c>
      <c r="J82" s="712"/>
      <c r="K82" s="655" t="s">
        <v>5840</v>
      </c>
      <c r="L82" s="655" t="s">
        <v>5979</v>
      </c>
      <c r="M82" s="660">
        <v>525451.56000000006</v>
      </c>
      <c r="N82" s="660">
        <v>26272.58</v>
      </c>
      <c r="O82" s="660">
        <v>88275.86</v>
      </c>
      <c r="P82" s="660">
        <v>640000</v>
      </c>
      <c r="Q82" s="548"/>
      <c r="R82" s="660">
        <v>465264.76</v>
      </c>
      <c r="S82" s="549">
        <f t="shared" si="45"/>
        <v>174735.24</v>
      </c>
      <c r="T82" s="113" t="s">
        <v>131</v>
      </c>
      <c r="U82" s="722" t="str">
        <f t="shared" ref="U82:U99" si="56">+B82</f>
        <v>AA11747</v>
      </c>
      <c r="V82" s="723" t="str">
        <f t="shared" ref="V82:V99" si="57">+I82</f>
        <v>1713-TCN17</v>
      </c>
      <c r="W82" s="722">
        <f t="shared" ref="W82:W99" si="58">+C82</f>
        <v>1520302</v>
      </c>
      <c r="X82" s="722" t="str">
        <f t="shared" ref="X82:X99" si="59">+E82</f>
        <v>TACOMA 4X4</v>
      </c>
      <c r="Y82" s="723">
        <f t="shared" ref="Y82:Y99" si="60">+F82</f>
        <v>2017</v>
      </c>
      <c r="Z82" s="724">
        <f t="shared" ref="Z82:Z99" si="61">+M82</f>
        <v>525451.56000000006</v>
      </c>
      <c r="AA82" s="725">
        <f>+Z82</f>
        <v>525451.56000000006</v>
      </c>
      <c r="AB82" s="736">
        <v>1</v>
      </c>
      <c r="AC82" s="725">
        <f t="shared" ref="AC82:AC99" si="62">VLOOKUP(Z82,TARIFA,1)</f>
        <v>443562.4</v>
      </c>
      <c r="AD82" s="726">
        <f t="shared" ref="AD82:AD99" si="63">VLOOKUP(Z82,TARIFA,4)</f>
        <v>0.17</v>
      </c>
      <c r="AE82" s="725">
        <f t="shared" ref="AE82:AE99" si="64">VLOOKUP(Z82,TARIFA,3)</f>
        <v>27106.55</v>
      </c>
      <c r="AF82" s="725">
        <f t="shared" ref="AF82:AF99" si="65">+N82</f>
        <v>26272.58</v>
      </c>
      <c r="AG82" s="727">
        <f t="shared" ref="AG82:AG99" si="66">+N82-AF82</f>
        <v>0</v>
      </c>
      <c r="AH82" s="361"/>
      <c r="AI82" s="313"/>
      <c r="AJ82" s="374"/>
      <c r="AK82" s="374"/>
      <c r="AL82" s="374"/>
      <c r="AM82" s="374"/>
      <c r="AN82" s="296"/>
      <c r="AO82" s="296"/>
      <c r="AP82" s="296"/>
      <c r="AQ82" s="296"/>
      <c r="AR82" s="296"/>
      <c r="AS82" s="296"/>
      <c r="AT82" s="296"/>
      <c r="AU82" s="296"/>
    </row>
    <row r="83" spans="1:47" s="291" customFormat="1" x14ac:dyDescent="0.2">
      <c r="A83" s="423">
        <f t="shared" si="55"/>
        <v>78</v>
      </c>
      <c r="B83" s="721" t="s">
        <v>5531</v>
      </c>
      <c r="C83" s="655">
        <v>1520304</v>
      </c>
      <c r="D83" s="658">
        <v>7440</v>
      </c>
      <c r="E83" s="655" t="s">
        <v>1520</v>
      </c>
      <c r="F83" s="546">
        <v>2017</v>
      </c>
      <c r="G83" s="659">
        <v>42949</v>
      </c>
      <c r="H83" s="655" t="s">
        <v>819</v>
      </c>
      <c r="I83" s="655" t="s">
        <v>5726</v>
      </c>
      <c r="J83" s="712"/>
      <c r="K83" s="655" t="s">
        <v>5180</v>
      </c>
      <c r="L83" s="655" t="s">
        <v>5975</v>
      </c>
      <c r="M83" s="660">
        <v>579556.65</v>
      </c>
      <c r="N83" s="660">
        <v>28977.83</v>
      </c>
      <c r="O83" s="660">
        <v>97365.52</v>
      </c>
      <c r="P83" s="660">
        <v>705900</v>
      </c>
      <c r="Q83" s="548"/>
      <c r="R83" s="660">
        <v>512522.75</v>
      </c>
      <c r="S83" s="549">
        <f t="shared" si="45"/>
        <v>193377.25</v>
      </c>
      <c r="T83" s="267" t="s">
        <v>131</v>
      </c>
      <c r="U83" s="722" t="str">
        <f t="shared" si="56"/>
        <v>AA11594</v>
      </c>
      <c r="V83" s="723" t="str">
        <f t="shared" si="57"/>
        <v>1669-TCN17</v>
      </c>
      <c r="W83" s="722">
        <f t="shared" si="58"/>
        <v>1520304</v>
      </c>
      <c r="X83" s="722" t="str">
        <f t="shared" si="59"/>
        <v>TACOMA EDICION ESPECIAL</v>
      </c>
      <c r="Y83" s="723">
        <f t="shared" si="60"/>
        <v>2017</v>
      </c>
      <c r="Z83" s="724">
        <f t="shared" si="61"/>
        <v>579556.65</v>
      </c>
      <c r="AA83" s="725"/>
      <c r="AB83" s="746"/>
      <c r="AC83" s="725">
        <f t="shared" si="62"/>
        <v>443562.4</v>
      </c>
      <c r="AD83" s="726">
        <f t="shared" si="63"/>
        <v>0.17</v>
      </c>
      <c r="AE83" s="725">
        <f t="shared" si="64"/>
        <v>27106.55</v>
      </c>
      <c r="AF83" s="725">
        <f t="shared" si="65"/>
        <v>28977.83</v>
      </c>
      <c r="AG83" s="727">
        <f t="shared" si="66"/>
        <v>0</v>
      </c>
      <c r="AH83" s="361"/>
      <c r="AI83" s="313"/>
      <c r="AJ83" s="374"/>
      <c r="AK83" s="374"/>
      <c r="AL83" s="374"/>
      <c r="AM83" s="374"/>
      <c r="AN83" s="296"/>
      <c r="AO83" s="296"/>
      <c r="AP83" s="296"/>
      <c r="AQ83" s="296"/>
      <c r="AR83" s="296"/>
      <c r="AS83" s="296"/>
      <c r="AT83" s="296"/>
      <c r="AU83" s="296"/>
    </row>
    <row r="84" spans="1:47" s="351" customFormat="1" x14ac:dyDescent="0.2">
      <c r="A84" s="423">
        <f t="shared" si="55"/>
        <v>79</v>
      </c>
      <c r="B84" s="721" t="s">
        <v>5532</v>
      </c>
      <c r="C84" s="655">
        <v>1520304</v>
      </c>
      <c r="D84" s="658">
        <v>7440</v>
      </c>
      <c r="E84" s="655" t="s">
        <v>1520</v>
      </c>
      <c r="F84" s="546">
        <v>2017</v>
      </c>
      <c r="G84" s="659">
        <v>42957</v>
      </c>
      <c r="H84" s="655" t="s">
        <v>747</v>
      </c>
      <c r="I84" s="655" t="s">
        <v>5727</v>
      </c>
      <c r="J84" s="712"/>
      <c r="K84" s="655" t="s">
        <v>5837</v>
      </c>
      <c r="L84" s="655" t="s">
        <v>5976</v>
      </c>
      <c r="M84" s="660">
        <v>579556.65</v>
      </c>
      <c r="N84" s="660">
        <v>28977.83</v>
      </c>
      <c r="O84" s="660">
        <v>97365.52</v>
      </c>
      <c r="P84" s="660">
        <v>705900</v>
      </c>
      <c r="Q84" s="548"/>
      <c r="R84" s="660">
        <v>512877.23</v>
      </c>
      <c r="S84" s="549">
        <f t="shared" si="45"/>
        <v>193022.77000000002</v>
      </c>
      <c r="T84" s="113" t="s">
        <v>131</v>
      </c>
      <c r="U84" s="722" t="str">
        <f t="shared" si="56"/>
        <v>AA11652</v>
      </c>
      <c r="V84" s="723" t="str">
        <f t="shared" si="57"/>
        <v>1684-TCN17</v>
      </c>
      <c r="W84" s="722">
        <f t="shared" si="58"/>
        <v>1520304</v>
      </c>
      <c r="X84" s="722" t="str">
        <f t="shared" si="59"/>
        <v>TACOMA EDICION ESPECIAL</v>
      </c>
      <c r="Y84" s="723">
        <f t="shared" si="60"/>
        <v>2017</v>
      </c>
      <c r="Z84" s="724">
        <f t="shared" si="61"/>
        <v>579556.65</v>
      </c>
      <c r="AA84" s="725"/>
      <c r="AB84" s="746"/>
      <c r="AC84" s="725">
        <f t="shared" si="62"/>
        <v>443562.4</v>
      </c>
      <c r="AD84" s="726">
        <f t="shared" si="63"/>
        <v>0.17</v>
      </c>
      <c r="AE84" s="725">
        <f t="shared" si="64"/>
        <v>27106.55</v>
      </c>
      <c r="AF84" s="725">
        <f t="shared" si="65"/>
        <v>28977.83</v>
      </c>
      <c r="AG84" s="727">
        <f t="shared" si="66"/>
        <v>0</v>
      </c>
      <c r="AH84" s="361"/>
      <c r="AI84" s="313"/>
      <c r="AJ84" s="374"/>
      <c r="AK84" s="331"/>
      <c r="AL84" s="331"/>
      <c r="AM84" s="331"/>
      <c r="AN84" s="352"/>
      <c r="AO84" s="352"/>
      <c r="AP84" s="352"/>
      <c r="AQ84" s="352"/>
      <c r="AR84" s="352"/>
      <c r="AS84" s="352"/>
      <c r="AT84" s="352"/>
      <c r="AU84" s="352"/>
    </row>
    <row r="85" spans="1:47" s="351" customFormat="1" x14ac:dyDescent="0.2">
      <c r="A85" s="423">
        <f t="shared" si="55"/>
        <v>80</v>
      </c>
      <c r="B85" s="721" t="s">
        <v>5534</v>
      </c>
      <c r="C85" s="655">
        <v>1520304</v>
      </c>
      <c r="D85" s="658">
        <v>7440</v>
      </c>
      <c r="E85" s="655" t="s">
        <v>1520</v>
      </c>
      <c r="F85" s="546">
        <v>2017</v>
      </c>
      <c r="G85" s="659">
        <v>42978</v>
      </c>
      <c r="H85" s="655" t="s">
        <v>5129</v>
      </c>
      <c r="I85" s="655" t="s">
        <v>5729</v>
      </c>
      <c r="J85" s="712"/>
      <c r="K85" s="655" t="s">
        <v>5839</v>
      </c>
      <c r="L85" s="655" t="s">
        <v>5978</v>
      </c>
      <c r="M85" s="660">
        <v>579556.65</v>
      </c>
      <c r="N85" s="660">
        <v>28977.83</v>
      </c>
      <c r="O85" s="660">
        <v>97365.52</v>
      </c>
      <c r="P85" s="660">
        <v>705900</v>
      </c>
      <c r="Q85" s="548"/>
      <c r="R85" s="660">
        <v>512878.24</v>
      </c>
      <c r="S85" s="549">
        <f t="shared" si="45"/>
        <v>193021.76</v>
      </c>
      <c r="T85" s="113" t="s">
        <v>131</v>
      </c>
      <c r="U85" s="722" t="str">
        <f t="shared" si="56"/>
        <v>AA11786</v>
      </c>
      <c r="V85" s="723" t="str">
        <f t="shared" si="57"/>
        <v>1698-TCN17</v>
      </c>
      <c r="W85" s="722">
        <f t="shared" si="58"/>
        <v>1520304</v>
      </c>
      <c r="X85" s="722" t="str">
        <f t="shared" si="59"/>
        <v>TACOMA EDICION ESPECIAL</v>
      </c>
      <c r="Y85" s="723">
        <f t="shared" si="60"/>
        <v>2017</v>
      </c>
      <c r="Z85" s="724">
        <f t="shared" si="61"/>
        <v>579556.65</v>
      </c>
      <c r="AA85" s="725"/>
      <c r="AB85" s="746"/>
      <c r="AC85" s="725">
        <f t="shared" si="62"/>
        <v>443562.4</v>
      </c>
      <c r="AD85" s="726">
        <f t="shared" si="63"/>
        <v>0.17</v>
      </c>
      <c r="AE85" s="725">
        <f t="shared" si="64"/>
        <v>27106.55</v>
      </c>
      <c r="AF85" s="725">
        <f t="shared" si="65"/>
        <v>28977.83</v>
      </c>
      <c r="AG85" s="727">
        <f t="shared" si="66"/>
        <v>0</v>
      </c>
      <c r="AH85" s="361"/>
      <c r="AI85" s="313"/>
      <c r="AJ85" s="374"/>
      <c r="AK85" s="331"/>
      <c r="AL85" s="331"/>
      <c r="AM85" s="331"/>
      <c r="AN85" s="352"/>
      <c r="AO85" s="352"/>
      <c r="AP85" s="352"/>
      <c r="AQ85" s="352"/>
      <c r="AR85" s="352"/>
      <c r="AS85" s="352"/>
      <c r="AT85" s="352"/>
      <c r="AU85" s="352"/>
    </row>
    <row r="86" spans="1:47" s="351" customFormat="1" x14ac:dyDescent="0.2">
      <c r="A86" s="423">
        <f t="shared" si="55"/>
        <v>81</v>
      </c>
      <c r="B86" s="721" t="s">
        <v>5533</v>
      </c>
      <c r="C86" s="655">
        <v>1520304</v>
      </c>
      <c r="D86" s="658">
        <v>7440</v>
      </c>
      <c r="E86" s="655" t="s">
        <v>1520</v>
      </c>
      <c r="F86" s="546">
        <v>2017</v>
      </c>
      <c r="G86" s="659">
        <v>42972</v>
      </c>
      <c r="H86" s="655" t="s">
        <v>817</v>
      </c>
      <c r="I86" s="655" t="s">
        <v>5728</v>
      </c>
      <c r="J86" s="712"/>
      <c r="K86" s="655" t="s">
        <v>5838</v>
      </c>
      <c r="L86" s="655" t="s">
        <v>5977</v>
      </c>
      <c r="M86" s="660">
        <v>579556.65</v>
      </c>
      <c r="N86" s="660">
        <v>28977.83</v>
      </c>
      <c r="O86" s="660">
        <v>97365.52</v>
      </c>
      <c r="P86" s="660">
        <v>705900</v>
      </c>
      <c r="Q86" s="548"/>
      <c r="R86" s="660">
        <v>512877.24</v>
      </c>
      <c r="S86" s="549">
        <f t="shared" si="45"/>
        <v>193022.76</v>
      </c>
      <c r="T86" s="113" t="s">
        <v>131</v>
      </c>
      <c r="U86" s="722" t="str">
        <f t="shared" si="56"/>
        <v>AA11733</v>
      </c>
      <c r="V86" s="723" t="str">
        <f t="shared" si="57"/>
        <v>1763-TCN17</v>
      </c>
      <c r="W86" s="722">
        <f t="shared" si="58"/>
        <v>1520304</v>
      </c>
      <c r="X86" s="722" t="str">
        <f t="shared" si="59"/>
        <v>TACOMA EDICION ESPECIAL</v>
      </c>
      <c r="Y86" s="723">
        <f t="shared" si="60"/>
        <v>2017</v>
      </c>
      <c r="Z86" s="724">
        <f t="shared" si="61"/>
        <v>579556.65</v>
      </c>
      <c r="AA86" s="725">
        <f>+SUM(Z83:Z86)</f>
        <v>2318226.6</v>
      </c>
      <c r="AB86" s="736">
        <v>4</v>
      </c>
      <c r="AC86" s="725">
        <f t="shared" si="62"/>
        <v>443562.4</v>
      </c>
      <c r="AD86" s="726">
        <f t="shared" si="63"/>
        <v>0.17</v>
      </c>
      <c r="AE86" s="725">
        <f t="shared" si="64"/>
        <v>27106.55</v>
      </c>
      <c r="AF86" s="725">
        <f t="shared" si="65"/>
        <v>28977.83</v>
      </c>
      <c r="AG86" s="727">
        <f t="shared" si="66"/>
        <v>0</v>
      </c>
      <c r="AH86" s="361"/>
      <c r="AI86" s="313"/>
      <c r="AJ86" s="374"/>
      <c r="AK86" s="331"/>
      <c r="AL86" s="331"/>
      <c r="AM86" s="331"/>
      <c r="AN86" s="352"/>
      <c r="AO86" s="352"/>
      <c r="AP86" s="352"/>
      <c r="AQ86" s="352"/>
      <c r="AR86" s="352"/>
      <c r="AS86" s="352"/>
      <c r="AT86" s="352"/>
      <c r="AU86" s="352"/>
    </row>
    <row r="87" spans="1:47" s="291" customFormat="1" x14ac:dyDescent="0.2">
      <c r="A87" s="423">
        <f t="shared" si="55"/>
        <v>82</v>
      </c>
      <c r="B87" s="721" t="s">
        <v>5586</v>
      </c>
      <c r="C87" s="655">
        <v>1520504</v>
      </c>
      <c r="D87" s="658">
        <v>8127</v>
      </c>
      <c r="E87" s="655" t="s">
        <v>716</v>
      </c>
      <c r="F87" s="546">
        <v>2017</v>
      </c>
      <c r="G87" s="659">
        <v>42978</v>
      </c>
      <c r="H87" s="655" t="s">
        <v>817</v>
      </c>
      <c r="I87" s="655" t="s">
        <v>5759</v>
      </c>
      <c r="J87" s="712"/>
      <c r="K87" s="655" t="s">
        <v>5853</v>
      </c>
      <c r="L87" s="655" t="s">
        <v>6008</v>
      </c>
      <c r="M87" s="660">
        <v>684482.76</v>
      </c>
      <c r="N87" s="660">
        <v>34224.14</v>
      </c>
      <c r="O87" s="660">
        <v>114993.1</v>
      </c>
      <c r="P87" s="660">
        <v>833700</v>
      </c>
      <c r="Q87" s="548"/>
      <c r="R87" s="660">
        <v>567432.43999999994</v>
      </c>
      <c r="S87" s="549">
        <f t="shared" si="45"/>
        <v>266267.56000000006</v>
      </c>
      <c r="T87" s="267" t="s">
        <v>131</v>
      </c>
      <c r="U87" s="722" t="str">
        <f t="shared" si="56"/>
        <v>AA11789</v>
      </c>
      <c r="V87" s="723" t="str">
        <f t="shared" si="57"/>
        <v>1194-TCN17</v>
      </c>
      <c r="W87" s="722">
        <f t="shared" si="58"/>
        <v>1520504</v>
      </c>
      <c r="X87" s="722" t="str">
        <f t="shared" si="59"/>
        <v>TUNDRA 4X4 DOBLE CABINA EQUIPADA</v>
      </c>
      <c r="Y87" s="723">
        <f t="shared" si="60"/>
        <v>2017</v>
      </c>
      <c r="Z87" s="724">
        <f t="shared" si="61"/>
        <v>684482.76</v>
      </c>
      <c r="AA87" s="725">
        <f>+Z87</f>
        <v>684482.76</v>
      </c>
      <c r="AB87" s="736">
        <v>1</v>
      </c>
      <c r="AC87" s="725">
        <f t="shared" si="62"/>
        <v>443562.4</v>
      </c>
      <c r="AD87" s="726">
        <f t="shared" si="63"/>
        <v>0.17</v>
      </c>
      <c r="AE87" s="725">
        <f t="shared" si="64"/>
        <v>27106.55</v>
      </c>
      <c r="AF87" s="725">
        <f t="shared" si="65"/>
        <v>34224.14</v>
      </c>
      <c r="AG87" s="727">
        <f t="shared" si="66"/>
        <v>0</v>
      </c>
      <c r="AH87" s="361"/>
      <c r="AI87" s="313"/>
      <c r="AJ87" s="374"/>
      <c r="AK87" s="374"/>
      <c r="AL87" s="374"/>
      <c r="AM87" s="374"/>
      <c r="AN87" s="296"/>
      <c r="AO87" s="296"/>
      <c r="AP87" s="296"/>
      <c r="AQ87" s="296"/>
      <c r="AR87" s="296"/>
      <c r="AS87" s="296"/>
      <c r="AT87" s="296"/>
      <c r="AU87" s="296"/>
    </row>
    <row r="88" spans="1:47" s="351" customFormat="1" x14ac:dyDescent="0.2">
      <c r="A88" s="423">
        <f t="shared" si="55"/>
        <v>83</v>
      </c>
      <c r="B88" s="721" t="s">
        <v>5573</v>
      </c>
      <c r="C88" s="655">
        <v>1520603</v>
      </c>
      <c r="D88" s="658">
        <v>7497</v>
      </c>
      <c r="E88" s="655" t="s">
        <v>5619</v>
      </c>
      <c r="F88" s="546">
        <v>2017</v>
      </c>
      <c r="G88" s="659">
        <v>42948</v>
      </c>
      <c r="H88" s="655" t="s">
        <v>747</v>
      </c>
      <c r="I88" s="655" t="s">
        <v>5751</v>
      </c>
      <c r="J88" s="712"/>
      <c r="K88" s="655" t="s">
        <v>830</v>
      </c>
      <c r="L88" s="655" t="s">
        <v>6000</v>
      </c>
      <c r="M88" s="660">
        <v>271264.37</v>
      </c>
      <c r="N88" s="660">
        <v>13563.22</v>
      </c>
      <c r="O88" s="660">
        <v>45572.41</v>
      </c>
      <c r="P88" s="660">
        <v>330400</v>
      </c>
      <c r="Q88" s="548"/>
      <c r="R88" s="660">
        <v>256833.09</v>
      </c>
      <c r="S88" s="549">
        <f t="shared" si="45"/>
        <v>73566.91</v>
      </c>
      <c r="T88" s="113" t="s">
        <v>131</v>
      </c>
      <c r="U88" s="722" t="str">
        <f t="shared" si="56"/>
        <v>AA11583</v>
      </c>
      <c r="V88" s="723" t="str">
        <f t="shared" si="57"/>
        <v>1370-TCN17</v>
      </c>
      <c r="W88" s="722">
        <f t="shared" si="58"/>
        <v>1520603</v>
      </c>
      <c r="X88" s="722" t="str">
        <f t="shared" si="59"/>
        <v>HILUX 4X2 DOBLE CABINA BASE</v>
      </c>
      <c r="Y88" s="723">
        <f t="shared" si="60"/>
        <v>2017</v>
      </c>
      <c r="Z88" s="724">
        <f t="shared" si="61"/>
        <v>271264.37</v>
      </c>
      <c r="AA88" s="725"/>
      <c r="AB88" s="746"/>
      <c r="AC88" s="725">
        <f t="shared" si="62"/>
        <v>246423.66</v>
      </c>
      <c r="AD88" s="726">
        <f t="shared" si="63"/>
        <v>0.05</v>
      </c>
      <c r="AE88" s="725">
        <f t="shared" si="64"/>
        <v>4928.3900000000003</v>
      </c>
      <c r="AF88" s="725">
        <f t="shared" si="65"/>
        <v>13563.22</v>
      </c>
      <c r="AG88" s="727">
        <f t="shared" si="66"/>
        <v>0</v>
      </c>
      <c r="AH88" s="361"/>
      <c r="AI88" s="313"/>
      <c r="AJ88" s="374"/>
      <c r="AK88" s="331"/>
      <c r="AL88" s="331"/>
      <c r="AM88" s="331"/>
      <c r="AN88" s="352"/>
      <c r="AO88" s="352"/>
      <c r="AP88" s="352"/>
      <c r="AQ88" s="352"/>
      <c r="AR88" s="352"/>
      <c r="AS88" s="352"/>
      <c r="AT88" s="352"/>
      <c r="AU88" s="352"/>
    </row>
    <row r="89" spans="1:47" s="351" customFormat="1" x14ac:dyDescent="0.2">
      <c r="A89" s="423">
        <f t="shared" si="55"/>
        <v>84</v>
      </c>
      <c r="B89" s="721" t="s">
        <v>5574</v>
      </c>
      <c r="C89" s="655">
        <v>1520603</v>
      </c>
      <c r="D89" s="658">
        <v>7497</v>
      </c>
      <c r="E89" s="655" t="s">
        <v>5619</v>
      </c>
      <c r="F89" s="546">
        <v>2017</v>
      </c>
      <c r="G89" s="659">
        <v>42948</v>
      </c>
      <c r="H89" s="655" t="s">
        <v>747</v>
      </c>
      <c r="I89" s="655" t="s">
        <v>5752</v>
      </c>
      <c r="J89" s="712"/>
      <c r="K89" s="655" t="s">
        <v>830</v>
      </c>
      <c r="L89" s="655" t="s">
        <v>6001</v>
      </c>
      <c r="M89" s="660">
        <v>271264.37</v>
      </c>
      <c r="N89" s="660">
        <v>13563.22</v>
      </c>
      <c r="O89" s="660">
        <v>45572.41</v>
      </c>
      <c r="P89" s="660">
        <v>330400</v>
      </c>
      <c r="Q89" s="548"/>
      <c r="R89" s="660">
        <v>256833.09</v>
      </c>
      <c r="S89" s="549">
        <f t="shared" si="45"/>
        <v>73566.91</v>
      </c>
      <c r="T89" s="113" t="s">
        <v>131</v>
      </c>
      <c r="U89" s="722" t="str">
        <f t="shared" si="56"/>
        <v>AA11582</v>
      </c>
      <c r="V89" s="723" t="str">
        <f t="shared" si="57"/>
        <v>1372-TCN17</v>
      </c>
      <c r="W89" s="722">
        <f t="shared" si="58"/>
        <v>1520603</v>
      </c>
      <c r="X89" s="722" t="str">
        <f t="shared" si="59"/>
        <v>HILUX 4X2 DOBLE CABINA BASE</v>
      </c>
      <c r="Y89" s="723">
        <f t="shared" si="60"/>
        <v>2017</v>
      </c>
      <c r="Z89" s="724">
        <f t="shared" si="61"/>
        <v>271264.37</v>
      </c>
      <c r="AA89" s="725"/>
      <c r="AB89" s="746"/>
      <c r="AC89" s="725">
        <f t="shared" si="62"/>
        <v>246423.66</v>
      </c>
      <c r="AD89" s="726">
        <f t="shared" si="63"/>
        <v>0.05</v>
      </c>
      <c r="AE89" s="725">
        <f t="shared" si="64"/>
        <v>4928.3900000000003</v>
      </c>
      <c r="AF89" s="725">
        <f t="shared" si="65"/>
        <v>13563.22</v>
      </c>
      <c r="AG89" s="727">
        <f t="shared" si="66"/>
        <v>0</v>
      </c>
      <c r="AH89" s="361"/>
      <c r="AI89" s="313"/>
      <c r="AJ89" s="374"/>
      <c r="AK89" s="331"/>
      <c r="AL89" s="331"/>
      <c r="AM89" s="331"/>
      <c r="AN89" s="352"/>
      <c r="AO89" s="352"/>
      <c r="AP89" s="352"/>
      <c r="AQ89" s="352"/>
      <c r="AR89" s="352"/>
      <c r="AS89" s="352"/>
      <c r="AT89" s="352"/>
      <c r="AU89" s="352"/>
    </row>
    <row r="90" spans="1:47" s="291" customFormat="1" x14ac:dyDescent="0.2">
      <c r="A90" s="423">
        <f t="shared" si="55"/>
        <v>85</v>
      </c>
      <c r="B90" s="721" t="s">
        <v>5577</v>
      </c>
      <c r="C90" s="655">
        <v>1520603</v>
      </c>
      <c r="D90" s="658">
        <v>7497</v>
      </c>
      <c r="E90" s="655" t="s">
        <v>5619</v>
      </c>
      <c r="F90" s="546">
        <v>2017</v>
      </c>
      <c r="G90" s="659">
        <v>42950</v>
      </c>
      <c r="H90" s="655" t="s">
        <v>2215</v>
      </c>
      <c r="I90" s="655" t="s">
        <v>5753</v>
      </c>
      <c r="J90" s="712"/>
      <c r="K90" s="655" t="s">
        <v>5849</v>
      </c>
      <c r="L90" s="655" t="s">
        <v>6002</v>
      </c>
      <c r="M90" s="660">
        <v>271264.37</v>
      </c>
      <c r="N90" s="660">
        <v>13563.22</v>
      </c>
      <c r="O90" s="660">
        <v>45572.41</v>
      </c>
      <c r="P90" s="660">
        <v>330400</v>
      </c>
      <c r="Q90" s="548"/>
      <c r="R90" s="660">
        <v>257188.43</v>
      </c>
      <c r="S90" s="549">
        <f t="shared" si="45"/>
        <v>73211.570000000007</v>
      </c>
      <c r="T90" s="267" t="s">
        <v>131</v>
      </c>
      <c r="U90" s="722" t="str">
        <f t="shared" si="56"/>
        <v>AA11615</v>
      </c>
      <c r="V90" s="723" t="str">
        <f t="shared" si="57"/>
        <v>1674-TCN17</v>
      </c>
      <c r="W90" s="722">
        <f t="shared" si="58"/>
        <v>1520603</v>
      </c>
      <c r="X90" s="722" t="str">
        <f t="shared" si="59"/>
        <v>HILUX 4X2 DOBLE CABINA BASE</v>
      </c>
      <c r="Y90" s="723">
        <f t="shared" si="60"/>
        <v>2017</v>
      </c>
      <c r="Z90" s="724">
        <f t="shared" si="61"/>
        <v>271264.37</v>
      </c>
      <c r="AA90" s="725"/>
      <c r="AB90" s="746"/>
      <c r="AC90" s="725">
        <f t="shared" si="62"/>
        <v>246423.66</v>
      </c>
      <c r="AD90" s="726">
        <f t="shared" si="63"/>
        <v>0.05</v>
      </c>
      <c r="AE90" s="725">
        <f t="shared" si="64"/>
        <v>4928.3900000000003</v>
      </c>
      <c r="AF90" s="725">
        <f t="shared" si="65"/>
        <v>13563.22</v>
      </c>
      <c r="AG90" s="727">
        <f t="shared" si="66"/>
        <v>0</v>
      </c>
      <c r="AH90" s="361"/>
      <c r="AI90" s="313"/>
      <c r="AJ90" s="374"/>
      <c r="AK90" s="374"/>
      <c r="AL90" s="374"/>
      <c r="AM90" s="374"/>
      <c r="AN90" s="296"/>
      <c r="AO90" s="296"/>
      <c r="AP90" s="296"/>
      <c r="AQ90" s="296"/>
      <c r="AR90" s="296"/>
      <c r="AS90" s="296"/>
      <c r="AT90" s="296"/>
      <c r="AU90" s="296"/>
    </row>
    <row r="91" spans="1:47" s="291" customFormat="1" x14ac:dyDescent="0.2">
      <c r="A91" s="423">
        <f t="shared" si="55"/>
        <v>86</v>
      </c>
      <c r="B91" s="721" t="s">
        <v>5578</v>
      </c>
      <c r="C91" s="655">
        <v>1520603</v>
      </c>
      <c r="D91" s="658">
        <v>7497</v>
      </c>
      <c r="E91" s="655" t="s">
        <v>5619</v>
      </c>
      <c r="F91" s="546">
        <v>2017</v>
      </c>
      <c r="G91" s="659">
        <v>42962</v>
      </c>
      <c r="H91" s="655" t="s">
        <v>2215</v>
      </c>
      <c r="I91" s="655" t="s">
        <v>5754</v>
      </c>
      <c r="J91" s="712"/>
      <c r="K91" s="655" t="s">
        <v>5850</v>
      </c>
      <c r="L91" s="655" t="s">
        <v>6003</v>
      </c>
      <c r="M91" s="660">
        <v>271264.37</v>
      </c>
      <c r="N91" s="660">
        <v>13563.22</v>
      </c>
      <c r="O91" s="660">
        <v>45572.41</v>
      </c>
      <c r="P91" s="660">
        <v>330400</v>
      </c>
      <c r="Q91" s="548"/>
      <c r="R91" s="660">
        <v>257187.57</v>
      </c>
      <c r="S91" s="549">
        <f t="shared" si="45"/>
        <v>73212.429999999993</v>
      </c>
      <c r="T91" s="113" t="s">
        <v>131</v>
      </c>
      <c r="U91" s="722" t="str">
        <f t="shared" si="56"/>
        <v>AA11666</v>
      </c>
      <c r="V91" s="723" t="str">
        <f t="shared" si="57"/>
        <v>1682-TCN17</v>
      </c>
      <c r="W91" s="722">
        <f t="shared" si="58"/>
        <v>1520603</v>
      </c>
      <c r="X91" s="722" t="str">
        <f t="shared" si="59"/>
        <v>HILUX 4X2 DOBLE CABINA BASE</v>
      </c>
      <c r="Y91" s="723">
        <f t="shared" si="60"/>
        <v>2017</v>
      </c>
      <c r="Z91" s="724">
        <f t="shared" si="61"/>
        <v>271264.37</v>
      </c>
      <c r="AA91" s="725"/>
      <c r="AB91" s="746"/>
      <c r="AC91" s="725">
        <f t="shared" si="62"/>
        <v>246423.66</v>
      </c>
      <c r="AD91" s="726">
        <f t="shared" si="63"/>
        <v>0.05</v>
      </c>
      <c r="AE91" s="725">
        <f t="shared" si="64"/>
        <v>4928.3900000000003</v>
      </c>
      <c r="AF91" s="725">
        <f t="shared" si="65"/>
        <v>13563.22</v>
      </c>
      <c r="AG91" s="727">
        <f t="shared" si="66"/>
        <v>0</v>
      </c>
      <c r="AH91" s="361"/>
      <c r="AI91" s="313"/>
      <c r="AJ91" s="374"/>
      <c r="AK91" s="374"/>
      <c r="AL91" s="374"/>
      <c r="AM91" s="374"/>
      <c r="AN91" s="296"/>
      <c r="AO91" s="296"/>
      <c r="AP91" s="296"/>
      <c r="AQ91" s="296"/>
      <c r="AR91" s="296"/>
      <c r="AS91" s="296"/>
      <c r="AT91" s="296"/>
      <c r="AU91" s="296"/>
    </row>
    <row r="92" spans="1:47" s="291" customFormat="1" x14ac:dyDescent="0.2">
      <c r="A92" s="423">
        <f t="shared" si="55"/>
        <v>87</v>
      </c>
      <c r="B92" s="721" t="s">
        <v>5579</v>
      </c>
      <c r="C92" s="655">
        <v>1520603</v>
      </c>
      <c r="D92" s="658">
        <v>7497</v>
      </c>
      <c r="E92" s="655" t="s">
        <v>5619</v>
      </c>
      <c r="F92" s="546">
        <v>2017</v>
      </c>
      <c r="G92" s="659">
        <v>42965</v>
      </c>
      <c r="H92" s="655" t="s">
        <v>817</v>
      </c>
      <c r="I92" s="655" t="s">
        <v>5755</v>
      </c>
      <c r="J92" s="712"/>
      <c r="K92" s="655" t="s">
        <v>5851</v>
      </c>
      <c r="L92" s="655" t="s">
        <v>6004</v>
      </c>
      <c r="M92" s="660">
        <v>271264.37</v>
      </c>
      <c r="N92" s="660">
        <v>13563.22</v>
      </c>
      <c r="O92" s="660">
        <v>45572.41</v>
      </c>
      <c r="P92" s="660">
        <v>330400</v>
      </c>
      <c r="Q92" s="548"/>
      <c r="R92" s="660">
        <v>242008.86</v>
      </c>
      <c r="S92" s="549">
        <f t="shared" si="45"/>
        <v>88391.140000000014</v>
      </c>
      <c r="T92" s="113" t="s">
        <v>131</v>
      </c>
      <c r="U92" s="722" t="str">
        <f t="shared" si="56"/>
        <v>AA11682</v>
      </c>
      <c r="V92" s="723" t="str">
        <f t="shared" si="57"/>
        <v>1705-TCN17</v>
      </c>
      <c r="W92" s="722">
        <f t="shared" si="58"/>
        <v>1520603</v>
      </c>
      <c r="X92" s="722" t="str">
        <f t="shared" si="59"/>
        <v>HILUX 4X2 DOBLE CABINA BASE</v>
      </c>
      <c r="Y92" s="723">
        <f t="shared" si="60"/>
        <v>2017</v>
      </c>
      <c r="Z92" s="724">
        <f t="shared" si="61"/>
        <v>271264.37</v>
      </c>
      <c r="AA92" s="725"/>
      <c r="AB92" s="746"/>
      <c r="AC92" s="725">
        <f t="shared" si="62"/>
        <v>246423.66</v>
      </c>
      <c r="AD92" s="726">
        <f t="shared" si="63"/>
        <v>0.05</v>
      </c>
      <c r="AE92" s="725">
        <f t="shared" si="64"/>
        <v>4928.3900000000003</v>
      </c>
      <c r="AF92" s="725">
        <f t="shared" si="65"/>
        <v>13563.22</v>
      </c>
      <c r="AG92" s="727">
        <f t="shared" si="66"/>
        <v>0</v>
      </c>
      <c r="AH92" s="361"/>
      <c r="AI92" s="740"/>
      <c r="AJ92" s="374"/>
      <c r="AK92" s="374"/>
      <c r="AL92" s="374"/>
      <c r="AM92" s="374"/>
      <c r="AN92" s="296"/>
      <c r="AO92" s="296"/>
      <c r="AP92" s="296"/>
      <c r="AQ92" s="296"/>
      <c r="AR92" s="296"/>
      <c r="AS92" s="296"/>
      <c r="AT92" s="296"/>
      <c r="AU92" s="296"/>
    </row>
    <row r="93" spans="1:47" s="291" customFormat="1" x14ac:dyDescent="0.2">
      <c r="A93" s="423">
        <f t="shared" si="55"/>
        <v>88</v>
      </c>
      <c r="B93" s="721" t="s">
        <v>5585</v>
      </c>
      <c r="C93" s="655">
        <v>1520603</v>
      </c>
      <c r="D93" s="658">
        <v>7497</v>
      </c>
      <c r="E93" s="655" t="s">
        <v>5619</v>
      </c>
      <c r="F93" s="546">
        <v>2017</v>
      </c>
      <c r="G93" s="659">
        <v>42978</v>
      </c>
      <c r="H93" s="655" t="s">
        <v>3694</v>
      </c>
      <c r="I93" s="655" t="s">
        <v>5758</v>
      </c>
      <c r="J93" s="712"/>
      <c r="K93" s="655" t="s">
        <v>5852</v>
      </c>
      <c r="L93" s="655" t="s">
        <v>6007</v>
      </c>
      <c r="M93" s="660">
        <v>271264.37</v>
      </c>
      <c r="N93" s="660">
        <v>13563.22</v>
      </c>
      <c r="O93" s="660">
        <v>45572.41</v>
      </c>
      <c r="P93" s="660">
        <v>330400</v>
      </c>
      <c r="Q93" s="548"/>
      <c r="R93" s="660">
        <v>257188.43</v>
      </c>
      <c r="S93" s="549">
        <f t="shared" si="45"/>
        <v>73211.570000000007</v>
      </c>
      <c r="T93" s="113" t="s">
        <v>131</v>
      </c>
      <c r="U93" s="722" t="str">
        <f t="shared" si="56"/>
        <v>AA11790</v>
      </c>
      <c r="V93" s="723" t="str">
        <f t="shared" si="57"/>
        <v>1776-TCN17</v>
      </c>
      <c r="W93" s="722">
        <f t="shared" si="58"/>
        <v>1520603</v>
      </c>
      <c r="X93" s="722" t="str">
        <f t="shared" si="59"/>
        <v>HILUX 4X2 DOBLE CABINA BASE</v>
      </c>
      <c r="Y93" s="723">
        <f t="shared" si="60"/>
        <v>2017</v>
      </c>
      <c r="Z93" s="724">
        <f t="shared" si="61"/>
        <v>271264.37</v>
      </c>
      <c r="AA93" s="725">
        <f>+SUM(Z88:Z93)</f>
        <v>1627586.2200000002</v>
      </c>
      <c r="AB93" s="736">
        <v>6</v>
      </c>
      <c r="AC93" s="725">
        <f t="shared" si="62"/>
        <v>246423.66</v>
      </c>
      <c r="AD93" s="726">
        <f t="shared" si="63"/>
        <v>0.05</v>
      </c>
      <c r="AE93" s="725">
        <f t="shared" si="64"/>
        <v>4928.3900000000003</v>
      </c>
      <c r="AF93" s="725">
        <f t="shared" si="65"/>
        <v>13563.22</v>
      </c>
      <c r="AG93" s="727">
        <f t="shared" si="66"/>
        <v>0</v>
      </c>
      <c r="AH93" s="361"/>
      <c r="AI93" s="313"/>
      <c r="AJ93" s="374"/>
      <c r="AK93" s="374"/>
      <c r="AL93" s="374"/>
      <c r="AM93" s="374"/>
      <c r="AN93" s="296"/>
      <c r="AO93" s="296"/>
      <c r="AP93" s="296"/>
      <c r="AQ93" s="296"/>
      <c r="AR93" s="296"/>
      <c r="AS93" s="296"/>
      <c r="AT93" s="296"/>
      <c r="AU93" s="296"/>
    </row>
    <row r="94" spans="1:47" s="291" customFormat="1" x14ac:dyDescent="0.2">
      <c r="A94" s="423">
        <f t="shared" si="55"/>
        <v>89</v>
      </c>
      <c r="B94" s="721" t="s">
        <v>5557</v>
      </c>
      <c r="C94" s="655">
        <v>1520604</v>
      </c>
      <c r="D94" s="658">
        <v>7495</v>
      </c>
      <c r="E94" s="655" t="s">
        <v>718</v>
      </c>
      <c r="F94" s="546">
        <v>2017</v>
      </c>
      <c r="G94" s="659">
        <v>42950</v>
      </c>
      <c r="H94" s="655" t="s">
        <v>722</v>
      </c>
      <c r="I94" s="655" t="s">
        <v>5740</v>
      </c>
      <c r="J94" s="712"/>
      <c r="K94" s="655" t="s">
        <v>5842</v>
      </c>
      <c r="L94" s="655" t="s">
        <v>5989</v>
      </c>
      <c r="M94" s="660">
        <v>296880.13</v>
      </c>
      <c r="N94" s="660">
        <v>14844.01</v>
      </c>
      <c r="O94" s="660">
        <v>49875.86</v>
      </c>
      <c r="P94" s="660">
        <v>361600</v>
      </c>
      <c r="Q94" s="548"/>
      <c r="R94" s="660">
        <v>262450.93</v>
      </c>
      <c r="S94" s="549">
        <f t="shared" si="45"/>
        <v>99149.07</v>
      </c>
      <c r="T94" s="445" t="s">
        <v>131</v>
      </c>
      <c r="U94" s="722" t="str">
        <f t="shared" si="56"/>
        <v>AA11608</v>
      </c>
      <c r="V94" s="723" t="str">
        <f t="shared" si="57"/>
        <v>1355-TCN17</v>
      </c>
      <c r="W94" s="722">
        <f t="shared" si="58"/>
        <v>1520604</v>
      </c>
      <c r="X94" s="722" t="str">
        <f t="shared" si="59"/>
        <v>HILUX PICK UP D CAB SR A/C</v>
      </c>
      <c r="Y94" s="723">
        <f t="shared" si="60"/>
        <v>2017</v>
      </c>
      <c r="Z94" s="724">
        <f t="shared" si="61"/>
        <v>296880.13</v>
      </c>
      <c r="AA94" s="725"/>
      <c r="AB94" s="736"/>
      <c r="AC94" s="725">
        <f t="shared" si="62"/>
        <v>295708.34000000003</v>
      </c>
      <c r="AD94" s="726">
        <f t="shared" si="63"/>
        <v>0.1</v>
      </c>
      <c r="AE94" s="725">
        <f t="shared" si="64"/>
        <v>7392.74</v>
      </c>
      <c r="AF94" s="725">
        <f t="shared" si="65"/>
        <v>14844.01</v>
      </c>
      <c r="AG94" s="727">
        <f t="shared" si="66"/>
        <v>0</v>
      </c>
      <c r="AH94" s="361"/>
      <c r="AI94" s="313"/>
      <c r="AJ94" s="374"/>
      <c r="AK94" s="374"/>
      <c r="AL94" s="374"/>
      <c r="AM94" s="374"/>
      <c r="AN94" s="296"/>
      <c r="AO94" s="296"/>
      <c r="AP94" s="296"/>
      <c r="AQ94" s="296"/>
      <c r="AR94" s="296"/>
      <c r="AS94" s="296"/>
      <c r="AT94" s="296"/>
      <c r="AU94" s="296"/>
    </row>
    <row r="95" spans="1:47" s="291" customFormat="1" x14ac:dyDescent="0.2">
      <c r="A95" s="423">
        <f t="shared" si="55"/>
        <v>90</v>
      </c>
      <c r="B95" s="721" t="s">
        <v>5558</v>
      </c>
      <c r="C95" s="655">
        <v>1520604</v>
      </c>
      <c r="D95" s="658">
        <v>7495</v>
      </c>
      <c r="E95" s="655" t="s">
        <v>718</v>
      </c>
      <c r="F95" s="546">
        <v>2017</v>
      </c>
      <c r="G95" s="659">
        <v>42955</v>
      </c>
      <c r="H95" s="655" t="s">
        <v>747</v>
      </c>
      <c r="I95" s="655" t="s">
        <v>5741</v>
      </c>
      <c r="J95" s="712"/>
      <c r="K95" s="655" t="s">
        <v>5843</v>
      </c>
      <c r="L95" s="655" t="s">
        <v>5990</v>
      </c>
      <c r="M95" s="660">
        <v>296880.13</v>
      </c>
      <c r="N95" s="660">
        <v>14844.01</v>
      </c>
      <c r="O95" s="660">
        <v>49875.86</v>
      </c>
      <c r="P95" s="660">
        <v>361600</v>
      </c>
      <c r="Q95" s="548"/>
      <c r="R95" s="660">
        <v>262450.93</v>
      </c>
      <c r="S95" s="549">
        <f t="shared" si="45"/>
        <v>99149.07</v>
      </c>
      <c r="T95" s="113" t="s">
        <v>131</v>
      </c>
      <c r="U95" s="722" t="str">
        <f t="shared" si="56"/>
        <v>AA11637</v>
      </c>
      <c r="V95" s="723" t="str">
        <f t="shared" si="57"/>
        <v>1374-TCN17</v>
      </c>
      <c r="W95" s="722">
        <f t="shared" si="58"/>
        <v>1520604</v>
      </c>
      <c r="X95" s="722" t="str">
        <f t="shared" si="59"/>
        <v>HILUX PICK UP D CAB SR A/C</v>
      </c>
      <c r="Y95" s="723">
        <f t="shared" si="60"/>
        <v>2017</v>
      </c>
      <c r="Z95" s="724">
        <f t="shared" si="61"/>
        <v>296880.13</v>
      </c>
      <c r="AA95" s="725"/>
      <c r="AB95" s="746"/>
      <c r="AC95" s="725">
        <f t="shared" si="62"/>
        <v>295708.34000000003</v>
      </c>
      <c r="AD95" s="726">
        <f t="shared" si="63"/>
        <v>0.1</v>
      </c>
      <c r="AE95" s="725">
        <f t="shared" si="64"/>
        <v>7392.74</v>
      </c>
      <c r="AF95" s="725">
        <f t="shared" si="65"/>
        <v>14844.01</v>
      </c>
      <c r="AG95" s="727">
        <f t="shared" si="66"/>
        <v>0</v>
      </c>
      <c r="AH95" s="361"/>
      <c r="AI95" s="313"/>
      <c r="AJ95" s="374"/>
      <c r="AK95" s="374"/>
      <c r="AL95" s="374"/>
      <c r="AM95" s="374"/>
      <c r="AN95" s="296"/>
      <c r="AO95" s="296"/>
      <c r="AP95" s="296"/>
      <c r="AQ95" s="296"/>
      <c r="AR95" s="296"/>
      <c r="AS95" s="296"/>
      <c r="AT95" s="296"/>
      <c r="AU95" s="296"/>
    </row>
    <row r="96" spans="1:47" s="291" customFormat="1" x14ac:dyDescent="0.2">
      <c r="A96" s="423">
        <f t="shared" si="55"/>
        <v>91</v>
      </c>
      <c r="B96" s="721" t="s">
        <v>5563</v>
      </c>
      <c r="C96" s="655">
        <v>1520604</v>
      </c>
      <c r="D96" s="658">
        <v>7495</v>
      </c>
      <c r="E96" s="655" t="s">
        <v>718</v>
      </c>
      <c r="F96" s="546">
        <v>2017</v>
      </c>
      <c r="G96" s="659">
        <v>42961</v>
      </c>
      <c r="H96" s="655" t="s">
        <v>792</v>
      </c>
      <c r="I96" s="655" t="s">
        <v>5744</v>
      </c>
      <c r="J96" s="712"/>
      <c r="K96" s="655" t="s">
        <v>5844</v>
      </c>
      <c r="L96" s="655" t="s">
        <v>5993</v>
      </c>
      <c r="M96" s="660">
        <v>296880.13</v>
      </c>
      <c r="N96" s="660">
        <v>14844.01</v>
      </c>
      <c r="O96" s="660">
        <v>49875.86</v>
      </c>
      <c r="P96" s="660">
        <v>361600</v>
      </c>
      <c r="Q96" s="548"/>
      <c r="R96" s="660">
        <v>262450.93</v>
      </c>
      <c r="S96" s="549">
        <f t="shared" si="45"/>
        <v>99149.07</v>
      </c>
      <c r="T96" s="113" t="s">
        <v>131</v>
      </c>
      <c r="U96" s="722" t="str">
        <f t="shared" si="56"/>
        <v>AA11660</v>
      </c>
      <c r="V96" s="723" t="str">
        <f t="shared" si="57"/>
        <v>1375-TCN17</v>
      </c>
      <c r="W96" s="722">
        <f t="shared" si="58"/>
        <v>1520604</v>
      </c>
      <c r="X96" s="722" t="str">
        <f t="shared" si="59"/>
        <v>HILUX PICK UP D CAB SR A/C</v>
      </c>
      <c r="Y96" s="723">
        <f t="shared" si="60"/>
        <v>2017</v>
      </c>
      <c r="Z96" s="724">
        <f t="shared" si="61"/>
        <v>296880.13</v>
      </c>
      <c r="AA96" s="725"/>
      <c r="AB96" s="746"/>
      <c r="AC96" s="725">
        <f t="shared" si="62"/>
        <v>295708.34000000003</v>
      </c>
      <c r="AD96" s="726">
        <f t="shared" si="63"/>
        <v>0.1</v>
      </c>
      <c r="AE96" s="725">
        <f t="shared" si="64"/>
        <v>7392.74</v>
      </c>
      <c r="AF96" s="725">
        <f t="shared" si="65"/>
        <v>14844.01</v>
      </c>
      <c r="AG96" s="727">
        <f t="shared" si="66"/>
        <v>0</v>
      </c>
      <c r="AH96" s="361"/>
      <c r="AI96" s="313"/>
      <c r="AJ96" s="374"/>
      <c r="AK96" s="374"/>
      <c r="AL96" s="374"/>
      <c r="AM96" s="374"/>
      <c r="AN96" s="296"/>
      <c r="AO96" s="296"/>
      <c r="AP96" s="296"/>
      <c r="AQ96" s="296"/>
      <c r="AR96" s="296"/>
      <c r="AS96" s="296"/>
      <c r="AT96" s="296"/>
      <c r="AU96" s="296"/>
    </row>
    <row r="97" spans="1:47" s="291" customFormat="1" x14ac:dyDescent="0.2">
      <c r="A97" s="423">
        <f t="shared" si="55"/>
        <v>92</v>
      </c>
      <c r="B97" s="721" t="s">
        <v>5570</v>
      </c>
      <c r="C97" s="655">
        <v>1520604</v>
      </c>
      <c r="D97" s="658">
        <v>7495</v>
      </c>
      <c r="E97" s="655" t="s">
        <v>718</v>
      </c>
      <c r="F97" s="546">
        <v>2017</v>
      </c>
      <c r="G97" s="659">
        <v>42976</v>
      </c>
      <c r="H97" s="655" t="s">
        <v>722</v>
      </c>
      <c r="I97" s="655" t="s">
        <v>5749</v>
      </c>
      <c r="J97" s="712"/>
      <c r="K97" s="655" t="s">
        <v>5848</v>
      </c>
      <c r="L97" s="655" t="s">
        <v>5998</v>
      </c>
      <c r="M97" s="660">
        <v>296880.13</v>
      </c>
      <c r="N97" s="660">
        <v>14844.01</v>
      </c>
      <c r="O97" s="660">
        <v>49875.86</v>
      </c>
      <c r="P97" s="660">
        <v>361600</v>
      </c>
      <c r="Q97" s="548"/>
      <c r="R97" s="660">
        <v>262450.93</v>
      </c>
      <c r="S97" s="549">
        <f t="shared" si="45"/>
        <v>99149.07</v>
      </c>
      <c r="T97" s="267" t="s">
        <v>131</v>
      </c>
      <c r="U97" s="722" t="str">
        <f t="shared" si="56"/>
        <v>AA11753</v>
      </c>
      <c r="V97" s="723" t="str">
        <f t="shared" si="57"/>
        <v>1417-TCN17</v>
      </c>
      <c r="W97" s="722">
        <f t="shared" si="58"/>
        <v>1520604</v>
      </c>
      <c r="X97" s="722" t="str">
        <f t="shared" si="59"/>
        <v>HILUX PICK UP D CAB SR A/C</v>
      </c>
      <c r="Y97" s="723">
        <f t="shared" si="60"/>
        <v>2017</v>
      </c>
      <c r="Z97" s="724">
        <f t="shared" si="61"/>
        <v>296880.13</v>
      </c>
      <c r="AA97" s="725"/>
      <c r="AB97" s="746"/>
      <c r="AC97" s="725">
        <f t="shared" si="62"/>
        <v>295708.34000000003</v>
      </c>
      <c r="AD97" s="726">
        <f t="shared" si="63"/>
        <v>0.1</v>
      </c>
      <c r="AE97" s="725">
        <f t="shared" si="64"/>
        <v>7392.74</v>
      </c>
      <c r="AF97" s="725">
        <f t="shared" si="65"/>
        <v>14844.01</v>
      </c>
      <c r="AG97" s="727">
        <f t="shared" si="66"/>
        <v>0</v>
      </c>
      <c r="AH97" s="361"/>
      <c r="AI97" s="313"/>
      <c r="AJ97" s="374"/>
      <c r="AK97" s="374"/>
      <c r="AL97" s="374"/>
      <c r="AM97" s="374"/>
      <c r="AN97" s="296"/>
      <c r="AO97" s="296"/>
      <c r="AP97" s="296"/>
      <c r="AQ97" s="296"/>
      <c r="AR97" s="296"/>
      <c r="AS97" s="296"/>
      <c r="AT97" s="296"/>
      <c r="AU97" s="296"/>
    </row>
    <row r="98" spans="1:47" s="291" customFormat="1" x14ac:dyDescent="0.2">
      <c r="A98" s="423">
        <f t="shared" si="55"/>
        <v>93</v>
      </c>
      <c r="B98" s="721" t="s">
        <v>5565</v>
      </c>
      <c r="C98" s="655">
        <v>1520604</v>
      </c>
      <c r="D98" s="658">
        <v>7495</v>
      </c>
      <c r="E98" s="655" t="s">
        <v>718</v>
      </c>
      <c r="F98" s="546">
        <v>2017</v>
      </c>
      <c r="G98" s="659">
        <v>42964</v>
      </c>
      <c r="H98" s="655" t="s">
        <v>792</v>
      </c>
      <c r="I98" s="655" t="s">
        <v>5746</v>
      </c>
      <c r="J98" s="712"/>
      <c r="K98" s="655" t="s">
        <v>5845</v>
      </c>
      <c r="L98" s="655" t="s">
        <v>5995</v>
      </c>
      <c r="M98" s="660">
        <v>296880.13</v>
      </c>
      <c r="N98" s="660">
        <v>14844.01</v>
      </c>
      <c r="O98" s="660">
        <v>49875.86</v>
      </c>
      <c r="P98" s="660">
        <v>361600</v>
      </c>
      <c r="Q98" s="548"/>
      <c r="R98" s="660">
        <v>262450.93</v>
      </c>
      <c r="S98" s="549">
        <f t="shared" si="45"/>
        <v>99149.07</v>
      </c>
      <c r="T98" s="113" t="s">
        <v>131</v>
      </c>
      <c r="U98" s="722" t="str">
        <f t="shared" si="56"/>
        <v>AA11674</v>
      </c>
      <c r="V98" s="723" t="str">
        <f t="shared" si="57"/>
        <v>1419-TCN17</v>
      </c>
      <c r="W98" s="722">
        <f t="shared" si="58"/>
        <v>1520604</v>
      </c>
      <c r="X98" s="722" t="str">
        <f t="shared" si="59"/>
        <v>HILUX PICK UP D CAB SR A/C</v>
      </c>
      <c r="Y98" s="723">
        <f t="shared" si="60"/>
        <v>2017</v>
      </c>
      <c r="Z98" s="724">
        <f t="shared" si="61"/>
        <v>296880.13</v>
      </c>
      <c r="AA98" s="725"/>
      <c r="AB98" s="746"/>
      <c r="AC98" s="725">
        <f t="shared" si="62"/>
        <v>295708.34000000003</v>
      </c>
      <c r="AD98" s="726">
        <f t="shared" si="63"/>
        <v>0.1</v>
      </c>
      <c r="AE98" s="725">
        <f t="shared" si="64"/>
        <v>7392.74</v>
      </c>
      <c r="AF98" s="725">
        <f t="shared" si="65"/>
        <v>14844.01</v>
      </c>
      <c r="AG98" s="727">
        <f t="shared" si="66"/>
        <v>0</v>
      </c>
      <c r="AH98" s="361"/>
      <c r="AI98" s="313"/>
      <c r="AJ98" s="374"/>
      <c r="AK98" s="374"/>
      <c r="AL98" s="374"/>
      <c r="AM98" s="374"/>
      <c r="AN98" s="296"/>
      <c r="AO98" s="296"/>
      <c r="AP98" s="296"/>
      <c r="AQ98" s="296"/>
      <c r="AR98" s="296"/>
      <c r="AS98" s="296"/>
      <c r="AT98" s="296"/>
      <c r="AU98" s="296"/>
    </row>
    <row r="99" spans="1:47" s="291" customFormat="1" x14ac:dyDescent="0.2">
      <c r="A99" s="423">
        <f t="shared" si="55"/>
        <v>94</v>
      </c>
      <c r="B99" s="721" t="s">
        <v>5569</v>
      </c>
      <c r="C99" s="655">
        <v>1520604</v>
      </c>
      <c r="D99" s="658">
        <v>7495</v>
      </c>
      <c r="E99" s="655" t="s">
        <v>718</v>
      </c>
      <c r="F99" s="546">
        <v>2017</v>
      </c>
      <c r="G99" s="659">
        <v>42969</v>
      </c>
      <c r="H99" s="655" t="s">
        <v>2213</v>
      </c>
      <c r="I99" s="655" t="s">
        <v>5747</v>
      </c>
      <c r="J99" s="712"/>
      <c r="K99" s="655" t="s">
        <v>5847</v>
      </c>
      <c r="L99" s="655" t="s">
        <v>5996</v>
      </c>
      <c r="M99" s="660">
        <v>296880.13</v>
      </c>
      <c r="N99" s="660">
        <v>14844.01</v>
      </c>
      <c r="O99" s="660">
        <v>49875.86</v>
      </c>
      <c r="P99" s="660">
        <v>361600</v>
      </c>
      <c r="Q99" s="548"/>
      <c r="R99" s="660">
        <v>262450.93</v>
      </c>
      <c r="S99" s="549">
        <f t="shared" si="45"/>
        <v>99149.07</v>
      </c>
      <c r="T99" s="113" t="s">
        <v>131</v>
      </c>
      <c r="U99" s="722" t="str">
        <f t="shared" si="56"/>
        <v>AA11711</v>
      </c>
      <c r="V99" s="723" t="str">
        <f t="shared" si="57"/>
        <v>1420-TCN17</v>
      </c>
      <c r="W99" s="722">
        <f t="shared" si="58"/>
        <v>1520604</v>
      </c>
      <c r="X99" s="722" t="str">
        <f t="shared" si="59"/>
        <v>HILUX PICK UP D CAB SR A/C</v>
      </c>
      <c r="Y99" s="723">
        <f t="shared" si="60"/>
        <v>2017</v>
      </c>
      <c r="Z99" s="724">
        <f t="shared" si="61"/>
        <v>296880.13</v>
      </c>
      <c r="AA99" s="725">
        <f>+SUM(Z94:Z99)</f>
        <v>1781280.7799999998</v>
      </c>
      <c r="AB99" s="736">
        <v>6</v>
      </c>
      <c r="AC99" s="725">
        <f t="shared" si="62"/>
        <v>295708.34000000003</v>
      </c>
      <c r="AD99" s="726">
        <f t="shared" si="63"/>
        <v>0.1</v>
      </c>
      <c r="AE99" s="725">
        <f t="shared" si="64"/>
        <v>7392.74</v>
      </c>
      <c r="AF99" s="725">
        <f t="shared" si="65"/>
        <v>14844.01</v>
      </c>
      <c r="AG99" s="727">
        <f t="shared" si="66"/>
        <v>0</v>
      </c>
      <c r="AH99" s="361"/>
      <c r="AI99" s="313"/>
      <c r="AJ99" s="374"/>
      <c r="AK99" s="374"/>
      <c r="AL99" s="374"/>
      <c r="AM99" s="374"/>
      <c r="AN99" s="296"/>
      <c r="AO99" s="296"/>
      <c r="AP99" s="296"/>
      <c r="AQ99" s="296"/>
      <c r="AR99" s="296"/>
      <c r="AS99" s="296"/>
      <c r="AT99" s="296"/>
      <c r="AU99" s="296"/>
    </row>
    <row r="100" spans="1:47" s="291" customFormat="1" x14ac:dyDescent="0.2">
      <c r="A100" s="423">
        <f t="shared" si="55"/>
        <v>95</v>
      </c>
      <c r="B100" s="721" t="s">
        <v>5388</v>
      </c>
      <c r="C100" s="655">
        <v>520223</v>
      </c>
      <c r="D100" s="658">
        <v>1796</v>
      </c>
      <c r="E100" s="655" t="s">
        <v>689</v>
      </c>
      <c r="F100" s="546">
        <v>2017</v>
      </c>
      <c r="G100" s="659">
        <v>42948</v>
      </c>
      <c r="H100" s="655" t="s">
        <v>747</v>
      </c>
      <c r="I100" s="655" t="s">
        <v>4126</v>
      </c>
      <c r="J100" s="712"/>
      <c r="K100" s="655" t="s">
        <v>830</v>
      </c>
      <c r="L100" s="655" t="s">
        <v>4128</v>
      </c>
      <c r="M100" s="660">
        <v>-242062.14</v>
      </c>
      <c r="N100" s="660">
        <v>-2420.62</v>
      </c>
      <c r="O100" s="660">
        <v>-39117.24</v>
      </c>
      <c r="P100" s="660">
        <v>-283600</v>
      </c>
      <c r="Q100" s="548"/>
      <c r="R100" s="660">
        <v>-211571.1</v>
      </c>
      <c r="S100" s="549">
        <f t="shared" si="45"/>
        <v>-72028.899999999994</v>
      </c>
      <c r="T100" s="113" t="s">
        <v>1268</v>
      </c>
      <c r="U100" s="267"/>
      <c r="V100" s="93"/>
      <c r="W100" s="267"/>
      <c r="X100" s="267"/>
      <c r="Y100" s="93"/>
      <c r="Z100" s="618"/>
      <c r="AA100" s="424"/>
      <c r="AB100" s="715"/>
      <c r="AC100" s="424"/>
      <c r="AD100" s="425"/>
      <c r="AE100" s="424"/>
      <c r="AF100" s="424"/>
      <c r="AG100" s="396"/>
      <c r="AH100" s="361"/>
      <c r="AI100" s="313"/>
      <c r="AJ100" s="374"/>
      <c r="AK100" s="374"/>
      <c r="AL100" s="374"/>
      <c r="AM100" s="374"/>
      <c r="AN100" s="296"/>
      <c r="AO100" s="296"/>
      <c r="AP100" s="296"/>
      <c r="AQ100" s="296"/>
      <c r="AR100" s="296"/>
      <c r="AS100" s="296"/>
      <c r="AT100" s="296"/>
      <c r="AU100" s="296"/>
    </row>
    <row r="101" spans="1:47" s="291" customFormat="1" x14ac:dyDescent="0.2">
      <c r="A101" s="423">
        <f t="shared" si="55"/>
        <v>96</v>
      </c>
      <c r="B101" s="721" t="s">
        <v>5389</v>
      </c>
      <c r="C101" s="655">
        <v>520223</v>
      </c>
      <c r="D101" s="658">
        <v>1796</v>
      </c>
      <c r="E101" s="655" t="s">
        <v>689</v>
      </c>
      <c r="F101" s="546">
        <v>2017</v>
      </c>
      <c r="G101" s="659">
        <v>42948</v>
      </c>
      <c r="H101" s="655" t="s">
        <v>747</v>
      </c>
      <c r="I101" s="655" t="s">
        <v>4126</v>
      </c>
      <c r="J101" s="712"/>
      <c r="K101" s="655" t="s">
        <v>830</v>
      </c>
      <c r="L101" s="655" t="s">
        <v>4128</v>
      </c>
      <c r="M101" s="660">
        <v>242062.14</v>
      </c>
      <c r="N101" s="660">
        <v>2420.62</v>
      </c>
      <c r="O101" s="660">
        <v>39117.24</v>
      </c>
      <c r="P101" s="660">
        <v>283600</v>
      </c>
      <c r="Q101" s="548"/>
      <c r="R101" s="660">
        <v>211571.1</v>
      </c>
      <c r="S101" s="549">
        <f t="shared" si="45"/>
        <v>72028.899999999994</v>
      </c>
      <c r="T101" s="113" t="s">
        <v>1268</v>
      </c>
      <c r="U101" s="267"/>
      <c r="V101" s="93"/>
      <c r="W101" s="267"/>
      <c r="X101" s="267"/>
      <c r="Y101" s="93"/>
      <c r="Z101" s="618"/>
      <c r="AA101" s="424"/>
      <c r="AB101" s="715"/>
      <c r="AC101" s="424"/>
      <c r="AD101" s="425"/>
      <c r="AE101" s="424"/>
      <c r="AF101" s="424"/>
      <c r="AG101" s="396"/>
      <c r="AH101" s="361"/>
      <c r="AI101" s="313"/>
      <c r="AJ101" s="374"/>
      <c r="AK101" s="374"/>
      <c r="AL101" s="374"/>
      <c r="AM101" s="374"/>
      <c r="AN101" s="296"/>
      <c r="AO101" s="296"/>
      <c r="AP101" s="296"/>
      <c r="AQ101" s="296"/>
      <c r="AR101" s="296"/>
      <c r="AS101" s="296"/>
      <c r="AT101" s="296"/>
      <c r="AU101" s="296"/>
    </row>
    <row r="102" spans="1:47" s="291" customFormat="1" x14ac:dyDescent="0.2">
      <c r="A102" s="423">
        <f t="shared" si="55"/>
        <v>97</v>
      </c>
      <c r="B102" s="721" t="s">
        <v>5515</v>
      </c>
      <c r="C102" s="655">
        <v>520514</v>
      </c>
      <c r="D102" s="658">
        <v>5398</v>
      </c>
      <c r="E102" s="655" t="s">
        <v>117</v>
      </c>
      <c r="F102" s="546">
        <v>2017</v>
      </c>
      <c r="G102" s="659">
        <v>42950</v>
      </c>
      <c r="H102" s="655" t="s">
        <v>727</v>
      </c>
      <c r="I102" s="655" t="s">
        <v>3034</v>
      </c>
      <c r="J102" s="712"/>
      <c r="K102" s="655" t="s">
        <v>5832</v>
      </c>
      <c r="L102" s="655" t="s">
        <v>3300</v>
      </c>
      <c r="M102" s="660">
        <v>-527208.15</v>
      </c>
      <c r="N102" s="660">
        <v>-41326.33</v>
      </c>
      <c r="O102" s="660">
        <v>-90965.52</v>
      </c>
      <c r="P102" s="660">
        <v>-659500</v>
      </c>
      <c r="Q102" s="548"/>
      <c r="R102" s="660">
        <v>-456016.94</v>
      </c>
      <c r="S102" s="549">
        <f t="shared" si="45"/>
        <v>-203483.06</v>
      </c>
      <c r="T102" s="113" t="s">
        <v>1268</v>
      </c>
      <c r="U102" s="267"/>
      <c r="V102" s="93"/>
      <c r="W102" s="267"/>
      <c r="X102" s="267"/>
      <c r="Y102" s="93"/>
      <c r="Z102" s="618"/>
      <c r="AA102" s="424"/>
      <c r="AB102" s="715"/>
      <c r="AC102" s="424"/>
      <c r="AD102" s="425"/>
      <c r="AE102" s="424"/>
      <c r="AF102" s="424"/>
      <c r="AG102" s="396"/>
      <c r="AH102" s="361"/>
      <c r="AI102" s="313"/>
      <c r="AJ102" s="374"/>
      <c r="AK102" s="374"/>
      <c r="AL102" s="374"/>
      <c r="AM102" s="374"/>
      <c r="AN102" s="296"/>
      <c r="AO102" s="296"/>
      <c r="AP102" s="296"/>
      <c r="AQ102" s="296"/>
      <c r="AR102" s="296"/>
      <c r="AS102" s="296"/>
      <c r="AT102" s="296"/>
      <c r="AU102" s="296"/>
    </row>
    <row r="103" spans="1:47" s="291" customFormat="1" ht="13.5" thickBot="1" x14ac:dyDescent="0.25">
      <c r="A103" s="423">
        <f t="shared" si="55"/>
        <v>98</v>
      </c>
      <c r="B103" s="721" t="s">
        <v>5516</v>
      </c>
      <c r="C103" s="655">
        <v>520514</v>
      </c>
      <c r="D103" s="658">
        <v>5398</v>
      </c>
      <c r="E103" s="655" t="s">
        <v>117</v>
      </c>
      <c r="F103" s="546">
        <v>2017</v>
      </c>
      <c r="G103" s="659">
        <v>42950</v>
      </c>
      <c r="H103" s="655" t="s">
        <v>727</v>
      </c>
      <c r="I103" s="655" t="s">
        <v>3034</v>
      </c>
      <c r="J103" s="712"/>
      <c r="K103" s="655" t="s">
        <v>5832</v>
      </c>
      <c r="L103" s="655" t="s">
        <v>3300</v>
      </c>
      <c r="M103" s="660">
        <v>527208.15</v>
      </c>
      <c r="N103" s="660">
        <v>41326.33</v>
      </c>
      <c r="O103" s="660">
        <v>90965.52</v>
      </c>
      <c r="P103" s="660">
        <v>659500</v>
      </c>
      <c r="Q103" s="548"/>
      <c r="R103" s="660">
        <v>456016.94</v>
      </c>
      <c r="S103" s="549">
        <f t="shared" si="45"/>
        <v>203483.06</v>
      </c>
      <c r="T103" s="113" t="s">
        <v>1268</v>
      </c>
      <c r="U103" s="267"/>
      <c r="V103" s="93"/>
      <c r="W103" s="267"/>
      <c r="X103" s="267"/>
      <c r="Y103" s="93"/>
      <c r="Z103" s="618"/>
      <c r="AA103" s="424"/>
      <c r="AB103" s="715"/>
      <c r="AC103" s="424"/>
      <c r="AD103" s="425"/>
      <c r="AE103" s="424"/>
      <c r="AF103" s="424"/>
      <c r="AG103" s="396"/>
      <c r="AH103" s="361"/>
      <c r="AI103" s="313"/>
      <c r="AJ103" s="374"/>
      <c r="AK103" s="374"/>
      <c r="AL103" s="374"/>
      <c r="AM103" s="374"/>
      <c r="AN103" s="296"/>
      <c r="AO103" s="296"/>
      <c r="AP103" s="296"/>
      <c r="AQ103" s="296"/>
      <c r="AR103" s="296"/>
      <c r="AS103" s="296"/>
      <c r="AT103" s="296"/>
      <c r="AU103" s="296"/>
    </row>
    <row r="104" spans="1:47" s="291" customFormat="1" ht="13.5" thickBot="1" x14ac:dyDescent="0.25">
      <c r="A104" s="423">
        <f t="shared" si="55"/>
        <v>99</v>
      </c>
      <c r="B104" s="721" t="s">
        <v>5354</v>
      </c>
      <c r="C104" s="655">
        <v>521101</v>
      </c>
      <c r="D104" s="658">
        <v>1251</v>
      </c>
      <c r="E104" s="655" t="s">
        <v>700</v>
      </c>
      <c r="F104" s="546">
        <v>2017</v>
      </c>
      <c r="G104" s="659">
        <v>42954</v>
      </c>
      <c r="H104" s="655" t="s">
        <v>727</v>
      </c>
      <c r="I104" s="655" t="s">
        <v>5628</v>
      </c>
      <c r="J104" s="712"/>
      <c r="K104" s="655" t="s">
        <v>5782</v>
      </c>
      <c r="L104" s="655" t="s">
        <v>5877</v>
      </c>
      <c r="M104" s="660">
        <v>-321896.55</v>
      </c>
      <c r="N104" s="660">
        <v>0</v>
      </c>
      <c r="O104" s="660">
        <v>-51503.45</v>
      </c>
      <c r="P104" s="660">
        <v>-373400</v>
      </c>
      <c r="Q104" s="548"/>
      <c r="R104" s="660">
        <v>-283666.84000000003</v>
      </c>
      <c r="S104" s="549">
        <f t="shared" si="45"/>
        <v>-89733.159999999974</v>
      </c>
      <c r="T104" s="113" t="s">
        <v>1268</v>
      </c>
      <c r="U104" s="267"/>
      <c r="V104" s="423"/>
      <c r="W104" s="362"/>
      <c r="X104" s="362"/>
      <c r="Y104" s="619"/>
      <c r="Z104" s="620">
        <f>+SUM(Z6:Z101)</f>
        <v>26567155.229999993</v>
      </c>
      <c r="AA104" s="620">
        <f>+SUM(AA6:AA101)</f>
        <v>26567155.23</v>
      </c>
      <c r="AB104" s="739">
        <f>+SUM(AB6:AB99)</f>
        <v>88</v>
      </c>
      <c r="AC104" s="620"/>
      <c r="AD104" s="620"/>
      <c r="AE104" s="620"/>
      <c r="AF104" s="737">
        <f>+SUM(AF6:AF99)</f>
        <v>870327.54569999967</v>
      </c>
      <c r="AG104" s="379"/>
      <c r="AH104" s="361"/>
      <c r="AI104" s="313"/>
      <c r="AJ104" s="374"/>
      <c r="AK104" s="374"/>
      <c r="AL104" s="374"/>
      <c r="AM104" s="374"/>
      <c r="AN104" s="296"/>
      <c r="AO104" s="296"/>
      <c r="AP104" s="296"/>
      <c r="AQ104" s="296"/>
      <c r="AR104" s="296"/>
      <c r="AS104" s="296"/>
      <c r="AT104" s="296"/>
      <c r="AU104" s="296"/>
    </row>
    <row r="105" spans="1:47" s="291" customFormat="1" ht="13.5" thickTop="1" x14ac:dyDescent="0.2">
      <c r="A105" s="423">
        <f t="shared" si="55"/>
        <v>100</v>
      </c>
      <c r="B105" s="721" t="s">
        <v>5355</v>
      </c>
      <c r="C105" s="655">
        <v>521101</v>
      </c>
      <c r="D105" s="658">
        <v>1251</v>
      </c>
      <c r="E105" s="655" t="s">
        <v>700</v>
      </c>
      <c r="F105" s="546">
        <v>2017</v>
      </c>
      <c r="G105" s="659">
        <v>42954</v>
      </c>
      <c r="H105" s="655" t="s">
        <v>727</v>
      </c>
      <c r="I105" s="655" t="s">
        <v>5628</v>
      </c>
      <c r="J105" s="712"/>
      <c r="K105" s="655" t="s">
        <v>5782</v>
      </c>
      <c r="L105" s="655" t="s">
        <v>5877</v>
      </c>
      <c r="M105" s="660">
        <v>321896.55</v>
      </c>
      <c r="N105" s="660">
        <v>0</v>
      </c>
      <c r="O105" s="660">
        <v>51503.45</v>
      </c>
      <c r="P105" s="660">
        <v>373400</v>
      </c>
      <c r="Q105" s="548"/>
      <c r="R105" s="660">
        <v>283666.84000000003</v>
      </c>
      <c r="S105" s="549">
        <f t="shared" si="45"/>
        <v>89733.159999999974</v>
      </c>
      <c r="T105" s="267" t="s">
        <v>1268</v>
      </c>
      <c r="U105" s="267"/>
      <c r="V105" s="427"/>
      <c r="W105" s="428"/>
      <c r="X105" s="428"/>
      <c r="Y105" s="93"/>
      <c r="Z105" s="260"/>
      <c r="AA105" s="431"/>
      <c r="AB105" s="715"/>
      <c r="AC105" s="431"/>
      <c r="AD105" s="436"/>
      <c r="AE105" s="431"/>
      <c r="AF105" s="431">
        <f>+N280</f>
        <v>870327.55999999982</v>
      </c>
      <c r="AG105" s="440"/>
      <c r="AH105" s="361"/>
      <c r="AI105" s="313"/>
      <c r="AJ105" s="374"/>
      <c r="AK105" s="374"/>
      <c r="AL105" s="374"/>
      <c r="AM105" s="374"/>
      <c r="AN105" s="296"/>
      <c r="AO105" s="296"/>
      <c r="AP105" s="296"/>
      <c r="AQ105" s="296"/>
      <c r="AR105" s="296"/>
      <c r="AS105" s="296"/>
      <c r="AT105" s="296"/>
      <c r="AU105" s="296"/>
    </row>
    <row r="106" spans="1:47" s="291" customFormat="1" x14ac:dyDescent="0.2">
      <c r="A106" s="423">
        <f t="shared" si="55"/>
        <v>101</v>
      </c>
      <c r="B106" s="721" t="s">
        <v>5356</v>
      </c>
      <c r="C106" s="655">
        <v>521101</v>
      </c>
      <c r="D106" s="658">
        <v>1251</v>
      </c>
      <c r="E106" s="655" t="s">
        <v>700</v>
      </c>
      <c r="F106" s="546">
        <v>2017</v>
      </c>
      <c r="G106" s="659">
        <v>42954</v>
      </c>
      <c r="H106" s="655" t="s">
        <v>727</v>
      </c>
      <c r="I106" s="655" t="s">
        <v>5628</v>
      </c>
      <c r="J106" s="712"/>
      <c r="K106" s="655" t="s">
        <v>5782</v>
      </c>
      <c r="L106" s="655" t="s">
        <v>5877</v>
      </c>
      <c r="M106" s="660">
        <v>330517.24</v>
      </c>
      <c r="N106" s="660">
        <v>0</v>
      </c>
      <c r="O106" s="660">
        <v>52882.76</v>
      </c>
      <c r="P106" s="660">
        <v>383400</v>
      </c>
      <c r="Q106" s="548"/>
      <c r="R106" s="660">
        <v>283666.84000000003</v>
      </c>
      <c r="S106" s="549">
        <f t="shared" si="45"/>
        <v>99733.159999999974</v>
      </c>
      <c r="T106" s="113" t="s">
        <v>1268</v>
      </c>
      <c r="U106" s="267"/>
      <c r="V106" s="93"/>
      <c r="W106" s="267"/>
      <c r="X106" s="271"/>
      <c r="Y106" s="469"/>
      <c r="Z106" s="470"/>
      <c r="AA106" s="431"/>
      <c r="AB106" s="715"/>
      <c r="AC106" s="396"/>
      <c r="AD106" s="425"/>
      <c r="AE106" s="395"/>
      <c r="AF106" s="738"/>
      <c r="AG106" s="395"/>
      <c r="AH106" s="361"/>
      <c r="AI106" s="313"/>
      <c r="AJ106" s="374"/>
      <c r="AK106" s="374"/>
      <c r="AL106" s="374"/>
      <c r="AM106" s="374"/>
      <c r="AN106" s="296"/>
      <c r="AO106" s="296"/>
      <c r="AP106" s="296"/>
      <c r="AQ106" s="296"/>
      <c r="AR106" s="296"/>
      <c r="AS106" s="296"/>
      <c r="AT106" s="296"/>
      <c r="AU106" s="296"/>
    </row>
    <row r="107" spans="1:47" s="291" customFormat="1" x14ac:dyDescent="0.2">
      <c r="A107" s="423">
        <f t="shared" si="55"/>
        <v>102</v>
      </c>
      <c r="B107" s="721" t="s">
        <v>5358</v>
      </c>
      <c r="C107" s="655">
        <v>521101</v>
      </c>
      <c r="D107" s="658">
        <v>1251</v>
      </c>
      <c r="E107" s="655" t="s">
        <v>700</v>
      </c>
      <c r="F107" s="546">
        <v>2017</v>
      </c>
      <c r="G107" s="659">
        <v>42955</v>
      </c>
      <c r="H107" s="655" t="s">
        <v>727</v>
      </c>
      <c r="I107" s="655" t="s">
        <v>5628</v>
      </c>
      <c r="J107" s="712"/>
      <c r="K107" s="655" t="s">
        <v>5782</v>
      </c>
      <c r="L107" s="655" t="s">
        <v>5877</v>
      </c>
      <c r="M107" s="660">
        <v>-330517.24</v>
      </c>
      <c r="N107" s="660">
        <v>0</v>
      </c>
      <c r="O107" s="660">
        <v>-52882.76</v>
      </c>
      <c r="P107" s="660">
        <v>-383400</v>
      </c>
      <c r="Q107" s="548"/>
      <c r="R107" s="660">
        <v>-283666.84000000003</v>
      </c>
      <c r="S107" s="549">
        <f t="shared" si="45"/>
        <v>-99733.159999999974</v>
      </c>
      <c r="T107" s="113" t="s">
        <v>1268</v>
      </c>
      <c r="U107" s="267"/>
      <c r="V107" s="298" t="s">
        <v>250</v>
      </c>
      <c r="W107" s="437" t="s">
        <v>5402</v>
      </c>
      <c r="X107" s="382"/>
      <c r="Y107" s="441"/>
      <c r="Z107" s="438"/>
      <c r="AA107" s="439"/>
      <c r="AB107" s="715"/>
      <c r="AC107" s="396"/>
      <c r="AD107" s="425"/>
      <c r="AE107" s="440"/>
      <c r="AF107" s="439">
        <f>+AF104-AF105</f>
        <v>-1.4300000155344605E-2</v>
      </c>
      <c r="AG107" s="424">
        <f>SUM(AG6:AG106)</f>
        <v>1.4300000023922621E-2</v>
      </c>
      <c r="AH107" s="361"/>
      <c r="AI107" s="313"/>
      <c r="AJ107" s="374"/>
      <c r="AK107" s="374"/>
      <c r="AL107" s="374"/>
      <c r="AM107" s="374"/>
      <c r="AN107" s="296"/>
      <c r="AO107" s="296"/>
      <c r="AP107" s="296"/>
      <c r="AQ107" s="296"/>
      <c r="AR107" s="296"/>
      <c r="AS107" s="296"/>
      <c r="AT107" s="296"/>
      <c r="AU107" s="296"/>
    </row>
    <row r="108" spans="1:47" s="291" customFormat="1" x14ac:dyDescent="0.2">
      <c r="A108" s="423">
        <f t="shared" si="55"/>
        <v>103</v>
      </c>
      <c r="B108" s="721" t="s">
        <v>5359</v>
      </c>
      <c r="C108" s="655">
        <v>521101</v>
      </c>
      <c r="D108" s="658">
        <v>1251</v>
      </c>
      <c r="E108" s="655" t="s">
        <v>700</v>
      </c>
      <c r="F108" s="546">
        <v>2017</v>
      </c>
      <c r="G108" s="659">
        <v>42955</v>
      </c>
      <c r="H108" s="655" t="s">
        <v>727</v>
      </c>
      <c r="I108" s="655" t="s">
        <v>5628</v>
      </c>
      <c r="J108" s="712"/>
      <c r="K108" s="655" t="s">
        <v>5782</v>
      </c>
      <c r="L108" s="655" t="s">
        <v>5877</v>
      </c>
      <c r="M108" s="660">
        <v>-330517.24</v>
      </c>
      <c r="N108" s="660">
        <v>0</v>
      </c>
      <c r="O108" s="660">
        <v>-52882.76</v>
      </c>
      <c r="P108" s="660">
        <v>-383400</v>
      </c>
      <c r="Q108" s="548"/>
      <c r="R108" s="660">
        <v>-283666.84000000003</v>
      </c>
      <c r="S108" s="549">
        <f t="shared" si="45"/>
        <v>-99733.159999999974</v>
      </c>
      <c r="T108" s="113" t="s">
        <v>1268</v>
      </c>
      <c r="U108" s="267"/>
      <c r="V108" s="298" t="s">
        <v>251</v>
      </c>
      <c r="W108" s="437" t="s">
        <v>5369</v>
      </c>
      <c r="X108" s="271"/>
      <c r="Y108" s="441"/>
      <c r="Z108" s="471">
        <f>+AB99+AB93+AB87+AB86+AB82+AB81+AB79+AB77</f>
        <v>24</v>
      </c>
      <c r="AA108" s="472">
        <f>+AA99+AA93+AA87+AA86+AA82+AA81+AA79+AA77</f>
        <v>8511904.7599999998</v>
      </c>
      <c r="AB108" s="473"/>
      <c r="AC108" s="741" t="s">
        <v>1269</v>
      </c>
      <c r="AD108" s="436"/>
      <c r="AE108" s="431"/>
      <c r="AF108" s="431"/>
      <c r="AG108" s="440"/>
      <c r="AH108" s="361"/>
      <c r="AI108" s="313"/>
      <c r="AJ108" s="374"/>
      <c r="AK108" s="374"/>
      <c r="AL108" s="374"/>
      <c r="AM108" s="374"/>
      <c r="AN108" s="296"/>
      <c r="AO108" s="296"/>
      <c r="AP108" s="296"/>
      <c r="AQ108" s="296"/>
      <c r="AR108" s="296"/>
      <c r="AS108" s="296"/>
      <c r="AT108" s="296"/>
      <c r="AU108" s="296"/>
    </row>
    <row r="109" spans="1:47" s="291" customFormat="1" x14ac:dyDescent="0.2">
      <c r="A109" s="423">
        <f t="shared" si="55"/>
        <v>104</v>
      </c>
      <c r="B109" s="721" t="s">
        <v>5360</v>
      </c>
      <c r="C109" s="655">
        <v>521101</v>
      </c>
      <c r="D109" s="658">
        <v>1251</v>
      </c>
      <c r="E109" s="655" t="s">
        <v>700</v>
      </c>
      <c r="F109" s="546">
        <v>2017</v>
      </c>
      <c r="G109" s="659">
        <v>42955</v>
      </c>
      <c r="H109" s="655" t="s">
        <v>727</v>
      </c>
      <c r="I109" s="655" t="s">
        <v>5628</v>
      </c>
      <c r="J109" s="712"/>
      <c r="K109" s="655" t="s">
        <v>5782</v>
      </c>
      <c r="L109" s="655" t="s">
        <v>5877</v>
      </c>
      <c r="M109" s="660">
        <v>-327931.03000000003</v>
      </c>
      <c r="N109" s="660">
        <v>0</v>
      </c>
      <c r="O109" s="660">
        <v>-52468.97</v>
      </c>
      <c r="P109" s="660">
        <v>-380400</v>
      </c>
      <c r="Q109" s="548"/>
      <c r="R109" s="660">
        <v>-283666.84000000003</v>
      </c>
      <c r="S109" s="549">
        <f t="shared" si="45"/>
        <v>-96733.159999999974</v>
      </c>
      <c r="T109" s="113" t="s">
        <v>1268</v>
      </c>
      <c r="U109" s="267"/>
      <c r="V109" s="93"/>
      <c r="W109" s="267"/>
      <c r="X109" s="271" t="s">
        <v>6028</v>
      </c>
      <c r="Y109" s="94"/>
      <c r="Z109" s="475">
        <f>+AB73+AB70+AB61+AB56+AB49+AB32</f>
        <v>30</v>
      </c>
      <c r="AA109" s="472">
        <f>+AA73+AA70+AA61+AA56+AA49+AA32</f>
        <v>5934924.7200000007</v>
      </c>
      <c r="AB109" s="473"/>
      <c r="AC109" s="741" t="s">
        <v>1270</v>
      </c>
      <c r="AD109" s="425"/>
      <c r="AE109" s="424"/>
      <c r="AF109" s="424"/>
      <c r="AG109" s="346"/>
      <c r="AH109" s="361"/>
      <c r="AI109" s="313"/>
      <c r="AJ109" s="374"/>
      <c r="AK109" s="374"/>
      <c r="AL109" s="374"/>
      <c r="AM109" s="374"/>
      <c r="AN109" s="296"/>
      <c r="AO109" s="296"/>
      <c r="AP109" s="296"/>
      <c r="AQ109" s="296"/>
      <c r="AR109" s="296"/>
      <c r="AS109" s="296"/>
      <c r="AT109" s="296"/>
      <c r="AU109" s="296"/>
    </row>
    <row r="110" spans="1:47" s="291" customFormat="1" x14ac:dyDescent="0.2">
      <c r="A110" s="423">
        <f t="shared" si="55"/>
        <v>105</v>
      </c>
      <c r="B110" s="721" t="s">
        <v>5361</v>
      </c>
      <c r="C110" s="655">
        <v>521101</v>
      </c>
      <c r="D110" s="658">
        <v>1251</v>
      </c>
      <c r="E110" s="655" t="s">
        <v>700</v>
      </c>
      <c r="F110" s="546">
        <v>2017</v>
      </c>
      <c r="G110" s="659">
        <v>42955</v>
      </c>
      <c r="H110" s="655" t="s">
        <v>727</v>
      </c>
      <c r="I110" s="655" t="s">
        <v>5628</v>
      </c>
      <c r="J110" s="712"/>
      <c r="K110" s="655" t="s">
        <v>5782</v>
      </c>
      <c r="L110" s="655" t="s">
        <v>5877</v>
      </c>
      <c r="M110" s="660">
        <v>330517.24</v>
      </c>
      <c r="N110" s="660">
        <v>0</v>
      </c>
      <c r="O110" s="660">
        <v>52882.76</v>
      </c>
      <c r="P110" s="660">
        <v>383400</v>
      </c>
      <c r="Q110" s="548"/>
      <c r="R110" s="660">
        <v>283666.84000000003</v>
      </c>
      <c r="S110" s="549">
        <f t="shared" si="45"/>
        <v>99733.159999999974</v>
      </c>
      <c r="T110" s="113" t="s">
        <v>1268</v>
      </c>
      <c r="U110" s="267"/>
      <c r="V110" s="429"/>
      <c r="W110" s="426"/>
      <c r="X110" s="382"/>
      <c r="Y110" s="442"/>
      <c r="Z110" s="476">
        <f>+AB72+AB71+AB29+AB26+AB25+AB23+AB22+AB19+AB17+AB16+AB11+AB10+AB9+AB8+AB6</f>
        <v>26</v>
      </c>
      <c r="AA110" s="472">
        <f>+AA6+AA8+AA9+AA10+AA11+AA16+AA17+AA19+AA22+AA23+AA25+AA26+AA29+AA71+AA72</f>
        <v>9443429.2000000011</v>
      </c>
      <c r="AB110" s="473"/>
      <c r="AC110" s="741" t="s">
        <v>1271</v>
      </c>
      <c r="AD110" s="443"/>
      <c r="AE110" s="439"/>
      <c r="AF110" s="439"/>
      <c r="AH110" s="361"/>
      <c r="AI110" s="313"/>
      <c r="AJ110" s="374"/>
      <c r="AK110" s="374"/>
      <c r="AL110" s="374"/>
      <c r="AM110" s="374"/>
      <c r="AN110" s="296"/>
      <c r="AO110" s="296"/>
      <c r="AP110" s="296"/>
      <c r="AQ110" s="296"/>
      <c r="AR110" s="296"/>
      <c r="AS110" s="296"/>
      <c r="AT110" s="296"/>
      <c r="AU110" s="296"/>
    </row>
    <row r="111" spans="1:47" s="291" customFormat="1" ht="13.5" thickBot="1" x14ac:dyDescent="0.25">
      <c r="A111" s="423">
        <f t="shared" si="55"/>
        <v>106</v>
      </c>
      <c r="B111" s="721" t="s">
        <v>5362</v>
      </c>
      <c r="C111" s="655">
        <v>521101</v>
      </c>
      <c r="D111" s="658">
        <v>1251</v>
      </c>
      <c r="E111" s="655" t="s">
        <v>700</v>
      </c>
      <c r="F111" s="546">
        <v>2017</v>
      </c>
      <c r="G111" s="659">
        <v>42955</v>
      </c>
      <c r="H111" s="655" t="s">
        <v>727</v>
      </c>
      <c r="I111" s="655" t="s">
        <v>5628</v>
      </c>
      <c r="J111" s="712"/>
      <c r="K111" s="655" t="s">
        <v>5782</v>
      </c>
      <c r="L111" s="655" t="s">
        <v>5877</v>
      </c>
      <c r="M111" s="660">
        <v>327931.03000000003</v>
      </c>
      <c r="N111" s="660">
        <v>0</v>
      </c>
      <c r="O111" s="660">
        <v>52468.97</v>
      </c>
      <c r="P111" s="660">
        <v>380400</v>
      </c>
      <c r="Q111" s="548"/>
      <c r="R111" s="660">
        <v>283666.84000000003</v>
      </c>
      <c r="S111" s="549">
        <f t="shared" si="45"/>
        <v>96733.159999999974</v>
      </c>
      <c r="T111" s="113" t="s">
        <v>1268</v>
      </c>
      <c r="U111" s="267"/>
      <c r="V111" s="351"/>
      <c r="W111" s="351"/>
      <c r="X111" s="351"/>
      <c r="Y111" s="352"/>
      <c r="Z111" s="477">
        <f>+AB40</f>
        <v>8</v>
      </c>
      <c r="AA111" s="478">
        <f>+AA40</f>
        <v>2676896.5500000003</v>
      </c>
      <c r="AB111" s="473"/>
      <c r="AC111" s="741" t="s">
        <v>1272</v>
      </c>
      <c r="AD111" s="351"/>
      <c r="AE111" s="351"/>
      <c r="AF111" s="351"/>
      <c r="AG111" s="351"/>
      <c r="AH111" s="361"/>
      <c r="AI111" s="313"/>
      <c r="AJ111" s="374"/>
      <c r="AK111" s="374"/>
      <c r="AL111" s="374"/>
      <c r="AM111" s="374"/>
      <c r="AN111" s="296"/>
      <c r="AO111" s="296"/>
      <c r="AP111" s="296"/>
      <c r="AQ111" s="296"/>
      <c r="AR111" s="296"/>
      <c r="AS111" s="296"/>
      <c r="AT111" s="296"/>
      <c r="AU111" s="296"/>
    </row>
    <row r="112" spans="1:47" s="291" customFormat="1" ht="13.5" thickTop="1" x14ac:dyDescent="0.2">
      <c r="A112" s="423">
        <f t="shared" si="55"/>
        <v>107</v>
      </c>
      <c r="B112" s="721" t="s">
        <v>5572</v>
      </c>
      <c r="C112" s="655">
        <v>1520603</v>
      </c>
      <c r="D112" s="658">
        <v>7497</v>
      </c>
      <c r="E112" s="655" t="s">
        <v>5619</v>
      </c>
      <c r="F112" s="546">
        <v>2017</v>
      </c>
      <c r="G112" s="659">
        <v>42948</v>
      </c>
      <c r="H112" s="655" t="s">
        <v>5131</v>
      </c>
      <c r="I112" s="655" t="s">
        <v>4883</v>
      </c>
      <c r="J112" s="712"/>
      <c r="K112" s="655" t="s">
        <v>830</v>
      </c>
      <c r="L112" s="655" t="s">
        <v>5278</v>
      </c>
      <c r="M112" s="660">
        <v>-271264.37</v>
      </c>
      <c r="N112" s="660">
        <v>-13563.22</v>
      </c>
      <c r="O112" s="660">
        <v>-45572.41</v>
      </c>
      <c r="P112" s="660">
        <v>-330400</v>
      </c>
      <c r="Q112" s="548"/>
      <c r="R112" s="660">
        <v>-256833.09</v>
      </c>
      <c r="S112" s="549">
        <f t="shared" si="45"/>
        <v>-73566.91</v>
      </c>
      <c r="T112" s="113" t="s">
        <v>1268</v>
      </c>
      <c r="U112" s="267"/>
      <c r="V112" s="348"/>
      <c r="W112" s="348"/>
      <c r="X112" s="348"/>
      <c r="Y112" s="348"/>
      <c r="Z112" s="479">
        <f>+SUM(Z108:Z111)</f>
        <v>88</v>
      </c>
      <c r="AA112" s="480">
        <f>SUM(AA108:AA111)</f>
        <v>26567155.23</v>
      </c>
      <c r="AB112" s="473"/>
      <c r="AC112" s="472"/>
      <c r="AD112" s="348"/>
      <c r="AE112" s="348"/>
      <c r="AF112" s="348"/>
      <c r="AG112" s="348"/>
      <c r="AH112" s="361"/>
      <c r="AI112" s="313"/>
      <c r="AJ112" s="374"/>
      <c r="AK112" s="374"/>
      <c r="AL112" s="374"/>
      <c r="AM112" s="374"/>
      <c r="AN112" s="296"/>
      <c r="AO112" s="296"/>
      <c r="AP112" s="296"/>
      <c r="AQ112" s="296"/>
      <c r="AR112" s="296"/>
      <c r="AS112" s="296"/>
      <c r="AT112" s="296"/>
      <c r="AU112" s="296"/>
    </row>
    <row r="113" spans="1:47" s="291" customFormat="1" x14ac:dyDescent="0.2">
      <c r="A113" s="423">
        <f t="shared" si="55"/>
        <v>108</v>
      </c>
      <c r="B113" s="721" t="s">
        <v>5582</v>
      </c>
      <c r="C113" s="655">
        <v>1520603</v>
      </c>
      <c r="D113" s="658">
        <v>7497</v>
      </c>
      <c r="E113" s="655" t="s">
        <v>5619</v>
      </c>
      <c r="F113" s="546">
        <v>2017</v>
      </c>
      <c r="G113" s="659">
        <v>42971</v>
      </c>
      <c r="H113" s="655" t="s">
        <v>819</v>
      </c>
      <c r="I113" s="655" t="s">
        <v>4883</v>
      </c>
      <c r="J113" s="712"/>
      <c r="K113" s="655" t="s">
        <v>1008</v>
      </c>
      <c r="L113" s="655" t="s">
        <v>5278</v>
      </c>
      <c r="M113" s="660">
        <v>271264.37</v>
      </c>
      <c r="N113" s="660">
        <v>13563.22</v>
      </c>
      <c r="O113" s="660">
        <v>45572.41</v>
      </c>
      <c r="P113" s="660">
        <v>330400</v>
      </c>
      <c r="Q113" s="548"/>
      <c r="R113" s="660">
        <v>256833.09</v>
      </c>
      <c r="S113" s="549">
        <f t="shared" si="45"/>
        <v>73566.91</v>
      </c>
      <c r="T113" s="113" t="s">
        <v>1268</v>
      </c>
      <c r="U113" s="351"/>
      <c r="AB113" s="422"/>
      <c r="AH113" s="361"/>
      <c r="AI113" s="313"/>
      <c r="AJ113" s="374"/>
      <c r="AK113" s="374"/>
      <c r="AL113" s="374"/>
      <c r="AM113" s="374"/>
      <c r="AN113" s="296"/>
      <c r="AO113" s="296"/>
      <c r="AP113" s="296"/>
      <c r="AQ113" s="296"/>
      <c r="AR113" s="296"/>
      <c r="AS113" s="296"/>
      <c r="AT113" s="296"/>
      <c r="AU113" s="296"/>
    </row>
    <row r="114" spans="1:47" s="291" customFormat="1" x14ac:dyDescent="0.2">
      <c r="A114" s="423">
        <f t="shared" si="55"/>
        <v>109</v>
      </c>
      <c r="B114" s="721" t="s">
        <v>5417</v>
      </c>
      <c r="C114" s="655">
        <v>521707</v>
      </c>
      <c r="D114" s="658">
        <v>2006</v>
      </c>
      <c r="E114" s="655" t="s">
        <v>702</v>
      </c>
      <c r="F114" s="546">
        <v>2017</v>
      </c>
      <c r="G114" s="659">
        <v>42952</v>
      </c>
      <c r="H114" s="655" t="s">
        <v>774</v>
      </c>
      <c r="I114" s="655" t="s">
        <v>5666</v>
      </c>
      <c r="J114" s="712"/>
      <c r="K114" s="655" t="s">
        <v>5804</v>
      </c>
      <c r="L114" s="655" t="s">
        <v>5915</v>
      </c>
      <c r="M114" s="660">
        <v>201982.76</v>
      </c>
      <c r="N114" s="660">
        <v>0</v>
      </c>
      <c r="O114" s="660">
        <v>32317.24</v>
      </c>
      <c r="P114" s="660">
        <v>234300</v>
      </c>
      <c r="Q114" s="548"/>
      <c r="R114" s="660">
        <v>183052.26</v>
      </c>
      <c r="S114" s="549">
        <f t="shared" si="45"/>
        <v>51247.739999999991</v>
      </c>
      <c r="T114" s="113" t="s">
        <v>1268</v>
      </c>
      <c r="U114" s="348"/>
      <c r="AB114" s="422"/>
      <c r="AH114" s="361"/>
      <c r="AI114" s="313"/>
      <c r="AJ114" s="374"/>
      <c r="AK114" s="374"/>
      <c r="AL114" s="374"/>
      <c r="AM114" s="374"/>
      <c r="AN114" s="296"/>
      <c r="AO114" s="296"/>
      <c r="AP114" s="296"/>
      <c r="AQ114" s="296"/>
      <c r="AR114" s="296"/>
      <c r="AS114" s="296"/>
      <c r="AT114" s="296"/>
      <c r="AU114" s="296"/>
    </row>
    <row r="115" spans="1:47" s="291" customFormat="1" x14ac:dyDescent="0.2">
      <c r="A115" s="423">
        <f t="shared" si="55"/>
        <v>110</v>
      </c>
      <c r="B115" s="721" t="s">
        <v>5425</v>
      </c>
      <c r="C115" s="655">
        <v>521707</v>
      </c>
      <c r="D115" s="658">
        <v>2006</v>
      </c>
      <c r="E115" s="655" t="s">
        <v>702</v>
      </c>
      <c r="F115" s="546">
        <v>2017</v>
      </c>
      <c r="G115" s="659">
        <v>42978</v>
      </c>
      <c r="H115" s="655" t="s">
        <v>774</v>
      </c>
      <c r="I115" s="655" t="s">
        <v>5666</v>
      </c>
      <c r="J115" s="712"/>
      <c r="K115" s="655" t="s">
        <v>5804</v>
      </c>
      <c r="L115" s="655" t="s">
        <v>5915</v>
      </c>
      <c r="M115" s="660">
        <v>-201982.76</v>
      </c>
      <c r="N115" s="660">
        <v>0</v>
      </c>
      <c r="O115" s="660">
        <v>-32317.24</v>
      </c>
      <c r="P115" s="660">
        <v>-234300</v>
      </c>
      <c r="Q115" s="548"/>
      <c r="R115" s="660">
        <v>-183052.26</v>
      </c>
      <c r="S115" s="549">
        <f t="shared" si="45"/>
        <v>-51247.739999999991</v>
      </c>
      <c r="T115" s="267" t="s">
        <v>1268</v>
      </c>
      <c r="U115" s="267"/>
      <c r="V115" s="93"/>
      <c r="W115" s="267"/>
      <c r="X115" s="267"/>
      <c r="Y115" s="93"/>
      <c r="Z115" s="618"/>
      <c r="AA115" s="424"/>
      <c r="AB115" s="715"/>
      <c r="AC115" s="424"/>
      <c r="AD115" s="425"/>
      <c r="AE115" s="424"/>
      <c r="AF115" s="424"/>
      <c r="AG115" s="396"/>
      <c r="AH115" s="361"/>
      <c r="AI115" s="313"/>
      <c r="AJ115" s="374"/>
      <c r="AK115" s="374"/>
      <c r="AL115" s="374"/>
      <c r="AM115" s="374"/>
      <c r="AN115" s="296"/>
      <c r="AO115" s="296"/>
      <c r="AP115" s="296"/>
      <c r="AQ115" s="296"/>
      <c r="AR115" s="296"/>
      <c r="AS115" s="296"/>
      <c r="AT115" s="296"/>
      <c r="AU115" s="296"/>
    </row>
    <row r="116" spans="1:47" s="291" customFormat="1" x14ac:dyDescent="0.2">
      <c r="A116" s="423">
        <f t="shared" si="55"/>
        <v>111</v>
      </c>
      <c r="B116" s="721" t="s">
        <v>5537</v>
      </c>
      <c r="C116" s="655">
        <v>1520104</v>
      </c>
      <c r="D116" s="658">
        <v>7493</v>
      </c>
      <c r="E116" s="655" t="s">
        <v>711</v>
      </c>
      <c r="F116" s="546">
        <v>2017</v>
      </c>
      <c r="G116" s="659">
        <v>42949</v>
      </c>
      <c r="H116" s="655" t="s">
        <v>819</v>
      </c>
      <c r="I116" s="655" t="s">
        <v>4861</v>
      </c>
      <c r="J116" s="712"/>
      <c r="K116" s="655" t="s">
        <v>5180</v>
      </c>
      <c r="L116" s="655" t="s">
        <v>5327</v>
      </c>
      <c r="M116" s="660">
        <v>-241789.82</v>
      </c>
      <c r="N116" s="660">
        <v>-12089.49</v>
      </c>
      <c r="O116" s="660">
        <v>-40620.69</v>
      </c>
      <c r="P116" s="660">
        <v>-294500</v>
      </c>
      <c r="Q116" s="548"/>
      <c r="R116" s="660">
        <v>-229061.05</v>
      </c>
      <c r="S116" s="549">
        <f t="shared" si="45"/>
        <v>-65438.950000000012</v>
      </c>
      <c r="T116" s="113" t="s">
        <v>1268</v>
      </c>
      <c r="U116" s="267"/>
      <c r="V116" s="93"/>
      <c r="W116" s="267"/>
      <c r="X116" s="267"/>
      <c r="Y116" s="93"/>
      <c r="Z116" s="618"/>
      <c r="AA116" s="424"/>
      <c r="AB116" s="715"/>
      <c r="AC116" s="424"/>
      <c r="AD116" s="425"/>
      <c r="AE116" s="424"/>
      <c r="AF116" s="424"/>
      <c r="AG116" s="396"/>
      <c r="AH116" s="361"/>
      <c r="AI116" s="313"/>
      <c r="AJ116" s="374"/>
      <c r="AK116" s="374"/>
      <c r="AL116" s="374"/>
      <c r="AM116" s="374"/>
      <c r="AN116" s="296"/>
      <c r="AO116" s="296"/>
      <c r="AP116" s="296"/>
      <c r="AQ116" s="296"/>
      <c r="AR116" s="296"/>
      <c r="AS116" s="296"/>
      <c r="AT116" s="296"/>
      <c r="AU116" s="296"/>
    </row>
    <row r="117" spans="1:47" s="291" customFormat="1" x14ac:dyDescent="0.2">
      <c r="A117" s="423">
        <f t="shared" si="55"/>
        <v>112</v>
      </c>
      <c r="B117" s="721" t="s">
        <v>5538</v>
      </c>
      <c r="C117" s="655">
        <v>1520104</v>
      </c>
      <c r="D117" s="658">
        <v>7493</v>
      </c>
      <c r="E117" s="655" t="s">
        <v>711</v>
      </c>
      <c r="F117" s="546">
        <v>2017</v>
      </c>
      <c r="G117" s="659">
        <v>42949</v>
      </c>
      <c r="H117" s="655" t="s">
        <v>819</v>
      </c>
      <c r="I117" s="655" t="s">
        <v>4861</v>
      </c>
      <c r="J117" s="712"/>
      <c r="K117" s="655" t="s">
        <v>5180</v>
      </c>
      <c r="L117" s="655" t="s">
        <v>5327</v>
      </c>
      <c r="M117" s="660">
        <v>-241789.82</v>
      </c>
      <c r="N117" s="660">
        <v>-12089.49</v>
      </c>
      <c r="O117" s="660">
        <v>-40620.69</v>
      </c>
      <c r="P117" s="660">
        <v>-294500</v>
      </c>
      <c r="Q117" s="548"/>
      <c r="R117" s="660">
        <v>-229061.05</v>
      </c>
      <c r="S117" s="549">
        <f t="shared" si="45"/>
        <v>-65438.950000000012</v>
      </c>
      <c r="T117" s="267" t="s">
        <v>1268</v>
      </c>
      <c r="U117" s="267"/>
      <c r="V117" s="93"/>
      <c r="W117" s="267"/>
      <c r="X117" s="267"/>
      <c r="Y117" s="93"/>
      <c r="Z117" s="618"/>
      <c r="AA117" s="424"/>
      <c r="AB117" s="715"/>
      <c r="AC117" s="424"/>
      <c r="AD117" s="425"/>
      <c r="AE117" s="424"/>
      <c r="AF117" s="424"/>
      <c r="AG117" s="396"/>
      <c r="AH117" s="361"/>
      <c r="AI117" s="313"/>
      <c r="AJ117" s="374"/>
      <c r="AK117" s="374"/>
      <c r="AL117" s="374"/>
      <c r="AM117" s="374"/>
      <c r="AN117" s="296"/>
      <c r="AO117" s="296"/>
      <c r="AP117" s="296"/>
      <c r="AQ117" s="296"/>
      <c r="AR117" s="296"/>
      <c r="AS117" s="296"/>
      <c r="AT117" s="296"/>
      <c r="AU117" s="296"/>
    </row>
    <row r="118" spans="1:47" s="291" customFormat="1" x14ac:dyDescent="0.2">
      <c r="A118" s="423">
        <f t="shared" si="55"/>
        <v>113</v>
      </c>
      <c r="B118" s="721" t="s">
        <v>5539</v>
      </c>
      <c r="C118" s="655">
        <v>1520104</v>
      </c>
      <c r="D118" s="658">
        <v>7493</v>
      </c>
      <c r="E118" s="655" t="s">
        <v>711</v>
      </c>
      <c r="F118" s="546">
        <v>2017</v>
      </c>
      <c r="G118" s="659">
        <v>42949</v>
      </c>
      <c r="H118" s="655" t="s">
        <v>819</v>
      </c>
      <c r="I118" s="655" t="s">
        <v>4861</v>
      </c>
      <c r="J118" s="712"/>
      <c r="K118" s="655" t="s">
        <v>5180</v>
      </c>
      <c r="L118" s="655" t="s">
        <v>5327</v>
      </c>
      <c r="M118" s="660">
        <v>-241789.82</v>
      </c>
      <c r="N118" s="660">
        <v>-12089.49</v>
      </c>
      <c r="O118" s="660">
        <v>-40620.69</v>
      </c>
      <c r="P118" s="660">
        <v>-294500</v>
      </c>
      <c r="Q118" s="548"/>
      <c r="R118" s="660">
        <v>-229061.05</v>
      </c>
      <c r="S118" s="549">
        <f t="shared" si="45"/>
        <v>-65438.950000000012</v>
      </c>
      <c r="T118" s="113" t="s">
        <v>1268</v>
      </c>
      <c r="U118" s="267"/>
      <c r="V118" s="93"/>
      <c r="W118" s="267"/>
      <c r="X118" s="267"/>
      <c r="Y118" s="93"/>
      <c r="Z118" s="618"/>
      <c r="AA118" s="424"/>
      <c r="AB118" s="715"/>
      <c r="AC118" s="424"/>
      <c r="AD118" s="425"/>
      <c r="AE118" s="424"/>
      <c r="AF118" s="424"/>
      <c r="AG118" s="396"/>
      <c r="AH118" s="361"/>
      <c r="AI118" s="313"/>
      <c r="AJ118" s="374"/>
      <c r="AK118" s="374"/>
      <c r="AL118" s="374"/>
      <c r="AM118" s="374"/>
      <c r="AN118" s="296"/>
      <c r="AO118" s="296"/>
      <c r="AP118" s="296"/>
      <c r="AQ118" s="296"/>
      <c r="AR118" s="296"/>
      <c r="AS118" s="296"/>
      <c r="AT118" s="296"/>
      <c r="AU118" s="296"/>
    </row>
    <row r="119" spans="1:47" s="291" customFormat="1" x14ac:dyDescent="0.2">
      <c r="A119" s="423">
        <f t="shared" si="55"/>
        <v>114</v>
      </c>
      <c r="B119" s="721" t="s">
        <v>5540</v>
      </c>
      <c r="C119" s="655">
        <v>1520104</v>
      </c>
      <c r="D119" s="658">
        <v>7493</v>
      </c>
      <c r="E119" s="655" t="s">
        <v>711</v>
      </c>
      <c r="F119" s="546">
        <v>2017</v>
      </c>
      <c r="G119" s="659">
        <v>42949</v>
      </c>
      <c r="H119" s="655" t="s">
        <v>819</v>
      </c>
      <c r="I119" s="655" t="s">
        <v>4861</v>
      </c>
      <c r="J119" s="712"/>
      <c r="K119" s="655" t="s">
        <v>5180</v>
      </c>
      <c r="L119" s="655" t="s">
        <v>5327</v>
      </c>
      <c r="M119" s="660">
        <v>-241789.82</v>
      </c>
      <c r="N119" s="660">
        <v>-12089.49</v>
      </c>
      <c r="O119" s="660">
        <v>-40620.69</v>
      </c>
      <c r="P119" s="660">
        <v>-294500</v>
      </c>
      <c r="Q119" s="548"/>
      <c r="R119" s="660">
        <v>-229061.05</v>
      </c>
      <c r="S119" s="549">
        <f t="shared" si="45"/>
        <v>-65438.950000000012</v>
      </c>
      <c r="T119" s="267" t="s">
        <v>1268</v>
      </c>
      <c r="U119" s="267"/>
      <c r="V119" s="93"/>
      <c r="W119" s="267"/>
      <c r="X119" s="267"/>
      <c r="Y119" s="93"/>
      <c r="Z119" s="618"/>
      <c r="AA119" s="424"/>
      <c r="AB119" s="715"/>
      <c r="AC119" s="424"/>
      <c r="AD119" s="425"/>
      <c r="AE119" s="424"/>
      <c r="AF119" s="424"/>
      <c r="AG119" s="396"/>
      <c r="AH119" s="361"/>
      <c r="AI119" s="313"/>
      <c r="AJ119" s="374"/>
      <c r="AK119" s="374"/>
      <c r="AL119" s="374"/>
      <c r="AM119" s="374"/>
      <c r="AN119" s="296"/>
      <c r="AO119" s="296"/>
      <c r="AP119" s="296"/>
      <c r="AQ119" s="296"/>
      <c r="AR119" s="296"/>
      <c r="AS119" s="296"/>
      <c r="AT119" s="296"/>
      <c r="AU119" s="296"/>
    </row>
    <row r="120" spans="1:47" s="291" customFormat="1" x14ac:dyDescent="0.2">
      <c r="A120" s="423">
        <f t="shared" si="55"/>
        <v>115</v>
      </c>
      <c r="B120" s="721" t="s">
        <v>5541</v>
      </c>
      <c r="C120" s="655">
        <v>1520104</v>
      </c>
      <c r="D120" s="658">
        <v>7493</v>
      </c>
      <c r="E120" s="655" t="s">
        <v>711</v>
      </c>
      <c r="F120" s="546">
        <v>2017</v>
      </c>
      <c r="G120" s="659">
        <v>42949</v>
      </c>
      <c r="H120" s="655" t="s">
        <v>819</v>
      </c>
      <c r="I120" s="655" t="s">
        <v>4861</v>
      </c>
      <c r="J120" s="712"/>
      <c r="K120" s="655" t="s">
        <v>5180</v>
      </c>
      <c r="L120" s="655" t="s">
        <v>5327</v>
      </c>
      <c r="M120" s="660">
        <v>241789.82</v>
      </c>
      <c r="N120" s="660">
        <v>12089.49</v>
      </c>
      <c r="O120" s="660">
        <v>40620.69</v>
      </c>
      <c r="P120" s="660">
        <v>294500</v>
      </c>
      <c r="Q120" s="548"/>
      <c r="R120" s="660">
        <v>229061.05</v>
      </c>
      <c r="S120" s="549">
        <f t="shared" si="45"/>
        <v>65438.950000000012</v>
      </c>
      <c r="T120" s="113" t="s">
        <v>1268</v>
      </c>
      <c r="U120" s="267"/>
      <c r="V120" s="93"/>
      <c r="W120" s="267"/>
      <c r="X120" s="267"/>
      <c r="Y120" s="93"/>
      <c r="Z120" s="618"/>
      <c r="AA120" s="424"/>
      <c r="AB120" s="715"/>
      <c r="AC120" s="424"/>
      <c r="AD120" s="425"/>
      <c r="AE120" s="424"/>
      <c r="AF120" s="424"/>
      <c r="AG120" s="396"/>
      <c r="AH120" s="361"/>
      <c r="AI120" s="313"/>
      <c r="AJ120" s="374"/>
      <c r="AK120" s="374"/>
      <c r="AL120" s="374"/>
      <c r="AM120" s="374"/>
      <c r="AN120" s="296"/>
      <c r="AO120" s="296"/>
      <c r="AP120" s="296"/>
      <c r="AQ120" s="296"/>
      <c r="AR120" s="296"/>
      <c r="AS120" s="296"/>
      <c r="AT120" s="296"/>
      <c r="AU120" s="296"/>
    </row>
    <row r="121" spans="1:47" s="291" customFormat="1" x14ac:dyDescent="0.2">
      <c r="A121" s="423">
        <f t="shared" si="55"/>
        <v>116</v>
      </c>
      <c r="B121" s="721" t="s">
        <v>5542</v>
      </c>
      <c r="C121" s="655">
        <v>1520104</v>
      </c>
      <c r="D121" s="658">
        <v>7493</v>
      </c>
      <c r="E121" s="655" t="s">
        <v>711</v>
      </c>
      <c r="F121" s="546">
        <v>2017</v>
      </c>
      <c r="G121" s="659">
        <v>42949</v>
      </c>
      <c r="H121" s="655" t="s">
        <v>819</v>
      </c>
      <c r="I121" s="655" t="s">
        <v>4861</v>
      </c>
      <c r="J121" s="712"/>
      <c r="K121" s="655" t="s">
        <v>5180</v>
      </c>
      <c r="L121" s="655" t="s">
        <v>5327</v>
      </c>
      <c r="M121" s="660">
        <v>241789.82</v>
      </c>
      <c r="N121" s="660">
        <v>12089.49</v>
      </c>
      <c r="O121" s="660">
        <v>40620.69</v>
      </c>
      <c r="P121" s="660">
        <v>294500</v>
      </c>
      <c r="Q121" s="548"/>
      <c r="R121" s="660">
        <v>229061.05</v>
      </c>
      <c r="S121" s="549">
        <f t="shared" si="45"/>
        <v>65438.950000000012</v>
      </c>
      <c r="T121" s="267" t="s">
        <v>1268</v>
      </c>
      <c r="U121" s="267"/>
      <c r="V121" s="93"/>
      <c r="W121" s="267"/>
      <c r="X121" s="267"/>
      <c r="Y121" s="93"/>
      <c r="Z121" s="618"/>
      <c r="AA121" s="424"/>
      <c r="AB121" s="715"/>
      <c r="AC121" s="424"/>
      <c r="AD121" s="425"/>
      <c r="AE121" s="424"/>
      <c r="AF121" s="424"/>
      <c r="AG121" s="396"/>
      <c r="AH121" s="361"/>
      <c r="AI121" s="313"/>
      <c r="AJ121" s="374"/>
      <c r="AK121" s="374"/>
      <c r="AL121" s="374"/>
      <c r="AM121" s="374"/>
      <c r="AN121" s="296"/>
      <c r="AO121" s="296"/>
      <c r="AP121" s="296"/>
      <c r="AQ121" s="296"/>
      <c r="AR121" s="296"/>
      <c r="AS121" s="296"/>
      <c r="AT121" s="296"/>
      <c r="AU121" s="296"/>
    </row>
    <row r="122" spans="1:47" s="291" customFormat="1" x14ac:dyDescent="0.2">
      <c r="A122" s="423">
        <f t="shared" si="55"/>
        <v>117</v>
      </c>
      <c r="B122" s="721" t="s">
        <v>5543</v>
      </c>
      <c r="C122" s="655">
        <v>1520104</v>
      </c>
      <c r="D122" s="658">
        <v>7493</v>
      </c>
      <c r="E122" s="655" t="s">
        <v>711</v>
      </c>
      <c r="F122" s="546">
        <v>2017</v>
      </c>
      <c r="G122" s="659">
        <v>42949</v>
      </c>
      <c r="H122" s="655" t="s">
        <v>819</v>
      </c>
      <c r="I122" s="655" t="s">
        <v>4861</v>
      </c>
      <c r="J122" s="712"/>
      <c r="K122" s="655" t="s">
        <v>5180</v>
      </c>
      <c r="L122" s="655" t="s">
        <v>5327</v>
      </c>
      <c r="M122" s="660">
        <v>241789.82</v>
      </c>
      <c r="N122" s="660">
        <v>12089.49</v>
      </c>
      <c r="O122" s="660">
        <v>40620.69</v>
      </c>
      <c r="P122" s="660">
        <v>294500</v>
      </c>
      <c r="Q122" s="548"/>
      <c r="R122" s="660">
        <v>229061.05</v>
      </c>
      <c r="S122" s="549">
        <f t="shared" si="45"/>
        <v>65438.950000000012</v>
      </c>
      <c r="T122" s="444" t="s">
        <v>1268</v>
      </c>
      <c r="U122" s="267"/>
      <c r="V122" s="93"/>
      <c r="W122" s="267"/>
      <c r="X122" s="267"/>
      <c r="Y122" s="93"/>
      <c r="Z122" s="618"/>
      <c r="AA122" s="424"/>
      <c r="AB122" s="715"/>
      <c r="AC122" s="424"/>
      <c r="AD122" s="425"/>
      <c r="AE122" s="424"/>
      <c r="AF122" s="424"/>
      <c r="AG122" s="396"/>
      <c r="AH122" s="361"/>
      <c r="AI122" s="313"/>
      <c r="AJ122" s="374"/>
      <c r="AK122" s="374"/>
      <c r="AL122" s="374"/>
      <c r="AM122" s="374"/>
      <c r="AN122" s="296"/>
      <c r="AO122" s="296"/>
      <c r="AP122" s="296"/>
      <c r="AQ122" s="296"/>
      <c r="AR122" s="296"/>
      <c r="AS122" s="296"/>
      <c r="AT122" s="296"/>
      <c r="AU122" s="296"/>
    </row>
    <row r="123" spans="1:47" s="291" customFormat="1" x14ac:dyDescent="0.2">
      <c r="A123" s="423">
        <f t="shared" si="55"/>
        <v>118</v>
      </c>
      <c r="B123" s="721" t="s">
        <v>5544</v>
      </c>
      <c r="C123" s="655">
        <v>1520104</v>
      </c>
      <c r="D123" s="658">
        <v>7493</v>
      </c>
      <c r="E123" s="655" t="s">
        <v>711</v>
      </c>
      <c r="F123" s="546">
        <v>2017</v>
      </c>
      <c r="G123" s="659">
        <v>42949</v>
      </c>
      <c r="H123" s="655" t="s">
        <v>819</v>
      </c>
      <c r="I123" s="655" t="s">
        <v>4861</v>
      </c>
      <c r="J123" s="712"/>
      <c r="K123" s="655" t="s">
        <v>5180</v>
      </c>
      <c r="L123" s="655" t="s">
        <v>5327</v>
      </c>
      <c r="M123" s="660">
        <v>241789.82</v>
      </c>
      <c r="N123" s="660">
        <v>12089.49</v>
      </c>
      <c r="O123" s="660">
        <v>40620.69</v>
      </c>
      <c r="P123" s="660">
        <v>294500</v>
      </c>
      <c r="Q123" s="548"/>
      <c r="R123" s="660">
        <v>229061.05</v>
      </c>
      <c r="S123" s="549">
        <f t="shared" si="45"/>
        <v>65438.950000000012</v>
      </c>
      <c r="T123" s="113" t="s">
        <v>1268</v>
      </c>
      <c r="U123" s="267"/>
      <c r="V123" s="93"/>
      <c r="W123" s="267"/>
      <c r="X123" s="267"/>
      <c r="Y123" s="93"/>
      <c r="Z123" s="618"/>
      <c r="AA123" s="424"/>
      <c r="AB123" s="715"/>
      <c r="AC123" s="424"/>
      <c r="AD123" s="425"/>
      <c r="AE123" s="424"/>
      <c r="AF123" s="424"/>
      <c r="AG123" s="396"/>
      <c r="AH123" s="361"/>
      <c r="AI123" s="313"/>
      <c r="AJ123" s="374"/>
      <c r="AK123" s="374"/>
      <c r="AL123" s="374"/>
      <c r="AM123" s="374"/>
      <c r="AN123" s="296"/>
      <c r="AO123" s="296"/>
      <c r="AP123" s="296"/>
      <c r="AQ123" s="296"/>
      <c r="AR123" s="296"/>
      <c r="AS123" s="296"/>
      <c r="AT123" s="296"/>
      <c r="AU123" s="296"/>
    </row>
    <row r="124" spans="1:47" s="291" customFormat="1" x14ac:dyDescent="0.2">
      <c r="A124" s="423">
        <f t="shared" si="55"/>
        <v>119</v>
      </c>
      <c r="B124" s="721" t="s">
        <v>5559</v>
      </c>
      <c r="C124" s="655">
        <v>1520604</v>
      </c>
      <c r="D124" s="658">
        <v>7495</v>
      </c>
      <c r="E124" s="655" t="s">
        <v>718</v>
      </c>
      <c r="F124" s="546">
        <v>2017</v>
      </c>
      <c r="G124" s="659">
        <v>42957</v>
      </c>
      <c r="H124" s="655" t="s">
        <v>1207</v>
      </c>
      <c r="I124" s="655" t="s">
        <v>4875</v>
      </c>
      <c r="J124" s="712"/>
      <c r="K124" s="655" t="s">
        <v>5186</v>
      </c>
      <c r="L124" s="655" t="s">
        <v>5313</v>
      </c>
      <c r="M124" s="660">
        <v>-296880.13</v>
      </c>
      <c r="N124" s="660">
        <v>-14844.01</v>
      </c>
      <c r="O124" s="660">
        <v>-49875.86</v>
      </c>
      <c r="P124" s="660">
        <v>-361600</v>
      </c>
      <c r="Q124" s="548"/>
      <c r="R124" s="660">
        <v>-262450.93</v>
      </c>
      <c r="S124" s="549">
        <f t="shared" si="45"/>
        <v>-99149.07</v>
      </c>
      <c r="T124" s="267" t="s">
        <v>1268</v>
      </c>
      <c r="U124" s="267"/>
      <c r="V124" s="93"/>
      <c r="W124" s="267"/>
      <c r="X124" s="267"/>
      <c r="Y124" s="93"/>
      <c r="Z124" s="618"/>
      <c r="AA124" s="424"/>
      <c r="AB124" s="715"/>
      <c r="AC124" s="424"/>
      <c r="AD124" s="425"/>
      <c r="AE124" s="424"/>
      <c r="AF124" s="424"/>
      <c r="AG124" s="396"/>
      <c r="AH124" s="361"/>
      <c r="AI124" s="313"/>
      <c r="AJ124" s="374"/>
      <c r="AK124" s="374"/>
      <c r="AL124" s="374"/>
      <c r="AM124" s="374"/>
      <c r="AN124" s="296"/>
      <c r="AO124" s="296"/>
      <c r="AP124" s="296"/>
      <c r="AQ124" s="296"/>
      <c r="AR124" s="296"/>
      <c r="AS124" s="296"/>
      <c r="AT124" s="296"/>
      <c r="AU124" s="296"/>
    </row>
    <row r="125" spans="1:47" s="291" customFormat="1" x14ac:dyDescent="0.2">
      <c r="A125" s="423">
        <f t="shared" si="55"/>
        <v>120</v>
      </c>
      <c r="B125" s="721" t="s">
        <v>5560</v>
      </c>
      <c r="C125" s="655">
        <v>1520604</v>
      </c>
      <c r="D125" s="658">
        <v>7495</v>
      </c>
      <c r="E125" s="655" t="s">
        <v>718</v>
      </c>
      <c r="F125" s="546">
        <v>2017</v>
      </c>
      <c r="G125" s="659">
        <v>42957</v>
      </c>
      <c r="H125" s="655" t="s">
        <v>1207</v>
      </c>
      <c r="I125" s="655" t="s">
        <v>4875</v>
      </c>
      <c r="J125" s="712"/>
      <c r="K125" s="655" t="s">
        <v>5186</v>
      </c>
      <c r="L125" s="655" t="s">
        <v>5313</v>
      </c>
      <c r="M125" s="660">
        <v>296880.13</v>
      </c>
      <c r="N125" s="660">
        <v>14844.01</v>
      </c>
      <c r="O125" s="660">
        <v>49875.86</v>
      </c>
      <c r="P125" s="660">
        <v>361600</v>
      </c>
      <c r="Q125" s="548"/>
      <c r="R125" s="660">
        <v>262450.93</v>
      </c>
      <c r="S125" s="549">
        <f t="shared" si="45"/>
        <v>99149.07</v>
      </c>
      <c r="T125" s="113" t="s">
        <v>1268</v>
      </c>
      <c r="U125" s="267"/>
      <c r="V125" s="93"/>
      <c r="W125" s="267"/>
      <c r="X125" s="267"/>
      <c r="Y125" s="93"/>
      <c r="Z125" s="618"/>
      <c r="AA125" s="424"/>
      <c r="AB125" s="715"/>
      <c r="AC125" s="424"/>
      <c r="AD125" s="425"/>
      <c r="AE125" s="424"/>
      <c r="AF125" s="424"/>
      <c r="AG125" s="396"/>
      <c r="AH125" s="361"/>
      <c r="AI125" s="313"/>
      <c r="AJ125" s="374"/>
      <c r="AK125" s="374"/>
      <c r="AL125" s="374"/>
      <c r="AM125" s="374"/>
      <c r="AN125" s="296"/>
      <c r="AO125" s="296"/>
      <c r="AP125" s="296"/>
      <c r="AQ125" s="296"/>
      <c r="AR125" s="296"/>
      <c r="AS125" s="296"/>
      <c r="AT125" s="296"/>
      <c r="AU125" s="296"/>
    </row>
    <row r="126" spans="1:47" s="291" customFormat="1" x14ac:dyDescent="0.2">
      <c r="A126" s="423">
        <f t="shared" si="55"/>
        <v>121</v>
      </c>
      <c r="B126" s="721" t="s">
        <v>5575</v>
      </c>
      <c r="C126" s="655">
        <v>1520603</v>
      </c>
      <c r="D126" s="658">
        <v>7497</v>
      </c>
      <c r="E126" s="655" t="s">
        <v>5619</v>
      </c>
      <c r="F126" s="546">
        <v>2017</v>
      </c>
      <c r="G126" s="659">
        <v>42949</v>
      </c>
      <c r="H126" s="655" t="s">
        <v>819</v>
      </c>
      <c r="I126" s="655" t="s">
        <v>4421</v>
      </c>
      <c r="J126" s="712"/>
      <c r="K126" s="655" t="s">
        <v>5180</v>
      </c>
      <c r="L126" s="655" t="s">
        <v>4422</v>
      </c>
      <c r="M126" s="660">
        <v>-271264.37</v>
      </c>
      <c r="N126" s="660">
        <v>-13563.22</v>
      </c>
      <c r="O126" s="660">
        <v>-45572.41</v>
      </c>
      <c r="P126" s="660">
        <v>-330400</v>
      </c>
      <c r="Q126" s="548"/>
      <c r="R126" s="660">
        <v>-256833.09</v>
      </c>
      <c r="S126" s="549">
        <f t="shared" si="45"/>
        <v>-73566.91</v>
      </c>
      <c r="T126" s="267" t="s">
        <v>1268</v>
      </c>
      <c r="U126" s="267"/>
      <c r="V126" s="93"/>
      <c r="W126" s="267"/>
      <c r="X126" s="267"/>
      <c r="Y126" s="93"/>
      <c r="Z126" s="618"/>
      <c r="AA126" s="424"/>
      <c r="AB126" s="715"/>
      <c r="AC126" s="424"/>
      <c r="AD126" s="425"/>
      <c r="AE126" s="424"/>
      <c r="AF126" s="424"/>
      <c r="AG126" s="396"/>
      <c r="AH126" s="361"/>
      <c r="AI126" s="313"/>
      <c r="AJ126" s="374"/>
      <c r="AK126" s="374"/>
      <c r="AL126" s="374"/>
      <c r="AM126" s="374"/>
      <c r="AN126" s="296"/>
      <c r="AO126" s="296"/>
      <c r="AP126" s="296"/>
      <c r="AQ126" s="296"/>
      <c r="AR126" s="296"/>
      <c r="AS126" s="296"/>
      <c r="AT126" s="296"/>
      <c r="AU126" s="296"/>
    </row>
    <row r="127" spans="1:47" s="291" customFormat="1" x14ac:dyDescent="0.2">
      <c r="A127" s="423">
        <f t="shared" si="55"/>
        <v>122</v>
      </c>
      <c r="B127" s="721" t="s">
        <v>5576</v>
      </c>
      <c r="C127" s="655">
        <v>1520603</v>
      </c>
      <c r="D127" s="658">
        <v>7497</v>
      </c>
      <c r="E127" s="655" t="s">
        <v>5619</v>
      </c>
      <c r="F127" s="546">
        <v>2017</v>
      </c>
      <c r="G127" s="659">
        <v>42949</v>
      </c>
      <c r="H127" s="655" t="s">
        <v>819</v>
      </c>
      <c r="I127" s="655" t="s">
        <v>4421</v>
      </c>
      <c r="J127" s="712"/>
      <c r="K127" s="655" t="s">
        <v>5180</v>
      </c>
      <c r="L127" s="655" t="s">
        <v>4422</v>
      </c>
      <c r="M127" s="660">
        <v>271264.37</v>
      </c>
      <c r="N127" s="660">
        <v>13563.22</v>
      </c>
      <c r="O127" s="660">
        <v>45572.41</v>
      </c>
      <c r="P127" s="660">
        <v>330400</v>
      </c>
      <c r="Q127" s="548"/>
      <c r="R127" s="660">
        <v>256833.09</v>
      </c>
      <c r="S127" s="549">
        <f t="shared" si="45"/>
        <v>73566.91</v>
      </c>
      <c r="T127" s="113" t="s">
        <v>1268</v>
      </c>
      <c r="U127" s="267"/>
      <c r="V127" s="93"/>
      <c r="W127" s="267"/>
      <c r="X127" s="267"/>
      <c r="Y127" s="93"/>
      <c r="Z127" s="618"/>
      <c r="AA127" s="424"/>
      <c r="AB127" s="715"/>
      <c r="AC127" s="424"/>
      <c r="AD127" s="425"/>
      <c r="AE127" s="424"/>
      <c r="AF127" s="424"/>
      <c r="AG127" s="396"/>
      <c r="AH127" s="361"/>
      <c r="AI127" s="313"/>
      <c r="AJ127" s="374"/>
      <c r="AK127" s="374"/>
      <c r="AL127" s="374"/>
      <c r="AM127" s="374"/>
      <c r="AN127" s="296"/>
      <c r="AO127" s="296"/>
      <c r="AP127" s="296"/>
      <c r="AQ127" s="296"/>
      <c r="AR127" s="296"/>
      <c r="AS127" s="296"/>
      <c r="AT127" s="296"/>
      <c r="AU127" s="296"/>
    </row>
    <row r="128" spans="1:47" s="291" customFormat="1" x14ac:dyDescent="0.2">
      <c r="A128" s="423">
        <f t="shared" si="55"/>
        <v>123</v>
      </c>
      <c r="B128" s="721" t="s">
        <v>5566</v>
      </c>
      <c r="C128" s="655">
        <v>1520604</v>
      </c>
      <c r="D128" s="658">
        <v>7495</v>
      </c>
      <c r="E128" s="655" t="s">
        <v>718</v>
      </c>
      <c r="F128" s="546">
        <v>2017</v>
      </c>
      <c r="G128" s="659">
        <v>42964</v>
      </c>
      <c r="H128" s="655" t="s">
        <v>5131</v>
      </c>
      <c r="I128" s="655" t="s">
        <v>5747</v>
      </c>
      <c r="J128" s="712"/>
      <c r="K128" s="655" t="s">
        <v>5846</v>
      </c>
      <c r="L128" s="655" t="s">
        <v>5996</v>
      </c>
      <c r="M128" s="660">
        <v>296880.13</v>
      </c>
      <c r="N128" s="660">
        <v>14844.01</v>
      </c>
      <c r="O128" s="660">
        <v>49875.86</v>
      </c>
      <c r="P128" s="660">
        <v>361600</v>
      </c>
      <c r="Q128" s="548"/>
      <c r="R128" s="660">
        <v>262450.93</v>
      </c>
      <c r="S128" s="549">
        <f t="shared" si="45"/>
        <v>99149.07</v>
      </c>
      <c r="T128" s="444" t="s">
        <v>1268</v>
      </c>
      <c r="U128" s="267"/>
      <c r="V128" s="93"/>
      <c r="W128" s="267"/>
      <c r="X128" s="267"/>
      <c r="Y128" s="93"/>
      <c r="Z128" s="618"/>
      <c r="AA128" s="424"/>
      <c r="AB128" s="715"/>
      <c r="AC128" s="424"/>
      <c r="AD128" s="425"/>
      <c r="AE128" s="424"/>
      <c r="AF128" s="424"/>
      <c r="AG128" s="396"/>
      <c r="AH128" s="361"/>
      <c r="AI128" s="313"/>
      <c r="AJ128" s="374"/>
      <c r="AK128" s="374"/>
      <c r="AL128" s="374"/>
      <c r="AM128" s="374"/>
      <c r="AN128" s="296"/>
      <c r="AO128" s="296"/>
      <c r="AP128" s="296"/>
      <c r="AQ128" s="296"/>
      <c r="AR128" s="296"/>
      <c r="AS128" s="296"/>
      <c r="AT128" s="296"/>
      <c r="AU128" s="296"/>
    </row>
    <row r="129" spans="1:47" s="291" customFormat="1" x14ac:dyDescent="0.2">
      <c r="A129" s="423">
        <f t="shared" si="55"/>
        <v>124</v>
      </c>
      <c r="B129" s="721" t="s">
        <v>5568</v>
      </c>
      <c r="C129" s="655">
        <v>1520604</v>
      </c>
      <c r="D129" s="658">
        <v>7495</v>
      </c>
      <c r="E129" s="655" t="s">
        <v>718</v>
      </c>
      <c r="F129" s="546">
        <v>2017</v>
      </c>
      <c r="G129" s="659">
        <v>42969</v>
      </c>
      <c r="H129" s="655" t="s">
        <v>5131</v>
      </c>
      <c r="I129" s="655" t="s">
        <v>5747</v>
      </c>
      <c r="J129" s="712"/>
      <c r="K129" s="655" t="s">
        <v>5846</v>
      </c>
      <c r="L129" s="655" t="s">
        <v>5996</v>
      </c>
      <c r="M129" s="660">
        <v>-296880.13</v>
      </c>
      <c r="N129" s="660">
        <v>-14844.01</v>
      </c>
      <c r="O129" s="660">
        <v>-49875.86</v>
      </c>
      <c r="P129" s="660">
        <v>-361600</v>
      </c>
      <c r="Q129" s="548"/>
      <c r="R129" s="660">
        <v>-262450.93</v>
      </c>
      <c r="S129" s="549">
        <f t="shared" si="45"/>
        <v>-99149.07</v>
      </c>
      <c r="T129" s="113" t="s">
        <v>1268</v>
      </c>
      <c r="U129" s="267"/>
      <c r="V129" s="93"/>
      <c r="W129" s="267"/>
      <c r="X129" s="267"/>
      <c r="Y129" s="93"/>
      <c r="Z129" s="618"/>
      <c r="AA129" s="424"/>
      <c r="AB129" s="715"/>
      <c r="AC129" s="424"/>
      <c r="AD129" s="425"/>
      <c r="AE129" s="424"/>
      <c r="AF129" s="424"/>
      <c r="AG129" s="396"/>
      <c r="AH129" s="361"/>
      <c r="AI129" s="313"/>
      <c r="AJ129" s="374"/>
      <c r="AK129" s="374"/>
      <c r="AL129" s="374"/>
      <c r="AM129" s="374"/>
      <c r="AN129" s="296"/>
      <c r="AO129" s="296"/>
      <c r="AP129" s="296"/>
      <c r="AQ129" s="296"/>
      <c r="AR129" s="296"/>
      <c r="AS129" s="296"/>
      <c r="AT129" s="296"/>
      <c r="AU129" s="296"/>
    </row>
    <row r="130" spans="1:47" s="291" customFormat="1" x14ac:dyDescent="0.2">
      <c r="A130" s="423">
        <f t="shared" si="55"/>
        <v>125</v>
      </c>
      <c r="B130" s="721" t="s">
        <v>5423</v>
      </c>
      <c r="C130" s="655">
        <v>521707</v>
      </c>
      <c r="D130" s="658">
        <v>2006</v>
      </c>
      <c r="E130" s="655" t="s">
        <v>702</v>
      </c>
      <c r="F130" s="546">
        <v>2017</v>
      </c>
      <c r="G130" s="659">
        <v>42975</v>
      </c>
      <c r="H130" s="655" t="s">
        <v>2215</v>
      </c>
      <c r="I130" s="655" t="s">
        <v>4818</v>
      </c>
      <c r="J130" s="712"/>
      <c r="K130" s="655" t="s">
        <v>5160</v>
      </c>
      <c r="L130" s="655" t="s">
        <v>5343</v>
      </c>
      <c r="M130" s="660">
        <v>-201982.76</v>
      </c>
      <c r="N130" s="660">
        <v>0</v>
      </c>
      <c r="O130" s="660">
        <v>-32317.24</v>
      </c>
      <c r="P130" s="660">
        <v>-234300</v>
      </c>
      <c r="Q130" s="548"/>
      <c r="R130" s="660">
        <v>-183052.26</v>
      </c>
      <c r="S130" s="549">
        <f t="shared" si="45"/>
        <v>-51247.739999999991</v>
      </c>
      <c r="T130" s="113" t="s">
        <v>1268</v>
      </c>
      <c r="U130" s="267"/>
      <c r="V130" s="93"/>
      <c r="W130" s="267"/>
      <c r="X130" s="267"/>
      <c r="Y130" s="93"/>
      <c r="Z130" s="618"/>
      <c r="AA130" s="424"/>
      <c r="AB130" s="715"/>
      <c r="AC130" s="424"/>
      <c r="AD130" s="425"/>
      <c r="AE130" s="424"/>
      <c r="AF130" s="424"/>
      <c r="AG130" s="396"/>
      <c r="AH130" s="361"/>
      <c r="AI130" s="313"/>
      <c r="AJ130" s="374"/>
      <c r="AK130" s="374"/>
      <c r="AL130" s="374"/>
      <c r="AM130" s="374"/>
      <c r="AN130" s="296"/>
      <c r="AO130" s="296"/>
      <c r="AP130" s="296"/>
      <c r="AQ130" s="296"/>
      <c r="AR130" s="296"/>
      <c r="AS130" s="296"/>
      <c r="AT130" s="296"/>
      <c r="AU130" s="296"/>
    </row>
    <row r="131" spans="1:47" s="291" customFormat="1" x14ac:dyDescent="0.2">
      <c r="A131" s="423">
        <f t="shared" si="55"/>
        <v>126</v>
      </c>
      <c r="B131" s="721" t="s">
        <v>5424</v>
      </c>
      <c r="C131" s="655">
        <v>521707</v>
      </c>
      <c r="D131" s="658">
        <v>2006</v>
      </c>
      <c r="E131" s="655" t="s">
        <v>702</v>
      </c>
      <c r="F131" s="546">
        <v>2017</v>
      </c>
      <c r="G131" s="659">
        <v>42975</v>
      </c>
      <c r="H131" s="655" t="s">
        <v>2215</v>
      </c>
      <c r="I131" s="655" t="s">
        <v>4818</v>
      </c>
      <c r="J131" s="712"/>
      <c r="K131" s="655" t="s">
        <v>5160</v>
      </c>
      <c r="L131" s="655" t="s">
        <v>5343</v>
      </c>
      <c r="M131" s="660">
        <v>201982.76</v>
      </c>
      <c r="N131" s="660">
        <v>0</v>
      </c>
      <c r="O131" s="660">
        <v>32317.24</v>
      </c>
      <c r="P131" s="660">
        <v>234300</v>
      </c>
      <c r="Q131" s="548"/>
      <c r="R131" s="660">
        <v>183052.26</v>
      </c>
      <c r="S131" s="549">
        <f t="shared" si="45"/>
        <v>51247.739999999991</v>
      </c>
      <c r="T131" s="267" t="s">
        <v>1268</v>
      </c>
      <c r="U131" s="267"/>
      <c r="V131" s="93"/>
      <c r="W131" s="267"/>
      <c r="X131" s="267"/>
      <c r="Y131" s="93"/>
      <c r="Z131" s="618"/>
      <c r="AA131" s="424"/>
      <c r="AB131" s="715"/>
      <c r="AC131" s="424"/>
      <c r="AD131" s="425"/>
      <c r="AE131" s="424"/>
      <c r="AF131" s="424"/>
      <c r="AG131" s="396"/>
      <c r="AH131" s="361"/>
      <c r="AI131" s="313"/>
      <c r="AJ131" s="374"/>
      <c r="AK131" s="374"/>
      <c r="AL131" s="374"/>
      <c r="AM131" s="374"/>
      <c r="AN131" s="296"/>
      <c r="AO131" s="296"/>
      <c r="AP131" s="296"/>
      <c r="AQ131" s="296"/>
      <c r="AR131" s="296"/>
      <c r="AS131" s="296"/>
      <c r="AT131" s="296"/>
      <c r="AU131" s="296"/>
    </row>
    <row r="132" spans="1:47" s="291" customFormat="1" x14ac:dyDescent="0.2">
      <c r="A132" s="423">
        <f t="shared" si="55"/>
        <v>127</v>
      </c>
      <c r="B132" s="721" t="s">
        <v>5432</v>
      </c>
      <c r="C132" s="655">
        <v>521801</v>
      </c>
      <c r="D132" s="658">
        <v>2201</v>
      </c>
      <c r="E132" s="655" t="s">
        <v>704</v>
      </c>
      <c r="F132" s="546">
        <v>2017</v>
      </c>
      <c r="G132" s="659">
        <v>42948</v>
      </c>
      <c r="H132" s="655" t="s">
        <v>2216</v>
      </c>
      <c r="I132" s="655" t="s">
        <v>5673</v>
      </c>
      <c r="J132" s="712"/>
      <c r="K132" s="655" t="s">
        <v>5812</v>
      </c>
      <c r="L132" s="655" t="s">
        <v>5922</v>
      </c>
      <c r="M132" s="660">
        <v>202844.83</v>
      </c>
      <c r="N132" s="660">
        <v>0</v>
      </c>
      <c r="O132" s="660">
        <v>32455.17</v>
      </c>
      <c r="P132" s="660">
        <v>235300</v>
      </c>
      <c r="Q132" s="548"/>
      <c r="R132" s="660">
        <v>183632.36</v>
      </c>
      <c r="S132" s="549">
        <f t="shared" si="45"/>
        <v>51667.640000000014</v>
      </c>
      <c r="T132" s="113" t="s">
        <v>1268</v>
      </c>
      <c r="U132" s="267"/>
      <c r="V132" s="93"/>
      <c r="W132" s="267"/>
      <c r="X132" s="267"/>
      <c r="Y132" s="93"/>
      <c r="Z132" s="618"/>
      <c r="AA132" s="424"/>
      <c r="AB132" s="715"/>
      <c r="AC132" s="424"/>
      <c r="AD132" s="425"/>
      <c r="AE132" s="424"/>
      <c r="AF132" s="424"/>
      <c r="AG132" s="396"/>
      <c r="AH132" s="361"/>
      <c r="AI132" s="313"/>
      <c r="AJ132" s="374"/>
      <c r="AK132" s="374"/>
      <c r="AL132" s="374"/>
      <c r="AM132" s="374"/>
      <c r="AN132" s="296"/>
      <c r="AO132" s="296"/>
      <c r="AP132" s="296"/>
      <c r="AQ132" s="296"/>
      <c r="AR132" s="296"/>
      <c r="AS132" s="296"/>
      <c r="AT132" s="296"/>
      <c r="AU132" s="296"/>
    </row>
    <row r="133" spans="1:47" s="291" customFormat="1" x14ac:dyDescent="0.2">
      <c r="A133" s="423">
        <f t="shared" si="55"/>
        <v>128</v>
      </c>
      <c r="B133" s="721" t="s">
        <v>5433</v>
      </c>
      <c r="C133" s="655">
        <v>521801</v>
      </c>
      <c r="D133" s="658">
        <v>2201</v>
      </c>
      <c r="E133" s="655" t="s">
        <v>704</v>
      </c>
      <c r="F133" s="546">
        <v>2017</v>
      </c>
      <c r="G133" s="659">
        <v>42949</v>
      </c>
      <c r="H133" s="655" t="s">
        <v>2216</v>
      </c>
      <c r="I133" s="655" t="s">
        <v>5673</v>
      </c>
      <c r="J133" s="712"/>
      <c r="K133" s="655" t="s">
        <v>5812</v>
      </c>
      <c r="L133" s="655" t="s">
        <v>5922</v>
      </c>
      <c r="M133" s="660">
        <v>-202844.83</v>
      </c>
      <c r="N133" s="660">
        <v>0</v>
      </c>
      <c r="O133" s="660">
        <v>-32455.17</v>
      </c>
      <c r="P133" s="660">
        <v>-235300</v>
      </c>
      <c r="Q133" s="548"/>
      <c r="R133" s="660">
        <v>-183632.36</v>
      </c>
      <c r="S133" s="549">
        <f t="shared" si="45"/>
        <v>-51667.640000000014</v>
      </c>
      <c r="T133" s="267" t="s">
        <v>1268</v>
      </c>
      <c r="U133" s="267"/>
      <c r="V133" s="93"/>
      <c r="W133" s="267"/>
      <c r="X133" s="267"/>
      <c r="Y133" s="93"/>
      <c r="Z133" s="618"/>
      <c r="AA133" s="424"/>
      <c r="AB133" s="715"/>
      <c r="AC133" s="424"/>
      <c r="AD133" s="425"/>
      <c r="AE133" s="424"/>
      <c r="AF133" s="424"/>
      <c r="AG133" s="396"/>
      <c r="AH133" s="361"/>
      <c r="AI133" s="313"/>
      <c r="AJ133" s="374"/>
      <c r="AK133" s="374"/>
      <c r="AL133" s="374"/>
      <c r="AM133" s="374"/>
      <c r="AN133" s="296"/>
      <c r="AO133" s="296"/>
      <c r="AP133" s="296"/>
      <c r="AQ133" s="296"/>
      <c r="AR133" s="296"/>
      <c r="AS133" s="296"/>
      <c r="AT133" s="296"/>
      <c r="AU133" s="296"/>
    </row>
    <row r="134" spans="1:47" s="291" customFormat="1" x14ac:dyDescent="0.2">
      <c r="A134" s="423">
        <f t="shared" si="55"/>
        <v>129</v>
      </c>
      <c r="B134" s="721" t="s">
        <v>5435</v>
      </c>
      <c r="C134" s="655">
        <v>521801</v>
      </c>
      <c r="D134" s="658">
        <v>2201</v>
      </c>
      <c r="E134" s="655" t="s">
        <v>704</v>
      </c>
      <c r="F134" s="546">
        <v>2017</v>
      </c>
      <c r="G134" s="659">
        <v>42950</v>
      </c>
      <c r="H134" s="655" t="s">
        <v>727</v>
      </c>
      <c r="I134" s="655" t="s">
        <v>5674</v>
      </c>
      <c r="J134" s="712"/>
      <c r="K134" s="655" t="s">
        <v>5782</v>
      </c>
      <c r="L134" s="655" t="s">
        <v>5923</v>
      </c>
      <c r="M134" s="660">
        <v>197672.41</v>
      </c>
      <c r="N134" s="660">
        <v>0</v>
      </c>
      <c r="O134" s="660">
        <v>31627.59</v>
      </c>
      <c r="P134" s="660">
        <v>229300</v>
      </c>
      <c r="Q134" s="548"/>
      <c r="R134" s="660">
        <v>183633.22</v>
      </c>
      <c r="S134" s="549">
        <f t="shared" ref="S134:S197" si="67">+P134-R134</f>
        <v>45666.78</v>
      </c>
      <c r="T134" s="113" t="s">
        <v>1268</v>
      </c>
      <c r="U134" s="267"/>
      <c r="V134" s="93"/>
      <c r="W134" s="267"/>
      <c r="X134" s="267"/>
      <c r="Y134" s="93"/>
      <c r="Z134" s="618"/>
      <c r="AA134" s="424"/>
      <c r="AB134" s="715"/>
      <c r="AC134" s="424"/>
      <c r="AD134" s="425"/>
      <c r="AE134" s="424"/>
      <c r="AF134" s="424"/>
      <c r="AG134" s="396"/>
      <c r="AH134" s="361"/>
      <c r="AI134" s="313"/>
      <c r="AJ134" s="374"/>
      <c r="AK134" s="374"/>
      <c r="AL134" s="374"/>
      <c r="AM134" s="374"/>
      <c r="AN134" s="296"/>
      <c r="AO134" s="296"/>
      <c r="AP134" s="296"/>
      <c r="AQ134" s="296"/>
      <c r="AR134" s="296"/>
      <c r="AS134" s="296"/>
      <c r="AT134" s="296"/>
      <c r="AU134" s="296"/>
    </row>
    <row r="135" spans="1:47" s="291" customFormat="1" x14ac:dyDescent="0.2">
      <c r="A135" s="423">
        <f t="shared" si="55"/>
        <v>130</v>
      </c>
      <c r="B135" s="721" t="s">
        <v>5436</v>
      </c>
      <c r="C135" s="655">
        <v>521801</v>
      </c>
      <c r="D135" s="658">
        <v>2201</v>
      </c>
      <c r="E135" s="655" t="s">
        <v>704</v>
      </c>
      <c r="F135" s="546">
        <v>2017</v>
      </c>
      <c r="G135" s="659">
        <v>42954</v>
      </c>
      <c r="H135" s="655" t="s">
        <v>727</v>
      </c>
      <c r="I135" s="655" t="s">
        <v>5674</v>
      </c>
      <c r="J135" s="712"/>
      <c r="K135" s="655" t="s">
        <v>5782</v>
      </c>
      <c r="L135" s="655" t="s">
        <v>5923</v>
      </c>
      <c r="M135" s="660">
        <v>-197672.41</v>
      </c>
      <c r="N135" s="660">
        <v>0</v>
      </c>
      <c r="O135" s="660">
        <v>-31627.59</v>
      </c>
      <c r="P135" s="660">
        <v>-229300</v>
      </c>
      <c r="Q135" s="548"/>
      <c r="R135" s="660">
        <v>-183633.22</v>
      </c>
      <c r="S135" s="549">
        <f t="shared" si="67"/>
        <v>-45666.78</v>
      </c>
      <c r="T135" s="113" t="s">
        <v>1268</v>
      </c>
      <c r="U135" s="267"/>
      <c r="V135" s="93"/>
      <c r="W135" s="267"/>
      <c r="X135" s="267"/>
      <c r="Y135" s="93"/>
      <c r="Z135" s="618"/>
      <c r="AA135" s="424"/>
      <c r="AB135" s="715"/>
      <c r="AC135" s="424"/>
      <c r="AD135" s="425"/>
      <c r="AE135" s="424"/>
      <c r="AF135" s="424"/>
      <c r="AG135" s="396"/>
      <c r="AH135" s="361"/>
      <c r="AI135" s="313"/>
      <c r="AJ135" s="374"/>
      <c r="AK135" s="374"/>
      <c r="AL135" s="374"/>
      <c r="AM135" s="374"/>
      <c r="AN135" s="296"/>
      <c r="AO135" s="296"/>
      <c r="AP135" s="296"/>
      <c r="AQ135" s="296"/>
      <c r="AR135" s="296"/>
      <c r="AS135" s="296"/>
      <c r="AT135" s="296"/>
      <c r="AU135" s="296"/>
    </row>
    <row r="136" spans="1:47" s="291" customFormat="1" x14ac:dyDescent="0.2">
      <c r="A136" s="423">
        <f t="shared" ref="A136:A199" si="68">+A135+1</f>
        <v>131</v>
      </c>
      <c r="B136" s="721" t="s">
        <v>5462</v>
      </c>
      <c r="C136" s="655">
        <v>521802</v>
      </c>
      <c r="D136" s="658">
        <v>2202</v>
      </c>
      <c r="E136" s="655" t="s">
        <v>703</v>
      </c>
      <c r="F136" s="546">
        <v>2017</v>
      </c>
      <c r="G136" s="659">
        <v>42963</v>
      </c>
      <c r="H136" s="655" t="s">
        <v>817</v>
      </c>
      <c r="I136" s="655" t="s">
        <v>5689</v>
      </c>
      <c r="J136" s="712"/>
      <c r="K136" s="655" t="s">
        <v>5815</v>
      </c>
      <c r="L136" s="655" t="s">
        <v>5938</v>
      </c>
      <c r="M136" s="660">
        <v>202155.17</v>
      </c>
      <c r="N136" s="660">
        <v>0</v>
      </c>
      <c r="O136" s="660">
        <v>32344.83</v>
      </c>
      <c r="P136" s="660">
        <v>234500</v>
      </c>
      <c r="Q136" s="548"/>
      <c r="R136" s="660">
        <v>183212.98</v>
      </c>
      <c r="S136" s="549">
        <f t="shared" si="67"/>
        <v>51287.01999999999</v>
      </c>
      <c r="T136" s="267" t="s">
        <v>1268</v>
      </c>
      <c r="U136" s="267"/>
      <c r="V136" s="93"/>
      <c r="W136" s="267"/>
      <c r="X136" s="267"/>
      <c r="Y136" s="93"/>
      <c r="Z136" s="618"/>
      <c r="AA136" s="424"/>
      <c r="AB136" s="715"/>
      <c r="AC136" s="424"/>
      <c r="AD136" s="425"/>
      <c r="AE136" s="424"/>
      <c r="AF136" s="424"/>
      <c r="AG136" s="396"/>
      <c r="AH136" s="361"/>
      <c r="AI136" s="313"/>
      <c r="AJ136" s="374"/>
      <c r="AK136" s="374"/>
      <c r="AL136" s="374"/>
      <c r="AM136" s="374"/>
      <c r="AN136" s="296"/>
      <c r="AO136" s="296"/>
      <c r="AP136" s="296"/>
      <c r="AQ136" s="296"/>
      <c r="AR136" s="296"/>
      <c r="AS136" s="296"/>
      <c r="AT136" s="296"/>
      <c r="AU136" s="296"/>
    </row>
    <row r="137" spans="1:47" s="291" customFormat="1" x14ac:dyDescent="0.2">
      <c r="A137" s="423">
        <f t="shared" si="68"/>
        <v>132</v>
      </c>
      <c r="B137" s="721" t="s">
        <v>5463</v>
      </c>
      <c r="C137" s="655">
        <v>521802</v>
      </c>
      <c r="D137" s="658">
        <v>2202</v>
      </c>
      <c r="E137" s="655" t="s">
        <v>703</v>
      </c>
      <c r="F137" s="546">
        <v>2017</v>
      </c>
      <c r="G137" s="659">
        <v>42971</v>
      </c>
      <c r="H137" s="655" t="s">
        <v>817</v>
      </c>
      <c r="I137" s="655" t="s">
        <v>5689</v>
      </c>
      <c r="J137" s="712"/>
      <c r="K137" s="655" t="s">
        <v>5815</v>
      </c>
      <c r="L137" s="655" t="s">
        <v>5938</v>
      </c>
      <c r="M137" s="660">
        <v>-202155.17</v>
      </c>
      <c r="N137" s="660">
        <v>0</v>
      </c>
      <c r="O137" s="660">
        <v>-32344.83</v>
      </c>
      <c r="P137" s="660">
        <v>-234500</v>
      </c>
      <c r="Q137" s="548"/>
      <c r="R137" s="660">
        <v>-183212.98</v>
      </c>
      <c r="S137" s="549">
        <f t="shared" si="67"/>
        <v>-51287.01999999999</v>
      </c>
      <c r="T137" s="113" t="s">
        <v>1268</v>
      </c>
      <c r="U137" s="267"/>
      <c r="V137" s="93"/>
      <c r="W137" s="267"/>
      <c r="X137" s="267"/>
      <c r="Y137" s="93"/>
      <c r="Z137" s="618"/>
      <c r="AA137" s="424"/>
      <c r="AB137" s="715"/>
      <c r="AC137" s="424"/>
      <c r="AD137" s="425"/>
      <c r="AE137" s="424"/>
      <c r="AF137" s="424"/>
      <c r="AG137" s="396"/>
      <c r="AH137" s="361"/>
      <c r="AI137" s="313"/>
      <c r="AJ137" s="374"/>
      <c r="AK137" s="374"/>
      <c r="AL137" s="374"/>
      <c r="AM137" s="374"/>
      <c r="AN137" s="296"/>
      <c r="AO137" s="296"/>
      <c r="AP137" s="296"/>
      <c r="AQ137" s="296"/>
      <c r="AR137" s="296"/>
      <c r="AS137" s="296"/>
      <c r="AT137" s="296"/>
      <c r="AU137" s="296"/>
    </row>
    <row r="138" spans="1:47" s="291" customFormat="1" x14ac:dyDescent="0.2">
      <c r="A138" s="423">
        <f t="shared" si="68"/>
        <v>133</v>
      </c>
      <c r="B138" s="721" t="s">
        <v>5453</v>
      </c>
      <c r="C138" s="655">
        <v>521802</v>
      </c>
      <c r="D138" s="658">
        <v>2202</v>
      </c>
      <c r="E138" s="655" t="s">
        <v>703</v>
      </c>
      <c r="F138" s="546">
        <v>2017</v>
      </c>
      <c r="G138" s="659">
        <v>42948</v>
      </c>
      <c r="H138" s="655" t="s">
        <v>2954</v>
      </c>
      <c r="I138" s="655" t="s">
        <v>5684</v>
      </c>
      <c r="J138" s="712"/>
      <c r="K138" s="655" t="s">
        <v>5166</v>
      </c>
      <c r="L138" s="655" t="s">
        <v>5933</v>
      </c>
      <c r="M138" s="660">
        <v>-207327.59</v>
      </c>
      <c r="N138" s="660">
        <v>0</v>
      </c>
      <c r="O138" s="660">
        <v>-33172.410000000003</v>
      </c>
      <c r="P138" s="660">
        <v>-240500</v>
      </c>
      <c r="Q138" s="548"/>
      <c r="R138" s="660">
        <v>-183212.98</v>
      </c>
      <c r="S138" s="549">
        <f t="shared" si="67"/>
        <v>-57287.01999999999</v>
      </c>
      <c r="T138" s="113" t="s">
        <v>1268</v>
      </c>
      <c r="U138" s="267"/>
      <c r="V138" s="93"/>
      <c r="W138" s="267"/>
      <c r="X138" s="267"/>
      <c r="Y138" s="93"/>
      <c r="Z138" s="618"/>
      <c r="AA138" s="424"/>
      <c r="AB138" s="715"/>
      <c r="AC138" s="424"/>
      <c r="AD138" s="425"/>
      <c r="AE138" s="424"/>
      <c r="AF138" s="424"/>
      <c r="AG138" s="396"/>
      <c r="AH138" s="361"/>
      <c r="AI138" s="313"/>
      <c r="AJ138" s="374"/>
      <c r="AK138" s="374"/>
      <c r="AL138" s="374"/>
      <c r="AM138" s="374"/>
      <c r="AN138" s="296"/>
      <c r="AO138" s="296"/>
      <c r="AP138" s="296"/>
      <c r="AQ138" s="296"/>
      <c r="AR138" s="296"/>
      <c r="AS138" s="296"/>
      <c r="AT138" s="296"/>
      <c r="AU138" s="296"/>
    </row>
    <row r="139" spans="1:47" s="291" customFormat="1" x14ac:dyDescent="0.2">
      <c r="A139" s="423">
        <f t="shared" si="68"/>
        <v>134</v>
      </c>
      <c r="B139" s="721" t="s">
        <v>5454</v>
      </c>
      <c r="C139" s="655">
        <v>521802</v>
      </c>
      <c r="D139" s="658">
        <v>2202</v>
      </c>
      <c r="E139" s="655" t="s">
        <v>703</v>
      </c>
      <c r="F139" s="546">
        <v>2017</v>
      </c>
      <c r="G139" s="659">
        <v>42948</v>
      </c>
      <c r="H139" s="655" t="s">
        <v>2954</v>
      </c>
      <c r="I139" s="655" t="s">
        <v>5684</v>
      </c>
      <c r="J139" s="712"/>
      <c r="K139" s="655" t="s">
        <v>5166</v>
      </c>
      <c r="L139" s="655" t="s">
        <v>5933</v>
      </c>
      <c r="M139" s="660">
        <v>207327.59</v>
      </c>
      <c r="N139" s="660">
        <v>0</v>
      </c>
      <c r="O139" s="660">
        <v>33172.410000000003</v>
      </c>
      <c r="P139" s="660">
        <v>240500</v>
      </c>
      <c r="Q139" s="548"/>
      <c r="R139" s="660">
        <v>183212.98</v>
      </c>
      <c r="S139" s="549">
        <f t="shared" si="67"/>
        <v>57287.01999999999</v>
      </c>
      <c r="T139" s="267" t="s">
        <v>1268</v>
      </c>
      <c r="U139" s="267"/>
      <c r="V139" s="93"/>
      <c r="W139" s="267"/>
      <c r="X139" s="267"/>
      <c r="Y139" s="93"/>
      <c r="Z139" s="618"/>
      <c r="AA139" s="424"/>
      <c r="AB139" s="715"/>
      <c r="AC139" s="424"/>
      <c r="AD139" s="425"/>
      <c r="AE139" s="424"/>
      <c r="AF139" s="424"/>
      <c r="AG139" s="396"/>
      <c r="AH139" s="361"/>
      <c r="AI139" s="313"/>
      <c r="AJ139" s="374"/>
      <c r="AK139" s="374"/>
      <c r="AL139" s="374"/>
      <c r="AM139" s="374"/>
      <c r="AN139" s="296"/>
      <c r="AO139" s="296"/>
      <c r="AP139" s="296"/>
      <c r="AQ139" s="296"/>
      <c r="AR139" s="296"/>
      <c r="AS139" s="296"/>
      <c r="AT139" s="296"/>
      <c r="AU139" s="296"/>
    </row>
    <row r="140" spans="1:47" s="291" customFormat="1" x14ac:dyDescent="0.2">
      <c r="A140" s="423">
        <f t="shared" si="68"/>
        <v>135</v>
      </c>
      <c r="B140" s="721" t="s">
        <v>5455</v>
      </c>
      <c r="C140" s="655">
        <v>521802</v>
      </c>
      <c r="D140" s="658">
        <v>2202</v>
      </c>
      <c r="E140" s="655" t="s">
        <v>703</v>
      </c>
      <c r="F140" s="546">
        <v>2017</v>
      </c>
      <c r="G140" s="659">
        <v>42948</v>
      </c>
      <c r="H140" s="655" t="s">
        <v>2954</v>
      </c>
      <c r="I140" s="655" t="s">
        <v>5684</v>
      </c>
      <c r="J140" s="712"/>
      <c r="K140" s="655" t="s">
        <v>5166</v>
      </c>
      <c r="L140" s="655" t="s">
        <v>5933</v>
      </c>
      <c r="M140" s="660">
        <v>202155.17</v>
      </c>
      <c r="N140" s="660">
        <v>0</v>
      </c>
      <c r="O140" s="660">
        <v>32344.83</v>
      </c>
      <c r="P140" s="660">
        <v>234500</v>
      </c>
      <c r="Q140" s="548"/>
      <c r="R140" s="660">
        <v>183212.98</v>
      </c>
      <c r="S140" s="549">
        <f t="shared" si="67"/>
        <v>51287.01999999999</v>
      </c>
      <c r="T140" s="267" t="s">
        <v>1268</v>
      </c>
      <c r="U140" s="267"/>
      <c r="V140" s="93"/>
      <c r="W140" s="267"/>
      <c r="X140" s="267"/>
      <c r="Y140" s="93"/>
      <c r="Z140" s="618"/>
      <c r="AA140" s="424"/>
      <c r="AB140" s="715"/>
      <c r="AC140" s="424"/>
      <c r="AD140" s="425"/>
      <c r="AE140" s="424"/>
      <c r="AF140" s="424"/>
      <c r="AG140" s="396"/>
      <c r="AH140" s="361"/>
      <c r="AI140" s="313"/>
      <c r="AJ140" s="374"/>
      <c r="AK140" s="374"/>
      <c r="AL140" s="374"/>
      <c r="AM140" s="374"/>
      <c r="AN140" s="296"/>
      <c r="AO140" s="296"/>
      <c r="AP140" s="296"/>
      <c r="AQ140" s="296"/>
      <c r="AR140" s="296"/>
      <c r="AS140" s="296"/>
      <c r="AT140" s="296"/>
      <c r="AU140" s="296"/>
    </row>
    <row r="141" spans="1:47" s="291" customFormat="1" x14ac:dyDescent="0.2">
      <c r="A141" s="423">
        <f t="shared" si="68"/>
        <v>136</v>
      </c>
      <c r="B141" s="721" t="s">
        <v>5456</v>
      </c>
      <c r="C141" s="655">
        <v>521802</v>
      </c>
      <c r="D141" s="658">
        <v>2202</v>
      </c>
      <c r="E141" s="655" t="s">
        <v>703</v>
      </c>
      <c r="F141" s="546">
        <v>2017</v>
      </c>
      <c r="G141" s="659">
        <v>42949</v>
      </c>
      <c r="H141" s="655" t="s">
        <v>2954</v>
      </c>
      <c r="I141" s="655" t="s">
        <v>5684</v>
      </c>
      <c r="J141" s="712"/>
      <c r="K141" s="655" t="s">
        <v>5166</v>
      </c>
      <c r="L141" s="655" t="s">
        <v>5933</v>
      </c>
      <c r="M141" s="660">
        <v>-202155.17</v>
      </c>
      <c r="N141" s="660">
        <v>0</v>
      </c>
      <c r="O141" s="660">
        <v>-32344.83</v>
      </c>
      <c r="P141" s="660">
        <v>-234500</v>
      </c>
      <c r="Q141" s="548"/>
      <c r="R141" s="660">
        <v>-183212.98</v>
      </c>
      <c r="S141" s="549">
        <f t="shared" si="67"/>
        <v>-51287.01999999999</v>
      </c>
      <c r="T141" s="267" t="s">
        <v>1268</v>
      </c>
      <c r="U141" s="267"/>
      <c r="V141" s="93"/>
      <c r="W141" s="267"/>
      <c r="X141" s="267"/>
      <c r="Y141" s="93"/>
      <c r="Z141" s="618"/>
      <c r="AA141" s="424"/>
      <c r="AB141" s="715"/>
      <c r="AC141" s="424"/>
      <c r="AD141" s="425"/>
      <c r="AE141" s="424"/>
      <c r="AF141" s="424"/>
      <c r="AG141" s="396"/>
      <c r="AH141" s="361"/>
      <c r="AI141" s="313"/>
      <c r="AJ141" s="374"/>
      <c r="AK141" s="374"/>
      <c r="AL141" s="374"/>
      <c r="AM141" s="374"/>
      <c r="AN141" s="296"/>
      <c r="AO141" s="296"/>
      <c r="AP141" s="296"/>
      <c r="AQ141" s="296"/>
      <c r="AR141" s="296"/>
      <c r="AS141" s="296"/>
      <c r="AT141" s="296"/>
      <c r="AU141" s="296"/>
    </row>
    <row r="142" spans="1:47" s="291" customFormat="1" x14ac:dyDescent="0.2">
      <c r="A142" s="423">
        <f t="shared" si="68"/>
        <v>137</v>
      </c>
      <c r="B142" s="721" t="s">
        <v>5366</v>
      </c>
      <c r="C142" s="655">
        <v>521101</v>
      </c>
      <c r="D142" s="658">
        <v>1251</v>
      </c>
      <c r="E142" s="655" t="s">
        <v>700</v>
      </c>
      <c r="F142" s="546">
        <v>2017</v>
      </c>
      <c r="G142" s="659">
        <v>42977</v>
      </c>
      <c r="H142" s="655" t="s">
        <v>5621</v>
      </c>
      <c r="I142" s="655" t="s">
        <v>5632</v>
      </c>
      <c r="J142" s="712"/>
      <c r="K142" s="655" t="s">
        <v>5784</v>
      </c>
      <c r="L142" s="655" t="s">
        <v>5881</v>
      </c>
      <c r="M142" s="660">
        <v>-321896.55</v>
      </c>
      <c r="N142" s="660">
        <v>0</v>
      </c>
      <c r="O142" s="660">
        <v>-51503.45</v>
      </c>
      <c r="P142" s="660">
        <v>-373400</v>
      </c>
      <c r="Q142" s="548"/>
      <c r="R142" s="660">
        <v>-300037.53000000003</v>
      </c>
      <c r="S142" s="549">
        <f t="shared" si="67"/>
        <v>-73362.469999999972</v>
      </c>
      <c r="T142" s="113" t="s">
        <v>1268</v>
      </c>
      <c r="U142" s="267"/>
      <c r="V142" s="93"/>
      <c r="W142" s="267"/>
      <c r="X142" s="267"/>
      <c r="Y142" s="93"/>
      <c r="Z142" s="618"/>
      <c r="AA142" s="424"/>
      <c r="AB142" s="715"/>
      <c r="AC142" s="424"/>
      <c r="AD142" s="425"/>
      <c r="AE142" s="424"/>
      <c r="AF142" s="424"/>
      <c r="AG142" s="396"/>
      <c r="AH142" s="361"/>
      <c r="AI142" s="313"/>
      <c r="AJ142" s="374"/>
      <c r="AK142" s="374"/>
      <c r="AL142" s="374"/>
      <c r="AM142" s="374"/>
      <c r="AN142" s="296"/>
      <c r="AO142" s="296"/>
      <c r="AP142" s="296"/>
      <c r="AQ142" s="296"/>
      <c r="AR142" s="296"/>
      <c r="AS142" s="296"/>
      <c r="AT142" s="296"/>
      <c r="AU142" s="296"/>
    </row>
    <row r="143" spans="1:47" s="351" customFormat="1" x14ac:dyDescent="0.2">
      <c r="A143" s="423">
        <f t="shared" si="68"/>
        <v>138</v>
      </c>
      <c r="B143" s="721" t="s">
        <v>5367</v>
      </c>
      <c r="C143" s="655">
        <v>521101</v>
      </c>
      <c r="D143" s="658">
        <v>1251</v>
      </c>
      <c r="E143" s="655" t="s">
        <v>700</v>
      </c>
      <c r="F143" s="546">
        <v>2017</v>
      </c>
      <c r="G143" s="659">
        <v>42977</v>
      </c>
      <c r="H143" s="655" t="s">
        <v>5621</v>
      </c>
      <c r="I143" s="655" t="s">
        <v>5632</v>
      </c>
      <c r="J143" s="712"/>
      <c r="K143" s="655" t="s">
        <v>5784</v>
      </c>
      <c r="L143" s="655" t="s">
        <v>5881</v>
      </c>
      <c r="M143" s="660">
        <v>321896.55</v>
      </c>
      <c r="N143" s="660">
        <v>0</v>
      </c>
      <c r="O143" s="660">
        <v>51503.45</v>
      </c>
      <c r="P143" s="660">
        <v>373400</v>
      </c>
      <c r="Q143" s="548"/>
      <c r="R143" s="660">
        <v>300037.53000000003</v>
      </c>
      <c r="S143" s="549">
        <f t="shared" si="67"/>
        <v>73362.469999999972</v>
      </c>
      <c r="T143" s="113" t="s">
        <v>1268</v>
      </c>
      <c r="U143" s="267"/>
      <c r="V143" s="93"/>
      <c r="W143" s="267"/>
      <c r="X143" s="267"/>
      <c r="Y143" s="93"/>
      <c r="Z143" s="618"/>
      <c r="AA143" s="424"/>
      <c r="AB143" s="715"/>
      <c r="AC143" s="424"/>
      <c r="AD143" s="425"/>
      <c r="AE143" s="424"/>
      <c r="AF143" s="424"/>
      <c r="AG143" s="396"/>
      <c r="AH143" s="361"/>
      <c r="AI143" s="313"/>
      <c r="AJ143" s="374"/>
      <c r="AK143" s="331"/>
      <c r="AL143" s="331"/>
      <c r="AM143" s="331"/>
      <c r="AN143" s="352"/>
      <c r="AO143" s="352"/>
      <c r="AP143" s="352"/>
      <c r="AQ143" s="352"/>
      <c r="AR143" s="352"/>
      <c r="AS143" s="352"/>
      <c r="AT143" s="352"/>
      <c r="AU143" s="352"/>
    </row>
    <row r="144" spans="1:47" s="351" customFormat="1" x14ac:dyDescent="0.2">
      <c r="A144" s="423">
        <f t="shared" si="68"/>
        <v>139</v>
      </c>
      <c r="B144" s="721" t="s">
        <v>5370</v>
      </c>
      <c r="C144" s="655">
        <v>521101</v>
      </c>
      <c r="D144" s="658">
        <v>1253</v>
      </c>
      <c r="E144" s="655" t="s">
        <v>30</v>
      </c>
      <c r="F144" s="546">
        <v>2017</v>
      </c>
      <c r="G144" s="659">
        <v>42957</v>
      </c>
      <c r="H144" s="655" t="s">
        <v>739</v>
      </c>
      <c r="I144" s="655" t="s">
        <v>5634</v>
      </c>
      <c r="J144" s="712"/>
      <c r="K144" s="655" t="s">
        <v>5786</v>
      </c>
      <c r="L144" s="655" t="s">
        <v>5883</v>
      </c>
      <c r="M144" s="660">
        <v>377586.21</v>
      </c>
      <c r="N144" s="660">
        <v>0</v>
      </c>
      <c r="O144" s="660">
        <v>60413.79</v>
      </c>
      <c r="P144" s="660">
        <v>438000</v>
      </c>
      <c r="Q144" s="548"/>
      <c r="R144" s="660">
        <v>344834.35</v>
      </c>
      <c r="S144" s="549">
        <f t="shared" si="67"/>
        <v>93165.650000000023</v>
      </c>
      <c r="T144" s="113" t="s">
        <v>1268</v>
      </c>
      <c r="U144" s="267"/>
      <c r="V144" s="93"/>
      <c r="W144" s="267"/>
      <c r="X144" s="267"/>
      <c r="Y144" s="93"/>
      <c r="Z144" s="618"/>
      <c r="AA144" s="424"/>
      <c r="AB144" s="715"/>
      <c r="AC144" s="424"/>
      <c r="AD144" s="425"/>
      <c r="AE144" s="424"/>
      <c r="AF144" s="424"/>
      <c r="AG144" s="396"/>
      <c r="AH144" s="361"/>
      <c r="AI144" s="313"/>
      <c r="AJ144" s="374"/>
      <c r="AK144" s="331"/>
      <c r="AL144" s="331"/>
      <c r="AM144" s="331"/>
      <c r="AN144" s="352"/>
      <c r="AO144" s="352"/>
      <c r="AP144" s="352"/>
      <c r="AQ144" s="352"/>
      <c r="AR144" s="352"/>
      <c r="AS144" s="352"/>
      <c r="AT144" s="352"/>
      <c r="AU144" s="352"/>
    </row>
    <row r="145" spans="1:47" s="291" customFormat="1" x14ac:dyDescent="0.2">
      <c r="A145" s="423">
        <f t="shared" si="68"/>
        <v>140</v>
      </c>
      <c r="B145" s="721" t="s">
        <v>5374</v>
      </c>
      <c r="C145" s="655">
        <v>521101</v>
      </c>
      <c r="D145" s="658">
        <v>1253</v>
      </c>
      <c r="E145" s="655" t="s">
        <v>30</v>
      </c>
      <c r="F145" s="546">
        <v>2017</v>
      </c>
      <c r="G145" s="659">
        <v>42968</v>
      </c>
      <c r="H145" s="655" t="s">
        <v>739</v>
      </c>
      <c r="I145" s="655" t="s">
        <v>5634</v>
      </c>
      <c r="J145" s="712"/>
      <c r="K145" s="655" t="s">
        <v>5786</v>
      </c>
      <c r="L145" s="655" t="s">
        <v>5883</v>
      </c>
      <c r="M145" s="660">
        <v>-377586.21</v>
      </c>
      <c r="N145" s="660">
        <v>0</v>
      </c>
      <c r="O145" s="660">
        <v>-60413.79</v>
      </c>
      <c r="P145" s="660">
        <v>-438000</v>
      </c>
      <c r="Q145" s="548"/>
      <c r="R145" s="660">
        <v>-344834.35</v>
      </c>
      <c r="S145" s="549">
        <f t="shared" si="67"/>
        <v>-93165.650000000023</v>
      </c>
      <c r="T145" s="113" t="s">
        <v>1268</v>
      </c>
      <c r="U145" s="267"/>
      <c r="V145" s="93"/>
      <c r="W145" s="267"/>
      <c r="X145" s="267"/>
      <c r="Y145" s="93"/>
      <c r="Z145" s="618"/>
      <c r="AA145" s="424"/>
      <c r="AB145" s="715"/>
      <c r="AC145" s="424"/>
      <c r="AD145" s="425"/>
      <c r="AE145" s="424"/>
      <c r="AF145" s="424"/>
      <c r="AG145" s="396"/>
      <c r="AH145" s="361"/>
      <c r="AI145" s="313"/>
      <c r="AJ145" s="374"/>
      <c r="AK145" s="374"/>
      <c r="AL145" s="374"/>
      <c r="AM145" s="374"/>
      <c r="AN145" s="296"/>
      <c r="AO145" s="296"/>
      <c r="AP145" s="296"/>
      <c r="AQ145" s="296"/>
      <c r="AR145" s="296"/>
      <c r="AS145" s="296"/>
      <c r="AT145" s="296"/>
      <c r="AU145" s="296"/>
    </row>
    <row r="146" spans="1:47" s="351" customFormat="1" x14ac:dyDescent="0.2">
      <c r="A146" s="423">
        <f t="shared" si="68"/>
        <v>141</v>
      </c>
      <c r="B146" s="721" t="s">
        <v>5429</v>
      </c>
      <c r="C146" s="655">
        <v>520909</v>
      </c>
      <c r="D146" s="658">
        <v>2009</v>
      </c>
      <c r="E146" s="655" t="s">
        <v>698</v>
      </c>
      <c r="F146" s="546">
        <v>2017</v>
      </c>
      <c r="G146" s="659">
        <v>42971</v>
      </c>
      <c r="H146" s="655" t="s">
        <v>2215</v>
      </c>
      <c r="I146" s="655" t="s">
        <v>5672</v>
      </c>
      <c r="J146" s="712"/>
      <c r="K146" s="655" t="s">
        <v>258</v>
      </c>
      <c r="L146" s="655" t="s">
        <v>5921</v>
      </c>
      <c r="M146" s="660">
        <v>222500</v>
      </c>
      <c r="N146" s="660">
        <v>0</v>
      </c>
      <c r="O146" s="660">
        <v>35600</v>
      </c>
      <c r="P146" s="660">
        <v>258100</v>
      </c>
      <c r="Q146" s="548"/>
      <c r="R146" s="660">
        <v>201322.01</v>
      </c>
      <c r="S146" s="549">
        <f t="shared" si="67"/>
        <v>56777.989999999991</v>
      </c>
      <c r="T146" s="113" t="s">
        <v>1268</v>
      </c>
      <c r="U146" s="267"/>
      <c r="V146" s="93"/>
      <c r="W146" s="267"/>
      <c r="X146" s="267"/>
      <c r="Y146" s="93"/>
      <c r="Z146" s="618"/>
      <c r="AA146" s="424"/>
      <c r="AB146" s="715"/>
      <c r="AC146" s="424"/>
      <c r="AD146" s="425"/>
      <c r="AE146" s="424"/>
      <c r="AF146" s="424"/>
      <c r="AG146" s="396"/>
      <c r="AH146" s="361"/>
      <c r="AI146" s="313"/>
      <c r="AJ146" s="374"/>
      <c r="AK146" s="331"/>
      <c r="AL146" s="331"/>
      <c r="AM146" s="331"/>
      <c r="AN146" s="352"/>
      <c r="AO146" s="352"/>
      <c r="AP146" s="352"/>
      <c r="AQ146" s="352"/>
      <c r="AR146" s="352"/>
      <c r="AS146" s="352"/>
      <c r="AT146" s="352"/>
      <c r="AU146" s="352"/>
    </row>
    <row r="147" spans="1:47" s="291" customFormat="1" x14ac:dyDescent="0.2">
      <c r="A147" s="423">
        <f t="shared" si="68"/>
        <v>142</v>
      </c>
      <c r="B147" s="721" t="s">
        <v>5430</v>
      </c>
      <c r="C147" s="655">
        <v>520909</v>
      </c>
      <c r="D147" s="658">
        <v>2009</v>
      </c>
      <c r="E147" s="655" t="s">
        <v>698</v>
      </c>
      <c r="F147" s="546">
        <v>2017</v>
      </c>
      <c r="G147" s="659">
        <v>42972</v>
      </c>
      <c r="H147" s="655" t="s">
        <v>2215</v>
      </c>
      <c r="I147" s="655" t="s">
        <v>5672</v>
      </c>
      <c r="J147" s="712"/>
      <c r="K147" s="655" t="s">
        <v>258</v>
      </c>
      <c r="L147" s="655" t="s">
        <v>5921</v>
      </c>
      <c r="M147" s="660">
        <v>-222500</v>
      </c>
      <c r="N147" s="660">
        <v>0</v>
      </c>
      <c r="O147" s="660">
        <v>-35600</v>
      </c>
      <c r="P147" s="660">
        <v>-258100</v>
      </c>
      <c r="Q147" s="548"/>
      <c r="R147" s="660">
        <v>-201322.01</v>
      </c>
      <c r="S147" s="549">
        <f t="shared" si="67"/>
        <v>-56777.989999999991</v>
      </c>
      <c r="T147" s="444" t="s">
        <v>1268</v>
      </c>
      <c r="U147" s="267"/>
      <c r="V147" s="93"/>
      <c r="W147" s="267"/>
      <c r="X147" s="267"/>
      <c r="Y147" s="93"/>
      <c r="Z147" s="618"/>
      <c r="AA147" s="424"/>
      <c r="AB147" s="715"/>
      <c r="AC147" s="424"/>
      <c r="AD147" s="425"/>
      <c r="AE147" s="424"/>
      <c r="AF147" s="424"/>
      <c r="AG147" s="396"/>
      <c r="AH147" s="361"/>
      <c r="AI147" s="313"/>
      <c r="AJ147" s="374"/>
      <c r="AK147" s="374"/>
      <c r="AL147" s="374"/>
      <c r="AM147" s="374"/>
      <c r="AN147" s="296"/>
      <c r="AO147" s="296"/>
      <c r="AP147" s="296"/>
      <c r="AQ147" s="296"/>
      <c r="AR147" s="296"/>
      <c r="AS147" s="296"/>
      <c r="AT147" s="296"/>
      <c r="AU147" s="296"/>
    </row>
    <row r="148" spans="1:47" s="291" customFormat="1" x14ac:dyDescent="0.2">
      <c r="A148" s="423">
        <f t="shared" si="68"/>
        <v>143</v>
      </c>
      <c r="B148" s="721" t="s">
        <v>5396</v>
      </c>
      <c r="C148" s="655">
        <v>520222</v>
      </c>
      <c r="D148" s="658">
        <v>1797</v>
      </c>
      <c r="E148" s="655" t="s">
        <v>688</v>
      </c>
      <c r="F148" s="546">
        <v>2017</v>
      </c>
      <c r="G148" s="659">
        <v>42966</v>
      </c>
      <c r="H148" s="655" t="s">
        <v>2216</v>
      </c>
      <c r="I148" s="655" t="s">
        <v>5647</v>
      </c>
      <c r="J148" s="712"/>
      <c r="K148" s="655" t="s">
        <v>5793</v>
      </c>
      <c r="L148" s="655" t="s">
        <v>5896</v>
      </c>
      <c r="M148" s="660">
        <v>234721.75</v>
      </c>
      <c r="N148" s="660">
        <v>2347.2199999999998</v>
      </c>
      <c r="O148" s="660">
        <v>37931.03</v>
      </c>
      <c r="P148" s="660">
        <v>275000</v>
      </c>
      <c r="Q148" s="548"/>
      <c r="R148" s="660">
        <v>212392.62</v>
      </c>
      <c r="S148" s="549">
        <f t="shared" si="67"/>
        <v>62607.380000000005</v>
      </c>
      <c r="T148" s="113" t="s">
        <v>1268</v>
      </c>
      <c r="U148" s="267"/>
      <c r="V148" s="93"/>
      <c r="W148" s="267"/>
      <c r="X148" s="267"/>
      <c r="Y148" s="93"/>
      <c r="Z148" s="618"/>
      <c r="AA148" s="424"/>
      <c r="AB148" s="715"/>
      <c r="AC148" s="424"/>
      <c r="AD148" s="425"/>
      <c r="AE148" s="424"/>
      <c r="AF148" s="424"/>
      <c r="AG148" s="396"/>
      <c r="AH148" s="361"/>
      <c r="AI148" s="313"/>
      <c r="AJ148" s="374"/>
      <c r="AK148" s="374"/>
      <c r="AL148" s="374"/>
      <c r="AM148" s="374"/>
      <c r="AN148" s="296"/>
      <c r="AO148" s="296"/>
      <c r="AP148" s="296"/>
      <c r="AQ148" s="296"/>
      <c r="AR148" s="296"/>
      <c r="AS148" s="296"/>
      <c r="AT148" s="296"/>
      <c r="AU148" s="296"/>
    </row>
    <row r="149" spans="1:47" s="351" customFormat="1" x14ac:dyDescent="0.2">
      <c r="A149" s="423">
        <f t="shared" si="68"/>
        <v>144</v>
      </c>
      <c r="B149" s="721" t="s">
        <v>5397</v>
      </c>
      <c r="C149" s="655">
        <v>520222</v>
      </c>
      <c r="D149" s="658">
        <v>1797</v>
      </c>
      <c r="E149" s="655" t="s">
        <v>688</v>
      </c>
      <c r="F149" s="546">
        <v>2017</v>
      </c>
      <c r="G149" s="659">
        <v>42968</v>
      </c>
      <c r="H149" s="655" t="s">
        <v>2216</v>
      </c>
      <c r="I149" s="655" t="s">
        <v>5647</v>
      </c>
      <c r="J149" s="712"/>
      <c r="K149" s="655" t="s">
        <v>5793</v>
      </c>
      <c r="L149" s="655" t="s">
        <v>5896</v>
      </c>
      <c r="M149" s="660">
        <v>-234721.75</v>
      </c>
      <c r="N149" s="660">
        <v>-2347.2199999999998</v>
      </c>
      <c r="O149" s="660">
        <v>-37931.03</v>
      </c>
      <c r="P149" s="660">
        <v>-275000</v>
      </c>
      <c r="Q149" s="548"/>
      <c r="R149" s="660">
        <v>-212392.62</v>
      </c>
      <c r="S149" s="549">
        <f t="shared" si="67"/>
        <v>-62607.380000000005</v>
      </c>
      <c r="T149" s="113" t="s">
        <v>1268</v>
      </c>
      <c r="U149" s="267"/>
      <c r="V149" s="93"/>
      <c r="W149" s="267"/>
      <c r="X149" s="267"/>
      <c r="Y149" s="93"/>
      <c r="Z149" s="618"/>
      <c r="AA149" s="424"/>
      <c r="AB149" s="715"/>
      <c r="AC149" s="424"/>
      <c r="AD149" s="425"/>
      <c r="AE149" s="424"/>
      <c r="AF149" s="424"/>
      <c r="AG149" s="396"/>
      <c r="AH149" s="361"/>
      <c r="AI149" s="313"/>
      <c r="AJ149" s="374"/>
      <c r="AK149" s="331"/>
      <c r="AL149" s="331"/>
      <c r="AM149" s="331"/>
      <c r="AN149" s="352"/>
      <c r="AO149" s="352"/>
      <c r="AP149" s="352"/>
      <c r="AQ149" s="352"/>
      <c r="AR149" s="352"/>
      <c r="AS149" s="352"/>
      <c r="AT149" s="352"/>
      <c r="AU149" s="352"/>
    </row>
    <row r="150" spans="1:47" s="291" customFormat="1" x14ac:dyDescent="0.2">
      <c r="A150" s="423">
        <f t="shared" si="68"/>
        <v>145</v>
      </c>
      <c r="B150" s="721" t="s">
        <v>5492</v>
      </c>
      <c r="C150" s="655">
        <v>520818</v>
      </c>
      <c r="D150" s="658">
        <v>4495</v>
      </c>
      <c r="E150" s="655" t="s">
        <v>1519</v>
      </c>
      <c r="F150" s="546">
        <v>2017</v>
      </c>
      <c r="G150" s="659">
        <v>42950</v>
      </c>
      <c r="H150" s="655" t="s">
        <v>751</v>
      </c>
      <c r="I150" s="655" t="s">
        <v>5709</v>
      </c>
      <c r="J150" s="712"/>
      <c r="K150" s="655" t="s">
        <v>5827</v>
      </c>
      <c r="L150" s="655" t="s">
        <v>5958</v>
      </c>
      <c r="M150" s="660">
        <v>-378362.99</v>
      </c>
      <c r="N150" s="660">
        <v>-17326.669999999998</v>
      </c>
      <c r="O150" s="660">
        <v>-63310.34</v>
      </c>
      <c r="P150" s="660">
        <v>-459000</v>
      </c>
      <c r="Q150" s="548"/>
      <c r="R150" s="660">
        <v>-366742.27</v>
      </c>
      <c r="S150" s="549">
        <f t="shared" si="67"/>
        <v>-92257.729999999981</v>
      </c>
      <c r="T150" s="113" t="s">
        <v>1268</v>
      </c>
      <c r="U150" s="267"/>
      <c r="V150" s="93"/>
      <c r="W150" s="267"/>
      <c r="X150" s="267"/>
      <c r="Y150" s="93"/>
      <c r="Z150" s="618"/>
      <c r="AA150" s="424"/>
      <c r="AB150" s="715"/>
      <c r="AC150" s="424"/>
      <c r="AD150" s="425"/>
      <c r="AE150" s="424"/>
      <c r="AF150" s="424"/>
      <c r="AG150" s="396"/>
      <c r="AH150" s="361"/>
      <c r="AI150" s="313"/>
      <c r="AJ150" s="374"/>
      <c r="AK150" s="374"/>
      <c r="AL150" s="374"/>
      <c r="AM150" s="374"/>
      <c r="AN150" s="296"/>
      <c r="AO150" s="296"/>
      <c r="AP150" s="296"/>
      <c r="AQ150" s="296"/>
      <c r="AR150" s="296"/>
      <c r="AS150" s="296"/>
      <c r="AT150" s="296"/>
      <c r="AU150" s="296"/>
    </row>
    <row r="151" spans="1:47" s="351" customFormat="1" x14ac:dyDescent="0.2">
      <c r="A151" s="423">
        <f t="shared" si="68"/>
        <v>146</v>
      </c>
      <c r="B151" s="721" t="s">
        <v>5493</v>
      </c>
      <c r="C151" s="655">
        <v>520818</v>
      </c>
      <c r="D151" s="658">
        <v>4495</v>
      </c>
      <c r="E151" s="655" t="s">
        <v>1519</v>
      </c>
      <c r="F151" s="546">
        <v>2017</v>
      </c>
      <c r="G151" s="659">
        <v>42950</v>
      </c>
      <c r="H151" s="655" t="s">
        <v>751</v>
      </c>
      <c r="I151" s="655" t="s">
        <v>5709</v>
      </c>
      <c r="J151" s="712"/>
      <c r="K151" s="655" t="s">
        <v>5827</v>
      </c>
      <c r="L151" s="655" t="s">
        <v>5958</v>
      </c>
      <c r="M151" s="660">
        <v>378362.99</v>
      </c>
      <c r="N151" s="660">
        <v>17326.669999999998</v>
      </c>
      <c r="O151" s="660">
        <v>63310.34</v>
      </c>
      <c r="P151" s="660">
        <v>459000</v>
      </c>
      <c r="Q151" s="548"/>
      <c r="R151" s="660">
        <v>366742.27</v>
      </c>
      <c r="S151" s="549">
        <f t="shared" si="67"/>
        <v>92257.729999999981</v>
      </c>
      <c r="T151" s="267" t="s">
        <v>1268</v>
      </c>
      <c r="U151" s="267"/>
      <c r="V151" s="93"/>
      <c r="W151" s="267"/>
      <c r="X151" s="267"/>
      <c r="Y151" s="93"/>
      <c r="Z151" s="618"/>
      <c r="AA151" s="424"/>
      <c r="AB151" s="715"/>
      <c r="AC151" s="424"/>
      <c r="AD151" s="425"/>
      <c r="AE151" s="424"/>
      <c r="AF151" s="424"/>
      <c r="AG151" s="396"/>
      <c r="AH151" s="361"/>
      <c r="AI151" s="313"/>
      <c r="AJ151" s="374"/>
      <c r="AK151" s="331"/>
      <c r="AL151" s="331"/>
      <c r="AM151" s="331"/>
      <c r="AN151" s="352"/>
      <c r="AO151" s="352"/>
      <c r="AP151" s="352"/>
      <c r="AQ151" s="352"/>
      <c r="AR151" s="352"/>
      <c r="AS151" s="352"/>
      <c r="AT151" s="352"/>
      <c r="AU151" s="352"/>
    </row>
    <row r="152" spans="1:47" s="352" customFormat="1" x14ac:dyDescent="0.2">
      <c r="A152" s="423">
        <f t="shared" si="68"/>
        <v>147</v>
      </c>
      <c r="B152" s="721" t="s">
        <v>5494</v>
      </c>
      <c r="C152" s="655">
        <v>520818</v>
      </c>
      <c r="D152" s="658">
        <v>4495</v>
      </c>
      <c r="E152" s="655" t="s">
        <v>1519</v>
      </c>
      <c r="F152" s="546">
        <v>2017</v>
      </c>
      <c r="G152" s="659">
        <v>42950</v>
      </c>
      <c r="H152" s="655" t="s">
        <v>751</v>
      </c>
      <c r="I152" s="655" t="s">
        <v>5709</v>
      </c>
      <c r="J152" s="712"/>
      <c r="K152" s="655" t="s">
        <v>5827</v>
      </c>
      <c r="L152" s="655" t="s">
        <v>5958</v>
      </c>
      <c r="M152" s="660">
        <v>378362.99</v>
      </c>
      <c r="N152" s="660">
        <v>17326.669999999998</v>
      </c>
      <c r="O152" s="660">
        <v>63310.34</v>
      </c>
      <c r="P152" s="660">
        <v>459000</v>
      </c>
      <c r="Q152" s="548"/>
      <c r="R152" s="660">
        <v>366742.27</v>
      </c>
      <c r="S152" s="549">
        <f t="shared" si="67"/>
        <v>92257.729999999981</v>
      </c>
      <c r="T152" s="113" t="s">
        <v>1268</v>
      </c>
      <c r="U152" s="267"/>
      <c r="V152" s="93"/>
      <c r="W152" s="267"/>
      <c r="X152" s="267"/>
      <c r="Y152" s="93"/>
      <c r="Z152" s="618"/>
      <c r="AA152" s="717"/>
      <c r="AB152" s="116"/>
      <c r="AC152" s="424"/>
      <c r="AD152" s="425"/>
      <c r="AE152" s="424"/>
      <c r="AF152" s="424"/>
      <c r="AG152" s="396"/>
      <c r="AH152" s="361"/>
      <c r="AI152" s="313"/>
      <c r="AJ152" s="374"/>
      <c r="AK152" s="331"/>
      <c r="AL152" s="331"/>
      <c r="AM152" s="331"/>
    </row>
    <row r="153" spans="1:47" s="412" customFormat="1" x14ac:dyDescent="0.2">
      <c r="A153" s="423">
        <f t="shared" si="68"/>
        <v>148</v>
      </c>
      <c r="B153" s="721" t="s">
        <v>5496</v>
      </c>
      <c r="C153" s="655">
        <v>520818</v>
      </c>
      <c r="D153" s="658">
        <v>4495</v>
      </c>
      <c r="E153" s="655" t="s">
        <v>1519</v>
      </c>
      <c r="F153" s="546">
        <v>2017</v>
      </c>
      <c r="G153" s="659">
        <v>42959</v>
      </c>
      <c r="H153" s="655" t="s">
        <v>751</v>
      </c>
      <c r="I153" s="655" t="s">
        <v>5709</v>
      </c>
      <c r="J153" s="712"/>
      <c r="K153" s="655" t="s">
        <v>5827</v>
      </c>
      <c r="L153" s="655" t="s">
        <v>5958</v>
      </c>
      <c r="M153" s="660">
        <v>-378362.99</v>
      </c>
      <c r="N153" s="660">
        <v>-17326.669999999998</v>
      </c>
      <c r="O153" s="660">
        <v>-63310.34</v>
      </c>
      <c r="P153" s="660">
        <v>-459000</v>
      </c>
      <c r="Q153" s="548"/>
      <c r="R153" s="660">
        <v>-366742.27</v>
      </c>
      <c r="S153" s="549">
        <f t="shared" si="67"/>
        <v>-92257.729999999981</v>
      </c>
      <c r="T153" s="113" t="s">
        <v>1268</v>
      </c>
      <c r="U153" s="267"/>
      <c r="V153" s="93"/>
      <c r="W153" s="267"/>
      <c r="X153" s="267"/>
      <c r="Y153" s="93"/>
      <c r="Z153" s="618"/>
      <c r="AA153" s="271"/>
      <c r="AB153" s="116"/>
      <c r="AC153" s="424"/>
      <c r="AD153" s="425"/>
      <c r="AE153" s="424"/>
      <c r="AF153" s="424"/>
      <c r="AG153" s="396"/>
      <c r="AH153" s="361"/>
      <c r="AI153" s="313"/>
      <c r="AJ153" s="374"/>
      <c r="AK153" s="374"/>
      <c r="AL153" s="374"/>
      <c r="AM153" s="374"/>
      <c r="AN153" s="296"/>
      <c r="AO153" s="296"/>
      <c r="AP153" s="296"/>
      <c r="AQ153" s="296"/>
      <c r="AR153" s="296"/>
      <c r="AS153" s="296"/>
      <c r="AT153" s="296"/>
      <c r="AU153" s="296"/>
    </row>
    <row r="154" spans="1:47" s="351" customFormat="1" x14ac:dyDescent="0.2">
      <c r="A154" s="423">
        <f t="shared" si="68"/>
        <v>149</v>
      </c>
      <c r="B154" s="721" t="s">
        <v>5507</v>
      </c>
      <c r="C154" s="655">
        <v>520513</v>
      </c>
      <c r="D154" s="658">
        <v>5396</v>
      </c>
      <c r="E154" s="655" t="s">
        <v>132</v>
      </c>
      <c r="F154" s="546">
        <v>2017</v>
      </c>
      <c r="G154" s="659">
        <v>42949</v>
      </c>
      <c r="H154" s="655" t="s">
        <v>5622</v>
      </c>
      <c r="I154" s="655" t="s">
        <v>5714</v>
      </c>
      <c r="J154" s="712"/>
      <c r="K154" s="655" t="s">
        <v>5830</v>
      </c>
      <c r="L154" s="655" t="s">
        <v>5963</v>
      </c>
      <c r="M154" s="660">
        <v>481083.78</v>
      </c>
      <c r="N154" s="660">
        <v>33485.19</v>
      </c>
      <c r="O154" s="660">
        <v>82331.03</v>
      </c>
      <c r="P154" s="660">
        <v>596900</v>
      </c>
      <c r="Q154" s="548"/>
      <c r="R154" s="660">
        <v>426221.11</v>
      </c>
      <c r="S154" s="549">
        <f t="shared" si="67"/>
        <v>170678.89</v>
      </c>
      <c r="T154" s="267" t="s">
        <v>1268</v>
      </c>
      <c r="U154" s="267"/>
      <c r="V154" s="93"/>
      <c r="W154" s="267"/>
      <c r="X154" s="267"/>
      <c r="Y154" s="93"/>
      <c r="Z154" s="618"/>
      <c r="AA154" s="717"/>
      <c r="AB154" s="116"/>
      <c r="AC154" s="424"/>
      <c r="AD154" s="425"/>
      <c r="AE154" s="424"/>
      <c r="AF154" s="424"/>
      <c r="AG154" s="396"/>
      <c r="AH154" s="272"/>
      <c r="AI154" s="313"/>
      <c r="AJ154" s="374"/>
      <c r="AK154" s="331"/>
      <c r="AL154" s="331"/>
      <c r="AM154" s="331"/>
      <c r="AN154" s="352"/>
      <c r="AO154" s="352"/>
      <c r="AP154" s="352"/>
      <c r="AQ154" s="352"/>
      <c r="AR154" s="352"/>
      <c r="AS154" s="352"/>
      <c r="AT154" s="352"/>
      <c r="AU154" s="352"/>
    </row>
    <row r="155" spans="1:47" s="351" customFormat="1" x14ac:dyDescent="0.2">
      <c r="A155" s="423">
        <f t="shared" si="68"/>
        <v>150</v>
      </c>
      <c r="B155" s="721" t="s">
        <v>5509</v>
      </c>
      <c r="C155" s="655">
        <v>520513</v>
      </c>
      <c r="D155" s="658">
        <v>5396</v>
      </c>
      <c r="E155" s="655" t="s">
        <v>132</v>
      </c>
      <c r="F155" s="546">
        <v>2017</v>
      </c>
      <c r="G155" s="659">
        <v>42952</v>
      </c>
      <c r="H155" s="655" t="s">
        <v>5622</v>
      </c>
      <c r="I155" s="655" t="s">
        <v>5714</v>
      </c>
      <c r="J155" s="712"/>
      <c r="K155" s="655" t="s">
        <v>5830</v>
      </c>
      <c r="L155" s="655" t="s">
        <v>5963</v>
      </c>
      <c r="M155" s="660">
        <v>-481083.78</v>
      </c>
      <c r="N155" s="660">
        <v>-33485.19</v>
      </c>
      <c r="O155" s="660">
        <v>-82331.03</v>
      </c>
      <c r="P155" s="660">
        <v>-596900</v>
      </c>
      <c r="Q155" s="548"/>
      <c r="R155" s="660">
        <v>-426221.11</v>
      </c>
      <c r="S155" s="549">
        <f t="shared" si="67"/>
        <v>-170678.89</v>
      </c>
      <c r="T155" s="267" t="s">
        <v>1268</v>
      </c>
      <c r="U155" s="267"/>
      <c r="V155" s="93"/>
      <c r="W155" s="267"/>
      <c r="X155" s="267"/>
      <c r="Y155" s="93"/>
      <c r="Z155" s="618"/>
      <c r="AA155" s="717"/>
      <c r="AB155" s="116"/>
      <c r="AC155" s="424"/>
      <c r="AD155" s="425"/>
      <c r="AE155" s="424"/>
      <c r="AF155" s="424"/>
      <c r="AG155" s="396"/>
      <c r="AH155" s="272"/>
      <c r="AI155" s="313"/>
      <c r="AJ155" s="374"/>
      <c r="AK155" s="331"/>
      <c r="AL155" s="331"/>
      <c r="AM155" s="331"/>
      <c r="AN155" s="352"/>
      <c r="AO155" s="352"/>
      <c r="AP155" s="352"/>
      <c r="AQ155" s="352"/>
      <c r="AR155" s="352"/>
      <c r="AS155" s="352"/>
      <c r="AT155" s="352"/>
      <c r="AU155" s="352"/>
    </row>
    <row r="156" spans="1:47" s="291" customFormat="1" x14ac:dyDescent="0.2">
      <c r="A156" s="423">
        <f t="shared" si="68"/>
        <v>151</v>
      </c>
      <c r="B156" s="721" t="s">
        <v>5479</v>
      </c>
      <c r="C156" s="655">
        <v>520815</v>
      </c>
      <c r="D156" s="658">
        <v>4492</v>
      </c>
      <c r="E156" s="655" t="s">
        <v>694</v>
      </c>
      <c r="F156" s="546">
        <v>2017</v>
      </c>
      <c r="G156" s="659">
        <v>42965</v>
      </c>
      <c r="H156" s="655" t="s">
        <v>722</v>
      </c>
      <c r="I156" s="655" t="s">
        <v>5702</v>
      </c>
      <c r="J156" s="712"/>
      <c r="K156" s="655" t="s">
        <v>5825</v>
      </c>
      <c r="L156" s="655" t="s">
        <v>5951</v>
      </c>
      <c r="M156" s="660">
        <v>352051.14</v>
      </c>
      <c r="N156" s="660">
        <v>13379.89</v>
      </c>
      <c r="O156" s="660">
        <v>58468.97</v>
      </c>
      <c r="P156" s="660">
        <v>423900</v>
      </c>
      <c r="Q156" s="548"/>
      <c r="R156" s="660">
        <v>311605.18</v>
      </c>
      <c r="S156" s="549">
        <f t="shared" si="67"/>
        <v>112294.82</v>
      </c>
      <c r="T156" s="267" t="s">
        <v>1268</v>
      </c>
      <c r="U156" s="267"/>
      <c r="V156" s="93"/>
      <c r="W156" s="267"/>
      <c r="X156" s="267"/>
      <c r="Y156" s="93"/>
      <c r="Z156" s="618"/>
      <c r="AA156" s="271"/>
      <c r="AB156" s="116"/>
      <c r="AC156" s="424"/>
      <c r="AD156" s="425"/>
      <c r="AE156" s="424"/>
      <c r="AF156" s="424"/>
      <c r="AG156" s="396"/>
      <c r="AH156" s="272"/>
      <c r="AI156" s="313"/>
      <c r="AJ156" s="374"/>
      <c r="AK156" s="374"/>
      <c r="AL156" s="374"/>
      <c r="AM156" s="374"/>
      <c r="AN156" s="296"/>
      <c r="AO156" s="296"/>
      <c r="AP156" s="296"/>
      <c r="AQ156" s="296"/>
      <c r="AR156" s="296"/>
      <c r="AS156" s="296"/>
      <c r="AT156" s="296"/>
      <c r="AU156" s="296"/>
    </row>
    <row r="157" spans="1:47" s="291" customFormat="1" x14ac:dyDescent="0.2">
      <c r="A157" s="423">
        <f t="shared" si="68"/>
        <v>152</v>
      </c>
      <c r="B157" s="721" t="s">
        <v>5480</v>
      </c>
      <c r="C157" s="655">
        <v>520815</v>
      </c>
      <c r="D157" s="658">
        <v>4492</v>
      </c>
      <c r="E157" s="655" t="s">
        <v>694</v>
      </c>
      <c r="F157" s="546">
        <v>2017</v>
      </c>
      <c r="G157" s="659">
        <v>42968</v>
      </c>
      <c r="H157" s="655" t="s">
        <v>722</v>
      </c>
      <c r="I157" s="655" t="s">
        <v>5702</v>
      </c>
      <c r="J157" s="712"/>
      <c r="K157" s="655" t="s">
        <v>5825</v>
      </c>
      <c r="L157" s="655" t="s">
        <v>5951</v>
      </c>
      <c r="M157" s="660">
        <v>-352051.14</v>
      </c>
      <c r="N157" s="660">
        <v>-13379.89</v>
      </c>
      <c r="O157" s="660">
        <v>-58468.97</v>
      </c>
      <c r="P157" s="660">
        <v>-423900</v>
      </c>
      <c r="Q157" s="548"/>
      <c r="R157" s="660">
        <v>-311605.18</v>
      </c>
      <c r="S157" s="549">
        <f t="shared" si="67"/>
        <v>-112294.82</v>
      </c>
      <c r="T157" s="267" t="s">
        <v>1268</v>
      </c>
      <c r="U157" s="267"/>
      <c r="V157" s="93"/>
      <c r="W157" s="267"/>
      <c r="X157" s="267"/>
      <c r="Y157" s="93"/>
      <c r="Z157" s="618"/>
      <c r="AA157" s="271"/>
      <c r="AB157" s="116"/>
      <c r="AC157" s="424"/>
      <c r="AD157" s="425"/>
      <c r="AE157" s="424"/>
      <c r="AF157" s="424"/>
      <c r="AG157" s="396"/>
      <c r="AH157" s="272"/>
      <c r="AI157" s="313"/>
      <c r="AJ157" s="374"/>
      <c r="AK157" s="374"/>
      <c r="AL157" s="374"/>
      <c r="AM157" s="374"/>
      <c r="AN157" s="296"/>
      <c r="AO157" s="296"/>
      <c r="AP157" s="296"/>
      <c r="AQ157" s="296"/>
      <c r="AR157" s="296"/>
      <c r="AS157" s="296"/>
      <c r="AT157" s="296"/>
      <c r="AU157" s="296"/>
    </row>
    <row r="158" spans="1:47" s="351" customFormat="1" x14ac:dyDescent="0.2">
      <c r="A158" s="423">
        <f t="shared" si="68"/>
        <v>153</v>
      </c>
      <c r="B158" s="721" t="s">
        <v>5481</v>
      </c>
      <c r="C158" s="655">
        <v>520815</v>
      </c>
      <c r="D158" s="658">
        <v>4492</v>
      </c>
      <c r="E158" s="655" t="s">
        <v>694</v>
      </c>
      <c r="F158" s="546">
        <v>2017</v>
      </c>
      <c r="G158" s="659">
        <v>42968</v>
      </c>
      <c r="H158" s="655" t="s">
        <v>722</v>
      </c>
      <c r="I158" s="655" t="s">
        <v>5702</v>
      </c>
      <c r="J158" s="712"/>
      <c r="K158" s="655" t="s">
        <v>5825</v>
      </c>
      <c r="L158" s="655" t="s">
        <v>5951</v>
      </c>
      <c r="M158" s="660">
        <v>352051.14</v>
      </c>
      <c r="N158" s="660">
        <v>13379.89</v>
      </c>
      <c r="O158" s="660">
        <v>58468.97</v>
      </c>
      <c r="P158" s="660">
        <v>423900</v>
      </c>
      <c r="Q158" s="548"/>
      <c r="R158" s="660">
        <v>311605.18</v>
      </c>
      <c r="S158" s="549">
        <f t="shared" si="67"/>
        <v>112294.82</v>
      </c>
      <c r="T158" s="267" t="s">
        <v>1268</v>
      </c>
      <c r="U158" s="267"/>
      <c r="V158" s="93"/>
      <c r="W158" s="267"/>
      <c r="X158" s="267"/>
      <c r="Y158" s="93"/>
      <c r="Z158" s="618"/>
      <c r="AA158" s="717"/>
      <c r="AB158" s="116"/>
      <c r="AC158" s="424"/>
      <c r="AD158" s="425"/>
      <c r="AE158" s="424"/>
      <c r="AF158" s="424"/>
      <c r="AG158" s="396"/>
      <c r="AH158" s="350"/>
      <c r="AI158" s="313"/>
      <c r="AJ158" s="374"/>
      <c r="AK158" s="331"/>
      <c r="AL158" s="331"/>
      <c r="AM158" s="331"/>
      <c r="AN158" s="352"/>
      <c r="AO158" s="352"/>
      <c r="AP158" s="352"/>
      <c r="AQ158" s="352"/>
      <c r="AR158" s="352"/>
      <c r="AS158" s="352"/>
      <c r="AT158" s="352"/>
      <c r="AU158" s="352"/>
    </row>
    <row r="159" spans="1:47" s="351" customFormat="1" x14ac:dyDescent="0.2">
      <c r="A159" s="423">
        <f t="shared" si="68"/>
        <v>154</v>
      </c>
      <c r="B159" s="721" t="s">
        <v>5482</v>
      </c>
      <c r="C159" s="655">
        <v>520815</v>
      </c>
      <c r="D159" s="658">
        <v>4492</v>
      </c>
      <c r="E159" s="655" t="s">
        <v>694</v>
      </c>
      <c r="F159" s="546">
        <v>2017</v>
      </c>
      <c r="G159" s="659">
        <v>42969</v>
      </c>
      <c r="H159" s="655" t="s">
        <v>722</v>
      </c>
      <c r="I159" s="655" t="s">
        <v>5702</v>
      </c>
      <c r="J159" s="712"/>
      <c r="K159" s="655" t="s">
        <v>5825</v>
      </c>
      <c r="L159" s="655" t="s">
        <v>5951</v>
      </c>
      <c r="M159" s="660">
        <v>-352051.14</v>
      </c>
      <c r="N159" s="660">
        <v>-13379.89</v>
      </c>
      <c r="O159" s="660">
        <v>-58468.97</v>
      </c>
      <c r="P159" s="660">
        <v>-423900</v>
      </c>
      <c r="Q159" s="548"/>
      <c r="R159" s="660">
        <v>-311605.18</v>
      </c>
      <c r="S159" s="549">
        <f t="shared" si="67"/>
        <v>-112294.82</v>
      </c>
      <c r="T159" s="267" t="s">
        <v>1268</v>
      </c>
      <c r="U159" s="267"/>
      <c r="V159" s="93"/>
      <c r="W159" s="267"/>
      <c r="X159" s="267"/>
      <c r="Y159" s="93"/>
      <c r="Z159" s="618"/>
      <c r="AA159" s="717"/>
      <c r="AB159" s="116"/>
      <c r="AC159" s="424"/>
      <c r="AD159" s="425"/>
      <c r="AE159" s="424"/>
      <c r="AF159" s="424"/>
      <c r="AG159" s="396"/>
      <c r="AH159" s="313"/>
      <c r="AI159" s="313"/>
      <c r="AJ159" s="374"/>
      <c r="AK159" s="331"/>
      <c r="AL159" s="331"/>
      <c r="AM159" s="331"/>
      <c r="AN159" s="352"/>
      <c r="AO159" s="352"/>
      <c r="AP159" s="352"/>
      <c r="AQ159" s="352"/>
      <c r="AR159" s="352"/>
      <c r="AS159" s="352"/>
      <c r="AT159" s="352"/>
      <c r="AU159" s="352"/>
    </row>
    <row r="160" spans="1:47" s="291" customFormat="1" x14ac:dyDescent="0.2">
      <c r="A160" s="423">
        <f t="shared" si="68"/>
        <v>155</v>
      </c>
      <c r="B160" s="721" t="s">
        <v>5511</v>
      </c>
      <c r="C160" s="655">
        <v>520513</v>
      </c>
      <c r="D160" s="658">
        <v>5396</v>
      </c>
      <c r="E160" s="655" t="s">
        <v>132</v>
      </c>
      <c r="F160" s="546">
        <v>2017</v>
      </c>
      <c r="G160" s="659">
        <v>42952</v>
      </c>
      <c r="H160" s="655" t="s">
        <v>739</v>
      </c>
      <c r="I160" s="655" t="s">
        <v>5716</v>
      </c>
      <c r="J160" s="712"/>
      <c r="K160" s="655" t="s">
        <v>1705</v>
      </c>
      <c r="L160" s="655" t="s">
        <v>5965</v>
      </c>
      <c r="M160" s="660">
        <v>481083.78</v>
      </c>
      <c r="N160" s="660">
        <v>33485.19</v>
      </c>
      <c r="O160" s="660">
        <v>82331.03</v>
      </c>
      <c r="P160" s="660">
        <v>596900</v>
      </c>
      <c r="Q160" s="548"/>
      <c r="R160" s="660">
        <v>425866.63</v>
      </c>
      <c r="S160" s="549">
        <f t="shared" si="67"/>
        <v>171033.37</v>
      </c>
      <c r="T160" s="267" t="s">
        <v>1268</v>
      </c>
      <c r="U160" s="267"/>
      <c r="V160" s="93"/>
      <c r="W160" s="267"/>
      <c r="X160" s="267"/>
      <c r="Y160" s="93"/>
      <c r="Z160" s="618"/>
      <c r="AA160" s="618"/>
      <c r="AB160" s="116"/>
      <c r="AC160" s="424"/>
      <c r="AD160" s="425"/>
      <c r="AE160" s="424"/>
      <c r="AF160" s="424"/>
      <c r="AG160" s="396"/>
      <c r="AH160" s="488"/>
      <c r="AI160" s="313"/>
      <c r="AJ160" s="374"/>
      <c r="AK160" s="374"/>
      <c r="AL160" s="374"/>
      <c r="AM160" s="374"/>
      <c r="AN160" s="296"/>
      <c r="AO160" s="296"/>
      <c r="AP160" s="296"/>
      <c r="AQ160" s="296"/>
      <c r="AR160" s="296"/>
      <c r="AS160" s="296"/>
      <c r="AT160" s="296"/>
      <c r="AU160" s="296"/>
    </row>
    <row r="161" spans="1:47" s="351" customFormat="1" x14ac:dyDescent="0.2">
      <c r="A161" s="423">
        <f t="shared" si="68"/>
        <v>156</v>
      </c>
      <c r="B161" s="721" t="s">
        <v>5512</v>
      </c>
      <c r="C161" s="655">
        <v>520513</v>
      </c>
      <c r="D161" s="658">
        <v>5396</v>
      </c>
      <c r="E161" s="655" t="s">
        <v>132</v>
      </c>
      <c r="F161" s="546">
        <v>2017</v>
      </c>
      <c r="G161" s="659">
        <v>42954</v>
      </c>
      <c r="H161" s="655" t="s">
        <v>739</v>
      </c>
      <c r="I161" s="655" t="s">
        <v>5716</v>
      </c>
      <c r="J161" s="712"/>
      <c r="K161" s="655" t="s">
        <v>1705</v>
      </c>
      <c r="L161" s="655" t="s">
        <v>5965</v>
      </c>
      <c r="M161" s="660">
        <v>-481083.78</v>
      </c>
      <c r="N161" s="660">
        <v>-33485.19</v>
      </c>
      <c r="O161" s="660">
        <v>-82331.03</v>
      </c>
      <c r="P161" s="660">
        <v>-596900</v>
      </c>
      <c r="Q161" s="548"/>
      <c r="R161" s="660">
        <v>-425866.63</v>
      </c>
      <c r="S161" s="549">
        <f t="shared" si="67"/>
        <v>-171033.37</v>
      </c>
      <c r="T161" s="267" t="s">
        <v>1268</v>
      </c>
      <c r="AB161" s="389"/>
      <c r="AI161" s="313"/>
      <c r="AJ161" s="374"/>
      <c r="AK161" s="331"/>
      <c r="AL161" s="331"/>
      <c r="AM161" s="331"/>
      <c r="AN161" s="352"/>
      <c r="AO161" s="352"/>
      <c r="AP161" s="352"/>
      <c r="AQ161" s="352"/>
      <c r="AR161" s="352"/>
      <c r="AS161" s="352"/>
      <c r="AT161" s="352"/>
      <c r="AU161" s="352"/>
    </row>
    <row r="162" spans="1:47" s="291" customFormat="1" x14ac:dyDescent="0.2">
      <c r="A162" s="423">
        <f t="shared" si="68"/>
        <v>157</v>
      </c>
      <c r="B162" s="721" t="s">
        <v>5371</v>
      </c>
      <c r="C162" s="655">
        <v>521101</v>
      </c>
      <c r="D162" s="658">
        <v>1253</v>
      </c>
      <c r="E162" s="655" t="s">
        <v>30</v>
      </c>
      <c r="F162" s="546">
        <v>2017</v>
      </c>
      <c r="G162" s="659">
        <v>42964</v>
      </c>
      <c r="H162" s="655" t="s">
        <v>810</v>
      </c>
      <c r="I162" s="655" t="s">
        <v>5635</v>
      </c>
      <c r="J162" s="712"/>
      <c r="K162" s="655" t="s">
        <v>5787</v>
      </c>
      <c r="L162" s="655" t="s">
        <v>5884</v>
      </c>
      <c r="M162" s="660">
        <v>-388793.1</v>
      </c>
      <c r="N162" s="660">
        <v>0</v>
      </c>
      <c r="O162" s="660">
        <v>-62206.9</v>
      </c>
      <c r="P162" s="660">
        <v>-451000</v>
      </c>
      <c r="Q162" s="548"/>
      <c r="R162" s="660">
        <v>-344834.35</v>
      </c>
      <c r="S162" s="549">
        <f t="shared" si="67"/>
        <v>-106165.65000000002</v>
      </c>
      <c r="T162" s="267" t="s">
        <v>1268</v>
      </c>
      <c r="AB162" s="389"/>
      <c r="AH162" s="348"/>
      <c r="AI162" s="313"/>
      <c r="AJ162" s="374"/>
      <c r="AK162" s="374"/>
      <c r="AL162" s="374"/>
      <c r="AM162" s="374"/>
      <c r="AN162" s="296"/>
      <c r="AO162" s="296"/>
      <c r="AP162" s="296"/>
      <c r="AQ162" s="296"/>
      <c r="AR162" s="296"/>
      <c r="AS162" s="296"/>
      <c r="AT162" s="296"/>
      <c r="AU162" s="296"/>
    </row>
    <row r="163" spans="1:47" s="351" customFormat="1" x14ac:dyDescent="0.2">
      <c r="A163" s="423">
        <f t="shared" si="68"/>
        <v>158</v>
      </c>
      <c r="B163" s="721" t="s">
        <v>5372</v>
      </c>
      <c r="C163" s="655">
        <v>521101</v>
      </c>
      <c r="D163" s="658">
        <v>1253</v>
      </c>
      <c r="E163" s="655" t="s">
        <v>30</v>
      </c>
      <c r="F163" s="546">
        <v>2017</v>
      </c>
      <c r="G163" s="659">
        <v>42964</v>
      </c>
      <c r="H163" s="655" t="s">
        <v>810</v>
      </c>
      <c r="I163" s="655" t="s">
        <v>5635</v>
      </c>
      <c r="J163" s="712"/>
      <c r="K163" s="655" t="s">
        <v>5787</v>
      </c>
      <c r="L163" s="655" t="s">
        <v>5884</v>
      </c>
      <c r="M163" s="660">
        <v>388793.1</v>
      </c>
      <c r="N163" s="660">
        <v>0</v>
      </c>
      <c r="O163" s="660">
        <v>62206.9</v>
      </c>
      <c r="P163" s="660">
        <v>451000</v>
      </c>
      <c r="Q163" s="548"/>
      <c r="R163" s="660">
        <v>344834.35</v>
      </c>
      <c r="S163" s="549">
        <f t="shared" si="67"/>
        <v>106165.65000000002</v>
      </c>
      <c r="T163" s="267" t="s">
        <v>1268</v>
      </c>
      <c r="U163" s="291"/>
      <c r="V163" s="291"/>
      <c r="W163" s="291"/>
      <c r="X163" s="291"/>
      <c r="Y163" s="291"/>
      <c r="Z163" s="291"/>
      <c r="AA163" s="291"/>
      <c r="AB163" s="389"/>
      <c r="AC163" s="291"/>
      <c r="AD163" s="291"/>
      <c r="AE163" s="291"/>
      <c r="AF163" s="291"/>
      <c r="AG163" s="395"/>
      <c r="AH163" s="361"/>
      <c r="AI163" s="313"/>
      <c r="AJ163" s="374"/>
      <c r="AK163" s="331"/>
      <c r="AL163" s="331"/>
      <c r="AM163" s="331"/>
      <c r="AN163" s="352"/>
      <c r="AO163" s="352"/>
      <c r="AP163" s="352"/>
      <c r="AQ163" s="352"/>
      <c r="AR163" s="352"/>
      <c r="AS163" s="352"/>
      <c r="AT163" s="352"/>
      <c r="AU163" s="352"/>
    </row>
    <row r="164" spans="1:47" s="291" customFormat="1" x14ac:dyDescent="0.2">
      <c r="A164" s="423">
        <f t="shared" si="68"/>
        <v>159</v>
      </c>
      <c r="B164" s="721" t="s">
        <v>5495</v>
      </c>
      <c r="C164" s="655">
        <v>520818</v>
      </c>
      <c r="D164" s="658">
        <v>4495</v>
      </c>
      <c r="E164" s="655" t="s">
        <v>1519</v>
      </c>
      <c r="F164" s="546">
        <v>2017</v>
      </c>
      <c r="G164" s="659">
        <v>42951</v>
      </c>
      <c r="H164" s="655" t="s">
        <v>2214</v>
      </c>
      <c r="I164" s="655" t="s">
        <v>5710</v>
      </c>
      <c r="J164" s="712"/>
      <c r="K164" s="655" t="s">
        <v>5828</v>
      </c>
      <c r="L164" s="655" t="s">
        <v>5959</v>
      </c>
      <c r="M164" s="660">
        <v>412770.78</v>
      </c>
      <c r="N164" s="660">
        <v>22487.84</v>
      </c>
      <c r="O164" s="660">
        <v>69641.38</v>
      </c>
      <c r="P164" s="660">
        <v>504900</v>
      </c>
      <c r="Q164" s="548"/>
      <c r="R164" s="660">
        <v>366387.78</v>
      </c>
      <c r="S164" s="549">
        <f t="shared" si="67"/>
        <v>138512.21999999997</v>
      </c>
      <c r="T164" s="267" t="s">
        <v>1268</v>
      </c>
      <c r="AB164" s="422"/>
      <c r="AH164" s="361"/>
      <c r="AI164" s="313"/>
      <c r="AJ164" s="374"/>
      <c r="AK164" s="374"/>
      <c r="AL164" s="374"/>
      <c r="AM164" s="374"/>
      <c r="AN164" s="296"/>
      <c r="AO164" s="296"/>
      <c r="AP164" s="296"/>
      <c r="AQ164" s="296"/>
      <c r="AR164" s="296"/>
      <c r="AS164" s="296"/>
      <c r="AT164" s="296"/>
      <c r="AU164" s="296"/>
    </row>
    <row r="165" spans="1:47" s="291" customFormat="1" x14ac:dyDescent="0.2">
      <c r="A165" s="423">
        <f t="shared" si="68"/>
        <v>160</v>
      </c>
      <c r="B165" s="721" t="s">
        <v>5498</v>
      </c>
      <c r="C165" s="655">
        <v>520818</v>
      </c>
      <c r="D165" s="658">
        <v>4495</v>
      </c>
      <c r="E165" s="655" t="s">
        <v>1519</v>
      </c>
      <c r="F165" s="546">
        <v>2017</v>
      </c>
      <c r="G165" s="659">
        <v>42968</v>
      </c>
      <c r="H165" s="655" t="s">
        <v>2214</v>
      </c>
      <c r="I165" s="655" t="s">
        <v>5710</v>
      </c>
      <c r="J165" s="712"/>
      <c r="K165" s="655" t="s">
        <v>5828</v>
      </c>
      <c r="L165" s="655" t="s">
        <v>5959</v>
      </c>
      <c r="M165" s="660">
        <v>-412770.78</v>
      </c>
      <c r="N165" s="660">
        <v>-22487.84</v>
      </c>
      <c r="O165" s="660">
        <v>-69641.38</v>
      </c>
      <c r="P165" s="660">
        <v>-504900</v>
      </c>
      <c r="Q165" s="548"/>
      <c r="R165" s="660">
        <v>-366387.78</v>
      </c>
      <c r="S165" s="549">
        <f t="shared" si="67"/>
        <v>-138512.21999999997</v>
      </c>
      <c r="T165" s="267" t="s">
        <v>1268</v>
      </c>
      <c r="AB165" s="422"/>
      <c r="AH165" s="361"/>
      <c r="AI165" s="313"/>
      <c r="AJ165" s="374"/>
      <c r="AK165" s="374"/>
      <c r="AL165" s="374"/>
      <c r="AM165" s="374"/>
      <c r="AN165" s="296"/>
      <c r="AO165" s="296"/>
      <c r="AP165" s="296"/>
      <c r="AQ165" s="296"/>
      <c r="AR165" s="296"/>
      <c r="AS165" s="296"/>
      <c r="AT165" s="296"/>
      <c r="AU165" s="296"/>
    </row>
    <row r="166" spans="1:47" s="351" customFormat="1" x14ac:dyDescent="0.2">
      <c r="A166" s="423">
        <f t="shared" si="68"/>
        <v>161</v>
      </c>
      <c r="B166" s="721" t="s">
        <v>5499</v>
      </c>
      <c r="C166" s="655">
        <v>520818</v>
      </c>
      <c r="D166" s="658">
        <v>4495</v>
      </c>
      <c r="E166" s="655" t="s">
        <v>1519</v>
      </c>
      <c r="F166" s="546">
        <v>2017</v>
      </c>
      <c r="G166" s="659">
        <v>42968</v>
      </c>
      <c r="H166" s="655" t="s">
        <v>2214</v>
      </c>
      <c r="I166" s="655" t="s">
        <v>5710</v>
      </c>
      <c r="J166" s="712"/>
      <c r="K166" s="655" t="s">
        <v>5828</v>
      </c>
      <c r="L166" s="655" t="s">
        <v>5959</v>
      </c>
      <c r="M166" s="660">
        <v>412770.78</v>
      </c>
      <c r="N166" s="660">
        <v>22487.84</v>
      </c>
      <c r="O166" s="660">
        <v>69641.38</v>
      </c>
      <c r="P166" s="660">
        <v>504900</v>
      </c>
      <c r="Q166" s="548"/>
      <c r="R166" s="660">
        <v>366387.78</v>
      </c>
      <c r="S166" s="549">
        <f t="shared" si="67"/>
        <v>138512.21999999997</v>
      </c>
      <c r="T166" s="267" t="s">
        <v>1268</v>
      </c>
      <c r="AB166" s="422"/>
      <c r="AH166" s="361"/>
      <c r="AI166" s="313"/>
      <c r="AJ166" s="374"/>
      <c r="AK166" s="331"/>
      <c r="AL166" s="331"/>
      <c r="AM166" s="331"/>
      <c r="AN166" s="352"/>
      <c r="AO166" s="352"/>
      <c r="AP166" s="352"/>
      <c r="AQ166" s="352"/>
      <c r="AR166" s="352"/>
      <c r="AS166" s="352"/>
      <c r="AT166" s="352"/>
      <c r="AU166" s="352"/>
    </row>
    <row r="167" spans="1:47" s="351" customFormat="1" x14ac:dyDescent="0.2">
      <c r="A167" s="423">
        <f t="shared" si="68"/>
        <v>162</v>
      </c>
      <c r="B167" s="721" t="s">
        <v>5500</v>
      </c>
      <c r="C167" s="655">
        <v>520818</v>
      </c>
      <c r="D167" s="658">
        <v>4495</v>
      </c>
      <c r="E167" s="655" t="s">
        <v>1519</v>
      </c>
      <c r="F167" s="546">
        <v>2017</v>
      </c>
      <c r="G167" s="659">
        <v>42971</v>
      </c>
      <c r="H167" s="655" t="s">
        <v>2214</v>
      </c>
      <c r="I167" s="655" t="s">
        <v>5710</v>
      </c>
      <c r="J167" s="712"/>
      <c r="K167" s="655" t="s">
        <v>5828</v>
      </c>
      <c r="L167" s="655" t="s">
        <v>5959</v>
      </c>
      <c r="M167" s="660">
        <v>-412770.78</v>
      </c>
      <c r="N167" s="660">
        <v>-22487.84</v>
      </c>
      <c r="O167" s="660">
        <v>-69641.38</v>
      </c>
      <c r="P167" s="660">
        <v>-504900</v>
      </c>
      <c r="Q167" s="548"/>
      <c r="R167" s="660">
        <v>-366387.78</v>
      </c>
      <c r="S167" s="549">
        <f t="shared" si="67"/>
        <v>-138512.21999999997</v>
      </c>
      <c r="T167" s="267" t="s">
        <v>1268</v>
      </c>
      <c r="AB167" s="422"/>
      <c r="AH167" s="361"/>
      <c r="AI167" s="313"/>
      <c r="AJ167" s="374"/>
      <c r="AK167" s="331"/>
      <c r="AL167" s="331"/>
      <c r="AM167" s="331"/>
      <c r="AN167" s="352"/>
      <c r="AO167" s="352"/>
      <c r="AP167" s="352"/>
      <c r="AQ167" s="352"/>
      <c r="AR167" s="352"/>
      <c r="AS167" s="352"/>
      <c r="AT167" s="352"/>
      <c r="AU167" s="352"/>
    </row>
    <row r="168" spans="1:47" s="291" customFormat="1" x14ac:dyDescent="0.2">
      <c r="A168" s="423">
        <f t="shared" si="68"/>
        <v>163</v>
      </c>
      <c r="B168" s="721" t="s">
        <v>5526</v>
      </c>
      <c r="C168" s="655">
        <v>521908</v>
      </c>
      <c r="D168" s="658">
        <v>6980</v>
      </c>
      <c r="E168" s="655" t="s">
        <v>706</v>
      </c>
      <c r="F168" s="546">
        <v>2017</v>
      </c>
      <c r="G168" s="659">
        <v>42956</v>
      </c>
      <c r="H168" s="655" t="s">
        <v>747</v>
      </c>
      <c r="I168" s="655" t="s">
        <v>5724</v>
      </c>
      <c r="J168" s="712"/>
      <c r="K168" s="655" t="s">
        <v>5835</v>
      </c>
      <c r="L168" s="655" t="s">
        <v>5973</v>
      </c>
      <c r="M168" s="660">
        <v>520282.13</v>
      </c>
      <c r="N168" s="660">
        <v>40148.9</v>
      </c>
      <c r="O168" s="660">
        <v>89668.97</v>
      </c>
      <c r="P168" s="660">
        <v>650100</v>
      </c>
      <c r="Q168" s="548"/>
      <c r="R168" s="660">
        <v>460716.66</v>
      </c>
      <c r="S168" s="549">
        <f t="shared" si="67"/>
        <v>189383.34000000003</v>
      </c>
      <c r="T168" s="113" t="s">
        <v>1268</v>
      </c>
      <c r="AB168" s="422"/>
      <c r="AH168" s="361"/>
      <c r="AI168" s="313"/>
      <c r="AJ168" s="330"/>
      <c r="AK168" s="374"/>
      <c r="AL168" s="374"/>
      <c r="AM168" s="374"/>
      <c r="AN168" s="296"/>
      <c r="AO168" s="296"/>
      <c r="AP168" s="296"/>
      <c r="AQ168" s="296"/>
      <c r="AR168" s="296"/>
      <c r="AS168" s="296"/>
      <c r="AT168" s="296"/>
      <c r="AU168" s="296"/>
    </row>
    <row r="169" spans="1:47" s="351" customFormat="1" x14ac:dyDescent="0.2">
      <c r="A169" s="423">
        <f t="shared" si="68"/>
        <v>164</v>
      </c>
      <c r="B169" s="721" t="s">
        <v>5527</v>
      </c>
      <c r="C169" s="655">
        <v>521908</v>
      </c>
      <c r="D169" s="658">
        <v>6980</v>
      </c>
      <c r="E169" s="655" t="s">
        <v>706</v>
      </c>
      <c r="F169" s="546">
        <v>2017</v>
      </c>
      <c r="G169" s="659">
        <v>42957</v>
      </c>
      <c r="H169" s="655" t="s">
        <v>747</v>
      </c>
      <c r="I169" s="655" t="s">
        <v>5724</v>
      </c>
      <c r="J169" s="712"/>
      <c r="K169" s="655" t="s">
        <v>5835</v>
      </c>
      <c r="L169" s="655" t="s">
        <v>5973</v>
      </c>
      <c r="M169" s="660">
        <v>-520282.13</v>
      </c>
      <c r="N169" s="660">
        <v>-40148.9</v>
      </c>
      <c r="O169" s="660">
        <v>-89668.97</v>
      </c>
      <c r="P169" s="660">
        <v>-650100</v>
      </c>
      <c r="Q169" s="548"/>
      <c r="R169" s="660">
        <v>-460716.66</v>
      </c>
      <c r="S169" s="549">
        <f t="shared" si="67"/>
        <v>-189383.34000000003</v>
      </c>
      <c r="T169" s="113" t="s">
        <v>1268</v>
      </c>
      <c r="AB169" s="422"/>
      <c r="AH169" s="361"/>
      <c r="AI169" s="313"/>
      <c r="AJ169" s="331"/>
      <c r="AK169" s="331"/>
      <c r="AL169" s="331"/>
      <c r="AM169" s="331"/>
      <c r="AN169" s="352"/>
      <c r="AO169" s="352"/>
      <c r="AP169" s="352"/>
      <c r="AQ169" s="352"/>
      <c r="AR169" s="352"/>
      <c r="AS169" s="352"/>
      <c r="AT169" s="352"/>
      <c r="AU169" s="352"/>
    </row>
    <row r="170" spans="1:47" s="348" customFormat="1" x14ac:dyDescent="0.2">
      <c r="A170" s="423">
        <f t="shared" si="68"/>
        <v>165</v>
      </c>
      <c r="B170" s="721" t="s">
        <v>5502</v>
      </c>
      <c r="C170" s="655">
        <v>520818</v>
      </c>
      <c r="D170" s="658">
        <v>4495</v>
      </c>
      <c r="E170" s="655" t="s">
        <v>1519</v>
      </c>
      <c r="F170" s="546">
        <v>2017</v>
      </c>
      <c r="G170" s="659">
        <v>42976</v>
      </c>
      <c r="H170" s="655" t="s">
        <v>5129</v>
      </c>
      <c r="I170" s="655" t="s">
        <v>5711</v>
      </c>
      <c r="J170" s="712"/>
      <c r="K170" s="655" t="s">
        <v>5829</v>
      </c>
      <c r="L170" s="655" t="s">
        <v>5960</v>
      </c>
      <c r="M170" s="660">
        <v>-409022.66</v>
      </c>
      <c r="N170" s="660">
        <v>-21925.62</v>
      </c>
      <c r="O170" s="660">
        <v>-68951.72</v>
      </c>
      <c r="P170" s="660">
        <v>-499900</v>
      </c>
      <c r="Q170" s="548"/>
      <c r="R170" s="660">
        <v>-366387.79</v>
      </c>
      <c r="S170" s="549">
        <f t="shared" si="67"/>
        <v>-133512.21000000002</v>
      </c>
      <c r="T170" s="113" t="s">
        <v>1268</v>
      </c>
      <c r="AB170" s="422"/>
      <c r="AH170" s="361"/>
      <c r="AI170" s="313"/>
      <c r="AJ170" s="330"/>
      <c r="AK170" s="330"/>
      <c r="AL170" s="330"/>
      <c r="AM170" s="330"/>
      <c r="AN170" s="353"/>
      <c r="AO170" s="353"/>
      <c r="AP170" s="353"/>
      <c r="AQ170" s="353"/>
      <c r="AR170" s="353"/>
      <c r="AS170" s="353"/>
      <c r="AT170" s="353"/>
      <c r="AU170" s="353"/>
    </row>
    <row r="171" spans="1:47" s="351" customFormat="1" x14ac:dyDescent="0.2">
      <c r="A171" s="423">
        <f t="shared" si="68"/>
        <v>166</v>
      </c>
      <c r="B171" s="721" t="s">
        <v>5503</v>
      </c>
      <c r="C171" s="655">
        <v>520818</v>
      </c>
      <c r="D171" s="658">
        <v>4495</v>
      </c>
      <c r="E171" s="655" t="s">
        <v>1519</v>
      </c>
      <c r="F171" s="546">
        <v>2017</v>
      </c>
      <c r="G171" s="659">
        <v>42976</v>
      </c>
      <c r="H171" s="655" t="s">
        <v>5129</v>
      </c>
      <c r="I171" s="655" t="s">
        <v>5711</v>
      </c>
      <c r="J171" s="712"/>
      <c r="K171" s="655" t="s">
        <v>5829</v>
      </c>
      <c r="L171" s="655" t="s">
        <v>5960</v>
      </c>
      <c r="M171" s="660">
        <v>409022.66</v>
      </c>
      <c r="N171" s="660">
        <v>21925.62</v>
      </c>
      <c r="O171" s="660">
        <v>68951.72</v>
      </c>
      <c r="P171" s="660">
        <v>499900</v>
      </c>
      <c r="Q171" s="548"/>
      <c r="R171" s="660">
        <v>366387.79</v>
      </c>
      <c r="S171" s="549">
        <f t="shared" si="67"/>
        <v>133512.21000000002</v>
      </c>
      <c r="T171" s="113" t="s">
        <v>1268</v>
      </c>
      <c r="AB171" s="422"/>
      <c r="AH171" s="361"/>
      <c r="AI171" s="313"/>
      <c r="AJ171" s="374"/>
      <c r="AK171" s="331"/>
      <c r="AL171" s="331"/>
      <c r="AM171" s="331"/>
      <c r="AN171" s="352"/>
      <c r="AO171" s="352"/>
      <c r="AP171" s="352"/>
      <c r="AQ171" s="352"/>
      <c r="AR171" s="352"/>
      <c r="AS171" s="352"/>
      <c r="AT171" s="352"/>
      <c r="AU171" s="352"/>
    </row>
    <row r="172" spans="1:47" s="348" customFormat="1" x14ac:dyDescent="0.2">
      <c r="A172" s="423">
        <f t="shared" si="68"/>
        <v>167</v>
      </c>
      <c r="B172" s="721" t="s">
        <v>5441</v>
      </c>
      <c r="C172" s="655">
        <v>521801</v>
      </c>
      <c r="D172" s="658">
        <v>2201</v>
      </c>
      <c r="E172" s="655" t="s">
        <v>704</v>
      </c>
      <c r="F172" s="546">
        <v>2017</v>
      </c>
      <c r="G172" s="659">
        <v>42971</v>
      </c>
      <c r="H172" s="655" t="s">
        <v>817</v>
      </c>
      <c r="I172" s="655" t="s">
        <v>5679</v>
      </c>
      <c r="J172" s="712"/>
      <c r="K172" s="655" t="s">
        <v>5815</v>
      </c>
      <c r="L172" s="655" t="s">
        <v>5928</v>
      </c>
      <c r="M172" s="660">
        <v>197672.41</v>
      </c>
      <c r="N172" s="660">
        <v>0</v>
      </c>
      <c r="O172" s="660">
        <v>31627.59</v>
      </c>
      <c r="P172" s="660">
        <v>229300</v>
      </c>
      <c r="Q172" s="548"/>
      <c r="R172" s="660">
        <v>183986.84</v>
      </c>
      <c r="S172" s="549">
        <f t="shared" si="67"/>
        <v>45313.16</v>
      </c>
      <c r="T172" s="113" t="s">
        <v>1268</v>
      </c>
      <c r="AB172" s="422"/>
      <c r="AH172" s="361"/>
      <c r="AI172" s="313"/>
      <c r="AJ172" s="374"/>
      <c r="AK172" s="330"/>
      <c r="AL172" s="330"/>
      <c r="AM172" s="330"/>
      <c r="AN172" s="353"/>
      <c r="AO172" s="353"/>
      <c r="AP172" s="353"/>
      <c r="AQ172" s="353"/>
      <c r="AR172" s="353"/>
      <c r="AS172" s="353"/>
      <c r="AT172" s="353"/>
      <c r="AU172" s="353"/>
    </row>
    <row r="173" spans="1:47" s="291" customFormat="1" x14ac:dyDescent="0.2">
      <c r="A173" s="423">
        <f t="shared" si="68"/>
        <v>168</v>
      </c>
      <c r="B173" s="721" t="s">
        <v>5445</v>
      </c>
      <c r="C173" s="655">
        <v>521801</v>
      </c>
      <c r="D173" s="658">
        <v>2201</v>
      </c>
      <c r="E173" s="655" t="s">
        <v>704</v>
      </c>
      <c r="F173" s="546">
        <v>2017</v>
      </c>
      <c r="G173" s="659">
        <v>42976</v>
      </c>
      <c r="H173" s="655" t="s">
        <v>817</v>
      </c>
      <c r="I173" s="655" t="s">
        <v>5679</v>
      </c>
      <c r="J173" s="712"/>
      <c r="K173" s="655" t="s">
        <v>5815</v>
      </c>
      <c r="L173" s="655" t="s">
        <v>5928</v>
      </c>
      <c r="M173" s="660">
        <v>-197672.41</v>
      </c>
      <c r="N173" s="660">
        <v>0</v>
      </c>
      <c r="O173" s="660">
        <v>-31627.59</v>
      </c>
      <c r="P173" s="660">
        <v>-229300</v>
      </c>
      <c r="Q173" s="548"/>
      <c r="R173" s="660">
        <v>-183986.84</v>
      </c>
      <c r="S173" s="549">
        <f t="shared" si="67"/>
        <v>-45313.16</v>
      </c>
      <c r="T173" s="113" t="s">
        <v>1268</v>
      </c>
      <c r="U173" s="267"/>
      <c r="V173" s="93"/>
      <c r="W173" s="267"/>
      <c r="X173" s="267"/>
      <c r="Y173" s="93"/>
      <c r="Z173" s="618"/>
      <c r="AA173" s="424"/>
      <c r="AB173" s="715"/>
      <c r="AC173" s="424"/>
      <c r="AD173" s="425"/>
      <c r="AE173" s="424"/>
      <c r="AF173" s="424"/>
      <c r="AG173" s="396"/>
      <c r="AH173" s="361"/>
      <c r="AI173" s="313"/>
      <c r="AJ173" s="331"/>
      <c r="AK173" s="374"/>
      <c r="AL173" s="374"/>
      <c r="AM173" s="374"/>
      <c r="AN173" s="296"/>
      <c r="AO173" s="296"/>
      <c r="AP173" s="296"/>
      <c r="AQ173" s="296"/>
      <c r="AR173" s="296"/>
      <c r="AS173" s="296"/>
      <c r="AT173" s="296"/>
      <c r="AU173" s="296"/>
    </row>
    <row r="174" spans="1:47" s="351" customFormat="1" x14ac:dyDescent="0.2">
      <c r="A174" s="423">
        <f t="shared" si="68"/>
        <v>169</v>
      </c>
      <c r="B174" s="721" t="s">
        <v>5440</v>
      </c>
      <c r="C174" s="655">
        <v>521801</v>
      </c>
      <c r="D174" s="658">
        <v>2201</v>
      </c>
      <c r="E174" s="655" t="s">
        <v>704</v>
      </c>
      <c r="F174" s="546">
        <v>2017</v>
      </c>
      <c r="G174" s="659">
        <v>42968</v>
      </c>
      <c r="H174" s="655" t="s">
        <v>2213</v>
      </c>
      <c r="I174" s="655" t="s">
        <v>5678</v>
      </c>
      <c r="J174" s="712"/>
      <c r="K174" s="655" t="s">
        <v>5814</v>
      </c>
      <c r="L174" s="655" t="s">
        <v>5927</v>
      </c>
      <c r="M174" s="660">
        <v>194731.03</v>
      </c>
      <c r="N174" s="660">
        <v>0</v>
      </c>
      <c r="O174" s="660">
        <v>31156.97</v>
      </c>
      <c r="P174" s="660">
        <v>225888</v>
      </c>
      <c r="Q174" s="548"/>
      <c r="R174" s="660">
        <v>183987.86</v>
      </c>
      <c r="S174" s="549">
        <f t="shared" si="67"/>
        <v>41900.140000000014</v>
      </c>
      <c r="T174" s="113" t="s">
        <v>1268</v>
      </c>
      <c r="U174" s="267"/>
      <c r="V174" s="93"/>
      <c r="W174" s="267"/>
      <c r="X174" s="267"/>
      <c r="Y174" s="93"/>
      <c r="Z174" s="618"/>
      <c r="AA174" s="424"/>
      <c r="AB174" s="715"/>
      <c r="AC174" s="424"/>
      <c r="AD174" s="425"/>
      <c r="AE174" s="424"/>
      <c r="AF174" s="424"/>
      <c r="AG174" s="396"/>
      <c r="AH174" s="361"/>
      <c r="AI174" s="313"/>
      <c r="AJ174" s="374"/>
      <c r="AK174" s="374"/>
      <c r="AL174" s="374"/>
      <c r="AM174" s="374"/>
      <c r="AN174" s="296"/>
      <c r="AO174" s="296"/>
      <c r="AP174" s="296"/>
      <c r="AQ174" s="296"/>
      <c r="AR174" s="296"/>
      <c r="AS174" s="296"/>
      <c r="AT174" s="352"/>
      <c r="AU174" s="352"/>
    </row>
    <row r="175" spans="1:47" s="348" customFormat="1" x14ac:dyDescent="0.2">
      <c r="A175" s="423">
        <f t="shared" si="68"/>
        <v>170</v>
      </c>
      <c r="B175" s="721" t="s">
        <v>5442</v>
      </c>
      <c r="C175" s="655">
        <v>521801</v>
      </c>
      <c r="D175" s="658">
        <v>2201</v>
      </c>
      <c r="E175" s="655" t="s">
        <v>704</v>
      </c>
      <c r="F175" s="546">
        <v>2017</v>
      </c>
      <c r="G175" s="659">
        <v>42971</v>
      </c>
      <c r="H175" s="655" t="s">
        <v>2213</v>
      </c>
      <c r="I175" s="655" t="s">
        <v>5678</v>
      </c>
      <c r="J175" s="712"/>
      <c r="K175" s="655" t="s">
        <v>5814</v>
      </c>
      <c r="L175" s="655" t="s">
        <v>5927</v>
      </c>
      <c r="M175" s="660">
        <v>-194731.03</v>
      </c>
      <c r="N175" s="660">
        <v>0</v>
      </c>
      <c r="O175" s="660">
        <v>-31156.97</v>
      </c>
      <c r="P175" s="660">
        <v>-225888</v>
      </c>
      <c r="Q175" s="548"/>
      <c r="R175" s="660">
        <v>-183987.86</v>
      </c>
      <c r="S175" s="549">
        <f t="shared" si="67"/>
        <v>-41900.140000000014</v>
      </c>
      <c r="T175" s="113" t="s">
        <v>1268</v>
      </c>
      <c r="U175" s="267"/>
      <c r="V175" s="93"/>
      <c r="W175" s="267"/>
      <c r="X175" s="267"/>
      <c r="Y175" s="93"/>
      <c r="Z175" s="618"/>
      <c r="AA175" s="424"/>
      <c r="AB175" s="715"/>
      <c r="AC175" s="424"/>
      <c r="AD175" s="425"/>
      <c r="AE175" s="424"/>
      <c r="AF175" s="424"/>
      <c r="AG175" s="396"/>
      <c r="AH175" s="361"/>
      <c r="AI175" s="313"/>
      <c r="AJ175" s="374"/>
      <c r="AK175" s="374"/>
      <c r="AL175" s="374"/>
      <c r="AM175" s="374"/>
      <c r="AN175" s="296"/>
      <c r="AO175" s="296"/>
      <c r="AP175" s="296"/>
      <c r="AQ175" s="296"/>
      <c r="AR175" s="296"/>
      <c r="AS175" s="296"/>
      <c r="AT175" s="353"/>
      <c r="AU175" s="353"/>
    </row>
    <row r="176" spans="1:47" s="351" customFormat="1" x14ac:dyDescent="0.2">
      <c r="A176" s="423">
        <f t="shared" si="68"/>
        <v>171</v>
      </c>
      <c r="B176" s="721" t="s">
        <v>5461</v>
      </c>
      <c r="C176" s="655">
        <v>521802</v>
      </c>
      <c r="D176" s="658">
        <v>2202</v>
      </c>
      <c r="E176" s="655" t="s">
        <v>703</v>
      </c>
      <c r="F176" s="546">
        <v>2017</v>
      </c>
      <c r="G176" s="659">
        <v>42962</v>
      </c>
      <c r="H176" s="655" t="s">
        <v>819</v>
      </c>
      <c r="I176" s="655" t="s">
        <v>5688</v>
      </c>
      <c r="J176" s="712"/>
      <c r="K176" s="655" t="s">
        <v>5805</v>
      </c>
      <c r="L176" s="655" t="s">
        <v>5937</v>
      </c>
      <c r="M176" s="660">
        <v>202155.17</v>
      </c>
      <c r="N176" s="660">
        <v>0</v>
      </c>
      <c r="O176" s="660">
        <v>32344.83</v>
      </c>
      <c r="P176" s="660">
        <v>234500</v>
      </c>
      <c r="Q176" s="548"/>
      <c r="R176" s="660">
        <v>188021.32</v>
      </c>
      <c r="S176" s="549">
        <f t="shared" si="67"/>
        <v>46478.679999999993</v>
      </c>
      <c r="T176" s="113" t="s">
        <v>1268</v>
      </c>
      <c r="U176" s="267"/>
      <c r="V176" s="93"/>
      <c r="W176" s="267"/>
      <c r="X176" s="267"/>
      <c r="Y176" s="93"/>
      <c r="Z176" s="618"/>
      <c r="AA176" s="424"/>
      <c r="AB176" s="715"/>
      <c r="AC176" s="424"/>
      <c r="AD176" s="425"/>
      <c r="AE176" s="424"/>
      <c r="AF176" s="424"/>
      <c r="AG176" s="396"/>
      <c r="AH176" s="361"/>
      <c r="AI176" s="313"/>
      <c r="AJ176" s="331"/>
      <c r="AK176" s="374"/>
      <c r="AL176" s="374"/>
      <c r="AM176" s="374"/>
      <c r="AN176" s="296"/>
      <c r="AO176" s="296"/>
      <c r="AP176" s="296"/>
      <c r="AQ176" s="296"/>
      <c r="AR176" s="296"/>
      <c r="AS176" s="296"/>
      <c r="AT176" s="352"/>
      <c r="AU176" s="352"/>
    </row>
    <row r="177" spans="1:47" s="351" customFormat="1" x14ac:dyDescent="0.2">
      <c r="A177" s="423">
        <f t="shared" si="68"/>
        <v>172</v>
      </c>
      <c r="B177" s="721" t="s">
        <v>5467</v>
      </c>
      <c r="C177" s="655">
        <v>521802</v>
      </c>
      <c r="D177" s="658">
        <v>2202</v>
      </c>
      <c r="E177" s="655" t="s">
        <v>703</v>
      </c>
      <c r="F177" s="546">
        <v>2017</v>
      </c>
      <c r="G177" s="659">
        <v>42976</v>
      </c>
      <c r="H177" s="655" t="s">
        <v>819</v>
      </c>
      <c r="I177" s="655" t="s">
        <v>5688</v>
      </c>
      <c r="J177" s="712"/>
      <c r="K177" s="655" t="s">
        <v>5805</v>
      </c>
      <c r="L177" s="655" t="s">
        <v>5937</v>
      </c>
      <c r="M177" s="660">
        <v>-202155.17</v>
      </c>
      <c r="N177" s="660">
        <v>0</v>
      </c>
      <c r="O177" s="660">
        <v>-32344.83</v>
      </c>
      <c r="P177" s="660">
        <v>-234500</v>
      </c>
      <c r="Q177" s="548"/>
      <c r="R177" s="660">
        <v>-188021.32</v>
      </c>
      <c r="S177" s="549">
        <f t="shared" si="67"/>
        <v>-46478.679999999993</v>
      </c>
      <c r="T177" s="113" t="s">
        <v>1268</v>
      </c>
      <c r="U177" s="267"/>
      <c r="V177" s="93"/>
      <c r="W177" s="267"/>
      <c r="X177" s="267"/>
      <c r="Y177" s="93"/>
      <c r="Z177" s="618"/>
      <c r="AA177" s="424"/>
      <c r="AB177" s="715"/>
      <c r="AC177" s="424"/>
      <c r="AD177" s="425"/>
      <c r="AE177" s="424"/>
      <c r="AF177" s="424"/>
      <c r="AG177" s="396"/>
      <c r="AH177" s="361"/>
      <c r="AI177" s="313"/>
      <c r="AJ177" s="331"/>
      <c r="AK177" s="374"/>
      <c r="AL177" s="374"/>
      <c r="AM177" s="374"/>
      <c r="AN177" s="296"/>
      <c r="AO177" s="296"/>
      <c r="AP177" s="296"/>
      <c r="AQ177" s="296"/>
      <c r="AR177" s="296"/>
      <c r="AS177" s="296"/>
      <c r="AT177" s="352"/>
      <c r="AU177" s="352"/>
    </row>
    <row r="178" spans="1:47" s="291" customFormat="1" x14ac:dyDescent="0.2">
      <c r="A178" s="423">
        <f t="shared" si="68"/>
        <v>173</v>
      </c>
      <c r="B178" s="721" t="s">
        <v>5380</v>
      </c>
      <c r="C178" s="655">
        <v>520226</v>
      </c>
      <c r="D178" s="658">
        <v>1783</v>
      </c>
      <c r="E178" s="655" t="s">
        <v>692</v>
      </c>
      <c r="F178" s="546">
        <v>2017</v>
      </c>
      <c r="G178" s="659">
        <v>42966</v>
      </c>
      <c r="H178" s="655" t="s">
        <v>2213</v>
      </c>
      <c r="I178" s="655" t="s">
        <v>5639</v>
      </c>
      <c r="J178" s="712"/>
      <c r="K178" s="655" t="s">
        <v>5791</v>
      </c>
      <c r="L178" s="655" t="s">
        <v>5888</v>
      </c>
      <c r="M178" s="660">
        <v>297356.26</v>
      </c>
      <c r="N178" s="660">
        <v>7557.53</v>
      </c>
      <c r="O178" s="660">
        <v>48786.21</v>
      </c>
      <c r="P178" s="660">
        <v>353700</v>
      </c>
      <c r="Q178" s="548"/>
      <c r="R178" s="660">
        <v>275292.3</v>
      </c>
      <c r="S178" s="549">
        <f t="shared" si="67"/>
        <v>78407.700000000012</v>
      </c>
      <c r="T178" s="113" t="s">
        <v>1268</v>
      </c>
      <c r="U178" s="267"/>
      <c r="V178" s="93"/>
      <c r="W178" s="267"/>
      <c r="X178" s="267"/>
      <c r="Y178" s="93"/>
      <c r="Z178" s="618"/>
      <c r="AA178" s="424"/>
      <c r="AB178" s="715"/>
      <c r="AC178" s="424"/>
      <c r="AD178" s="425"/>
      <c r="AE178" s="424"/>
      <c r="AF178" s="424"/>
      <c r="AG178" s="396"/>
      <c r="AH178" s="361"/>
      <c r="AI178" s="313"/>
      <c r="AJ178" s="374"/>
      <c r="AK178" s="374"/>
      <c r="AL178" s="374"/>
      <c r="AM178" s="374"/>
      <c r="AN178" s="296"/>
      <c r="AO178" s="296"/>
      <c r="AP178" s="296"/>
      <c r="AQ178" s="296"/>
      <c r="AR178" s="296"/>
      <c r="AS178" s="296"/>
      <c r="AT178" s="296"/>
      <c r="AU178" s="296"/>
    </row>
    <row r="179" spans="1:47" s="351" customFormat="1" x14ac:dyDescent="0.2">
      <c r="A179" s="423">
        <f t="shared" si="68"/>
        <v>174</v>
      </c>
      <c r="B179" s="721" t="s">
        <v>5382</v>
      </c>
      <c r="C179" s="655">
        <v>520226</v>
      </c>
      <c r="D179" s="658">
        <v>1783</v>
      </c>
      <c r="E179" s="655" t="s">
        <v>692</v>
      </c>
      <c r="F179" s="546">
        <v>2017</v>
      </c>
      <c r="G179" s="659">
        <v>42973</v>
      </c>
      <c r="H179" s="655" t="s">
        <v>2213</v>
      </c>
      <c r="I179" s="655" t="s">
        <v>5639</v>
      </c>
      <c r="J179" s="712"/>
      <c r="K179" s="655" t="s">
        <v>5791</v>
      </c>
      <c r="L179" s="655" t="s">
        <v>5888</v>
      </c>
      <c r="M179" s="660">
        <v>-297356.26</v>
      </c>
      <c r="N179" s="660">
        <v>-7557.53</v>
      </c>
      <c r="O179" s="660">
        <v>-48786.21</v>
      </c>
      <c r="P179" s="660">
        <v>-353700</v>
      </c>
      <c r="Q179" s="548"/>
      <c r="R179" s="660">
        <v>-275292.3</v>
      </c>
      <c r="S179" s="549">
        <f t="shared" si="67"/>
        <v>-78407.700000000012</v>
      </c>
      <c r="T179" s="113" t="s">
        <v>1268</v>
      </c>
      <c r="U179" s="267"/>
      <c r="V179" s="93"/>
      <c r="W179" s="267"/>
      <c r="X179" s="267"/>
      <c r="Y179" s="93"/>
      <c r="Z179" s="618"/>
      <c r="AA179" s="424"/>
      <c r="AB179" s="715"/>
      <c r="AC179" s="424"/>
      <c r="AD179" s="425"/>
      <c r="AE179" s="424"/>
      <c r="AF179" s="424"/>
      <c r="AG179" s="396"/>
      <c r="AH179" s="361"/>
      <c r="AI179" s="313"/>
      <c r="AJ179" s="331"/>
      <c r="AK179" s="374"/>
      <c r="AL179" s="374"/>
      <c r="AM179" s="374"/>
      <c r="AN179" s="296"/>
      <c r="AO179" s="296"/>
      <c r="AP179" s="296"/>
      <c r="AQ179" s="296"/>
      <c r="AR179" s="296"/>
      <c r="AS179" s="296"/>
      <c r="AT179" s="352"/>
      <c r="AU179" s="352"/>
    </row>
    <row r="180" spans="1:47" s="291" customFormat="1" x14ac:dyDescent="0.2">
      <c r="A180" s="423">
        <f t="shared" si="68"/>
        <v>175</v>
      </c>
      <c r="B180" s="721" t="s">
        <v>5383</v>
      </c>
      <c r="C180" s="655">
        <v>520226</v>
      </c>
      <c r="D180" s="658">
        <v>1783</v>
      </c>
      <c r="E180" s="655" t="s">
        <v>692</v>
      </c>
      <c r="F180" s="546">
        <v>2017</v>
      </c>
      <c r="G180" s="659">
        <v>42973</v>
      </c>
      <c r="H180" s="655" t="s">
        <v>2213</v>
      </c>
      <c r="I180" s="655" t="s">
        <v>5639</v>
      </c>
      <c r="J180" s="712"/>
      <c r="K180" s="655" t="s">
        <v>5792</v>
      </c>
      <c r="L180" s="655" t="s">
        <v>5888</v>
      </c>
      <c r="M180" s="660">
        <v>-313030.24</v>
      </c>
      <c r="N180" s="660">
        <v>-9124.93</v>
      </c>
      <c r="O180" s="660">
        <v>-51544.83</v>
      </c>
      <c r="P180" s="660">
        <v>-373700</v>
      </c>
      <c r="Q180" s="548"/>
      <c r="R180" s="660">
        <v>-275292.3</v>
      </c>
      <c r="S180" s="549">
        <f t="shared" si="67"/>
        <v>-98407.700000000012</v>
      </c>
      <c r="T180" s="113" t="s">
        <v>1268</v>
      </c>
      <c r="U180" s="267"/>
      <c r="V180" s="93"/>
      <c r="W180" s="267"/>
      <c r="X180" s="267"/>
      <c r="Y180" s="93"/>
      <c r="Z180" s="618"/>
      <c r="AA180" s="424"/>
      <c r="AB180" s="715"/>
      <c r="AC180" s="424"/>
      <c r="AD180" s="425"/>
      <c r="AE180" s="424"/>
      <c r="AF180" s="424"/>
      <c r="AG180" s="396"/>
      <c r="AH180" s="361"/>
      <c r="AI180" s="313"/>
      <c r="AJ180" s="331"/>
      <c r="AK180" s="374"/>
      <c r="AL180" s="374"/>
      <c r="AM180" s="374"/>
      <c r="AN180" s="296"/>
      <c r="AO180" s="296"/>
      <c r="AP180" s="296"/>
      <c r="AQ180" s="296"/>
      <c r="AR180" s="296"/>
      <c r="AS180" s="296"/>
      <c r="AT180" s="296"/>
      <c r="AU180" s="296"/>
    </row>
    <row r="181" spans="1:47" s="351" customFormat="1" x14ac:dyDescent="0.2">
      <c r="A181" s="423">
        <f t="shared" si="68"/>
        <v>176</v>
      </c>
      <c r="B181" s="721" t="s">
        <v>5384</v>
      </c>
      <c r="C181" s="655">
        <v>520226</v>
      </c>
      <c r="D181" s="658">
        <v>1783</v>
      </c>
      <c r="E181" s="655" t="s">
        <v>692</v>
      </c>
      <c r="F181" s="546">
        <v>2017</v>
      </c>
      <c r="G181" s="659">
        <v>42973</v>
      </c>
      <c r="H181" s="655" t="s">
        <v>2213</v>
      </c>
      <c r="I181" s="655" t="s">
        <v>5639</v>
      </c>
      <c r="J181" s="712"/>
      <c r="K181" s="655" t="s">
        <v>5792</v>
      </c>
      <c r="L181" s="655" t="s">
        <v>5888</v>
      </c>
      <c r="M181" s="660">
        <v>313030.24</v>
      </c>
      <c r="N181" s="660">
        <v>9124.93</v>
      </c>
      <c r="O181" s="660">
        <v>51544.83</v>
      </c>
      <c r="P181" s="660">
        <v>373700</v>
      </c>
      <c r="Q181" s="548"/>
      <c r="R181" s="660">
        <v>275292.3</v>
      </c>
      <c r="S181" s="549">
        <f t="shared" si="67"/>
        <v>98407.700000000012</v>
      </c>
      <c r="T181" s="113" t="s">
        <v>1268</v>
      </c>
      <c r="U181" s="267"/>
      <c r="V181" s="93"/>
      <c r="W181" s="267"/>
      <c r="X181" s="267"/>
      <c r="Y181" s="93"/>
      <c r="Z181" s="618"/>
      <c r="AA181" s="424"/>
      <c r="AB181" s="715"/>
      <c r="AC181" s="424"/>
      <c r="AD181" s="425"/>
      <c r="AE181" s="424"/>
      <c r="AF181" s="424"/>
      <c r="AG181" s="396"/>
      <c r="AH181" s="361"/>
      <c r="AI181" s="313"/>
      <c r="AJ181" s="330"/>
      <c r="AK181" s="374"/>
      <c r="AL181" s="374"/>
      <c r="AM181" s="374"/>
      <c r="AN181" s="296"/>
      <c r="AO181" s="296"/>
      <c r="AP181" s="296"/>
      <c r="AQ181" s="296"/>
      <c r="AR181" s="296"/>
      <c r="AS181" s="296"/>
      <c r="AT181" s="352"/>
      <c r="AU181" s="352"/>
    </row>
    <row r="182" spans="1:47" s="351" customFormat="1" x14ac:dyDescent="0.2">
      <c r="A182" s="423">
        <f t="shared" si="68"/>
        <v>177</v>
      </c>
      <c r="B182" s="721" t="s">
        <v>5385</v>
      </c>
      <c r="C182" s="655">
        <v>520226</v>
      </c>
      <c r="D182" s="658">
        <v>1783</v>
      </c>
      <c r="E182" s="655" t="s">
        <v>692</v>
      </c>
      <c r="F182" s="546">
        <v>2017</v>
      </c>
      <c r="G182" s="659">
        <v>42973</v>
      </c>
      <c r="H182" s="655" t="s">
        <v>2213</v>
      </c>
      <c r="I182" s="655" t="s">
        <v>5639</v>
      </c>
      <c r="J182" s="712"/>
      <c r="K182" s="655" t="s">
        <v>5792</v>
      </c>
      <c r="L182" s="655" t="s">
        <v>5888</v>
      </c>
      <c r="M182" s="660">
        <v>313030.24</v>
      </c>
      <c r="N182" s="660">
        <v>9124.93</v>
      </c>
      <c r="O182" s="660">
        <v>51544.83</v>
      </c>
      <c r="P182" s="660">
        <v>373700</v>
      </c>
      <c r="Q182" s="548"/>
      <c r="R182" s="660">
        <v>275292.3</v>
      </c>
      <c r="S182" s="549">
        <f t="shared" si="67"/>
        <v>98407.700000000012</v>
      </c>
      <c r="T182" s="113" t="s">
        <v>1268</v>
      </c>
      <c r="U182" s="267"/>
      <c r="V182" s="93"/>
      <c r="W182" s="267"/>
      <c r="X182" s="267"/>
      <c r="Y182" s="93"/>
      <c r="Z182" s="618"/>
      <c r="AA182" s="424"/>
      <c r="AB182" s="715"/>
      <c r="AC182" s="424"/>
      <c r="AD182" s="425"/>
      <c r="AE182" s="424"/>
      <c r="AF182" s="424"/>
      <c r="AG182" s="396"/>
      <c r="AH182" s="361"/>
      <c r="AI182" s="313"/>
      <c r="AJ182" s="374"/>
      <c r="AK182" s="374"/>
      <c r="AL182" s="374"/>
      <c r="AM182" s="374"/>
      <c r="AN182" s="296"/>
      <c r="AO182" s="296"/>
      <c r="AP182" s="296"/>
      <c r="AQ182" s="296"/>
      <c r="AR182" s="296"/>
      <c r="AS182" s="296"/>
      <c r="AT182" s="352"/>
      <c r="AU182" s="352"/>
    </row>
    <row r="183" spans="1:47" s="291" customFormat="1" x14ac:dyDescent="0.2">
      <c r="A183" s="423">
        <f t="shared" si="68"/>
        <v>178</v>
      </c>
      <c r="B183" s="721" t="s">
        <v>5386</v>
      </c>
      <c r="C183" s="655">
        <v>520226</v>
      </c>
      <c r="D183" s="658">
        <v>1783</v>
      </c>
      <c r="E183" s="655" t="s">
        <v>692</v>
      </c>
      <c r="F183" s="546">
        <v>2017</v>
      </c>
      <c r="G183" s="659">
        <v>42975</v>
      </c>
      <c r="H183" s="655" t="s">
        <v>2213</v>
      </c>
      <c r="I183" s="655" t="s">
        <v>5639</v>
      </c>
      <c r="J183" s="712"/>
      <c r="K183" s="655" t="s">
        <v>5792</v>
      </c>
      <c r="L183" s="655" t="s">
        <v>5888</v>
      </c>
      <c r="M183" s="660">
        <v>-313030.24</v>
      </c>
      <c r="N183" s="660">
        <v>-9124.93</v>
      </c>
      <c r="O183" s="660">
        <v>-51544.83</v>
      </c>
      <c r="P183" s="660">
        <v>-373700</v>
      </c>
      <c r="Q183" s="548"/>
      <c r="R183" s="660">
        <v>-275292.3</v>
      </c>
      <c r="S183" s="549">
        <f t="shared" si="67"/>
        <v>-98407.700000000012</v>
      </c>
      <c r="T183" s="113" t="s">
        <v>1268</v>
      </c>
      <c r="U183" s="267"/>
      <c r="V183" s="93"/>
      <c r="W183" s="267"/>
      <c r="X183" s="267"/>
      <c r="Y183" s="93"/>
      <c r="Z183" s="618"/>
      <c r="AA183" s="424"/>
      <c r="AB183" s="715"/>
      <c r="AC183" s="424"/>
      <c r="AD183" s="425"/>
      <c r="AE183" s="424"/>
      <c r="AF183" s="424"/>
      <c r="AG183" s="396"/>
      <c r="AH183" s="361"/>
      <c r="AI183" s="313"/>
      <c r="AJ183" s="374"/>
      <c r="AK183" s="374"/>
      <c r="AL183" s="374"/>
      <c r="AM183" s="374"/>
      <c r="AN183" s="296"/>
      <c r="AO183" s="296"/>
      <c r="AP183" s="296"/>
      <c r="AQ183" s="296"/>
      <c r="AR183" s="296"/>
      <c r="AS183" s="296"/>
      <c r="AT183" s="296"/>
      <c r="AU183" s="296"/>
    </row>
    <row r="184" spans="1:47" s="348" customFormat="1" x14ac:dyDescent="0.2">
      <c r="A184" s="423">
        <f t="shared" si="68"/>
        <v>179</v>
      </c>
      <c r="B184" s="721" t="s">
        <v>5551</v>
      </c>
      <c r="C184" s="655">
        <v>1520105</v>
      </c>
      <c r="D184" s="658">
        <v>7494</v>
      </c>
      <c r="E184" s="655" t="s">
        <v>712</v>
      </c>
      <c r="F184" s="546">
        <v>2017</v>
      </c>
      <c r="G184" s="659">
        <v>42971</v>
      </c>
      <c r="H184" s="655" t="s">
        <v>747</v>
      </c>
      <c r="I184" s="655" t="s">
        <v>5736</v>
      </c>
      <c r="J184" s="712"/>
      <c r="K184" s="655" t="s">
        <v>830</v>
      </c>
      <c r="L184" s="655" t="s">
        <v>5985</v>
      </c>
      <c r="M184" s="660">
        <v>235139.57</v>
      </c>
      <c r="N184" s="660">
        <v>11756.98</v>
      </c>
      <c r="O184" s="660">
        <v>39503.449999999997</v>
      </c>
      <c r="P184" s="660">
        <v>286400</v>
      </c>
      <c r="Q184" s="548"/>
      <c r="R184" s="660">
        <v>215512.69</v>
      </c>
      <c r="S184" s="549">
        <f t="shared" si="67"/>
        <v>70887.31</v>
      </c>
      <c r="T184" s="113" t="s">
        <v>1268</v>
      </c>
      <c r="U184" s="267"/>
      <c r="V184" s="93"/>
      <c r="W184" s="267"/>
      <c r="X184" s="267"/>
      <c r="Y184" s="93"/>
      <c r="Z184" s="618"/>
      <c r="AA184" s="424"/>
      <c r="AB184" s="715"/>
      <c r="AC184" s="424"/>
      <c r="AD184" s="425"/>
      <c r="AE184" s="424"/>
      <c r="AF184" s="424"/>
      <c r="AG184" s="396"/>
      <c r="AH184" s="361"/>
      <c r="AI184" s="313"/>
      <c r="AJ184" s="331"/>
      <c r="AK184" s="374"/>
      <c r="AL184" s="374"/>
      <c r="AM184" s="374"/>
      <c r="AN184" s="296"/>
      <c r="AO184" s="296"/>
      <c r="AP184" s="296"/>
      <c r="AQ184" s="296"/>
      <c r="AR184" s="296"/>
      <c r="AS184" s="296"/>
      <c r="AT184" s="353"/>
      <c r="AU184" s="353"/>
    </row>
    <row r="185" spans="1:47" s="351" customFormat="1" x14ac:dyDescent="0.2">
      <c r="A185" s="423">
        <f t="shared" si="68"/>
        <v>180</v>
      </c>
      <c r="B185" s="721" t="s">
        <v>5553</v>
      </c>
      <c r="C185" s="655">
        <v>1520105</v>
      </c>
      <c r="D185" s="658">
        <v>7494</v>
      </c>
      <c r="E185" s="655" t="s">
        <v>712</v>
      </c>
      <c r="F185" s="546">
        <v>2017</v>
      </c>
      <c r="G185" s="659">
        <v>42977</v>
      </c>
      <c r="H185" s="655" t="s">
        <v>747</v>
      </c>
      <c r="I185" s="655" t="s">
        <v>5736</v>
      </c>
      <c r="J185" s="712"/>
      <c r="K185" s="655" t="s">
        <v>830</v>
      </c>
      <c r="L185" s="655" t="s">
        <v>5985</v>
      </c>
      <c r="M185" s="660">
        <v>-235139.57</v>
      </c>
      <c r="N185" s="660">
        <v>-11756.98</v>
      </c>
      <c r="O185" s="660">
        <v>-39503.449999999997</v>
      </c>
      <c r="P185" s="660">
        <v>-286400</v>
      </c>
      <c r="Q185" s="548"/>
      <c r="R185" s="660">
        <v>-215512.69</v>
      </c>
      <c r="S185" s="549">
        <f t="shared" si="67"/>
        <v>-70887.31</v>
      </c>
      <c r="T185" s="113" t="s">
        <v>1268</v>
      </c>
      <c r="U185" s="267"/>
      <c r="V185" s="93"/>
      <c r="W185" s="267"/>
      <c r="X185" s="267"/>
      <c r="Y185" s="93"/>
      <c r="Z185" s="618"/>
      <c r="AA185" s="424"/>
      <c r="AB185" s="715"/>
      <c r="AC185" s="424"/>
      <c r="AD185" s="425"/>
      <c r="AE185" s="424"/>
      <c r="AF185" s="424"/>
      <c r="AG185" s="396"/>
      <c r="AH185" s="361"/>
      <c r="AI185" s="313"/>
      <c r="AJ185" s="374"/>
      <c r="AK185" s="374"/>
      <c r="AL185" s="374"/>
      <c r="AM185" s="374"/>
      <c r="AN185" s="296"/>
      <c r="AO185" s="296"/>
      <c r="AP185" s="296"/>
      <c r="AQ185" s="296"/>
      <c r="AR185" s="296"/>
      <c r="AS185" s="296"/>
      <c r="AT185" s="352"/>
      <c r="AU185" s="352"/>
    </row>
    <row r="186" spans="1:47" s="348" customFormat="1" x14ac:dyDescent="0.2">
      <c r="A186" s="423">
        <f t="shared" si="68"/>
        <v>181</v>
      </c>
      <c r="B186" s="721" t="s">
        <v>5583</v>
      </c>
      <c r="C186" s="655">
        <v>1520603</v>
      </c>
      <c r="D186" s="658">
        <v>7497</v>
      </c>
      <c r="E186" s="655" t="s">
        <v>5619</v>
      </c>
      <c r="F186" s="546">
        <v>2017</v>
      </c>
      <c r="G186" s="659">
        <v>42975</v>
      </c>
      <c r="H186" s="655" t="s">
        <v>3694</v>
      </c>
      <c r="I186" s="655" t="s">
        <v>5758</v>
      </c>
      <c r="J186" s="712"/>
      <c r="K186" s="655" t="s">
        <v>5852</v>
      </c>
      <c r="L186" s="655" t="s">
        <v>6007</v>
      </c>
      <c r="M186" s="660">
        <v>271264.37</v>
      </c>
      <c r="N186" s="660">
        <v>13563.22</v>
      </c>
      <c r="O186" s="660">
        <v>45572.41</v>
      </c>
      <c r="P186" s="660">
        <v>330400</v>
      </c>
      <c r="Q186" s="548"/>
      <c r="R186" s="660">
        <v>257188.43</v>
      </c>
      <c r="S186" s="549">
        <f t="shared" si="67"/>
        <v>73211.570000000007</v>
      </c>
      <c r="T186" s="113" t="s">
        <v>1268</v>
      </c>
      <c r="U186" s="267"/>
      <c r="V186" s="93"/>
      <c r="W186" s="267"/>
      <c r="X186" s="267"/>
      <c r="Y186" s="93"/>
      <c r="Z186" s="618"/>
      <c r="AA186" s="424"/>
      <c r="AB186" s="715"/>
      <c r="AC186" s="424"/>
      <c r="AD186" s="425"/>
      <c r="AE186" s="424"/>
      <c r="AF186" s="424"/>
      <c r="AG186" s="396"/>
      <c r="AH186" s="361"/>
      <c r="AI186" s="313"/>
      <c r="AJ186" s="330"/>
      <c r="AK186" s="374"/>
      <c r="AL186" s="374"/>
      <c r="AM186" s="374"/>
      <c r="AN186" s="296"/>
      <c r="AO186" s="296"/>
      <c r="AP186" s="296"/>
      <c r="AQ186" s="296"/>
      <c r="AR186" s="296"/>
      <c r="AS186" s="296"/>
      <c r="AT186" s="353"/>
      <c r="AU186" s="353"/>
    </row>
    <row r="187" spans="1:47" s="348" customFormat="1" x14ac:dyDescent="0.2">
      <c r="A187" s="423">
        <f t="shared" si="68"/>
        <v>182</v>
      </c>
      <c r="B187" s="721" t="s">
        <v>5584</v>
      </c>
      <c r="C187" s="655">
        <v>1520603</v>
      </c>
      <c r="D187" s="658">
        <v>7497</v>
      </c>
      <c r="E187" s="655" t="s">
        <v>5619</v>
      </c>
      <c r="F187" s="546">
        <v>2017</v>
      </c>
      <c r="G187" s="659">
        <v>42978</v>
      </c>
      <c r="H187" s="655" t="s">
        <v>3694</v>
      </c>
      <c r="I187" s="655" t="s">
        <v>5758</v>
      </c>
      <c r="J187" s="712"/>
      <c r="K187" s="655" t="s">
        <v>5852</v>
      </c>
      <c r="L187" s="655" t="s">
        <v>6007</v>
      </c>
      <c r="M187" s="660">
        <v>-271264.37</v>
      </c>
      <c r="N187" s="660">
        <v>-13563.22</v>
      </c>
      <c r="O187" s="660">
        <v>-45572.41</v>
      </c>
      <c r="P187" s="660">
        <v>-330400</v>
      </c>
      <c r="Q187" s="548"/>
      <c r="R187" s="660">
        <v>-257188.43</v>
      </c>
      <c r="S187" s="549">
        <f t="shared" si="67"/>
        <v>-73211.570000000007</v>
      </c>
      <c r="T187" s="113" t="s">
        <v>1268</v>
      </c>
      <c r="U187" s="267"/>
      <c r="V187" s="93"/>
      <c r="W187" s="267"/>
      <c r="X187" s="267"/>
      <c r="Y187" s="93"/>
      <c r="Z187" s="618"/>
      <c r="AA187" s="424"/>
      <c r="AB187" s="715"/>
      <c r="AC187" s="424"/>
      <c r="AD187" s="425"/>
      <c r="AE187" s="424"/>
      <c r="AF187" s="424"/>
      <c r="AG187" s="396"/>
      <c r="AH187" s="361"/>
      <c r="AI187" s="313"/>
      <c r="AJ187" s="374"/>
      <c r="AK187" s="374"/>
      <c r="AL187" s="374"/>
      <c r="AM187" s="374"/>
      <c r="AN187" s="296"/>
      <c r="AO187" s="296"/>
      <c r="AP187" s="296"/>
      <c r="AQ187" s="296"/>
      <c r="AR187" s="296"/>
      <c r="AS187" s="296"/>
      <c r="AT187" s="353"/>
      <c r="AU187" s="353"/>
    </row>
    <row r="188" spans="1:47" s="351" customFormat="1" x14ac:dyDescent="0.2">
      <c r="A188" s="423">
        <f t="shared" si="68"/>
        <v>183</v>
      </c>
      <c r="B188" s="721" t="s">
        <v>5350</v>
      </c>
      <c r="C188" s="655">
        <v>522403</v>
      </c>
      <c r="D188" s="658">
        <v>1060</v>
      </c>
      <c r="E188" s="655" t="s">
        <v>5617</v>
      </c>
      <c r="F188" s="546">
        <v>2017</v>
      </c>
      <c r="G188" s="659">
        <v>42950</v>
      </c>
      <c r="H188" s="655"/>
      <c r="I188" s="655" t="s">
        <v>5624</v>
      </c>
      <c r="J188" s="712"/>
      <c r="K188" s="655" t="s">
        <v>3858</v>
      </c>
      <c r="L188" s="655" t="s">
        <v>5873</v>
      </c>
      <c r="M188" s="660">
        <v>192306.37</v>
      </c>
      <c r="N188" s="660">
        <v>0</v>
      </c>
      <c r="O188" s="660">
        <v>30769.02</v>
      </c>
      <c r="P188" s="660">
        <v>223075.39</v>
      </c>
      <c r="Q188" s="548"/>
      <c r="R188" s="660">
        <v>192305.51</v>
      </c>
      <c r="S188" s="549">
        <f t="shared" si="67"/>
        <v>30769.880000000005</v>
      </c>
      <c r="T188" s="113" t="s">
        <v>283</v>
      </c>
      <c r="U188" s="267"/>
      <c r="V188" s="93"/>
      <c r="W188" s="267"/>
      <c r="X188" s="267"/>
      <c r="Y188" s="93"/>
      <c r="Z188" s="618"/>
      <c r="AA188" s="424"/>
      <c r="AB188" s="715"/>
      <c r="AC188" s="424"/>
      <c r="AD188" s="425"/>
      <c r="AE188" s="424"/>
      <c r="AF188" s="424"/>
      <c r="AG188" s="396"/>
      <c r="AH188" s="361"/>
      <c r="AI188" s="313"/>
      <c r="AJ188" s="331"/>
      <c r="AK188" s="374"/>
      <c r="AL188" s="374"/>
      <c r="AM188" s="374"/>
      <c r="AN188" s="296"/>
      <c r="AO188" s="296"/>
      <c r="AP188" s="296"/>
      <c r="AQ188" s="296"/>
      <c r="AR188" s="296"/>
      <c r="AS188" s="296"/>
      <c r="AT188" s="352"/>
      <c r="AU188" s="352"/>
    </row>
    <row r="189" spans="1:47" s="351" customFormat="1" x14ac:dyDescent="0.2">
      <c r="A189" s="423">
        <f t="shared" si="68"/>
        <v>184</v>
      </c>
      <c r="B189" s="721" t="s">
        <v>5351</v>
      </c>
      <c r="C189" s="655">
        <v>522403</v>
      </c>
      <c r="D189" s="658">
        <v>1060</v>
      </c>
      <c r="E189" s="655" t="s">
        <v>5617</v>
      </c>
      <c r="F189" s="546">
        <v>2017</v>
      </c>
      <c r="G189" s="659">
        <v>42969</v>
      </c>
      <c r="H189" s="655"/>
      <c r="I189" s="655" t="s">
        <v>5625</v>
      </c>
      <c r="J189" s="712"/>
      <c r="K189" s="655" t="s">
        <v>1189</v>
      </c>
      <c r="L189" s="655" t="s">
        <v>5874</v>
      </c>
      <c r="M189" s="660">
        <v>192306.89</v>
      </c>
      <c r="N189" s="660">
        <v>0</v>
      </c>
      <c r="O189" s="660">
        <v>30769.1</v>
      </c>
      <c r="P189" s="660">
        <v>223075.99</v>
      </c>
      <c r="Q189" s="548"/>
      <c r="R189" s="660">
        <v>191951.54</v>
      </c>
      <c r="S189" s="549">
        <f t="shared" si="67"/>
        <v>31124.449999999983</v>
      </c>
      <c r="T189" s="113" t="s">
        <v>283</v>
      </c>
      <c r="U189" s="267"/>
      <c r="V189" s="93"/>
      <c r="W189" s="267"/>
      <c r="X189" s="267"/>
      <c r="Y189" s="93"/>
      <c r="Z189" s="618"/>
      <c r="AA189" s="424"/>
      <c r="AB189" s="715"/>
      <c r="AC189" s="424"/>
      <c r="AD189" s="425"/>
      <c r="AE189" s="424"/>
      <c r="AF189" s="424"/>
      <c r="AG189" s="396"/>
      <c r="AH189" s="361"/>
      <c r="AI189" s="313"/>
      <c r="AJ189" s="331"/>
      <c r="AK189" s="374"/>
      <c r="AL189" s="374"/>
      <c r="AM189" s="374"/>
      <c r="AN189" s="296"/>
      <c r="AO189" s="296"/>
      <c r="AP189" s="296"/>
      <c r="AQ189" s="296"/>
      <c r="AR189" s="296"/>
      <c r="AS189" s="296"/>
      <c r="AT189" s="352"/>
      <c r="AU189" s="352"/>
    </row>
    <row r="190" spans="1:47" s="351" customFormat="1" x14ac:dyDescent="0.2">
      <c r="A190" s="423">
        <f t="shared" si="68"/>
        <v>185</v>
      </c>
      <c r="B190" s="721" t="s">
        <v>5353</v>
      </c>
      <c r="C190" s="655">
        <v>521101</v>
      </c>
      <c r="D190" s="658">
        <v>1251</v>
      </c>
      <c r="E190" s="655" t="s">
        <v>700</v>
      </c>
      <c r="F190" s="546">
        <v>2017</v>
      </c>
      <c r="G190" s="659">
        <v>42949</v>
      </c>
      <c r="H190" s="655"/>
      <c r="I190" s="655" t="s">
        <v>5627</v>
      </c>
      <c r="J190" s="712"/>
      <c r="K190" s="655" t="s">
        <v>392</v>
      </c>
      <c r="L190" s="655" t="s">
        <v>5876</v>
      </c>
      <c r="M190" s="660">
        <v>300392.87</v>
      </c>
      <c r="N190" s="660">
        <v>0</v>
      </c>
      <c r="O190" s="660">
        <v>48062.86</v>
      </c>
      <c r="P190" s="660">
        <v>348455.73</v>
      </c>
      <c r="Q190" s="548"/>
      <c r="R190" s="660">
        <v>300037.53000000003</v>
      </c>
      <c r="S190" s="549">
        <f t="shared" si="67"/>
        <v>48418.199999999953</v>
      </c>
      <c r="T190" s="113" t="s">
        <v>283</v>
      </c>
      <c r="AB190" s="389"/>
      <c r="AI190" s="313"/>
      <c r="AJ190" s="331"/>
      <c r="AK190" s="374"/>
      <c r="AL190" s="374"/>
      <c r="AM190" s="374"/>
      <c r="AN190" s="296"/>
      <c r="AO190" s="296"/>
      <c r="AP190" s="296"/>
      <c r="AQ190" s="296"/>
      <c r="AR190" s="296"/>
      <c r="AS190" s="296"/>
      <c r="AT190" s="352"/>
      <c r="AU190" s="352"/>
    </row>
    <row r="191" spans="1:47" s="291" customFormat="1" x14ac:dyDescent="0.2">
      <c r="A191" s="423">
        <f t="shared" si="68"/>
        <v>186</v>
      </c>
      <c r="B191" s="721" t="s">
        <v>5357</v>
      </c>
      <c r="C191" s="655">
        <v>521101</v>
      </c>
      <c r="D191" s="658">
        <v>1251</v>
      </c>
      <c r="E191" s="655" t="s">
        <v>700</v>
      </c>
      <c r="F191" s="546">
        <v>2017</v>
      </c>
      <c r="G191" s="659">
        <v>42955</v>
      </c>
      <c r="H191" s="655"/>
      <c r="I191" s="655" t="s">
        <v>5629</v>
      </c>
      <c r="J191" s="712"/>
      <c r="K191" s="655" t="s">
        <v>1147</v>
      </c>
      <c r="L191" s="655" t="s">
        <v>5878</v>
      </c>
      <c r="M191" s="660">
        <v>300392.87</v>
      </c>
      <c r="N191" s="660">
        <v>0</v>
      </c>
      <c r="O191" s="660">
        <v>48062.86</v>
      </c>
      <c r="P191" s="660">
        <v>348455.73</v>
      </c>
      <c r="Q191" s="548"/>
      <c r="R191" s="660">
        <v>283666.84000000003</v>
      </c>
      <c r="S191" s="549">
        <f t="shared" si="67"/>
        <v>64788.889999999956</v>
      </c>
      <c r="T191" s="113" t="s">
        <v>283</v>
      </c>
      <c r="AB191" s="389"/>
      <c r="AI191" s="313"/>
      <c r="AJ191" s="374"/>
      <c r="AK191" s="374"/>
      <c r="AL191" s="374"/>
      <c r="AM191" s="374"/>
      <c r="AN191" s="296"/>
      <c r="AO191" s="296"/>
      <c r="AP191" s="296"/>
      <c r="AQ191" s="296"/>
      <c r="AR191" s="296"/>
      <c r="AS191" s="296"/>
      <c r="AT191" s="296"/>
      <c r="AU191" s="296"/>
    </row>
    <row r="192" spans="1:47" s="291" customFormat="1" x14ac:dyDescent="0.2">
      <c r="A192" s="423">
        <f t="shared" si="68"/>
        <v>187</v>
      </c>
      <c r="B192" s="721" t="s">
        <v>5377</v>
      </c>
      <c r="C192" s="655">
        <v>520224</v>
      </c>
      <c r="D192" s="658">
        <v>1781</v>
      </c>
      <c r="E192" s="655" t="s">
        <v>690</v>
      </c>
      <c r="F192" s="546">
        <v>2017</v>
      </c>
      <c r="G192" s="659">
        <v>42976</v>
      </c>
      <c r="H192" s="655"/>
      <c r="I192" s="655" t="s">
        <v>5637</v>
      </c>
      <c r="J192" s="712"/>
      <c r="K192" s="655" t="s">
        <v>3858</v>
      </c>
      <c r="L192" s="655" t="s">
        <v>5886</v>
      </c>
      <c r="M192" s="660">
        <v>248134.22</v>
      </c>
      <c r="N192" s="660">
        <v>0</v>
      </c>
      <c r="O192" s="660">
        <v>39701.47</v>
      </c>
      <c r="P192" s="660">
        <v>287835.69</v>
      </c>
      <c r="Q192" s="548"/>
      <c r="R192" s="660">
        <v>247778.87</v>
      </c>
      <c r="S192" s="549">
        <f t="shared" si="67"/>
        <v>40056.820000000007</v>
      </c>
      <c r="T192" s="113" t="s">
        <v>283</v>
      </c>
      <c r="AB192" s="389"/>
      <c r="AI192" s="313"/>
      <c r="AK192" s="296"/>
      <c r="AL192" s="374"/>
      <c r="AM192" s="374"/>
    </row>
    <row r="193" spans="1:45" s="291" customFormat="1" x14ac:dyDescent="0.2">
      <c r="A193" s="423">
        <f t="shared" si="68"/>
        <v>188</v>
      </c>
      <c r="B193" s="721" t="s">
        <v>5381</v>
      </c>
      <c r="C193" s="655">
        <v>520226</v>
      </c>
      <c r="D193" s="658">
        <v>1783</v>
      </c>
      <c r="E193" s="655" t="s">
        <v>692</v>
      </c>
      <c r="F193" s="546">
        <v>2017</v>
      </c>
      <c r="G193" s="659">
        <v>42968</v>
      </c>
      <c r="H193" s="655"/>
      <c r="I193" s="655" t="s">
        <v>5640</v>
      </c>
      <c r="J193" s="712"/>
      <c r="K193" s="655" t="s">
        <v>1745</v>
      </c>
      <c r="L193" s="655" t="s">
        <v>5889</v>
      </c>
      <c r="M193" s="660">
        <v>275293.15999999997</v>
      </c>
      <c r="N193" s="660">
        <v>0</v>
      </c>
      <c r="O193" s="660">
        <v>44046.91</v>
      </c>
      <c r="P193" s="660">
        <v>319340.07</v>
      </c>
      <c r="Q193" s="548"/>
      <c r="R193" s="660">
        <v>264720.34000000003</v>
      </c>
      <c r="S193" s="549">
        <f t="shared" si="67"/>
        <v>54619.729999999981</v>
      </c>
      <c r="T193" s="113" t="s">
        <v>283</v>
      </c>
      <c r="AB193" s="389"/>
      <c r="AI193" s="313"/>
      <c r="AK193" s="296"/>
      <c r="AL193" s="374"/>
      <c r="AM193" s="374"/>
    </row>
    <row r="194" spans="1:45" s="291" customFormat="1" x14ac:dyDescent="0.2">
      <c r="A194" s="423">
        <f t="shared" si="68"/>
        <v>189</v>
      </c>
      <c r="B194" s="721" t="s">
        <v>5395</v>
      </c>
      <c r="C194" s="655">
        <v>520223</v>
      </c>
      <c r="D194" s="658">
        <v>1796</v>
      </c>
      <c r="E194" s="655" t="s">
        <v>689</v>
      </c>
      <c r="F194" s="546">
        <v>2017</v>
      </c>
      <c r="G194" s="659">
        <v>42977</v>
      </c>
      <c r="H194" s="655"/>
      <c r="I194" s="655" t="s">
        <v>5646</v>
      </c>
      <c r="J194" s="712"/>
      <c r="K194" s="655" t="s">
        <v>99</v>
      </c>
      <c r="L194" s="655" t="s">
        <v>5895</v>
      </c>
      <c r="M194" s="660">
        <v>220611.09</v>
      </c>
      <c r="N194" s="660">
        <v>0</v>
      </c>
      <c r="O194" s="660">
        <v>35297.769999999997</v>
      </c>
      <c r="P194" s="660">
        <v>255908.86</v>
      </c>
      <c r="Q194" s="548"/>
      <c r="R194" s="660">
        <v>220255.74</v>
      </c>
      <c r="S194" s="549">
        <f t="shared" si="67"/>
        <v>35653.119999999995</v>
      </c>
      <c r="T194" s="113" t="s">
        <v>283</v>
      </c>
      <c r="AB194" s="389"/>
      <c r="AI194" s="313"/>
      <c r="AJ194" s="374"/>
      <c r="AK194" s="374"/>
      <c r="AL194" s="374"/>
      <c r="AM194" s="374"/>
    </row>
    <row r="195" spans="1:45" s="348" customFormat="1" x14ac:dyDescent="0.2">
      <c r="A195" s="423">
        <f t="shared" si="68"/>
        <v>190</v>
      </c>
      <c r="B195" s="721" t="s">
        <v>5398</v>
      </c>
      <c r="C195" s="655">
        <v>520222</v>
      </c>
      <c r="D195" s="658">
        <v>1797</v>
      </c>
      <c r="E195" s="655" t="s">
        <v>688</v>
      </c>
      <c r="F195" s="546">
        <v>2017</v>
      </c>
      <c r="G195" s="659">
        <v>42968</v>
      </c>
      <c r="H195" s="655"/>
      <c r="I195" s="655" t="s">
        <v>5648</v>
      </c>
      <c r="J195" s="712"/>
      <c r="K195" s="655" t="s">
        <v>3130</v>
      </c>
      <c r="L195" s="655" t="s">
        <v>5897</v>
      </c>
      <c r="M195" s="660">
        <v>212747.97</v>
      </c>
      <c r="N195" s="660">
        <v>0</v>
      </c>
      <c r="O195" s="660">
        <v>34039.67</v>
      </c>
      <c r="P195" s="660">
        <v>246787.64</v>
      </c>
      <c r="Q195" s="548"/>
      <c r="R195" s="660">
        <v>212392.62</v>
      </c>
      <c r="S195" s="549">
        <f t="shared" si="67"/>
        <v>34395.020000000019</v>
      </c>
      <c r="T195" s="113" t="s">
        <v>283</v>
      </c>
      <c r="AB195" s="389"/>
      <c r="AI195" s="363"/>
      <c r="AJ195" s="330"/>
      <c r="AK195" s="330"/>
      <c r="AL195" s="330"/>
      <c r="AM195" s="330"/>
    </row>
    <row r="196" spans="1:45" s="351" customFormat="1" x14ac:dyDescent="0.2">
      <c r="A196" s="423">
        <f t="shared" si="68"/>
        <v>191</v>
      </c>
      <c r="B196" s="721" t="s">
        <v>5400</v>
      </c>
      <c r="C196" s="655">
        <v>520222</v>
      </c>
      <c r="D196" s="658">
        <v>1797</v>
      </c>
      <c r="E196" s="655" t="s">
        <v>688</v>
      </c>
      <c r="F196" s="546">
        <v>2017</v>
      </c>
      <c r="G196" s="659">
        <v>42970</v>
      </c>
      <c r="H196" s="655"/>
      <c r="I196" s="655" t="s">
        <v>5650</v>
      </c>
      <c r="J196" s="712"/>
      <c r="K196" s="655" t="s">
        <v>1189</v>
      </c>
      <c r="L196" s="655" t="s">
        <v>5899</v>
      </c>
      <c r="M196" s="660">
        <v>212747.97</v>
      </c>
      <c r="N196" s="660">
        <v>0</v>
      </c>
      <c r="O196" s="660">
        <v>34039.67</v>
      </c>
      <c r="P196" s="660">
        <v>246787.64</v>
      </c>
      <c r="Q196" s="548"/>
      <c r="R196" s="660">
        <v>212392.62</v>
      </c>
      <c r="S196" s="549">
        <f t="shared" si="67"/>
        <v>34395.020000000019</v>
      </c>
      <c r="T196" s="113" t="s">
        <v>283</v>
      </c>
      <c r="AB196" s="389"/>
      <c r="AI196" s="313"/>
      <c r="AJ196" s="374"/>
      <c r="AK196" s="374"/>
      <c r="AL196" s="374"/>
      <c r="AM196" s="374"/>
      <c r="AN196" s="291"/>
      <c r="AO196" s="291"/>
      <c r="AP196" s="291"/>
      <c r="AQ196" s="291"/>
      <c r="AR196" s="291"/>
      <c r="AS196" s="291"/>
    </row>
    <row r="197" spans="1:45" s="348" customFormat="1" x14ac:dyDescent="0.2">
      <c r="A197" s="423">
        <f t="shared" si="68"/>
        <v>192</v>
      </c>
      <c r="B197" s="721" t="s">
        <v>5401</v>
      </c>
      <c r="C197" s="655">
        <v>520222</v>
      </c>
      <c r="D197" s="658">
        <v>1797</v>
      </c>
      <c r="E197" s="655" t="s">
        <v>688</v>
      </c>
      <c r="F197" s="546">
        <v>2017</v>
      </c>
      <c r="G197" s="659">
        <v>42978</v>
      </c>
      <c r="H197" s="655"/>
      <c r="I197" s="655" t="s">
        <v>5647</v>
      </c>
      <c r="J197" s="712"/>
      <c r="K197" s="655" t="s">
        <v>1146</v>
      </c>
      <c r="L197" s="655" t="s">
        <v>5896</v>
      </c>
      <c r="M197" s="660">
        <v>212747.97</v>
      </c>
      <c r="N197" s="660">
        <v>0</v>
      </c>
      <c r="O197" s="660">
        <v>34039.67</v>
      </c>
      <c r="P197" s="660">
        <v>246787.64</v>
      </c>
      <c r="Q197" s="548"/>
      <c r="R197" s="660">
        <v>212392.62</v>
      </c>
      <c r="S197" s="549">
        <f t="shared" si="67"/>
        <v>34395.020000000019</v>
      </c>
      <c r="T197" s="113" t="s">
        <v>283</v>
      </c>
      <c r="AB197" s="389"/>
      <c r="AI197" s="313"/>
      <c r="AJ197" s="331"/>
      <c r="AK197" s="330"/>
      <c r="AL197" s="330"/>
      <c r="AM197" s="330"/>
    </row>
    <row r="198" spans="1:45" s="291" customFormat="1" x14ac:dyDescent="0.2">
      <c r="A198" s="423">
        <f t="shared" si="68"/>
        <v>193</v>
      </c>
      <c r="B198" s="721" t="s">
        <v>5406</v>
      </c>
      <c r="C198" s="655">
        <v>521702</v>
      </c>
      <c r="D198" s="658">
        <v>2005</v>
      </c>
      <c r="E198" s="655" t="s">
        <v>701</v>
      </c>
      <c r="F198" s="546">
        <v>2017</v>
      </c>
      <c r="G198" s="659">
        <v>42968</v>
      </c>
      <c r="H198" s="655"/>
      <c r="I198" s="655" t="s">
        <v>5655</v>
      </c>
      <c r="J198" s="712"/>
      <c r="K198" s="655" t="s">
        <v>1670</v>
      </c>
      <c r="L198" s="655" t="s">
        <v>5904</v>
      </c>
      <c r="M198" s="660">
        <v>166863.38</v>
      </c>
      <c r="N198" s="660">
        <v>0</v>
      </c>
      <c r="O198" s="660">
        <v>26698.14</v>
      </c>
      <c r="P198" s="660">
        <v>193561.52</v>
      </c>
      <c r="Q198" s="548"/>
      <c r="R198" s="660">
        <v>166862.51999999999</v>
      </c>
      <c r="S198" s="549">
        <f t="shared" ref="S198:S261" si="69">+P198-R198</f>
        <v>26699</v>
      </c>
      <c r="T198" s="113" t="s">
        <v>283</v>
      </c>
      <c r="AB198" s="389"/>
      <c r="AI198" s="313"/>
      <c r="AJ198" s="331"/>
      <c r="AK198" s="374"/>
      <c r="AL198" s="374"/>
      <c r="AM198" s="374"/>
    </row>
    <row r="199" spans="1:45" s="351" customFormat="1" x14ac:dyDescent="0.2">
      <c r="A199" s="423">
        <f t="shared" si="68"/>
        <v>194</v>
      </c>
      <c r="B199" s="721" t="s">
        <v>5408</v>
      </c>
      <c r="C199" s="655">
        <v>521702</v>
      </c>
      <c r="D199" s="658">
        <v>2005</v>
      </c>
      <c r="E199" s="655" t="s">
        <v>701</v>
      </c>
      <c r="F199" s="546">
        <v>2017</v>
      </c>
      <c r="G199" s="659">
        <v>42968</v>
      </c>
      <c r="H199" s="655"/>
      <c r="I199" s="655" t="s">
        <v>5657</v>
      </c>
      <c r="J199" s="712"/>
      <c r="K199" s="655" t="s">
        <v>1670</v>
      </c>
      <c r="L199" s="655" t="s">
        <v>5906</v>
      </c>
      <c r="M199" s="660">
        <v>166863.39000000001</v>
      </c>
      <c r="N199" s="660">
        <v>0</v>
      </c>
      <c r="O199" s="660">
        <v>26698.14</v>
      </c>
      <c r="P199" s="660">
        <v>193561.53</v>
      </c>
      <c r="Q199" s="548"/>
      <c r="R199" s="660">
        <v>166508.04</v>
      </c>
      <c r="S199" s="549">
        <f t="shared" si="69"/>
        <v>27053.489999999991</v>
      </c>
      <c r="T199" s="113" t="s">
        <v>283</v>
      </c>
      <c r="AB199" s="389"/>
      <c r="AI199" s="313"/>
      <c r="AJ199" s="330"/>
      <c r="AK199" s="374"/>
      <c r="AL199" s="374"/>
      <c r="AM199" s="374"/>
      <c r="AN199" s="291"/>
      <c r="AO199" s="291"/>
      <c r="AP199" s="291"/>
      <c r="AQ199" s="291"/>
      <c r="AR199" s="291"/>
      <c r="AS199" s="291"/>
    </row>
    <row r="200" spans="1:45" s="348" customFormat="1" x14ac:dyDescent="0.2">
      <c r="A200" s="423">
        <f t="shared" ref="A200:A263" si="70">+A199+1</f>
        <v>195</v>
      </c>
      <c r="B200" s="721" t="s">
        <v>5409</v>
      </c>
      <c r="C200" s="655">
        <v>521702</v>
      </c>
      <c r="D200" s="658">
        <v>2005</v>
      </c>
      <c r="E200" s="655" t="s">
        <v>701</v>
      </c>
      <c r="F200" s="546">
        <v>2017</v>
      </c>
      <c r="G200" s="659">
        <v>42968</v>
      </c>
      <c r="H200" s="655"/>
      <c r="I200" s="655" t="s">
        <v>5658</v>
      </c>
      <c r="J200" s="712"/>
      <c r="K200" s="655" t="s">
        <v>1670</v>
      </c>
      <c r="L200" s="655" t="s">
        <v>5907</v>
      </c>
      <c r="M200" s="660">
        <v>166863.39000000001</v>
      </c>
      <c r="N200" s="660">
        <v>0</v>
      </c>
      <c r="O200" s="660">
        <v>26698.14</v>
      </c>
      <c r="P200" s="660">
        <v>193561.53</v>
      </c>
      <c r="Q200" s="548"/>
      <c r="R200" s="660">
        <v>166508.04</v>
      </c>
      <c r="S200" s="549">
        <f t="shared" si="69"/>
        <v>27053.489999999991</v>
      </c>
      <c r="T200" s="113" t="s">
        <v>283</v>
      </c>
      <c r="AB200" s="389"/>
      <c r="AI200" s="313"/>
      <c r="AJ200" s="374"/>
      <c r="AK200" s="330"/>
      <c r="AL200" s="330"/>
      <c r="AM200" s="330"/>
    </row>
    <row r="201" spans="1:45" s="291" customFormat="1" x14ac:dyDescent="0.2">
      <c r="A201" s="423">
        <f t="shared" si="70"/>
        <v>196</v>
      </c>
      <c r="B201" s="721" t="s">
        <v>5411</v>
      </c>
      <c r="C201" s="655">
        <v>521702</v>
      </c>
      <c r="D201" s="658">
        <v>2005</v>
      </c>
      <c r="E201" s="655" t="s">
        <v>701</v>
      </c>
      <c r="F201" s="546">
        <v>2017</v>
      </c>
      <c r="G201" s="659">
        <v>42976</v>
      </c>
      <c r="H201" s="655"/>
      <c r="I201" s="655" t="s">
        <v>5660</v>
      </c>
      <c r="J201" s="712"/>
      <c r="K201" s="655" t="s">
        <v>3858</v>
      </c>
      <c r="L201" s="655" t="s">
        <v>5909</v>
      </c>
      <c r="M201" s="660">
        <v>166863.39000000001</v>
      </c>
      <c r="N201" s="660">
        <v>0</v>
      </c>
      <c r="O201" s="660">
        <v>26698.14</v>
      </c>
      <c r="P201" s="660">
        <v>193561.53</v>
      </c>
      <c r="Q201" s="548"/>
      <c r="R201" s="660">
        <v>166508.04</v>
      </c>
      <c r="S201" s="549">
        <f t="shared" si="69"/>
        <v>27053.489999999991</v>
      </c>
      <c r="T201" s="113" t="s">
        <v>283</v>
      </c>
      <c r="AB201" s="389"/>
      <c r="AI201" s="313"/>
      <c r="AJ201" s="331"/>
      <c r="AK201" s="374"/>
      <c r="AL201" s="374"/>
      <c r="AM201" s="374"/>
    </row>
    <row r="202" spans="1:45" s="291" customFormat="1" x14ac:dyDescent="0.2">
      <c r="A202" s="423">
        <f t="shared" si="70"/>
        <v>197</v>
      </c>
      <c r="B202" s="721" t="s">
        <v>5412</v>
      </c>
      <c r="C202" s="655">
        <v>521702</v>
      </c>
      <c r="D202" s="658">
        <v>2005</v>
      </c>
      <c r="E202" s="655" t="s">
        <v>701</v>
      </c>
      <c r="F202" s="546">
        <v>2017</v>
      </c>
      <c r="G202" s="659">
        <v>42978</v>
      </c>
      <c r="H202" s="655"/>
      <c r="I202" s="655" t="s">
        <v>5661</v>
      </c>
      <c r="J202" s="712"/>
      <c r="K202" s="655" t="s">
        <v>5800</v>
      </c>
      <c r="L202" s="655" t="s">
        <v>5910</v>
      </c>
      <c r="M202" s="660">
        <v>166863.39000000001</v>
      </c>
      <c r="N202" s="660">
        <v>0</v>
      </c>
      <c r="O202" s="660">
        <v>26698.14</v>
      </c>
      <c r="P202" s="660">
        <v>193561.53</v>
      </c>
      <c r="Q202" s="548"/>
      <c r="R202" s="660">
        <v>166508.04</v>
      </c>
      <c r="S202" s="549">
        <f t="shared" si="69"/>
        <v>27053.489999999991</v>
      </c>
      <c r="T202" s="113" t="s">
        <v>283</v>
      </c>
      <c r="AB202" s="389"/>
      <c r="AI202" s="313"/>
      <c r="AJ202" s="374"/>
      <c r="AK202" s="374"/>
      <c r="AL202" s="374"/>
      <c r="AM202" s="374"/>
    </row>
    <row r="203" spans="1:45" s="348" customFormat="1" x14ac:dyDescent="0.2">
      <c r="A203" s="423">
        <f t="shared" si="70"/>
        <v>198</v>
      </c>
      <c r="B203" s="721" t="s">
        <v>5438</v>
      </c>
      <c r="C203" s="655">
        <v>521801</v>
      </c>
      <c r="D203" s="658">
        <v>2201</v>
      </c>
      <c r="E203" s="655" t="s">
        <v>704</v>
      </c>
      <c r="F203" s="546">
        <v>2017</v>
      </c>
      <c r="G203" s="659">
        <v>42957</v>
      </c>
      <c r="H203" s="655"/>
      <c r="I203" s="655" t="s">
        <v>5676</v>
      </c>
      <c r="J203" s="712"/>
      <c r="K203" s="655" t="s">
        <v>1704</v>
      </c>
      <c r="L203" s="655" t="s">
        <v>5925</v>
      </c>
      <c r="M203" s="660">
        <v>183988.7</v>
      </c>
      <c r="N203" s="660">
        <v>0</v>
      </c>
      <c r="O203" s="660">
        <v>29438.19</v>
      </c>
      <c r="P203" s="660">
        <v>213426.89</v>
      </c>
      <c r="Q203" s="548"/>
      <c r="R203" s="660">
        <v>183987.84</v>
      </c>
      <c r="S203" s="549">
        <f t="shared" si="69"/>
        <v>29439.050000000017</v>
      </c>
      <c r="T203" s="113" t="s">
        <v>283</v>
      </c>
      <c r="AB203" s="389"/>
      <c r="AI203" s="313"/>
      <c r="AJ203" s="331"/>
      <c r="AK203" s="374"/>
      <c r="AL203" s="374"/>
      <c r="AM203" s="374"/>
      <c r="AN203" s="291"/>
      <c r="AO203" s="291"/>
      <c r="AP203" s="291"/>
      <c r="AQ203" s="291"/>
      <c r="AR203" s="291"/>
      <c r="AS203" s="291"/>
    </row>
    <row r="204" spans="1:45" s="348" customFormat="1" x14ac:dyDescent="0.2">
      <c r="A204" s="423">
        <f t="shared" si="70"/>
        <v>199</v>
      </c>
      <c r="B204" s="721" t="s">
        <v>5443</v>
      </c>
      <c r="C204" s="655">
        <v>521801</v>
      </c>
      <c r="D204" s="658">
        <v>2201</v>
      </c>
      <c r="E204" s="655" t="s">
        <v>704</v>
      </c>
      <c r="F204" s="546">
        <v>2017</v>
      </c>
      <c r="G204" s="659">
        <v>42973</v>
      </c>
      <c r="H204" s="655"/>
      <c r="I204" s="655" t="s">
        <v>5680</v>
      </c>
      <c r="J204" s="712"/>
      <c r="K204" s="655" t="s">
        <v>1706</v>
      </c>
      <c r="L204" s="655" t="s">
        <v>5929</v>
      </c>
      <c r="M204" s="660">
        <v>183986.84</v>
      </c>
      <c r="N204" s="660">
        <v>0</v>
      </c>
      <c r="O204" s="660">
        <v>29437.9</v>
      </c>
      <c r="P204" s="660">
        <v>213424.74</v>
      </c>
      <c r="Q204" s="548"/>
      <c r="R204" s="660">
        <v>183632.36</v>
      </c>
      <c r="S204" s="549">
        <f t="shared" si="69"/>
        <v>29792.380000000005</v>
      </c>
      <c r="T204" s="113" t="s">
        <v>283</v>
      </c>
      <c r="AB204" s="389"/>
      <c r="AI204" s="313"/>
      <c r="AJ204" s="374"/>
      <c r="AK204" s="330"/>
      <c r="AL204" s="330"/>
      <c r="AM204" s="330"/>
    </row>
    <row r="205" spans="1:45" s="348" customFormat="1" x14ac:dyDescent="0.2">
      <c r="A205" s="423">
        <f t="shared" si="70"/>
        <v>200</v>
      </c>
      <c r="B205" s="721" t="s">
        <v>5444</v>
      </c>
      <c r="C205" s="655">
        <v>521801</v>
      </c>
      <c r="D205" s="658">
        <v>2201</v>
      </c>
      <c r="E205" s="655" t="s">
        <v>704</v>
      </c>
      <c r="F205" s="546">
        <v>2017</v>
      </c>
      <c r="G205" s="659">
        <v>42975</v>
      </c>
      <c r="H205" s="655"/>
      <c r="I205" s="655" t="s">
        <v>5681</v>
      </c>
      <c r="J205" s="712"/>
      <c r="K205" s="655" t="s">
        <v>1189</v>
      </c>
      <c r="L205" s="655" t="s">
        <v>5930</v>
      </c>
      <c r="M205" s="660">
        <v>183988.86</v>
      </c>
      <c r="N205" s="660">
        <v>0</v>
      </c>
      <c r="O205" s="660">
        <v>29438.22</v>
      </c>
      <c r="P205" s="660">
        <v>213427.08</v>
      </c>
      <c r="Q205" s="548"/>
      <c r="R205" s="660">
        <v>183988</v>
      </c>
      <c r="S205" s="549">
        <f t="shared" si="69"/>
        <v>29439.079999999987</v>
      </c>
      <c r="T205" s="113" t="s">
        <v>283</v>
      </c>
      <c r="U205" s="360"/>
      <c r="V205" s="360"/>
      <c r="W205" s="358"/>
      <c r="X205" s="331"/>
      <c r="Y205" s="360"/>
      <c r="Z205" s="334"/>
      <c r="AA205" s="334"/>
      <c r="AB205" s="744"/>
      <c r="AC205" s="349"/>
      <c r="AD205" s="335"/>
      <c r="AE205" s="349"/>
      <c r="AF205" s="349"/>
      <c r="AG205" s="349"/>
      <c r="AH205" s="313"/>
      <c r="AI205" s="313"/>
      <c r="AJ205" s="374"/>
      <c r="AK205" s="330"/>
      <c r="AL205" s="330"/>
      <c r="AM205" s="330"/>
    </row>
    <row r="206" spans="1:45" s="348" customFormat="1" x14ac:dyDescent="0.2">
      <c r="A206" s="423">
        <f t="shared" si="70"/>
        <v>201</v>
      </c>
      <c r="B206" s="721" t="s">
        <v>5448</v>
      </c>
      <c r="C206" s="655">
        <v>521801</v>
      </c>
      <c r="D206" s="658">
        <v>2201</v>
      </c>
      <c r="E206" s="655" t="s">
        <v>704</v>
      </c>
      <c r="F206" s="546">
        <v>2017</v>
      </c>
      <c r="G206" s="659">
        <v>42978</v>
      </c>
      <c r="H206" s="655"/>
      <c r="I206" s="655" t="s">
        <v>5678</v>
      </c>
      <c r="J206" s="712"/>
      <c r="K206" s="655" t="s">
        <v>1688</v>
      </c>
      <c r="L206" s="655" t="s">
        <v>5927</v>
      </c>
      <c r="M206" s="660">
        <v>183988.72</v>
      </c>
      <c r="N206" s="660">
        <v>0</v>
      </c>
      <c r="O206" s="660">
        <v>29438.2</v>
      </c>
      <c r="P206" s="660">
        <v>213426.92</v>
      </c>
      <c r="Q206" s="548"/>
      <c r="R206" s="660">
        <v>183987.86</v>
      </c>
      <c r="S206" s="549">
        <f t="shared" si="69"/>
        <v>29439.060000000027</v>
      </c>
      <c r="T206" s="113" t="s">
        <v>283</v>
      </c>
      <c r="U206" s="370"/>
      <c r="V206" s="370"/>
      <c r="W206" s="375"/>
      <c r="X206" s="374"/>
      <c r="Y206" s="370"/>
      <c r="Z206" s="371"/>
      <c r="AA206" s="371"/>
      <c r="AB206" s="744"/>
      <c r="AC206" s="270"/>
      <c r="AD206" s="372"/>
      <c r="AE206" s="270"/>
      <c r="AF206" s="270"/>
      <c r="AG206" s="270"/>
      <c r="AH206" s="313"/>
      <c r="AI206" s="313"/>
      <c r="AJ206" s="374"/>
      <c r="AK206" s="330"/>
      <c r="AL206" s="330"/>
      <c r="AM206" s="330"/>
    </row>
    <row r="207" spans="1:45" s="353" customFormat="1" x14ac:dyDescent="0.2">
      <c r="A207" s="423">
        <f t="shared" si="70"/>
        <v>202</v>
      </c>
      <c r="B207" s="721" t="s">
        <v>5449</v>
      </c>
      <c r="C207" s="655">
        <v>521801</v>
      </c>
      <c r="D207" s="658">
        <v>2201</v>
      </c>
      <c r="E207" s="655" t="s">
        <v>704</v>
      </c>
      <c r="F207" s="546">
        <v>2017</v>
      </c>
      <c r="G207" s="659">
        <v>42978</v>
      </c>
      <c r="H207" s="655"/>
      <c r="I207" s="655" t="s">
        <v>5683</v>
      </c>
      <c r="J207" s="712"/>
      <c r="K207" s="655" t="s">
        <v>1144</v>
      </c>
      <c r="L207" s="655" t="s">
        <v>5932</v>
      </c>
      <c r="M207" s="660">
        <v>-183987.71</v>
      </c>
      <c r="N207" s="660">
        <v>0</v>
      </c>
      <c r="O207" s="660">
        <v>-29438.03</v>
      </c>
      <c r="P207" s="660">
        <v>-213425.74</v>
      </c>
      <c r="Q207" s="548"/>
      <c r="R207" s="660">
        <v>-183986.84</v>
      </c>
      <c r="S207" s="549">
        <f t="shared" si="69"/>
        <v>-29438.899999999994</v>
      </c>
      <c r="T207" s="113" t="s">
        <v>283</v>
      </c>
      <c r="U207" s="370"/>
      <c r="V207" s="370"/>
      <c r="W207" s="375"/>
      <c r="X207" s="374"/>
      <c r="Y207" s="370"/>
      <c r="Z207" s="371"/>
      <c r="AA207" s="371"/>
      <c r="AB207" s="744"/>
      <c r="AC207" s="270"/>
      <c r="AD207" s="372"/>
      <c r="AE207" s="270"/>
      <c r="AF207" s="270"/>
      <c r="AG207" s="270"/>
      <c r="AH207" s="313"/>
      <c r="AI207" s="313"/>
      <c r="AJ207" s="374"/>
      <c r="AK207" s="374"/>
      <c r="AL207" s="374"/>
      <c r="AM207" s="374"/>
      <c r="AN207" s="296"/>
      <c r="AO207" s="296"/>
      <c r="AP207" s="296"/>
      <c r="AQ207" s="296"/>
      <c r="AR207" s="296"/>
      <c r="AS207" s="296"/>
    </row>
    <row r="208" spans="1:45" s="291" customFormat="1" x14ac:dyDescent="0.2">
      <c r="A208" s="423">
        <f t="shared" si="70"/>
        <v>203</v>
      </c>
      <c r="B208" s="721" t="s">
        <v>5450</v>
      </c>
      <c r="C208" s="655">
        <v>521801</v>
      </c>
      <c r="D208" s="658">
        <v>2201</v>
      </c>
      <c r="E208" s="655" t="s">
        <v>704</v>
      </c>
      <c r="F208" s="546">
        <v>2017</v>
      </c>
      <c r="G208" s="659">
        <v>42978</v>
      </c>
      <c r="H208" s="655"/>
      <c r="I208" s="655" t="s">
        <v>5683</v>
      </c>
      <c r="J208" s="712"/>
      <c r="K208" s="655" t="s">
        <v>1144</v>
      </c>
      <c r="L208" s="655" t="s">
        <v>5932</v>
      </c>
      <c r="M208" s="660">
        <v>183987.71</v>
      </c>
      <c r="N208" s="660">
        <v>0</v>
      </c>
      <c r="O208" s="660">
        <v>29438.03</v>
      </c>
      <c r="P208" s="660">
        <v>213425.74</v>
      </c>
      <c r="Q208" s="548"/>
      <c r="R208" s="660">
        <v>183986.84</v>
      </c>
      <c r="S208" s="549">
        <f t="shared" si="69"/>
        <v>29438.899999999994</v>
      </c>
      <c r="T208" s="113" t="s">
        <v>283</v>
      </c>
      <c r="U208" s="354"/>
      <c r="V208" s="354"/>
      <c r="W208" s="355"/>
      <c r="X208" s="330"/>
      <c r="Y208" s="354"/>
      <c r="Z208" s="328"/>
      <c r="AA208" s="328"/>
      <c r="AB208" s="744"/>
      <c r="AC208" s="346"/>
      <c r="AD208" s="333"/>
      <c r="AE208" s="346"/>
      <c r="AF208" s="346"/>
      <c r="AG208" s="346"/>
      <c r="AH208" s="313"/>
      <c r="AI208" s="313"/>
      <c r="AJ208" s="374"/>
      <c r="AK208" s="374"/>
      <c r="AL208" s="374"/>
      <c r="AM208" s="374"/>
    </row>
    <row r="209" spans="1:39" s="291" customFormat="1" x14ac:dyDescent="0.2">
      <c r="A209" s="423">
        <f t="shared" si="70"/>
        <v>204</v>
      </c>
      <c r="B209" s="721" t="s">
        <v>5451</v>
      </c>
      <c r="C209" s="655">
        <v>521801</v>
      </c>
      <c r="D209" s="658">
        <v>2201</v>
      </c>
      <c r="E209" s="655" t="s">
        <v>704</v>
      </c>
      <c r="F209" s="546">
        <v>2017</v>
      </c>
      <c r="G209" s="659">
        <v>42978</v>
      </c>
      <c r="H209" s="655"/>
      <c r="I209" s="655" t="s">
        <v>5683</v>
      </c>
      <c r="J209" s="712"/>
      <c r="K209" s="655" t="s">
        <v>392</v>
      </c>
      <c r="L209" s="655" t="s">
        <v>5932</v>
      </c>
      <c r="M209" s="660">
        <v>183987.71</v>
      </c>
      <c r="N209" s="660">
        <v>0</v>
      </c>
      <c r="O209" s="660">
        <v>29438.03</v>
      </c>
      <c r="P209" s="660">
        <v>213425.74</v>
      </c>
      <c r="Q209" s="548"/>
      <c r="R209" s="660">
        <v>183986.84</v>
      </c>
      <c r="S209" s="549">
        <f t="shared" si="69"/>
        <v>29438.899999999994</v>
      </c>
      <c r="T209" s="113" t="s">
        <v>283</v>
      </c>
      <c r="U209" s="360"/>
      <c r="V209" s="360"/>
      <c r="W209" s="358"/>
      <c r="X209" s="331"/>
      <c r="Y209" s="360"/>
      <c r="Z209" s="334"/>
      <c r="AA209" s="334"/>
      <c r="AB209" s="744"/>
      <c r="AC209" s="349"/>
      <c r="AD209" s="335"/>
      <c r="AE209" s="349"/>
      <c r="AF209" s="349"/>
      <c r="AG209" s="349"/>
      <c r="AH209" s="313"/>
      <c r="AI209" s="313"/>
      <c r="AJ209" s="374"/>
      <c r="AK209" s="374"/>
      <c r="AL209" s="374"/>
      <c r="AM209" s="374"/>
    </row>
    <row r="210" spans="1:39" s="291" customFormat="1" x14ac:dyDescent="0.2">
      <c r="A210" s="423">
        <f t="shared" si="70"/>
        <v>205</v>
      </c>
      <c r="B210" s="721" t="s">
        <v>5460</v>
      </c>
      <c r="C210" s="655">
        <v>521802</v>
      </c>
      <c r="D210" s="658">
        <v>2202</v>
      </c>
      <c r="E210" s="655" t="s">
        <v>703</v>
      </c>
      <c r="F210" s="546">
        <v>2017</v>
      </c>
      <c r="G210" s="659">
        <v>42957</v>
      </c>
      <c r="H210" s="655"/>
      <c r="I210" s="655" t="s">
        <v>5687</v>
      </c>
      <c r="J210" s="712"/>
      <c r="K210" s="655" t="s">
        <v>1149</v>
      </c>
      <c r="L210" s="655" t="s">
        <v>5936</v>
      </c>
      <c r="M210" s="660">
        <v>188023.18</v>
      </c>
      <c r="N210" s="660">
        <v>0</v>
      </c>
      <c r="O210" s="660">
        <v>30083.71</v>
      </c>
      <c r="P210" s="660">
        <v>218106.89</v>
      </c>
      <c r="Q210" s="548"/>
      <c r="R210" s="660">
        <v>188022.32</v>
      </c>
      <c r="S210" s="549">
        <f t="shared" si="69"/>
        <v>30084.570000000007</v>
      </c>
      <c r="T210" s="113" t="s">
        <v>283</v>
      </c>
      <c r="U210" s="360"/>
      <c r="V210" s="360"/>
      <c r="W210" s="358"/>
      <c r="X210" s="331"/>
      <c r="Y210" s="360"/>
      <c r="Z210" s="334"/>
      <c r="AA210" s="334"/>
      <c r="AB210" s="744"/>
      <c r="AC210" s="349"/>
      <c r="AD210" s="335"/>
      <c r="AE210" s="349"/>
      <c r="AF210" s="349"/>
      <c r="AG210" s="349"/>
      <c r="AH210" s="363"/>
      <c r="AI210" s="363"/>
      <c r="AJ210" s="374"/>
      <c r="AK210" s="374"/>
      <c r="AL210" s="374"/>
      <c r="AM210" s="374"/>
    </row>
    <row r="211" spans="1:39" s="348" customFormat="1" x14ac:dyDescent="0.2">
      <c r="A211" s="423">
        <f t="shared" si="70"/>
        <v>206</v>
      </c>
      <c r="B211" s="721" t="s">
        <v>5465</v>
      </c>
      <c r="C211" s="655">
        <v>521802</v>
      </c>
      <c r="D211" s="658">
        <v>2202</v>
      </c>
      <c r="E211" s="655" t="s">
        <v>703</v>
      </c>
      <c r="F211" s="546">
        <v>2017</v>
      </c>
      <c r="G211" s="659">
        <v>42975</v>
      </c>
      <c r="H211" s="655"/>
      <c r="I211" s="655" t="s">
        <v>5691</v>
      </c>
      <c r="J211" s="712"/>
      <c r="K211" s="655" t="s">
        <v>59</v>
      </c>
      <c r="L211" s="655" t="s">
        <v>5940</v>
      </c>
      <c r="M211" s="660">
        <v>188023.04000000001</v>
      </c>
      <c r="N211" s="660">
        <v>0</v>
      </c>
      <c r="O211" s="660">
        <v>30083.69</v>
      </c>
      <c r="P211" s="660">
        <v>218106.73</v>
      </c>
      <c r="Q211" s="548"/>
      <c r="R211" s="660">
        <v>188022.18</v>
      </c>
      <c r="S211" s="549">
        <f t="shared" si="69"/>
        <v>30084.550000000017</v>
      </c>
      <c r="T211" s="113" t="s">
        <v>283</v>
      </c>
      <c r="U211" s="360"/>
      <c r="V211" s="360"/>
      <c r="W211" s="358"/>
      <c r="X211" s="331"/>
      <c r="Y211" s="360"/>
      <c r="Z211" s="334"/>
      <c r="AA211" s="334"/>
      <c r="AB211" s="744"/>
      <c r="AC211" s="349"/>
      <c r="AD211" s="335"/>
      <c r="AE211" s="349"/>
      <c r="AF211" s="349"/>
      <c r="AG211" s="349"/>
      <c r="AH211" s="272"/>
      <c r="AI211" s="313"/>
      <c r="AJ211" s="331"/>
      <c r="AK211" s="330"/>
      <c r="AL211" s="330"/>
      <c r="AM211" s="330"/>
    </row>
    <row r="212" spans="1:39" s="291" customFormat="1" x14ac:dyDescent="0.2">
      <c r="A212" s="423">
        <f t="shared" si="70"/>
        <v>207</v>
      </c>
      <c r="B212" s="721" t="s">
        <v>5469</v>
      </c>
      <c r="C212" s="655">
        <v>521802</v>
      </c>
      <c r="D212" s="658">
        <v>2202</v>
      </c>
      <c r="E212" s="655" t="s">
        <v>703</v>
      </c>
      <c r="F212" s="546">
        <v>2017</v>
      </c>
      <c r="G212" s="659">
        <v>42978</v>
      </c>
      <c r="H212" s="655"/>
      <c r="I212" s="655" t="s">
        <v>5693</v>
      </c>
      <c r="J212" s="712"/>
      <c r="K212" s="655" t="s">
        <v>1745</v>
      </c>
      <c r="L212" s="655" t="s">
        <v>5942</v>
      </c>
      <c r="M212" s="660">
        <v>188022.18</v>
      </c>
      <c r="N212" s="660">
        <v>0</v>
      </c>
      <c r="O212" s="660">
        <v>30083.55</v>
      </c>
      <c r="P212" s="660">
        <v>218105.73</v>
      </c>
      <c r="Q212" s="548"/>
      <c r="R212" s="660">
        <v>188021.32</v>
      </c>
      <c r="S212" s="549">
        <f t="shared" si="69"/>
        <v>30084.410000000003</v>
      </c>
      <c r="T212" s="113" t="s">
        <v>283</v>
      </c>
      <c r="U212" s="370"/>
      <c r="V212" s="370"/>
      <c r="W212" s="375"/>
      <c r="X212" s="374"/>
      <c r="Y212" s="370"/>
      <c r="Z212" s="371"/>
      <c r="AA212" s="371"/>
      <c r="AB212" s="744"/>
      <c r="AC212" s="270"/>
      <c r="AD212" s="372"/>
      <c r="AE212" s="270"/>
      <c r="AF212" s="270"/>
      <c r="AG212" s="270"/>
      <c r="AH212" s="347"/>
      <c r="AI212" s="363"/>
      <c r="AJ212" s="331"/>
      <c r="AK212" s="374"/>
      <c r="AL212" s="374"/>
      <c r="AM212" s="374"/>
    </row>
    <row r="213" spans="1:39" s="291" customFormat="1" x14ac:dyDescent="0.2">
      <c r="A213" s="423">
        <f t="shared" si="70"/>
        <v>208</v>
      </c>
      <c r="B213" s="721" t="s">
        <v>5471</v>
      </c>
      <c r="C213" s="655">
        <v>1520701</v>
      </c>
      <c r="D213" s="658">
        <v>2203</v>
      </c>
      <c r="E213" s="655" t="s">
        <v>719</v>
      </c>
      <c r="F213" s="546">
        <v>2017</v>
      </c>
      <c r="G213" s="659">
        <v>42970</v>
      </c>
      <c r="H213" s="655"/>
      <c r="I213" s="655" t="s">
        <v>5695</v>
      </c>
      <c r="J213" s="712"/>
      <c r="K213" s="655" t="s">
        <v>1670</v>
      </c>
      <c r="L213" s="655" t="s">
        <v>5944</v>
      </c>
      <c r="M213" s="660">
        <v>163660.10999999999</v>
      </c>
      <c r="N213" s="660">
        <v>0</v>
      </c>
      <c r="O213" s="660">
        <v>26185.62</v>
      </c>
      <c r="P213" s="660">
        <v>189845.73</v>
      </c>
      <c r="Q213" s="548"/>
      <c r="R213" s="660">
        <v>163304.76999999999</v>
      </c>
      <c r="S213" s="549">
        <f t="shared" si="69"/>
        <v>26540.960000000021</v>
      </c>
      <c r="T213" s="113" t="s">
        <v>283</v>
      </c>
      <c r="U213" s="360"/>
      <c r="V213" s="360"/>
      <c r="W213" s="358"/>
      <c r="X213" s="331"/>
      <c r="Y213" s="360"/>
      <c r="Z213" s="334"/>
      <c r="AA213" s="334"/>
      <c r="AB213" s="744"/>
      <c r="AC213" s="349"/>
      <c r="AD213" s="335"/>
      <c r="AE213" s="349"/>
      <c r="AF213" s="349"/>
      <c r="AG213" s="349"/>
      <c r="AH213" s="350"/>
      <c r="AI213" s="313"/>
      <c r="AJ213" s="331"/>
      <c r="AK213" s="374"/>
      <c r="AL213" s="374"/>
      <c r="AM213" s="374"/>
    </row>
    <row r="214" spans="1:39" s="291" customFormat="1" x14ac:dyDescent="0.2">
      <c r="A214" s="423">
        <f t="shared" si="70"/>
        <v>209</v>
      </c>
      <c r="B214" s="721" t="s">
        <v>5473</v>
      </c>
      <c r="C214" s="655">
        <v>521802</v>
      </c>
      <c r="D214" s="658">
        <v>2204</v>
      </c>
      <c r="E214" s="655" t="s">
        <v>705</v>
      </c>
      <c r="F214" s="546">
        <v>2017</v>
      </c>
      <c r="G214" s="659">
        <v>42978</v>
      </c>
      <c r="H214" s="655"/>
      <c r="I214" s="655" t="s">
        <v>5697</v>
      </c>
      <c r="J214" s="712"/>
      <c r="K214" s="655" t="s">
        <v>1147</v>
      </c>
      <c r="L214" s="655" t="s">
        <v>5946</v>
      </c>
      <c r="M214" s="660">
        <v>208375.12</v>
      </c>
      <c r="N214" s="660">
        <v>0</v>
      </c>
      <c r="O214" s="660">
        <v>33340.019999999997</v>
      </c>
      <c r="P214" s="660">
        <v>241715.14</v>
      </c>
      <c r="Q214" s="548"/>
      <c r="R214" s="660">
        <v>208374.26</v>
      </c>
      <c r="S214" s="549">
        <f t="shared" si="69"/>
        <v>33340.880000000005</v>
      </c>
      <c r="T214" s="113" t="s">
        <v>283</v>
      </c>
      <c r="U214" s="370"/>
      <c r="V214" s="370"/>
      <c r="W214" s="375"/>
      <c r="X214" s="374"/>
      <c r="Y214" s="370"/>
      <c r="Z214" s="371"/>
      <c r="AA214" s="371"/>
      <c r="AB214" s="744"/>
      <c r="AC214" s="270"/>
      <c r="AD214" s="372"/>
      <c r="AE214" s="270"/>
      <c r="AF214" s="270"/>
      <c r="AG214" s="270"/>
      <c r="AH214" s="272"/>
      <c r="AI214" s="313"/>
      <c r="AJ214" s="331"/>
      <c r="AK214" s="374"/>
      <c r="AL214" s="374"/>
      <c r="AM214" s="374"/>
    </row>
    <row r="215" spans="1:39" s="291" customFormat="1" x14ac:dyDescent="0.2">
      <c r="A215" s="423">
        <f t="shared" si="70"/>
        <v>210</v>
      </c>
      <c r="B215" s="721" t="s">
        <v>5484</v>
      </c>
      <c r="C215" s="655">
        <v>520814</v>
      </c>
      <c r="D215" s="658">
        <v>4493</v>
      </c>
      <c r="E215" s="655" t="s">
        <v>693</v>
      </c>
      <c r="F215" s="546">
        <v>2017</v>
      </c>
      <c r="G215" s="659">
        <v>42956</v>
      </c>
      <c r="H215" s="655"/>
      <c r="I215" s="655" t="s">
        <v>5703</v>
      </c>
      <c r="J215" s="712"/>
      <c r="K215" s="655" t="s">
        <v>99</v>
      </c>
      <c r="L215" s="655" t="s">
        <v>5952</v>
      </c>
      <c r="M215" s="660">
        <v>277001.46999999997</v>
      </c>
      <c r="N215" s="660">
        <v>0</v>
      </c>
      <c r="O215" s="660">
        <v>44320.23</v>
      </c>
      <c r="P215" s="660">
        <v>321321.7</v>
      </c>
      <c r="Q215" s="548"/>
      <c r="R215" s="660">
        <v>276646.12</v>
      </c>
      <c r="S215" s="549">
        <f t="shared" si="69"/>
        <v>44675.580000000016</v>
      </c>
      <c r="T215" s="113" t="s">
        <v>283</v>
      </c>
      <c r="U215" s="370"/>
      <c r="V215" s="370"/>
      <c r="W215" s="375"/>
      <c r="X215" s="374"/>
      <c r="Y215" s="370"/>
      <c r="Z215" s="371"/>
      <c r="AA215" s="371"/>
      <c r="AB215" s="744"/>
      <c r="AC215" s="270"/>
      <c r="AD215" s="372"/>
      <c r="AE215" s="270"/>
      <c r="AF215" s="270"/>
      <c r="AG215" s="270"/>
      <c r="AH215" s="272"/>
      <c r="AI215" s="313"/>
      <c r="AJ215" s="331"/>
      <c r="AK215" s="374"/>
      <c r="AL215" s="374"/>
      <c r="AM215" s="374"/>
    </row>
    <row r="216" spans="1:39" s="291" customFormat="1" x14ac:dyDescent="0.2">
      <c r="A216" s="423">
        <f t="shared" si="70"/>
        <v>211</v>
      </c>
      <c r="B216" s="721" t="s">
        <v>5486</v>
      </c>
      <c r="C216" s="655">
        <v>520814</v>
      </c>
      <c r="D216" s="658">
        <v>4493</v>
      </c>
      <c r="E216" s="655" t="s">
        <v>693</v>
      </c>
      <c r="F216" s="546">
        <v>2017</v>
      </c>
      <c r="G216" s="659">
        <v>42969</v>
      </c>
      <c r="H216" s="655"/>
      <c r="I216" s="655" t="s">
        <v>5705</v>
      </c>
      <c r="J216" s="712"/>
      <c r="K216" s="655" t="s">
        <v>1147</v>
      </c>
      <c r="L216" s="655" t="s">
        <v>5954</v>
      </c>
      <c r="M216" s="660">
        <v>269502.33</v>
      </c>
      <c r="N216" s="660">
        <v>0</v>
      </c>
      <c r="O216" s="660">
        <v>43120.37</v>
      </c>
      <c r="P216" s="660">
        <v>312622.7</v>
      </c>
      <c r="Q216" s="548"/>
      <c r="R216" s="660">
        <v>269501.46999999997</v>
      </c>
      <c r="S216" s="549">
        <f t="shared" si="69"/>
        <v>43121.23000000004</v>
      </c>
      <c r="T216" s="113" t="s">
        <v>283</v>
      </c>
      <c r="U216" s="360"/>
      <c r="V216" s="360"/>
      <c r="W216" s="358"/>
      <c r="X216" s="331"/>
      <c r="Y216" s="360"/>
      <c r="Z216" s="334"/>
      <c r="AA216" s="334"/>
      <c r="AB216" s="744"/>
      <c r="AC216" s="349"/>
      <c r="AD216" s="335"/>
      <c r="AE216" s="349"/>
      <c r="AF216" s="349"/>
      <c r="AG216" s="349"/>
      <c r="AH216" s="350"/>
      <c r="AI216" s="365"/>
      <c r="AJ216" s="331"/>
      <c r="AK216" s="374"/>
      <c r="AL216" s="374"/>
      <c r="AM216" s="374"/>
    </row>
    <row r="217" spans="1:39" s="291" customFormat="1" x14ac:dyDescent="0.2">
      <c r="A217" s="423">
        <f t="shared" si="70"/>
        <v>212</v>
      </c>
      <c r="B217" s="721" t="s">
        <v>5487</v>
      </c>
      <c r="C217" s="655">
        <v>520814</v>
      </c>
      <c r="D217" s="658">
        <v>4493</v>
      </c>
      <c r="E217" s="655" t="s">
        <v>693</v>
      </c>
      <c r="F217" s="546">
        <v>2017</v>
      </c>
      <c r="G217" s="659">
        <v>42970</v>
      </c>
      <c r="H217" s="655"/>
      <c r="I217" s="655" t="s">
        <v>5705</v>
      </c>
      <c r="J217" s="712"/>
      <c r="K217" s="655" t="s">
        <v>1147</v>
      </c>
      <c r="L217" s="655" t="s">
        <v>5954</v>
      </c>
      <c r="M217" s="660">
        <v>-269502.33</v>
      </c>
      <c r="N217" s="660">
        <v>0</v>
      </c>
      <c r="O217" s="660">
        <v>-43120.37</v>
      </c>
      <c r="P217" s="660">
        <v>-312622.7</v>
      </c>
      <c r="Q217" s="548"/>
      <c r="R217" s="660">
        <v>-269501.46999999997</v>
      </c>
      <c r="S217" s="549">
        <f t="shared" si="69"/>
        <v>-43121.23000000004</v>
      </c>
      <c r="T217" s="113" t="s">
        <v>283</v>
      </c>
      <c r="U217" s="360"/>
      <c r="V217" s="360"/>
      <c r="W217" s="358"/>
      <c r="X217" s="331"/>
      <c r="Y217" s="360"/>
      <c r="Z217" s="334"/>
      <c r="AA217" s="334"/>
      <c r="AB217" s="744"/>
      <c r="AC217" s="349"/>
      <c r="AD217" s="335"/>
      <c r="AE217" s="349"/>
      <c r="AF217" s="349"/>
      <c r="AG217" s="349"/>
      <c r="AH217" s="350"/>
      <c r="AI217" s="365"/>
      <c r="AJ217" s="331"/>
      <c r="AK217" s="374"/>
      <c r="AL217" s="374"/>
      <c r="AM217" s="374"/>
    </row>
    <row r="218" spans="1:39" s="291" customFormat="1" x14ac:dyDescent="0.2">
      <c r="A218" s="423">
        <f t="shared" si="70"/>
        <v>213</v>
      </c>
      <c r="B218" s="721" t="s">
        <v>5488</v>
      </c>
      <c r="C218" s="655">
        <v>520814</v>
      </c>
      <c r="D218" s="658">
        <v>4493</v>
      </c>
      <c r="E218" s="655" t="s">
        <v>693</v>
      </c>
      <c r="F218" s="546">
        <v>2017</v>
      </c>
      <c r="G218" s="659">
        <v>42970</v>
      </c>
      <c r="H218" s="655"/>
      <c r="I218" s="655" t="s">
        <v>5705</v>
      </c>
      <c r="J218" s="712"/>
      <c r="K218" s="655" t="s">
        <v>1147</v>
      </c>
      <c r="L218" s="655" t="s">
        <v>5954</v>
      </c>
      <c r="M218" s="660">
        <v>269502.33</v>
      </c>
      <c r="N218" s="660">
        <v>0</v>
      </c>
      <c r="O218" s="660">
        <v>43120.37</v>
      </c>
      <c r="P218" s="660">
        <v>312622.7</v>
      </c>
      <c r="Q218" s="548"/>
      <c r="R218" s="660">
        <v>269501.46999999997</v>
      </c>
      <c r="S218" s="549">
        <f t="shared" si="69"/>
        <v>43121.23000000004</v>
      </c>
      <c r="T218" s="113" t="s">
        <v>283</v>
      </c>
      <c r="U218" s="354"/>
      <c r="V218" s="354"/>
      <c r="W218" s="355"/>
      <c r="X218" s="330"/>
      <c r="Y218" s="354"/>
      <c r="Z218" s="328"/>
      <c r="AA218" s="328"/>
      <c r="AB218" s="744"/>
      <c r="AC218" s="346"/>
      <c r="AD218" s="333"/>
      <c r="AE218" s="346"/>
      <c r="AF218" s="346"/>
      <c r="AG218" s="346"/>
      <c r="AH218" s="272"/>
      <c r="AI218" s="313"/>
      <c r="AJ218" s="331"/>
      <c r="AK218" s="374"/>
      <c r="AL218" s="374"/>
      <c r="AM218" s="374"/>
    </row>
    <row r="219" spans="1:39" s="291" customFormat="1" x14ac:dyDescent="0.2">
      <c r="A219" s="423">
        <f t="shared" si="70"/>
        <v>214</v>
      </c>
      <c r="B219" s="721" t="s">
        <v>5490</v>
      </c>
      <c r="C219" s="655">
        <v>520814</v>
      </c>
      <c r="D219" s="658">
        <v>4493</v>
      </c>
      <c r="E219" s="655" t="s">
        <v>693</v>
      </c>
      <c r="F219" s="546">
        <v>2017</v>
      </c>
      <c r="G219" s="659">
        <v>42976</v>
      </c>
      <c r="H219" s="655"/>
      <c r="I219" s="655" t="s">
        <v>5707</v>
      </c>
      <c r="J219" s="712"/>
      <c r="K219" s="655" t="s">
        <v>1672</v>
      </c>
      <c r="L219" s="655" t="s">
        <v>5956</v>
      </c>
      <c r="M219" s="660">
        <v>277002.33</v>
      </c>
      <c r="N219" s="660">
        <v>0</v>
      </c>
      <c r="O219" s="660">
        <v>44320.37</v>
      </c>
      <c r="P219" s="660">
        <v>321322.7</v>
      </c>
      <c r="Q219" s="548"/>
      <c r="R219" s="660">
        <v>277001.46999999997</v>
      </c>
      <c r="S219" s="549">
        <f t="shared" si="69"/>
        <v>44321.23000000004</v>
      </c>
      <c r="T219" s="113" t="s">
        <v>283</v>
      </c>
      <c r="U219" s="370"/>
      <c r="V219" s="370"/>
      <c r="W219" s="375"/>
      <c r="X219" s="374"/>
      <c r="Y219" s="370"/>
      <c r="Z219" s="371"/>
      <c r="AA219" s="371"/>
      <c r="AB219" s="744"/>
      <c r="AC219" s="270"/>
      <c r="AD219" s="372"/>
      <c r="AE219" s="270"/>
      <c r="AF219" s="270"/>
      <c r="AG219" s="270"/>
      <c r="AH219" s="272"/>
      <c r="AI219" s="313"/>
      <c r="AJ219" s="331"/>
      <c r="AK219" s="374"/>
      <c r="AL219" s="374"/>
      <c r="AM219" s="374"/>
    </row>
    <row r="220" spans="1:39" s="291" customFormat="1" x14ac:dyDescent="0.2">
      <c r="A220" s="423">
        <f t="shared" si="70"/>
        <v>215</v>
      </c>
      <c r="B220" s="721" t="s">
        <v>5491</v>
      </c>
      <c r="C220" s="655">
        <v>520814</v>
      </c>
      <c r="D220" s="658">
        <v>4493</v>
      </c>
      <c r="E220" s="655" t="s">
        <v>693</v>
      </c>
      <c r="F220" s="546">
        <v>2017</v>
      </c>
      <c r="G220" s="659">
        <v>42978</v>
      </c>
      <c r="H220" s="655"/>
      <c r="I220" s="655" t="s">
        <v>5708</v>
      </c>
      <c r="J220" s="712"/>
      <c r="K220" s="655" t="s">
        <v>2404</v>
      </c>
      <c r="L220" s="655" t="s">
        <v>5957</v>
      </c>
      <c r="M220" s="660">
        <v>277002.33</v>
      </c>
      <c r="N220" s="660">
        <v>0</v>
      </c>
      <c r="O220" s="660">
        <v>44320.37</v>
      </c>
      <c r="P220" s="660">
        <v>321322.7</v>
      </c>
      <c r="Q220" s="548"/>
      <c r="R220" s="660">
        <v>277001.46999999997</v>
      </c>
      <c r="S220" s="549">
        <f t="shared" si="69"/>
        <v>44321.23000000004</v>
      </c>
      <c r="T220" s="113" t="s">
        <v>283</v>
      </c>
      <c r="U220" s="360"/>
      <c r="V220" s="360"/>
      <c r="W220" s="358"/>
      <c r="X220" s="331"/>
      <c r="Y220" s="360"/>
      <c r="Z220" s="334"/>
      <c r="AA220" s="334"/>
      <c r="AB220" s="744"/>
      <c r="AC220" s="349"/>
      <c r="AD220" s="335"/>
      <c r="AE220" s="349"/>
      <c r="AF220" s="349"/>
      <c r="AG220" s="349"/>
      <c r="AH220" s="350"/>
      <c r="AI220" s="365"/>
      <c r="AJ220" s="331"/>
      <c r="AK220" s="374"/>
      <c r="AL220" s="374"/>
      <c r="AM220" s="374"/>
    </row>
    <row r="221" spans="1:39" s="291" customFormat="1" x14ac:dyDescent="0.2">
      <c r="A221" s="423">
        <f t="shared" si="70"/>
        <v>216</v>
      </c>
      <c r="B221" s="721" t="s">
        <v>5505</v>
      </c>
      <c r="C221" s="655">
        <v>520816</v>
      </c>
      <c r="D221" s="658">
        <v>4497</v>
      </c>
      <c r="E221" s="655" t="s">
        <v>695</v>
      </c>
      <c r="F221" s="546">
        <v>2017</v>
      </c>
      <c r="G221" s="659">
        <v>42962</v>
      </c>
      <c r="H221" s="655"/>
      <c r="I221" s="655" t="s">
        <v>5712</v>
      </c>
      <c r="J221" s="712"/>
      <c r="K221" s="655" t="s">
        <v>99</v>
      </c>
      <c r="L221" s="655" t="s">
        <v>5961</v>
      </c>
      <c r="M221" s="660">
        <v>376786.6</v>
      </c>
      <c r="N221" s="660">
        <v>0</v>
      </c>
      <c r="O221" s="660">
        <v>60285.86</v>
      </c>
      <c r="P221" s="660">
        <v>437072.46</v>
      </c>
      <c r="Q221" s="548"/>
      <c r="R221" s="660">
        <v>376431.27</v>
      </c>
      <c r="S221" s="549">
        <f t="shared" si="69"/>
        <v>60641.19</v>
      </c>
      <c r="T221" s="113" t="s">
        <v>283</v>
      </c>
      <c r="U221" s="370"/>
      <c r="V221" s="370"/>
      <c r="W221" s="375"/>
      <c r="X221" s="374"/>
      <c r="Y221" s="370"/>
      <c r="Z221" s="371"/>
      <c r="AA221" s="371"/>
      <c r="AB221" s="744"/>
      <c r="AC221" s="270"/>
      <c r="AD221" s="372"/>
      <c r="AE221" s="270"/>
      <c r="AF221" s="270"/>
      <c r="AG221" s="270"/>
      <c r="AH221" s="272"/>
      <c r="AI221" s="313"/>
      <c r="AJ221" s="331"/>
      <c r="AK221" s="374"/>
      <c r="AL221" s="374"/>
      <c r="AM221" s="374"/>
    </row>
    <row r="222" spans="1:39" s="291" customFormat="1" x14ac:dyDescent="0.2">
      <c r="A222" s="423">
        <f t="shared" si="70"/>
        <v>217</v>
      </c>
      <c r="B222" s="721" t="s">
        <v>5506</v>
      </c>
      <c r="C222" s="655">
        <v>520512</v>
      </c>
      <c r="D222" s="658">
        <v>5394</v>
      </c>
      <c r="E222" s="655" t="s">
        <v>223</v>
      </c>
      <c r="F222" s="546">
        <v>2017</v>
      </c>
      <c r="G222" s="659">
        <v>42978</v>
      </c>
      <c r="H222" s="655"/>
      <c r="I222" s="655" t="s">
        <v>5713</v>
      </c>
      <c r="J222" s="712"/>
      <c r="K222" s="655" t="s">
        <v>1155</v>
      </c>
      <c r="L222" s="655" t="s">
        <v>5962</v>
      </c>
      <c r="M222" s="660">
        <v>391965.61</v>
      </c>
      <c r="N222" s="660">
        <v>0</v>
      </c>
      <c r="O222" s="660">
        <v>62714.5</v>
      </c>
      <c r="P222" s="660">
        <v>454680.11</v>
      </c>
      <c r="Q222" s="548"/>
      <c r="R222" s="660">
        <v>391610.27</v>
      </c>
      <c r="S222" s="549">
        <f t="shared" si="69"/>
        <v>63069.839999999967</v>
      </c>
      <c r="T222" s="113" t="s">
        <v>283</v>
      </c>
      <c r="U222" s="370"/>
      <c r="V222" s="370"/>
      <c r="W222" s="375"/>
      <c r="X222" s="374"/>
      <c r="Y222" s="370"/>
      <c r="Z222" s="371"/>
      <c r="AA222" s="371"/>
      <c r="AB222" s="744"/>
      <c r="AC222" s="270"/>
      <c r="AD222" s="372"/>
      <c r="AE222" s="270"/>
      <c r="AF222" s="270"/>
      <c r="AG222" s="270"/>
      <c r="AH222" s="272"/>
      <c r="AI222" s="313"/>
      <c r="AJ222" s="331"/>
      <c r="AK222" s="374"/>
      <c r="AL222" s="374"/>
      <c r="AM222" s="374"/>
    </row>
    <row r="223" spans="1:39" s="291" customFormat="1" x14ac:dyDescent="0.2">
      <c r="A223" s="423">
        <f t="shared" si="70"/>
        <v>218</v>
      </c>
      <c r="B223" s="721" t="s">
        <v>5508</v>
      </c>
      <c r="C223" s="655">
        <v>520523</v>
      </c>
      <c r="D223" s="658">
        <v>5396</v>
      </c>
      <c r="E223" s="655" t="s">
        <v>132</v>
      </c>
      <c r="F223" s="546">
        <v>2017</v>
      </c>
      <c r="G223" s="659">
        <v>42950</v>
      </c>
      <c r="H223" s="655"/>
      <c r="I223" s="655" t="s">
        <v>5715</v>
      </c>
      <c r="J223" s="712"/>
      <c r="K223" s="655" t="s">
        <v>2438</v>
      </c>
      <c r="L223" s="655" t="s">
        <v>5964</v>
      </c>
      <c r="M223" s="660">
        <v>426221.97</v>
      </c>
      <c r="N223" s="660">
        <v>0</v>
      </c>
      <c r="O223" s="660">
        <v>68195.520000000004</v>
      </c>
      <c r="P223" s="660">
        <v>494417.49</v>
      </c>
      <c r="Q223" s="548"/>
      <c r="R223" s="660">
        <v>425866.63</v>
      </c>
      <c r="S223" s="549">
        <f t="shared" si="69"/>
        <v>68550.859999999986</v>
      </c>
      <c r="T223" s="113" t="s">
        <v>283</v>
      </c>
      <c r="U223" s="370"/>
      <c r="V223" s="370"/>
      <c r="W223" s="375"/>
      <c r="X223" s="374"/>
      <c r="Y223" s="370"/>
      <c r="Z223" s="371"/>
      <c r="AA223" s="371"/>
      <c r="AB223" s="744"/>
      <c r="AC223" s="270"/>
      <c r="AD223" s="372"/>
      <c r="AE223" s="270"/>
      <c r="AF223" s="270"/>
      <c r="AG223" s="270"/>
      <c r="AH223" s="347"/>
      <c r="AI223" s="363"/>
      <c r="AJ223" s="331"/>
      <c r="AK223" s="374"/>
      <c r="AL223" s="374"/>
      <c r="AM223" s="374"/>
    </row>
    <row r="224" spans="1:39" s="291" customFormat="1" x14ac:dyDescent="0.2">
      <c r="A224" s="423">
        <f t="shared" si="70"/>
        <v>219</v>
      </c>
      <c r="B224" s="721" t="s">
        <v>5518</v>
      </c>
      <c r="C224" s="655">
        <v>1520202</v>
      </c>
      <c r="D224" s="658">
        <v>5601</v>
      </c>
      <c r="E224" s="655" t="s">
        <v>221</v>
      </c>
      <c r="F224" s="546">
        <v>2018</v>
      </c>
      <c r="G224" s="659">
        <v>42978</v>
      </c>
      <c r="H224" s="655"/>
      <c r="I224" s="655" t="s">
        <v>5718</v>
      </c>
      <c r="J224" s="712"/>
      <c r="K224" s="655" t="s">
        <v>1672</v>
      </c>
      <c r="L224" s="655" t="s">
        <v>5967</v>
      </c>
      <c r="M224" s="660">
        <v>289093.64</v>
      </c>
      <c r="N224" s="660">
        <v>0</v>
      </c>
      <c r="O224" s="660">
        <v>46254.98</v>
      </c>
      <c r="P224" s="660">
        <v>335348.62</v>
      </c>
      <c r="Q224" s="548"/>
      <c r="R224" s="660">
        <v>288738.28999999998</v>
      </c>
      <c r="S224" s="549">
        <f t="shared" si="69"/>
        <v>46610.330000000016</v>
      </c>
      <c r="T224" s="113" t="s">
        <v>283</v>
      </c>
      <c r="U224" s="370"/>
      <c r="V224" s="370"/>
      <c r="W224" s="375"/>
      <c r="X224" s="374"/>
      <c r="Y224" s="370"/>
      <c r="Z224" s="371"/>
      <c r="AA224" s="371"/>
      <c r="AB224" s="744"/>
      <c r="AC224" s="270"/>
      <c r="AD224" s="372"/>
      <c r="AE224" s="270"/>
      <c r="AF224" s="270"/>
      <c r="AG224" s="270"/>
      <c r="AH224" s="350"/>
      <c r="AI224" s="365"/>
      <c r="AJ224" s="331"/>
      <c r="AK224" s="374"/>
      <c r="AL224" s="374"/>
      <c r="AM224" s="374"/>
    </row>
    <row r="225" spans="1:39" s="291" customFormat="1" x14ac:dyDescent="0.2">
      <c r="A225" s="423">
        <f t="shared" si="70"/>
        <v>220</v>
      </c>
      <c r="B225" s="721" t="s">
        <v>5520</v>
      </c>
      <c r="C225" s="655">
        <v>1520204</v>
      </c>
      <c r="D225" s="658">
        <v>5603</v>
      </c>
      <c r="E225" s="655" t="s">
        <v>713</v>
      </c>
      <c r="F225" s="546">
        <v>2018</v>
      </c>
      <c r="G225" s="659">
        <v>42955</v>
      </c>
      <c r="H225" s="655"/>
      <c r="I225" s="655" t="s">
        <v>5720</v>
      </c>
      <c r="J225" s="712"/>
      <c r="K225" s="655" t="s">
        <v>1730</v>
      </c>
      <c r="L225" s="655" t="s">
        <v>5969</v>
      </c>
      <c r="M225" s="660">
        <v>286637.15000000002</v>
      </c>
      <c r="N225" s="660">
        <v>0</v>
      </c>
      <c r="O225" s="660">
        <v>45861.94</v>
      </c>
      <c r="P225" s="660">
        <v>332499.09000000003</v>
      </c>
      <c r="Q225" s="548"/>
      <c r="R225" s="660">
        <v>286281.8</v>
      </c>
      <c r="S225" s="549">
        <f t="shared" si="69"/>
        <v>46217.290000000037</v>
      </c>
      <c r="T225" s="113" t="s">
        <v>283</v>
      </c>
      <c r="U225" s="370"/>
      <c r="V225" s="370"/>
      <c r="W225" s="375"/>
      <c r="X225" s="374"/>
      <c r="Y225" s="370"/>
      <c r="Z225" s="371"/>
      <c r="AA225" s="371"/>
      <c r="AB225" s="744"/>
      <c r="AC225" s="270"/>
      <c r="AD225" s="372"/>
      <c r="AE225" s="270"/>
      <c r="AF225" s="270"/>
      <c r="AG225" s="270"/>
      <c r="AH225" s="350"/>
      <c r="AI225" s="365"/>
      <c r="AJ225" s="331"/>
      <c r="AK225" s="374"/>
      <c r="AL225" s="374"/>
      <c r="AM225" s="374"/>
    </row>
    <row r="226" spans="1:39" s="348" customFormat="1" x14ac:dyDescent="0.2">
      <c r="A226" s="423">
        <f t="shared" si="70"/>
        <v>221</v>
      </c>
      <c r="B226" s="721" t="s">
        <v>5522</v>
      </c>
      <c r="C226" s="655">
        <v>521502</v>
      </c>
      <c r="D226" s="658">
        <v>5611</v>
      </c>
      <c r="E226" s="655" t="s">
        <v>225</v>
      </c>
      <c r="F226" s="546">
        <v>2017</v>
      </c>
      <c r="G226" s="659">
        <v>42970</v>
      </c>
      <c r="H226" s="655"/>
      <c r="I226" s="655" t="s">
        <v>5722</v>
      </c>
      <c r="J226" s="712"/>
      <c r="K226" s="655" t="s">
        <v>357</v>
      </c>
      <c r="L226" s="655" t="s">
        <v>5971</v>
      </c>
      <c r="M226" s="660">
        <v>346197.84</v>
      </c>
      <c r="N226" s="660">
        <v>0</v>
      </c>
      <c r="O226" s="660">
        <v>55391.66</v>
      </c>
      <c r="P226" s="660">
        <v>401589.5</v>
      </c>
      <c r="Q226" s="548"/>
      <c r="R226" s="660">
        <v>345842.5</v>
      </c>
      <c r="S226" s="549">
        <f t="shared" si="69"/>
        <v>55747</v>
      </c>
      <c r="T226" s="113" t="s">
        <v>283</v>
      </c>
      <c r="U226" s="370"/>
      <c r="V226" s="370"/>
      <c r="W226" s="375"/>
      <c r="X226" s="374"/>
      <c r="Y226" s="370"/>
      <c r="Z226" s="371"/>
      <c r="AA226" s="371"/>
      <c r="AB226" s="744"/>
      <c r="AC226" s="270"/>
      <c r="AD226" s="372"/>
      <c r="AE226" s="270"/>
      <c r="AF226" s="270"/>
      <c r="AG226" s="270"/>
      <c r="AH226" s="350"/>
      <c r="AI226" s="365"/>
      <c r="AJ226" s="330"/>
      <c r="AK226" s="330"/>
      <c r="AL226" s="330"/>
      <c r="AM226" s="330"/>
    </row>
    <row r="227" spans="1:39" s="348" customFormat="1" x14ac:dyDescent="0.2">
      <c r="A227" s="423">
        <f t="shared" si="70"/>
        <v>222</v>
      </c>
      <c r="B227" s="721" t="s">
        <v>5523</v>
      </c>
      <c r="C227" s="655">
        <v>521908</v>
      </c>
      <c r="D227" s="658">
        <v>6980</v>
      </c>
      <c r="E227" s="655" t="s">
        <v>706</v>
      </c>
      <c r="F227" s="546">
        <v>2017</v>
      </c>
      <c r="G227" s="659">
        <v>42949</v>
      </c>
      <c r="H227" s="655"/>
      <c r="I227" s="655" t="s">
        <v>5723</v>
      </c>
      <c r="J227" s="712"/>
      <c r="K227" s="655" t="s">
        <v>1146</v>
      </c>
      <c r="L227" s="655" t="s">
        <v>5972</v>
      </c>
      <c r="M227" s="660">
        <v>-460716.53</v>
      </c>
      <c r="N227" s="660">
        <v>0</v>
      </c>
      <c r="O227" s="660">
        <v>-73714.64</v>
      </c>
      <c r="P227" s="660">
        <v>-534431.17000000004</v>
      </c>
      <c r="Q227" s="548"/>
      <c r="R227" s="660">
        <v>-460361.18</v>
      </c>
      <c r="S227" s="549">
        <f t="shared" si="69"/>
        <v>-74069.990000000049</v>
      </c>
      <c r="T227" s="113" t="s">
        <v>283</v>
      </c>
      <c r="U227" s="370"/>
      <c r="V227" s="370"/>
      <c r="W227" s="375"/>
      <c r="X227" s="374"/>
      <c r="Y227" s="370"/>
      <c r="Z227" s="371"/>
      <c r="AA227" s="371"/>
      <c r="AB227" s="744"/>
      <c r="AC227" s="270"/>
      <c r="AD227" s="372"/>
      <c r="AE227" s="270"/>
      <c r="AF227" s="270"/>
      <c r="AG227" s="270"/>
      <c r="AH227" s="350"/>
      <c r="AI227" s="365"/>
      <c r="AJ227" s="330"/>
      <c r="AK227" s="330"/>
      <c r="AL227" s="330"/>
      <c r="AM227" s="330"/>
    </row>
    <row r="228" spans="1:39" s="348" customFormat="1" x14ac:dyDescent="0.2">
      <c r="A228" s="423">
        <f t="shared" si="70"/>
        <v>223</v>
      </c>
      <c r="B228" s="721" t="s">
        <v>5524</v>
      </c>
      <c r="C228" s="655">
        <v>521908</v>
      </c>
      <c r="D228" s="658">
        <v>6980</v>
      </c>
      <c r="E228" s="655" t="s">
        <v>706</v>
      </c>
      <c r="F228" s="546">
        <v>2017</v>
      </c>
      <c r="G228" s="659">
        <v>42949</v>
      </c>
      <c r="H228" s="655"/>
      <c r="I228" s="655" t="s">
        <v>5723</v>
      </c>
      <c r="J228" s="712"/>
      <c r="K228" s="655" t="s">
        <v>1146</v>
      </c>
      <c r="L228" s="655" t="s">
        <v>5972</v>
      </c>
      <c r="M228" s="660">
        <v>460716.53</v>
      </c>
      <c r="N228" s="660">
        <v>0</v>
      </c>
      <c r="O228" s="660">
        <v>73714.64</v>
      </c>
      <c r="P228" s="660">
        <v>534431.17000000004</v>
      </c>
      <c r="Q228" s="548"/>
      <c r="R228" s="660">
        <v>460361.18</v>
      </c>
      <c r="S228" s="549">
        <f t="shared" si="69"/>
        <v>74069.990000000049</v>
      </c>
      <c r="T228" s="113" t="s">
        <v>283</v>
      </c>
      <c r="U228" s="370"/>
      <c r="V228" s="370"/>
      <c r="W228" s="375"/>
      <c r="X228" s="374"/>
      <c r="Y228" s="370"/>
      <c r="Z228" s="371"/>
      <c r="AA228" s="371"/>
      <c r="AB228" s="744"/>
      <c r="AC228" s="270"/>
      <c r="AD228" s="372"/>
      <c r="AE228" s="270"/>
      <c r="AF228" s="270"/>
      <c r="AG228" s="270"/>
      <c r="AH228" s="350"/>
      <c r="AI228" s="365"/>
      <c r="AJ228" s="330"/>
      <c r="AK228" s="330"/>
      <c r="AL228" s="330"/>
      <c r="AM228" s="330"/>
    </row>
    <row r="229" spans="1:39" s="348" customFormat="1" x14ac:dyDescent="0.2">
      <c r="A229" s="423">
        <f t="shared" si="70"/>
        <v>224</v>
      </c>
      <c r="B229" s="721" t="s">
        <v>5525</v>
      </c>
      <c r="C229" s="655">
        <v>521908</v>
      </c>
      <c r="D229" s="658">
        <v>6980</v>
      </c>
      <c r="E229" s="655" t="s">
        <v>706</v>
      </c>
      <c r="F229" s="546">
        <v>2017</v>
      </c>
      <c r="G229" s="659">
        <v>42949</v>
      </c>
      <c r="H229" s="655"/>
      <c r="I229" s="655" t="s">
        <v>5723</v>
      </c>
      <c r="J229" s="712"/>
      <c r="K229" s="655" t="s">
        <v>1670</v>
      </c>
      <c r="L229" s="655" t="s">
        <v>5972</v>
      </c>
      <c r="M229" s="660">
        <v>460716.53</v>
      </c>
      <c r="N229" s="660">
        <v>0</v>
      </c>
      <c r="O229" s="660">
        <v>73714.64</v>
      </c>
      <c r="P229" s="660">
        <v>534431.17000000004</v>
      </c>
      <c r="Q229" s="548"/>
      <c r="R229" s="660">
        <v>460361.18</v>
      </c>
      <c r="S229" s="549">
        <f t="shared" si="69"/>
        <v>74069.990000000049</v>
      </c>
      <c r="T229" s="113" t="s">
        <v>283</v>
      </c>
      <c r="U229" s="370"/>
      <c r="V229" s="370"/>
      <c r="W229" s="375"/>
      <c r="X229" s="374"/>
      <c r="Y229" s="370"/>
      <c r="Z229" s="371"/>
      <c r="AA229" s="371"/>
      <c r="AB229" s="744"/>
      <c r="AC229" s="270"/>
      <c r="AD229" s="372"/>
      <c r="AE229" s="270"/>
      <c r="AF229" s="270"/>
      <c r="AG229" s="270"/>
      <c r="AH229" s="350"/>
      <c r="AI229" s="365"/>
      <c r="AJ229" s="330"/>
      <c r="AK229" s="330"/>
      <c r="AL229" s="330"/>
      <c r="AM229" s="330"/>
    </row>
    <row r="230" spans="1:39" s="348" customFormat="1" x14ac:dyDescent="0.2">
      <c r="A230" s="423">
        <f t="shared" si="70"/>
        <v>225</v>
      </c>
      <c r="B230" s="721" t="s">
        <v>5530</v>
      </c>
      <c r="C230" s="655">
        <v>521907</v>
      </c>
      <c r="D230" s="658">
        <v>6987</v>
      </c>
      <c r="E230" s="655" t="s">
        <v>708</v>
      </c>
      <c r="F230" s="546">
        <v>2017</v>
      </c>
      <c r="G230" s="659">
        <v>42955</v>
      </c>
      <c r="H230" s="655"/>
      <c r="I230" s="655" t="s">
        <v>4856</v>
      </c>
      <c r="J230" s="712"/>
      <c r="K230" s="655" t="s">
        <v>392</v>
      </c>
      <c r="L230" s="655" t="s">
        <v>5290</v>
      </c>
      <c r="M230" s="660">
        <v>501435.65</v>
      </c>
      <c r="N230" s="660">
        <v>0</v>
      </c>
      <c r="O230" s="660">
        <v>80229.7</v>
      </c>
      <c r="P230" s="660">
        <v>581665.35</v>
      </c>
      <c r="Q230" s="548"/>
      <c r="R230" s="660">
        <v>501080.3</v>
      </c>
      <c r="S230" s="549">
        <f t="shared" si="69"/>
        <v>80585.049999999988</v>
      </c>
      <c r="T230" s="113" t="s">
        <v>283</v>
      </c>
      <c r="U230" s="370"/>
      <c r="V230" s="370"/>
      <c r="W230" s="375"/>
      <c r="X230" s="374"/>
      <c r="Y230" s="370"/>
      <c r="Z230" s="371"/>
      <c r="AA230" s="371"/>
      <c r="AB230" s="744"/>
      <c r="AC230" s="270"/>
      <c r="AD230" s="372"/>
      <c r="AE230" s="270"/>
      <c r="AF230" s="270"/>
      <c r="AG230" s="270"/>
      <c r="AH230" s="350"/>
      <c r="AI230" s="365"/>
      <c r="AJ230" s="330"/>
      <c r="AK230" s="330"/>
      <c r="AL230" s="330"/>
      <c r="AM230" s="330"/>
    </row>
    <row r="231" spans="1:39" s="348" customFormat="1" x14ac:dyDescent="0.2">
      <c r="A231" s="423">
        <f t="shared" si="70"/>
        <v>226</v>
      </c>
      <c r="B231" s="721" t="s">
        <v>5548</v>
      </c>
      <c r="C231" s="655">
        <v>1520105</v>
      </c>
      <c r="D231" s="658">
        <v>7494</v>
      </c>
      <c r="E231" s="655" t="s">
        <v>712</v>
      </c>
      <c r="F231" s="546">
        <v>2017</v>
      </c>
      <c r="G231" s="659">
        <v>42966</v>
      </c>
      <c r="H231" s="655"/>
      <c r="I231" s="655" t="s">
        <v>5733</v>
      </c>
      <c r="J231" s="712"/>
      <c r="K231" s="655" t="s">
        <v>357</v>
      </c>
      <c r="L231" s="655" t="s">
        <v>5982</v>
      </c>
      <c r="M231" s="660">
        <v>205538.34</v>
      </c>
      <c r="N231" s="660">
        <v>0</v>
      </c>
      <c r="O231" s="660">
        <v>32886.14</v>
      </c>
      <c r="P231" s="660">
        <v>238424.48</v>
      </c>
      <c r="Q231" s="548"/>
      <c r="R231" s="660">
        <v>205537.48</v>
      </c>
      <c r="S231" s="549">
        <f t="shared" si="69"/>
        <v>32887</v>
      </c>
      <c r="T231" s="113" t="s">
        <v>283</v>
      </c>
      <c r="U231" s="370"/>
      <c r="V231" s="370"/>
      <c r="W231" s="375"/>
      <c r="X231" s="374"/>
      <c r="Y231" s="370"/>
      <c r="Z231" s="371"/>
      <c r="AA231" s="371"/>
      <c r="AB231" s="744"/>
      <c r="AC231" s="270"/>
      <c r="AD231" s="372"/>
      <c r="AE231" s="270"/>
      <c r="AF231" s="270"/>
      <c r="AG231" s="270"/>
      <c r="AH231" s="350"/>
      <c r="AI231" s="365"/>
      <c r="AJ231" s="330"/>
      <c r="AK231" s="330"/>
      <c r="AL231" s="330"/>
      <c r="AM231" s="330"/>
    </row>
    <row r="232" spans="1:39" s="348" customFormat="1" x14ac:dyDescent="0.2">
      <c r="A232" s="423">
        <f t="shared" si="70"/>
        <v>227</v>
      </c>
      <c r="B232" s="721" t="s">
        <v>5549</v>
      </c>
      <c r="C232" s="655">
        <v>1520105</v>
      </c>
      <c r="D232" s="658">
        <v>7494</v>
      </c>
      <c r="E232" s="655" t="s">
        <v>712</v>
      </c>
      <c r="F232" s="546">
        <v>2017</v>
      </c>
      <c r="G232" s="659">
        <v>42968</v>
      </c>
      <c r="H232" s="655"/>
      <c r="I232" s="655" t="s">
        <v>5734</v>
      </c>
      <c r="J232" s="712"/>
      <c r="K232" s="655" t="s">
        <v>1688</v>
      </c>
      <c r="L232" s="655" t="s">
        <v>5983</v>
      </c>
      <c r="M232" s="660">
        <v>215868.03</v>
      </c>
      <c r="N232" s="660">
        <v>0</v>
      </c>
      <c r="O232" s="660">
        <v>34538.89</v>
      </c>
      <c r="P232" s="660">
        <v>250406.92</v>
      </c>
      <c r="Q232" s="548"/>
      <c r="R232" s="660">
        <v>215512.69</v>
      </c>
      <c r="S232" s="549">
        <f t="shared" si="69"/>
        <v>34894.23000000001</v>
      </c>
      <c r="T232" s="113" t="s">
        <v>283</v>
      </c>
      <c r="U232" s="370"/>
      <c r="V232" s="370"/>
      <c r="W232" s="375"/>
      <c r="X232" s="374"/>
      <c r="Y232" s="370"/>
      <c r="Z232" s="371"/>
      <c r="AA232" s="371"/>
      <c r="AB232" s="744"/>
      <c r="AC232" s="270"/>
      <c r="AD232" s="372"/>
      <c r="AE232" s="270"/>
      <c r="AF232" s="270"/>
      <c r="AG232" s="270"/>
      <c r="AH232" s="350"/>
      <c r="AI232" s="365"/>
      <c r="AJ232" s="330"/>
      <c r="AK232" s="330"/>
      <c r="AL232" s="330"/>
      <c r="AM232" s="330"/>
    </row>
    <row r="233" spans="1:39" s="348" customFormat="1" x14ac:dyDescent="0.2">
      <c r="A233" s="423">
        <f t="shared" si="70"/>
        <v>228</v>
      </c>
      <c r="B233" s="721" t="s">
        <v>5550</v>
      </c>
      <c r="C233" s="655">
        <v>1520105</v>
      </c>
      <c r="D233" s="658">
        <v>7494</v>
      </c>
      <c r="E233" s="655" t="s">
        <v>712</v>
      </c>
      <c r="F233" s="546">
        <v>2017</v>
      </c>
      <c r="G233" s="659">
        <v>42968</v>
      </c>
      <c r="H233" s="655"/>
      <c r="I233" s="655" t="s">
        <v>5735</v>
      </c>
      <c r="J233" s="712"/>
      <c r="K233" s="655" t="s">
        <v>1688</v>
      </c>
      <c r="L233" s="655" t="s">
        <v>5984</v>
      </c>
      <c r="M233" s="660">
        <v>215868.03</v>
      </c>
      <c r="N233" s="660">
        <v>0</v>
      </c>
      <c r="O233" s="660">
        <v>34538.89</v>
      </c>
      <c r="P233" s="660">
        <v>250406.92</v>
      </c>
      <c r="Q233" s="548"/>
      <c r="R233" s="660">
        <v>215512.69</v>
      </c>
      <c r="S233" s="549">
        <f t="shared" si="69"/>
        <v>34894.23000000001</v>
      </c>
      <c r="T233" s="113" t="s">
        <v>283</v>
      </c>
      <c r="U233" s="370"/>
      <c r="V233" s="370"/>
      <c r="W233" s="375"/>
      <c r="X233" s="374"/>
      <c r="Y233" s="370"/>
      <c r="Z233" s="371"/>
      <c r="AA233" s="371"/>
      <c r="AB233" s="744"/>
      <c r="AC233" s="270"/>
      <c r="AD233" s="372"/>
      <c r="AE233" s="270"/>
      <c r="AF233" s="270"/>
      <c r="AG233" s="270"/>
      <c r="AH233" s="350"/>
      <c r="AI233" s="365"/>
      <c r="AJ233" s="330"/>
      <c r="AK233" s="330"/>
      <c r="AL233" s="330"/>
      <c r="AM233" s="330"/>
    </row>
    <row r="234" spans="1:39" s="348" customFormat="1" x14ac:dyDescent="0.2">
      <c r="A234" s="423">
        <f t="shared" si="70"/>
        <v>229</v>
      </c>
      <c r="B234" s="721" t="s">
        <v>5552</v>
      </c>
      <c r="C234" s="655">
        <v>1520105</v>
      </c>
      <c r="D234" s="658">
        <v>7494</v>
      </c>
      <c r="E234" s="655" t="s">
        <v>712</v>
      </c>
      <c r="F234" s="546">
        <v>2017</v>
      </c>
      <c r="G234" s="659">
        <v>42975</v>
      </c>
      <c r="H234" s="655"/>
      <c r="I234" s="655" t="s">
        <v>5737</v>
      </c>
      <c r="J234" s="712"/>
      <c r="K234" s="655" t="s">
        <v>1189</v>
      </c>
      <c r="L234" s="655" t="s">
        <v>5986</v>
      </c>
      <c r="M234" s="660">
        <v>215868.03</v>
      </c>
      <c r="N234" s="660">
        <v>0</v>
      </c>
      <c r="O234" s="660">
        <v>34538.89</v>
      </c>
      <c r="P234" s="660">
        <v>250406.92</v>
      </c>
      <c r="Q234" s="548"/>
      <c r="R234" s="660">
        <v>215512.69</v>
      </c>
      <c r="S234" s="549">
        <f t="shared" si="69"/>
        <v>34894.23000000001</v>
      </c>
      <c r="T234" s="113" t="s">
        <v>283</v>
      </c>
      <c r="U234" s="370"/>
      <c r="V234" s="370"/>
      <c r="W234" s="375"/>
      <c r="X234" s="374"/>
      <c r="Y234" s="370"/>
      <c r="Z234" s="371"/>
      <c r="AA234" s="371"/>
      <c r="AB234" s="744"/>
      <c r="AC234" s="270"/>
      <c r="AD234" s="372"/>
      <c r="AE234" s="270"/>
      <c r="AF234" s="270"/>
      <c r="AG234" s="270"/>
      <c r="AH234" s="350"/>
      <c r="AI234" s="365"/>
      <c r="AJ234" s="330"/>
      <c r="AK234" s="330"/>
      <c r="AL234" s="330"/>
      <c r="AM234" s="330"/>
    </row>
    <row r="235" spans="1:39" s="348" customFormat="1" x14ac:dyDescent="0.2">
      <c r="A235" s="423">
        <f t="shared" si="70"/>
        <v>230</v>
      </c>
      <c r="B235" s="721" t="s">
        <v>5556</v>
      </c>
      <c r="C235" s="655">
        <v>1520604</v>
      </c>
      <c r="D235" s="658">
        <v>7495</v>
      </c>
      <c r="E235" s="655" t="s">
        <v>718</v>
      </c>
      <c r="F235" s="546">
        <v>2017</v>
      </c>
      <c r="G235" s="659">
        <v>42949</v>
      </c>
      <c r="H235" s="655"/>
      <c r="I235" s="655" t="s">
        <v>5739</v>
      </c>
      <c r="J235" s="712"/>
      <c r="K235" s="655" t="s">
        <v>99</v>
      </c>
      <c r="L235" s="655" t="s">
        <v>5988</v>
      </c>
      <c r="M235" s="660">
        <v>262806.28000000003</v>
      </c>
      <c r="N235" s="660">
        <v>0</v>
      </c>
      <c r="O235" s="660">
        <v>42049</v>
      </c>
      <c r="P235" s="660">
        <v>304855.28000000003</v>
      </c>
      <c r="Q235" s="548"/>
      <c r="R235" s="660">
        <v>262450.93</v>
      </c>
      <c r="S235" s="549">
        <f t="shared" si="69"/>
        <v>42404.350000000035</v>
      </c>
      <c r="T235" s="113" t="s">
        <v>283</v>
      </c>
      <c r="U235" s="370"/>
      <c r="V235" s="370"/>
      <c r="W235" s="375"/>
      <c r="X235" s="374"/>
      <c r="Y235" s="370"/>
      <c r="Z235" s="371"/>
      <c r="AA235" s="371"/>
      <c r="AB235" s="744"/>
      <c r="AC235" s="270"/>
      <c r="AD235" s="372"/>
      <c r="AE235" s="270"/>
      <c r="AF235" s="270"/>
      <c r="AG235" s="270"/>
      <c r="AH235" s="350"/>
      <c r="AI235" s="365"/>
      <c r="AJ235" s="330"/>
      <c r="AK235" s="330"/>
      <c r="AL235" s="330"/>
      <c r="AM235" s="330"/>
    </row>
    <row r="236" spans="1:39" s="348" customFormat="1" x14ac:dyDescent="0.2">
      <c r="A236" s="423">
        <f t="shared" si="70"/>
        <v>231</v>
      </c>
      <c r="B236" s="721" t="s">
        <v>5561</v>
      </c>
      <c r="C236" s="655">
        <v>1520604</v>
      </c>
      <c r="D236" s="658">
        <v>7495</v>
      </c>
      <c r="E236" s="655" t="s">
        <v>718</v>
      </c>
      <c r="F236" s="546">
        <v>2017</v>
      </c>
      <c r="G236" s="659">
        <v>42957</v>
      </c>
      <c r="H236" s="655"/>
      <c r="I236" s="655" t="s">
        <v>5742</v>
      </c>
      <c r="J236" s="712"/>
      <c r="K236" s="655" t="s">
        <v>1688</v>
      </c>
      <c r="L236" s="655" t="s">
        <v>5991</v>
      </c>
      <c r="M236" s="660">
        <v>262806.53000000003</v>
      </c>
      <c r="N236" s="660">
        <v>0</v>
      </c>
      <c r="O236" s="660">
        <v>42049.05</v>
      </c>
      <c r="P236" s="660">
        <v>304855.58</v>
      </c>
      <c r="Q236" s="548"/>
      <c r="R236" s="660">
        <v>262450.93</v>
      </c>
      <c r="S236" s="549">
        <f t="shared" si="69"/>
        <v>42404.650000000023</v>
      </c>
      <c r="T236" s="113" t="s">
        <v>283</v>
      </c>
      <c r="U236" s="370"/>
      <c r="V236" s="370"/>
      <c r="W236" s="375"/>
      <c r="X236" s="374"/>
      <c r="Y236" s="370"/>
      <c r="Z236" s="371"/>
      <c r="AA236" s="371"/>
      <c r="AB236" s="744"/>
      <c r="AC236" s="270"/>
      <c r="AD236" s="372"/>
      <c r="AE236" s="270"/>
      <c r="AF236" s="270"/>
      <c r="AG236" s="270"/>
      <c r="AH236" s="350"/>
      <c r="AI236" s="365"/>
      <c r="AJ236" s="330"/>
      <c r="AK236" s="330"/>
      <c r="AL236" s="330"/>
      <c r="AM236" s="330"/>
    </row>
    <row r="237" spans="1:39" s="348" customFormat="1" x14ac:dyDescent="0.2">
      <c r="A237" s="423">
        <f t="shared" si="70"/>
        <v>232</v>
      </c>
      <c r="B237" s="721" t="s">
        <v>5562</v>
      </c>
      <c r="C237" s="655">
        <v>1520604</v>
      </c>
      <c r="D237" s="658">
        <v>7495</v>
      </c>
      <c r="E237" s="655" t="s">
        <v>718</v>
      </c>
      <c r="F237" s="546">
        <v>2017</v>
      </c>
      <c r="G237" s="659">
        <v>42957</v>
      </c>
      <c r="H237" s="655"/>
      <c r="I237" s="655" t="s">
        <v>5743</v>
      </c>
      <c r="J237" s="712"/>
      <c r="K237" s="655" t="s">
        <v>365</v>
      </c>
      <c r="L237" s="655" t="s">
        <v>5992</v>
      </c>
      <c r="M237" s="660">
        <v>262806.28000000003</v>
      </c>
      <c r="N237" s="660">
        <v>0</v>
      </c>
      <c r="O237" s="660">
        <v>42049</v>
      </c>
      <c r="P237" s="660">
        <v>304855.28000000003</v>
      </c>
      <c r="Q237" s="548"/>
      <c r="R237" s="660">
        <v>262450.93</v>
      </c>
      <c r="S237" s="549">
        <f t="shared" si="69"/>
        <v>42404.350000000035</v>
      </c>
      <c r="T237" s="113" t="s">
        <v>283</v>
      </c>
      <c r="U237" s="370"/>
      <c r="V237" s="370"/>
      <c r="W237" s="375"/>
      <c r="X237" s="374"/>
      <c r="Y237" s="370"/>
      <c r="Z237" s="371"/>
      <c r="AA237" s="371"/>
      <c r="AB237" s="744"/>
      <c r="AC237" s="270"/>
      <c r="AD237" s="372"/>
      <c r="AE237" s="270"/>
      <c r="AF237" s="270"/>
      <c r="AG237" s="270"/>
      <c r="AH237" s="350"/>
      <c r="AI237" s="365"/>
      <c r="AJ237" s="330"/>
      <c r="AK237" s="330"/>
      <c r="AL237" s="330"/>
      <c r="AM237" s="330"/>
    </row>
    <row r="238" spans="1:39" s="348" customFormat="1" x14ac:dyDescent="0.2">
      <c r="A238" s="423">
        <f t="shared" si="70"/>
        <v>233</v>
      </c>
      <c r="B238" s="721" t="s">
        <v>5564</v>
      </c>
      <c r="C238" s="655">
        <v>1520604</v>
      </c>
      <c r="D238" s="658">
        <v>7495</v>
      </c>
      <c r="E238" s="655" t="s">
        <v>718</v>
      </c>
      <c r="F238" s="546">
        <v>2017</v>
      </c>
      <c r="G238" s="659">
        <v>42961</v>
      </c>
      <c r="H238" s="655"/>
      <c r="I238" s="655" t="s">
        <v>5745</v>
      </c>
      <c r="J238" s="712"/>
      <c r="K238" s="655" t="s">
        <v>99</v>
      </c>
      <c r="L238" s="655" t="s">
        <v>5994</v>
      </c>
      <c r="M238" s="660">
        <v>262806.28000000003</v>
      </c>
      <c r="N238" s="660">
        <v>0</v>
      </c>
      <c r="O238" s="660">
        <v>42049</v>
      </c>
      <c r="P238" s="660">
        <v>304855.28000000003</v>
      </c>
      <c r="Q238" s="548"/>
      <c r="R238" s="660">
        <v>262450.93</v>
      </c>
      <c r="S238" s="549">
        <f t="shared" si="69"/>
        <v>42404.350000000035</v>
      </c>
      <c r="T238" s="113" t="s">
        <v>283</v>
      </c>
      <c r="U238" s="370"/>
      <c r="V238" s="370"/>
      <c r="W238" s="375"/>
      <c r="X238" s="374"/>
      <c r="Y238" s="370"/>
      <c r="Z238" s="371"/>
      <c r="AA238" s="371"/>
      <c r="AB238" s="744"/>
      <c r="AC238" s="270"/>
      <c r="AD238" s="372"/>
      <c r="AE238" s="270"/>
      <c r="AF238" s="270"/>
      <c r="AG238" s="270"/>
      <c r="AH238" s="350"/>
      <c r="AI238" s="365"/>
      <c r="AJ238" s="330"/>
      <c r="AK238" s="330"/>
      <c r="AL238" s="330"/>
      <c r="AM238" s="330"/>
    </row>
    <row r="239" spans="1:39" s="348" customFormat="1" x14ac:dyDescent="0.2">
      <c r="A239" s="423">
        <f t="shared" si="70"/>
        <v>234</v>
      </c>
      <c r="B239" s="721" t="s">
        <v>5567</v>
      </c>
      <c r="C239" s="655">
        <v>1520604</v>
      </c>
      <c r="D239" s="658">
        <v>7495</v>
      </c>
      <c r="E239" s="655" t="s">
        <v>718</v>
      </c>
      <c r="F239" s="546">
        <v>2017</v>
      </c>
      <c r="G239" s="659">
        <v>42965</v>
      </c>
      <c r="H239" s="655"/>
      <c r="I239" s="655" t="s">
        <v>5748</v>
      </c>
      <c r="J239" s="712"/>
      <c r="K239" s="655" t="s">
        <v>99</v>
      </c>
      <c r="L239" s="655" t="s">
        <v>5997</v>
      </c>
      <c r="M239" s="660">
        <v>262806.28000000003</v>
      </c>
      <c r="N239" s="660">
        <v>0</v>
      </c>
      <c r="O239" s="660">
        <v>42049</v>
      </c>
      <c r="P239" s="660">
        <v>304855.28000000003</v>
      </c>
      <c r="Q239" s="548"/>
      <c r="R239" s="660">
        <v>262450.93</v>
      </c>
      <c r="S239" s="549">
        <f t="shared" si="69"/>
        <v>42404.350000000035</v>
      </c>
      <c r="T239" s="113" t="s">
        <v>283</v>
      </c>
      <c r="U239" s="370"/>
      <c r="V239" s="370"/>
      <c r="W239" s="375"/>
      <c r="X239" s="374"/>
      <c r="Y239" s="370"/>
      <c r="Z239" s="371"/>
      <c r="AA239" s="371"/>
      <c r="AB239" s="744"/>
      <c r="AC239" s="270"/>
      <c r="AD239" s="372"/>
      <c r="AE239" s="270"/>
      <c r="AF239" s="270"/>
      <c r="AG239" s="270"/>
      <c r="AH239" s="350"/>
      <c r="AI239" s="365"/>
      <c r="AJ239" s="330"/>
      <c r="AK239" s="330"/>
      <c r="AL239" s="330"/>
      <c r="AM239" s="330"/>
    </row>
    <row r="240" spans="1:39" s="348" customFormat="1" x14ac:dyDescent="0.2">
      <c r="A240" s="423">
        <f t="shared" si="70"/>
        <v>235</v>
      </c>
      <c r="B240" s="721" t="s">
        <v>5571</v>
      </c>
      <c r="C240" s="655">
        <v>1520604</v>
      </c>
      <c r="D240" s="658">
        <v>7495</v>
      </c>
      <c r="E240" s="655" t="s">
        <v>718</v>
      </c>
      <c r="F240" s="546">
        <v>2017</v>
      </c>
      <c r="G240" s="659">
        <v>42978</v>
      </c>
      <c r="H240" s="655"/>
      <c r="I240" s="655" t="s">
        <v>5750</v>
      </c>
      <c r="J240" s="712"/>
      <c r="K240" s="655" t="s">
        <v>1698</v>
      </c>
      <c r="L240" s="655" t="s">
        <v>5999</v>
      </c>
      <c r="M240" s="660">
        <v>262806.28000000003</v>
      </c>
      <c r="N240" s="660">
        <v>0</v>
      </c>
      <c r="O240" s="660">
        <v>42049</v>
      </c>
      <c r="P240" s="660">
        <v>304855.28000000003</v>
      </c>
      <c r="Q240" s="548"/>
      <c r="R240" s="660">
        <v>262450.93</v>
      </c>
      <c r="S240" s="549">
        <f t="shared" si="69"/>
        <v>42404.350000000035</v>
      </c>
      <c r="T240" s="113" t="s">
        <v>283</v>
      </c>
      <c r="U240" s="370"/>
      <c r="V240" s="370"/>
      <c r="W240" s="375"/>
      <c r="X240" s="374"/>
      <c r="Y240" s="370"/>
      <c r="Z240" s="371"/>
      <c r="AA240" s="371"/>
      <c r="AB240" s="744"/>
      <c r="AC240" s="270"/>
      <c r="AD240" s="372"/>
      <c r="AE240" s="270"/>
      <c r="AF240" s="270"/>
      <c r="AG240" s="270"/>
      <c r="AH240" s="350"/>
      <c r="AI240" s="365"/>
      <c r="AJ240" s="330"/>
      <c r="AK240" s="330"/>
      <c r="AL240" s="330"/>
      <c r="AM240" s="330"/>
    </row>
    <row r="241" spans="1:39" s="348" customFormat="1" x14ac:dyDescent="0.2">
      <c r="A241" s="423">
        <f t="shared" si="70"/>
        <v>236</v>
      </c>
      <c r="B241" s="721" t="s">
        <v>5580</v>
      </c>
      <c r="C241" s="655">
        <v>1520603</v>
      </c>
      <c r="D241" s="658">
        <v>7497</v>
      </c>
      <c r="E241" s="655" t="s">
        <v>5619</v>
      </c>
      <c r="F241" s="546">
        <v>2017</v>
      </c>
      <c r="G241" s="659">
        <v>42970</v>
      </c>
      <c r="H241" s="655"/>
      <c r="I241" s="655" t="s">
        <v>5756</v>
      </c>
      <c r="J241" s="712"/>
      <c r="K241" s="655" t="s">
        <v>1670</v>
      </c>
      <c r="L241" s="655" t="s">
        <v>6005</v>
      </c>
      <c r="M241" s="660">
        <v>257188.43</v>
      </c>
      <c r="N241" s="660">
        <v>0</v>
      </c>
      <c r="O241" s="660">
        <v>41150.15</v>
      </c>
      <c r="P241" s="660">
        <v>298338.58</v>
      </c>
      <c r="Q241" s="548"/>
      <c r="R241" s="660">
        <v>256833.09</v>
      </c>
      <c r="S241" s="549">
        <f t="shared" si="69"/>
        <v>41505.49000000002</v>
      </c>
      <c r="T241" s="113" t="s">
        <v>283</v>
      </c>
      <c r="U241" s="370"/>
      <c r="V241" s="370"/>
      <c r="W241" s="375"/>
      <c r="X241" s="374"/>
      <c r="Y241" s="370"/>
      <c r="Z241" s="371"/>
      <c r="AA241" s="371"/>
      <c r="AB241" s="744"/>
      <c r="AC241" s="270"/>
      <c r="AD241" s="372"/>
      <c r="AE241" s="270"/>
      <c r="AF241" s="270"/>
      <c r="AG241" s="270"/>
      <c r="AH241" s="350"/>
      <c r="AI241" s="365"/>
      <c r="AJ241" s="330"/>
      <c r="AK241" s="330"/>
      <c r="AL241" s="330"/>
      <c r="AM241" s="330"/>
    </row>
    <row r="242" spans="1:39" s="348" customFormat="1" x14ac:dyDescent="0.2">
      <c r="A242" s="423">
        <f t="shared" si="70"/>
        <v>237</v>
      </c>
      <c r="B242" s="721" t="s">
        <v>5581</v>
      </c>
      <c r="C242" s="655">
        <v>1520603</v>
      </c>
      <c r="D242" s="658">
        <v>7497</v>
      </c>
      <c r="E242" s="655" t="s">
        <v>5619</v>
      </c>
      <c r="F242" s="546">
        <v>2017</v>
      </c>
      <c r="G242" s="659">
        <v>42970</v>
      </c>
      <c r="H242" s="655"/>
      <c r="I242" s="655" t="s">
        <v>5757</v>
      </c>
      <c r="J242" s="712"/>
      <c r="K242" s="655" t="s">
        <v>1670</v>
      </c>
      <c r="L242" s="655" t="s">
        <v>6006</v>
      </c>
      <c r="M242" s="660">
        <v>247640.91</v>
      </c>
      <c r="N242" s="660">
        <v>0</v>
      </c>
      <c r="O242" s="660">
        <v>39622.550000000003</v>
      </c>
      <c r="P242" s="660">
        <v>287263.46000000002</v>
      </c>
      <c r="Q242" s="548"/>
      <c r="R242" s="660">
        <v>247640.05</v>
      </c>
      <c r="S242" s="549">
        <f t="shared" si="69"/>
        <v>39623.410000000033</v>
      </c>
      <c r="T242" s="113" t="s">
        <v>283</v>
      </c>
      <c r="U242" s="370"/>
      <c r="V242" s="370"/>
      <c r="W242" s="375"/>
      <c r="X242" s="374"/>
      <c r="Y242" s="370"/>
      <c r="Z242" s="371"/>
      <c r="AA242" s="371"/>
      <c r="AB242" s="744"/>
      <c r="AC242" s="270"/>
      <c r="AD242" s="372"/>
      <c r="AE242" s="270"/>
      <c r="AF242" s="270"/>
      <c r="AG242" s="270"/>
      <c r="AH242" s="350"/>
      <c r="AI242" s="365"/>
      <c r="AJ242" s="330"/>
      <c r="AK242" s="330"/>
      <c r="AL242" s="330"/>
      <c r="AM242" s="330"/>
    </row>
    <row r="243" spans="1:39" s="348" customFormat="1" x14ac:dyDescent="0.2">
      <c r="A243" s="423">
        <f t="shared" si="70"/>
        <v>238</v>
      </c>
      <c r="B243" s="721" t="s">
        <v>5587</v>
      </c>
      <c r="C243" s="655">
        <v>1520504</v>
      </c>
      <c r="D243" s="658">
        <v>8127</v>
      </c>
      <c r="E243" s="655" t="s">
        <v>716</v>
      </c>
      <c r="F243" s="546">
        <v>2017</v>
      </c>
      <c r="G243" s="659">
        <v>42978</v>
      </c>
      <c r="H243" s="655"/>
      <c r="I243" s="655" t="s">
        <v>5760</v>
      </c>
      <c r="J243" s="712"/>
      <c r="K243" s="655" t="s">
        <v>357</v>
      </c>
      <c r="L243" s="655" t="s">
        <v>6009</v>
      </c>
      <c r="M243" s="660">
        <v>605465.97</v>
      </c>
      <c r="N243" s="660">
        <v>0</v>
      </c>
      <c r="O243" s="660">
        <v>96874.55</v>
      </c>
      <c r="P243" s="660">
        <v>702340.52</v>
      </c>
      <c r="Q243" s="548"/>
      <c r="R243" s="660">
        <v>567786.92000000004</v>
      </c>
      <c r="S243" s="549">
        <f t="shared" si="69"/>
        <v>134553.59999999998</v>
      </c>
      <c r="T243" s="113" t="s">
        <v>283</v>
      </c>
      <c r="U243" s="370"/>
      <c r="V243" s="370"/>
      <c r="W243" s="375"/>
      <c r="X243" s="374"/>
      <c r="Y243" s="370"/>
      <c r="Z243" s="371"/>
      <c r="AA243" s="371"/>
      <c r="AB243" s="744"/>
      <c r="AC243" s="270"/>
      <c r="AD243" s="372"/>
      <c r="AE243" s="270"/>
      <c r="AF243" s="270"/>
      <c r="AG243" s="270"/>
      <c r="AH243" s="350"/>
      <c r="AI243" s="365"/>
      <c r="AJ243" s="330"/>
      <c r="AK243" s="330"/>
      <c r="AL243" s="330"/>
      <c r="AM243" s="330"/>
    </row>
    <row r="244" spans="1:39" s="348" customFormat="1" x14ac:dyDescent="0.2">
      <c r="A244" s="423">
        <f t="shared" si="70"/>
        <v>239</v>
      </c>
      <c r="B244" s="721" t="s">
        <v>5588</v>
      </c>
      <c r="C244" s="655">
        <v>72504</v>
      </c>
      <c r="D244" s="658" t="s">
        <v>721</v>
      </c>
      <c r="E244" s="655" t="s">
        <v>5620</v>
      </c>
      <c r="F244" s="546">
        <v>2017</v>
      </c>
      <c r="G244" s="659">
        <v>42950</v>
      </c>
      <c r="H244" s="655" t="s">
        <v>1038</v>
      </c>
      <c r="I244" s="655" t="s">
        <v>4653</v>
      </c>
      <c r="J244" s="712"/>
      <c r="K244" s="655" t="s">
        <v>5854</v>
      </c>
      <c r="L244" s="655" t="s">
        <v>4655</v>
      </c>
      <c r="M244" s="660">
        <v>154241.38</v>
      </c>
      <c r="N244" s="660">
        <v>0</v>
      </c>
      <c r="O244" s="660">
        <v>2758.62</v>
      </c>
      <c r="P244" s="660">
        <v>157000</v>
      </c>
      <c r="Q244" s="548"/>
      <c r="R244" s="660">
        <v>137000</v>
      </c>
      <c r="S244" s="549">
        <f t="shared" si="69"/>
        <v>20000</v>
      </c>
      <c r="T244" s="113" t="s">
        <v>263</v>
      </c>
      <c r="U244" s="370"/>
      <c r="V244" s="370"/>
      <c r="W244" s="375"/>
      <c r="X244" s="374"/>
      <c r="Y244" s="370"/>
      <c r="Z244" s="371"/>
      <c r="AA244" s="371"/>
      <c r="AB244" s="744"/>
      <c r="AC244" s="270"/>
      <c r="AD244" s="372"/>
      <c r="AE244" s="270"/>
      <c r="AF244" s="270"/>
      <c r="AG244" s="270"/>
      <c r="AH244" s="350"/>
      <c r="AI244" s="365"/>
      <c r="AJ244" s="330"/>
      <c r="AK244" s="330"/>
      <c r="AL244" s="330"/>
      <c r="AM244" s="330"/>
    </row>
    <row r="245" spans="1:39" s="348" customFormat="1" x14ac:dyDescent="0.2">
      <c r="A245" s="423">
        <f t="shared" si="70"/>
        <v>240</v>
      </c>
      <c r="B245" s="721" t="s">
        <v>5589</v>
      </c>
      <c r="C245" s="655">
        <v>38111</v>
      </c>
      <c r="D245" s="658" t="s">
        <v>721</v>
      </c>
      <c r="E245" s="655" t="s">
        <v>5620</v>
      </c>
      <c r="F245" s="546">
        <v>2017</v>
      </c>
      <c r="G245" s="659">
        <v>42958</v>
      </c>
      <c r="H245" s="655" t="s">
        <v>2215</v>
      </c>
      <c r="I245" s="655" t="s">
        <v>4641</v>
      </c>
      <c r="J245" s="712"/>
      <c r="K245" s="655" t="s">
        <v>5202</v>
      </c>
      <c r="L245" s="655" t="s">
        <v>4643</v>
      </c>
      <c r="M245" s="660">
        <v>-90517.24</v>
      </c>
      <c r="N245" s="660">
        <v>0</v>
      </c>
      <c r="O245" s="660">
        <v>-14482.76</v>
      </c>
      <c r="P245" s="660">
        <v>-105000</v>
      </c>
      <c r="Q245" s="548"/>
      <c r="R245" s="660">
        <v>-83115.520000000004</v>
      </c>
      <c r="S245" s="549">
        <f t="shared" si="69"/>
        <v>-21884.479999999996</v>
      </c>
      <c r="T245" s="113" t="s">
        <v>263</v>
      </c>
      <c r="U245" s="370"/>
      <c r="V245" s="370"/>
      <c r="W245" s="375"/>
      <c r="X245" s="374"/>
      <c r="Y245" s="370"/>
      <c r="Z245" s="371"/>
      <c r="AA245" s="371"/>
      <c r="AB245" s="744"/>
      <c r="AC245" s="270"/>
      <c r="AD245" s="372"/>
      <c r="AE245" s="270"/>
      <c r="AF245" s="270"/>
      <c r="AG245" s="270"/>
      <c r="AH245" s="350"/>
      <c r="AI245" s="365"/>
      <c r="AJ245" s="330"/>
      <c r="AK245" s="330"/>
      <c r="AL245" s="330"/>
      <c r="AM245" s="330"/>
    </row>
    <row r="246" spans="1:39" s="348" customFormat="1" x14ac:dyDescent="0.2">
      <c r="A246" s="423">
        <f t="shared" si="70"/>
        <v>241</v>
      </c>
      <c r="B246" s="721" t="s">
        <v>5590</v>
      </c>
      <c r="C246" s="655">
        <v>15505</v>
      </c>
      <c r="D246" s="658" t="s">
        <v>721</v>
      </c>
      <c r="E246" s="655" t="s">
        <v>5620</v>
      </c>
      <c r="F246" s="546">
        <v>2017</v>
      </c>
      <c r="G246" s="659">
        <v>42958</v>
      </c>
      <c r="H246" s="655" t="s">
        <v>2954</v>
      </c>
      <c r="I246" s="655" t="s">
        <v>5761</v>
      </c>
      <c r="J246" s="712"/>
      <c r="K246" s="655" t="s">
        <v>5855</v>
      </c>
      <c r="L246" s="655" t="s">
        <v>6010</v>
      </c>
      <c r="M246" s="660">
        <v>188275.86</v>
      </c>
      <c r="N246" s="660">
        <v>0</v>
      </c>
      <c r="O246" s="660">
        <v>3724.14</v>
      </c>
      <c r="P246" s="660">
        <v>192000</v>
      </c>
      <c r="Q246" s="548"/>
      <c r="R246" s="660">
        <v>165000</v>
      </c>
      <c r="S246" s="549">
        <f t="shared" si="69"/>
        <v>27000</v>
      </c>
      <c r="T246" s="113" t="s">
        <v>263</v>
      </c>
      <c r="U246" s="370"/>
      <c r="V246" s="370"/>
      <c r="W246" s="375"/>
      <c r="X246" s="374"/>
      <c r="Y246" s="370"/>
      <c r="Z246" s="371"/>
      <c r="AA246" s="371"/>
      <c r="AB246" s="744"/>
      <c r="AC246" s="270"/>
      <c r="AD246" s="372"/>
      <c r="AE246" s="270"/>
      <c r="AF246" s="270"/>
      <c r="AG246" s="270"/>
      <c r="AH246" s="350"/>
      <c r="AI246" s="365"/>
      <c r="AJ246" s="330"/>
      <c r="AK246" s="330"/>
      <c r="AL246" s="330"/>
      <c r="AM246" s="330"/>
    </row>
    <row r="247" spans="1:39" s="348" customFormat="1" x14ac:dyDescent="0.2">
      <c r="A247" s="423">
        <f t="shared" si="70"/>
        <v>242</v>
      </c>
      <c r="B247" s="721" t="s">
        <v>5591</v>
      </c>
      <c r="C247" s="655">
        <v>521502</v>
      </c>
      <c r="D247" s="658" t="s">
        <v>721</v>
      </c>
      <c r="E247" s="655" t="s">
        <v>5620</v>
      </c>
      <c r="F247" s="546">
        <v>2017</v>
      </c>
      <c r="G247" s="659">
        <v>42959</v>
      </c>
      <c r="H247" s="655" t="s">
        <v>1038</v>
      </c>
      <c r="I247" s="655" t="s">
        <v>5762</v>
      </c>
      <c r="J247" s="712"/>
      <c r="K247" s="655" t="s">
        <v>5856</v>
      </c>
      <c r="L247" s="655" t="s">
        <v>6011</v>
      </c>
      <c r="M247" s="660">
        <v>297413.78999999998</v>
      </c>
      <c r="N247" s="660">
        <v>0</v>
      </c>
      <c r="O247" s="660">
        <v>47586.21</v>
      </c>
      <c r="P247" s="660">
        <v>345000</v>
      </c>
      <c r="Q247" s="548"/>
      <c r="R247" s="660">
        <v>253275.86</v>
      </c>
      <c r="S247" s="549">
        <f t="shared" si="69"/>
        <v>91724.140000000014</v>
      </c>
      <c r="T247" s="113" t="s">
        <v>263</v>
      </c>
      <c r="U247" s="370"/>
      <c r="V247" s="370"/>
      <c r="W247" s="375"/>
      <c r="X247" s="374"/>
      <c r="Y247" s="370"/>
      <c r="Z247" s="371"/>
      <c r="AA247" s="371"/>
      <c r="AB247" s="744"/>
      <c r="AC247" s="270"/>
      <c r="AD247" s="372"/>
      <c r="AE247" s="270"/>
      <c r="AF247" s="270"/>
      <c r="AG247" s="270"/>
      <c r="AH247" s="350"/>
      <c r="AI247" s="365"/>
      <c r="AJ247" s="330"/>
      <c r="AK247" s="330"/>
      <c r="AL247" s="330"/>
      <c r="AM247" s="330"/>
    </row>
    <row r="248" spans="1:39" s="348" customFormat="1" x14ac:dyDescent="0.2">
      <c r="A248" s="423">
        <f t="shared" si="70"/>
        <v>243</v>
      </c>
      <c r="B248" s="721" t="s">
        <v>5592</v>
      </c>
      <c r="C248" s="655">
        <v>1040508</v>
      </c>
      <c r="D248" s="658" t="s">
        <v>721</v>
      </c>
      <c r="E248" s="655" t="s">
        <v>5620</v>
      </c>
      <c r="F248" s="546">
        <v>2017</v>
      </c>
      <c r="G248" s="659">
        <v>42962</v>
      </c>
      <c r="H248" s="655" t="s">
        <v>5132</v>
      </c>
      <c r="I248" s="655" t="s">
        <v>5763</v>
      </c>
      <c r="J248" s="712"/>
      <c r="K248" s="655" t="s">
        <v>5857</v>
      </c>
      <c r="L248" s="655" t="s">
        <v>6012</v>
      </c>
      <c r="M248" s="660">
        <v>79310.34</v>
      </c>
      <c r="N248" s="660">
        <v>0</v>
      </c>
      <c r="O248" s="660">
        <v>12689.66</v>
      </c>
      <c r="P248" s="660">
        <v>92000</v>
      </c>
      <c r="Q248" s="548"/>
      <c r="R248" s="660">
        <v>65517.24</v>
      </c>
      <c r="S248" s="549">
        <f t="shared" si="69"/>
        <v>26482.760000000002</v>
      </c>
      <c r="T248" s="113" t="s">
        <v>263</v>
      </c>
      <c r="U248" s="370"/>
      <c r="V248" s="370"/>
      <c r="W248" s="375"/>
      <c r="X248" s="374"/>
      <c r="Y248" s="370"/>
      <c r="Z248" s="371"/>
      <c r="AA248" s="371"/>
      <c r="AB248" s="744"/>
      <c r="AC248" s="270"/>
      <c r="AD248" s="372"/>
      <c r="AE248" s="270"/>
      <c r="AF248" s="270"/>
      <c r="AG248" s="270"/>
      <c r="AH248" s="350"/>
      <c r="AI248" s="365"/>
      <c r="AJ248" s="330"/>
      <c r="AK248" s="330"/>
      <c r="AL248" s="330"/>
      <c r="AM248" s="330"/>
    </row>
    <row r="249" spans="1:39" s="348" customFormat="1" x14ac:dyDescent="0.2">
      <c r="A249" s="423">
        <f t="shared" si="70"/>
        <v>244</v>
      </c>
      <c r="B249" s="721" t="s">
        <v>5593</v>
      </c>
      <c r="C249" s="655">
        <v>56502</v>
      </c>
      <c r="D249" s="658" t="s">
        <v>721</v>
      </c>
      <c r="E249" s="655" t="s">
        <v>5620</v>
      </c>
      <c r="F249" s="546">
        <v>2017</v>
      </c>
      <c r="G249" s="659">
        <v>42963</v>
      </c>
      <c r="H249" s="655" t="s">
        <v>5132</v>
      </c>
      <c r="I249" s="655" t="s">
        <v>5764</v>
      </c>
      <c r="J249" s="712"/>
      <c r="K249" s="655" t="s">
        <v>5857</v>
      </c>
      <c r="L249" s="655" t="s">
        <v>6013</v>
      </c>
      <c r="M249" s="660">
        <v>114655.17</v>
      </c>
      <c r="N249" s="660">
        <v>0</v>
      </c>
      <c r="O249" s="660">
        <v>18344.830000000002</v>
      </c>
      <c r="P249" s="660">
        <v>133000</v>
      </c>
      <c r="Q249" s="548"/>
      <c r="R249" s="660">
        <v>104310.34</v>
      </c>
      <c r="S249" s="549">
        <f t="shared" si="69"/>
        <v>28689.660000000003</v>
      </c>
      <c r="T249" s="113" t="s">
        <v>263</v>
      </c>
      <c r="U249" s="370"/>
      <c r="V249" s="370"/>
      <c r="W249" s="375"/>
      <c r="X249" s="374"/>
      <c r="Y249" s="370"/>
      <c r="Z249" s="371"/>
      <c r="AA249" s="371"/>
      <c r="AB249" s="744"/>
      <c r="AC249" s="270"/>
      <c r="AD249" s="372"/>
      <c r="AE249" s="270"/>
      <c r="AF249" s="270"/>
      <c r="AG249" s="270"/>
      <c r="AH249" s="350"/>
      <c r="AI249" s="365"/>
      <c r="AJ249" s="330"/>
      <c r="AK249" s="330"/>
      <c r="AL249" s="330"/>
      <c r="AM249" s="330"/>
    </row>
    <row r="250" spans="1:39" s="348" customFormat="1" x14ac:dyDescent="0.2">
      <c r="A250" s="423">
        <f t="shared" si="70"/>
        <v>245</v>
      </c>
      <c r="B250" s="721" t="s">
        <v>5594</v>
      </c>
      <c r="C250" s="655">
        <v>57001</v>
      </c>
      <c r="D250" s="658" t="s">
        <v>721</v>
      </c>
      <c r="E250" s="655" t="s">
        <v>5620</v>
      </c>
      <c r="F250" s="546">
        <v>2017</v>
      </c>
      <c r="G250" s="659">
        <v>42964</v>
      </c>
      <c r="H250" s="655" t="s">
        <v>751</v>
      </c>
      <c r="I250" s="655" t="s">
        <v>5765</v>
      </c>
      <c r="J250" s="712"/>
      <c r="K250" s="655" t="s">
        <v>5858</v>
      </c>
      <c r="L250" s="655" t="s">
        <v>6014</v>
      </c>
      <c r="M250" s="660">
        <v>109913.79</v>
      </c>
      <c r="N250" s="660">
        <v>0</v>
      </c>
      <c r="O250" s="660">
        <v>17586.21</v>
      </c>
      <c r="P250" s="660">
        <v>127500</v>
      </c>
      <c r="Q250" s="548"/>
      <c r="R250" s="660">
        <v>100000</v>
      </c>
      <c r="S250" s="549">
        <f t="shared" si="69"/>
        <v>27500</v>
      </c>
      <c r="T250" s="113" t="s">
        <v>263</v>
      </c>
      <c r="U250" s="370"/>
      <c r="V250" s="370"/>
      <c r="W250" s="375"/>
      <c r="X250" s="374"/>
      <c r="Y250" s="370"/>
      <c r="Z250" s="371"/>
      <c r="AA250" s="371"/>
      <c r="AB250" s="744"/>
      <c r="AC250" s="270"/>
      <c r="AD250" s="372"/>
      <c r="AE250" s="270"/>
      <c r="AF250" s="270"/>
      <c r="AG250" s="270"/>
      <c r="AH250" s="350"/>
      <c r="AI250" s="365"/>
      <c r="AJ250" s="330"/>
      <c r="AK250" s="330"/>
      <c r="AL250" s="330"/>
      <c r="AM250" s="330"/>
    </row>
    <row r="251" spans="1:39" s="348" customFormat="1" x14ac:dyDescent="0.2">
      <c r="A251" s="423">
        <f t="shared" si="70"/>
        <v>246</v>
      </c>
      <c r="B251" s="721" t="s">
        <v>5595</v>
      </c>
      <c r="C251" s="655">
        <v>520209</v>
      </c>
      <c r="D251" s="658" t="s">
        <v>721</v>
      </c>
      <c r="E251" s="655" t="s">
        <v>5620</v>
      </c>
      <c r="F251" s="546">
        <v>2017</v>
      </c>
      <c r="G251" s="659">
        <v>42965</v>
      </c>
      <c r="H251" s="655" t="s">
        <v>1038</v>
      </c>
      <c r="I251" s="655" t="s">
        <v>5766</v>
      </c>
      <c r="J251" s="712"/>
      <c r="K251" s="655" t="s">
        <v>5859</v>
      </c>
      <c r="L251" s="655" t="s">
        <v>6015</v>
      </c>
      <c r="M251" s="660">
        <v>159758.62</v>
      </c>
      <c r="N251" s="660">
        <v>0</v>
      </c>
      <c r="O251" s="660">
        <v>5241.38</v>
      </c>
      <c r="P251" s="660">
        <v>165000</v>
      </c>
      <c r="Q251" s="548"/>
      <c r="R251" s="660">
        <v>127000</v>
      </c>
      <c r="S251" s="549">
        <f t="shared" si="69"/>
        <v>38000</v>
      </c>
      <c r="T251" s="113" t="s">
        <v>263</v>
      </c>
      <c r="U251" s="370"/>
      <c r="V251" s="370"/>
      <c r="W251" s="375"/>
      <c r="X251" s="374"/>
      <c r="Y251" s="370"/>
      <c r="Z251" s="371"/>
      <c r="AA251" s="371"/>
      <c r="AB251" s="744"/>
      <c r="AC251" s="270"/>
      <c r="AD251" s="372"/>
      <c r="AE251" s="270"/>
      <c r="AF251" s="270"/>
      <c r="AG251" s="270"/>
      <c r="AH251" s="350"/>
      <c r="AI251" s="365"/>
      <c r="AJ251" s="330"/>
      <c r="AK251" s="330"/>
      <c r="AL251" s="330"/>
      <c r="AM251" s="330"/>
    </row>
    <row r="252" spans="1:39" s="348" customFormat="1" x14ac:dyDescent="0.2">
      <c r="A252" s="423">
        <f t="shared" si="70"/>
        <v>247</v>
      </c>
      <c r="B252" s="721" t="s">
        <v>5596</v>
      </c>
      <c r="C252" s="655">
        <v>11106</v>
      </c>
      <c r="D252" s="658" t="s">
        <v>721</v>
      </c>
      <c r="E252" s="655" t="s">
        <v>5620</v>
      </c>
      <c r="F252" s="546">
        <v>2017</v>
      </c>
      <c r="G252" s="659">
        <v>42966</v>
      </c>
      <c r="H252" s="655" t="s">
        <v>2213</v>
      </c>
      <c r="I252" s="655" t="s">
        <v>5767</v>
      </c>
      <c r="J252" s="712"/>
      <c r="K252" s="655" t="s">
        <v>5860</v>
      </c>
      <c r="L252" s="655" t="s">
        <v>6016</v>
      </c>
      <c r="M252" s="660">
        <v>269896.55</v>
      </c>
      <c r="N252" s="660">
        <v>0</v>
      </c>
      <c r="O252" s="660">
        <v>5103.45</v>
      </c>
      <c r="P252" s="660">
        <v>275000</v>
      </c>
      <c r="Q252" s="548"/>
      <c r="R252" s="660">
        <v>238000</v>
      </c>
      <c r="S252" s="549">
        <f t="shared" si="69"/>
        <v>37000</v>
      </c>
      <c r="T252" s="113" t="s">
        <v>263</v>
      </c>
      <c r="U252" s="370"/>
      <c r="V252" s="370"/>
      <c r="W252" s="375"/>
      <c r="X252" s="374"/>
      <c r="Y252" s="370"/>
      <c r="Z252" s="371"/>
      <c r="AA252" s="371"/>
      <c r="AB252" s="744"/>
      <c r="AC252" s="270"/>
      <c r="AD252" s="372"/>
      <c r="AE252" s="270"/>
      <c r="AF252" s="270"/>
      <c r="AG252" s="270"/>
      <c r="AH252" s="350"/>
      <c r="AI252" s="365"/>
      <c r="AJ252" s="330"/>
      <c r="AK252" s="330"/>
      <c r="AL252" s="330"/>
      <c r="AM252" s="330"/>
    </row>
    <row r="253" spans="1:39" s="348" customFormat="1" x14ac:dyDescent="0.2">
      <c r="A253" s="423">
        <f t="shared" si="70"/>
        <v>248</v>
      </c>
      <c r="B253" s="721" t="s">
        <v>5597</v>
      </c>
      <c r="C253" s="655">
        <v>71702</v>
      </c>
      <c r="D253" s="658" t="s">
        <v>721</v>
      </c>
      <c r="E253" s="655" t="s">
        <v>5620</v>
      </c>
      <c r="F253" s="546">
        <v>2017</v>
      </c>
      <c r="G253" s="659">
        <v>42968</v>
      </c>
      <c r="H253" s="655" t="s">
        <v>5621</v>
      </c>
      <c r="I253" s="655" t="s">
        <v>5768</v>
      </c>
      <c r="J253" s="712"/>
      <c r="K253" s="655" t="s">
        <v>5861</v>
      </c>
      <c r="L253" s="655" t="s">
        <v>6017</v>
      </c>
      <c r="M253" s="660">
        <v>164137.93</v>
      </c>
      <c r="N253" s="660">
        <v>0</v>
      </c>
      <c r="O253" s="660">
        <v>3862.07</v>
      </c>
      <c r="P253" s="660">
        <v>168000</v>
      </c>
      <c r="Q253" s="548"/>
      <c r="R253" s="660">
        <v>140000</v>
      </c>
      <c r="S253" s="549">
        <f t="shared" si="69"/>
        <v>28000</v>
      </c>
      <c r="T253" s="113" t="s">
        <v>263</v>
      </c>
      <c r="U253" s="370"/>
      <c r="V253" s="370"/>
      <c r="W253" s="375"/>
      <c r="X253" s="374"/>
      <c r="Y253" s="370"/>
      <c r="Z253" s="371"/>
      <c r="AA253" s="371"/>
      <c r="AB253" s="744"/>
      <c r="AC253" s="270"/>
      <c r="AD253" s="372"/>
      <c r="AE253" s="270"/>
      <c r="AF253" s="270"/>
      <c r="AG253" s="270"/>
      <c r="AH253" s="350"/>
      <c r="AI253" s="365"/>
      <c r="AJ253" s="330"/>
      <c r="AK253" s="330"/>
      <c r="AL253" s="330"/>
      <c r="AM253" s="330"/>
    </row>
    <row r="254" spans="1:39" s="348" customFormat="1" x14ac:dyDescent="0.2">
      <c r="A254" s="423">
        <f t="shared" si="70"/>
        <v>249</v>
      </c>
      <c r="B254" s="721" t="s">
        <v>5598</v>
      </c>
      <c r="C254" s="655">
        <v>72602</v>
      </c>
      <c r="D254" s="658" t="s">
        <v>721</v>
      </c>
      <c r="E254" s="655" t="s">
        <v>5620</v>
      </c>
      <c r="F254" s="546">
        <v>2017</v>
      </c>
      <c r="G254" s="659">
        <v>42968</v>
      </c>
      <c r="H254" s="655" t="s">
        <v>751</v>
      </c>
      <c r="I254" s="655" t="s">
        <v>5769</v>
      </c>
      <c r="J254" s="712"/>
      <c r="K254" s="655" t="s">
        <v>5862</v>
      </c>
      <c r="L254" s="655" t="s">
        <v>6018</v>
      </c>
      <c r="M254" s="660">
        <v>109913.79</v>
      </c>
      <c r="N254" s="660">
        <v>0</v>
      </c>
      <c r="O254" s="660">
        <v>1586.21</v>
      </c>
      <c r="P254" s="660">
        <v>111500</v>
      </c>
      <c r="Q254" s="548"/>
      <c r="R254" s="660">
        <v>100000</v>
      </c>
      <c r="S254" s="549">
        <f t="shared" si="69"/>
        <v>11500</v>
      </c>
      <c r="T254" s="113" t="s">
        <v>263</v>
      </c>
      <c r="U254" s="370"/>
      <c r="V254" s="370"/>
      <c r="W254" s="375"/>
      <c r="X254" s="374"/>
      <c r="Y254" s="370"/>
      <c r="Z254" s="371"/>
      <c r="AA254" s="371"/>
      <c r="AB254" s="744"/>
      <c r="AC254" s="270"/>
      <c r="AD254" s="372"/>
      <c r="AE254" s="270"/>
      <c r="AF254" s="270"/>
      <c r="AG254" s="270"/>
      <c r="AH254" s="350"/>
      <c r="AI254" s="365"/>
      <c r="AJ254" s="330"/>
      <c r="AK254" s="330"/>
      <c r="AL254" s="330"/>
      <c r="AM254" s="330"/>
    </row>
    <row r="255" spans="1:39" s="348" customFormat="1" x14ac:dyDescent="0.2">
      <c r="A255" s="423">
        <f t="shared" si="70"/>
        <v>250</v>
      </c>
      <c r="B255" s="721" t="s">
        <v>5599</v>
      </c>
      <c r="C255" s="655">
        <v>1040935</v>
      </c>
      <c r="D255" s="658" t="s">
        <v>721</v>
      </c>
      <c r="E255" s="655" t="s">
        <v>5620</v>
      </c>
      <c r="F255" s="546">
        <v>2017</v>
      </c>
      <c r="G255" s="659">
        <v>42968</v>
      </c>
      <c r="H255" s="655" t="s">
        <v>912</v>
      </c>
      <c r="I255" s="655" t="s">
        <v>5770</v>
      </c>
      <c r="J255" s="712"/>
      <c r="K255" s="655" t="s">
        <v>5863</v>
      </c>
      <c r="L255" s="655" t="s">
        <v>6019</v>
      </c>
      <c r="M255" s="660">
        <v>202758.62</v>
      </c>
      <c r="N255" s="660">
        <v>0</v>
      </c>
      <c r="O255" s="660">
        <v>5241.38</v>
      </c>
      <c r="P255" s="660">
        <v>208000</v>
      </c>
      <c r="Q255" s="548"/>
      <c r="R255" s="660">
        <v>170000</v>
      </c>
      <c r="S255" s="549">
        <f t="shared" si="69"/>
        <v>38000</v>
      </c>
      <c r="T255" s="113" t="s">
        <v>263</v>
      </c>
      <c r="U255" s="370"/>
      <c r="V255" s="370"/>
      <c r="W255" s="375"/>
      <c r="X255" s="374"/>
      <c r="Y255" s="370"/>
      <c r="Z255" s="371"/>
      <c r="AA255" s="371"/>
      <c r="AB255" s="744"/>
      <c r="AC255" s="270"/>
      <c r="AD255" s="372"/>
      <c r="AE255" s="270"/>
      <c r="AF255" s="270"/>
      <c r="AG255" s="270"/>
      <c r="AH255" s="350"/>
      <c r="AI255" s="365"/>
      <c r="AJ255" s="330"/>
      <c r="AK255" s="330"/>
      <c r="AL255" s="330"/>
      <c r="AM255" s="330"/>
    </row>
    <row r="256" spans="1:39" s="348" customFormat="1" x14ac:dyDescent="0.2">
      <c r="A256" s="423">
        <f t="shared" si="70"/>
        <v>251</v>
      </c>
      <c r="B256" s="721" t="s">
        <v>5600</v>
      </c>
      <c r="C256" s="655">
        <v>11106</v>
      </c>
      <c r="D256" s="658" t="s">
        <v>721</v>
      </c>
      <c r="E256" s="655" t="s">
        <v>5620</v>
      </c>
      <c r="F256" s="546">
        <v>2017</v>
      </c>
      <c r="G256" s="659">
        <v>42969</v>
      </c>
      <c r="H256" s="655" t="s">
        <v>2213</v>
      </c>
      <c r="I256" s="655" t="s">
        <v>5767</v>
      </c>
      <c r="J256" s="712"/>
      <c r="K256" s="655" t="s">
        <v>5860</v>
      </c>
      <c r="L256" s="655" t="s">
        <v>6016</v>
      </c>
      <c r="M256" s="660">
        <v>-269896.55</v>
      </c>
      <c r="N256" s="660">
        <v>0</v>
      </c>
      <c r="O256" s="660">
        <v>-5103.45</v>
      </c>
      <c r="P256" s="660">
        <v>-275000</v>
      </c>
      <c r="Q256" s="548"/>
      <c r="R256" s="660">
        <v>-238000</v>
      </c>
      <c r="S256" s="549">
        <f t="shared" si="69"/>
        <v>-37000</v>
      </c>
      <c r="T256" s="113" t="s">
        <v>263</v>
      </c>
      <c r="U256" s="370"/>
      <c r="V256" s="370"/>
      <c r="W256" s="375"/>
      <c r="X256" s="374"/>
      <c r="Y256" s="370"/>
      <c r="Z256" s="371"/>
      <c r="AA256" s="371"/>
      <c r="AB256" s="744"/>
      <c r="AC256" s="270"/>
      <c r="AD256" s="372"/>
      <c r="AE256" s="270"/>
      <c r="AF256" s="270"/>
      <c r="AG256" s="270"/>
      <c r="AH256" s="350"/>
      <c r="AI256" s="365"/>
      <c r="AJ256" s="330"/>
      <c r="AK256" s="330"/>
      <c r="AL256" s="330"/>
      <c r="AM256" s="330"/>
    </row>
    <row r="257" spans="1:39" s="348" customFormat="1" x14ac:dyDescent="0.2">
      <c r="A257" s="423">
        <f t="shared" si="70"/>
        <v>252</v>
      </c>
      <c r="B257" s="721" t="s">
        <v>5601</v>
      </c>
      <c r="C257" s="655">
        <v>11106</v>
      </c>
      <c r="D257" s="658" t="s">
        <v>721</v>
      </c>
      <c r="E257" s="655" t="s">
        <v>5620</v>
      </c>
      <c r="F257" s="546">
        <v>2017</v>
      </c>
      <c r="G257" s="659">
        <v>42969</v>
      </c>
      <c r="H257" s="655" t="s">
        <v>2213</v>
      </c>
      <c r="I257" s="655" t="s">
        <v>5767</v>
      </c>
      <c r="J257" s="712"/>
      <c r="K257" s="655" t="s">
        <v>5860</v>
      </c>
      <c r="L257" s="655" t="s">
        <v>6016</v>
      </c>
      <c r="M257" s="660">
        <v>269896.55</v>
      </c>
      <c r="N257" s="660">
        <v>0</v>
      </c>
      <c r="O257" s="660">
        <v>5103.45</v>
      </c>
      <c r="P257" s="660">
        <v>275000</v>
      </c>
      <c r="Q257" s="548"/>
      <c r="R257" s="660">
        <v>238000</v>
      </c>
      <c r="S257" s="549">
        <f t="shared" si="69"/>
        <v>37000</v>
      </c>
      <c r="T257" s="113" t="s">
        <v>263</v>
      </c>
      <c r="U257" s="370"/>
      <c r="V257" s="370"/>
      <c r="W257" s="375"/>
      <c r="X257" s="374"/>
      <c r="Y257" s="370"/>
      <c r="Z257" s="371"/>
      <c r="AA257" s="371"/>
      <c r="AB257" s="744"/>
      <c r="AC257" s="270"/>
      <c r="AD257" s="372"/>
      <c r="AE257" s="270"/>
      <c r="AF257" s="270"/>
      <c r="AG257" s="270"/>
      <c r="AH257" s="350"/>
      <c r="AI257" s="365"/>
      <c r="AJ257" s="330"/>
      <c r="AK257" s="330"/>
      <c r="AL257" s="330"/>
      <c r="AM257" s="330"/>
    </row>
    <row r="258" spans="1:39" s="348" customFormat="1" x14ac:dyDescent="0.2">
      <c r="A258" s="423">
        <f t="shared" si="70"/>
        <v>253</v>
      </c>
      <c r="B258" s="721" t="s">
        <v>5602</v>
      </c>
      <c r="C258" s="655">
        <v>44905</v>
      </c>
      <c r="D258" s="658" t="s">
        <v>721</v>
      </c>
      <c r="E258" s="655" t="s">
        <v>5620</v>
      </c>
      <c r="F258" s="546">
        <v>2017</v>
      </c>
      <c r="G258" s="659">
        <v>42969</v>
      </c>
      <c r="H258" s="655" t="s">
        <v>5623</v>
      </c>
      <c r="I258" s="655" t="s">
        <v>5771</v>
      </c>
      <c r="J258" s="712"/>
      <c r="K258" s="655" t="s">
        <v>5864</v>
      </c>
      <c r="L258" s="655" t="s">
        <v>6020</v>
      </c>
      <c r="M258" s="660">
        <v>190000</v>
      </c>
      <c r="N258" s="660">
        <v>0</v>
      </c>
      <c r="O258" s="660">
        <v>4000</v>
      </c>
      <c r="P258" s="660">
        <v>194000</v>
      </c>
      <c r="Q258" s="548"/>
      <c r="R258" s="660">
        <v>165000</v>
      </c>
      <c r="S258" s="549">
        <f t="shared" si="69"/>
        <v>29000</v>
      </c>
      <c r="T258" s="113" t="s">
        <v>263</v>
      </c>
      <c r="U258" s="370"/>
      <c r="V258" s="370"/>
      <c r="W258" s="375"/>
      <c r="X258" s="374"/>
      <c r="Y258" s="370"/>
      <c r="Z258" s="371"/>
      <c r="AA258" s="371"/>
      <c r="AB258" s="744"/>
      <c r="AC258" s="270"/>
      <c r="AD258" s="372"/>
      <c r="AE258" s="270"/>
      <c r="AF258" s="270"/>
      <c r="AG258" s="270"/>
      <c r="AH258" s="350"/>
      <c r="AI258" s="365"/>
      <c r="AJ258" s="330"/>
      <c r="AK258" s="330"/>
      <c r="AL258" s="330"/>
      <c r="AM258" s="330"/>
    </row>
    <row r="259" spans="1:39" s="348" customFormat="1" x14ac:dyDescent="0.2">
      <c r="A259" s="423">
        <f t="shared" si="70"/>
        <v>254</v>
      </c>
      <c r="B259" s="721" t="s">
        <v>5603</v>
      </c>
      <c r="C259" s="655">
        <v>494302</v>
      </c>
      <c r="D259" s="658" t="s">
        <v>721</v>
      </c>
      <c r="E259" s="655" t="s">
        <v>5620</v>
      </c>
      <c r="F259" s="546">
        <v>2017</v>
      </c>
      <c r="G259" s="659">
        <v>42970</v>
      </c>
      <c r="H259" s="655" t="s">
        <v>751</v>
      </c>
      <c r="I259" s="655" t="s">
        <v>5772</v>
      </c>
      <c r="J259" s="712"/>
      <c r="K259" s="655" t="s">
        <v>5865</v>
      </c>
      <c r="L259" s="655" t="s">
        <v>6021</v>
      </c>
      <c r="M259" s="660">
        <v>119310.34</v>
      </c>
      <c r="N259" s="660">
        <v>0</v>
      </c>
      <c r="O259" s="660">
        <v>689.66</v>
      </c>
      <c r="P259" s="660">
        <v>120000</v>
      </c>
      <c r="Q259" s="548"/>
      <c r="R259" s="660">
        <v>115000</v>
      </c>
      <c r="S259" s="549">
        <f t="shared" si="69"/>
        <v>5000</v>
      </c>
      <c r="T259" s="113" t="s">
        <v>263</v>
      </c>
      <c r="U259" s="370"/>
      <c r="V259" s="370"/>
      <c r="W259" s="375"/>
      <c r="X259" s="374"/>
      <c r="Y259" s="370"/>
      <c r="Z259" s="371"/>
      <c r="AA259" s="371"/>
      <c r="AB259" s="744"/>
      <c r="AC259" s="270"/>
      <c r="AD259" s="372"/>
      <c r="AE259" s="270"/>
      <c r="AF259" s="270"/>
      <c r="AG259" s="270"/>
      <c r="AH259" s="350"/>
      <c r="AI259" s="365"/>
      <c r="AJ259" s="330"/>
      <c r="AK259" s="330"/>
      <c r="AL259" s="330"/>
      <c r="AM259" s="330"/>
    </row>
    <row r="260" spans="1:39" s="348" customFormat="1" x14ac:dyDescent="0.2">
      <c r="A260" s="423">
        <f t="shared" si="70"/>
        <v>255</v>
      </c>
      <c r="B260" s="721" t="s">
        <v>5604</v>
      </c>
      <c r="C260" s="655">
        <v>1040935</v>
      </c>
      <c r="D260" s="658" t="s">
        <v>721</v>
      </c>
      <c r="E260" s="655" t="s">
        <v>5620</v>
      </c>
      <c r="F260" s="546">
        <v>2017</v>
      </c>
      <c r="G260" s="659">
        <v>42971</v>
      </c>
      <c r="H260" s="655" t="s">
        <v>912</v>
      </c>
      <c r="I260" s="655" t="s">
        <v>5770</v>
      </c>
      <c r="J260" s="712"/>
      <c r="K260" s="655" t="s">
        <v>5863</v>
      </c>
      <c r="L260" s="655" t="s">
        <v>6019</v>
      </c>
      <c r="M260" s="660">
        <v>-202758.62</v>
      </c>
      <c r="N260" s="660">
        <v>0</v>
      </c>
      <c r="O260" s="660">
        <v>-5241.38</v>
      </c>
      <c r="P260" s="660">
        <v>-208000</v>
      </c>
      <c r="Q260" s="548"/>
      <c r="R260" s="660">
        <v>-170000</v>
      </c>
      <c r="S260" s="549">
        <f t="shared" si="69"/>
        <v>-38000</v>
      </c>
      <c r="T260" s="113" t="s">
        <v>263</v>
      </c>
      <c r="U260" s="370"/>
      <c r="V260" s="370"/>
      <c r="W260" s="375"/>
      <c r="X260" s="374"/>
      <c r="Y260" s="370"/>
      <c r="Z260" s="371"/>
      <c r="AA260" s="371"/>
      <c r="AB260" s="744"/>
      <c r="AC260" s="270"/>
      <c r="AD260" s="372"/>
      <c r="AE260" s="270"/>
      <c r="AF260" s="270"/>
      <c r="AG260" s="270"/>
      <c r="AH260" s="350"/>
      <c r="AI260" s="365"/>
      <c r="AJ260" s="330"/>
      <c r="AK260" s="330"/>
      <c r="AL260" s="330"/>
      <c r="AM260" s="330"/>
    </row>
    <row r="261" spans="1:39" s="348" customFormat="1" x14ac:dyDescent="0.2">
      <c r="A261" s="423">
        <f t="shared" si="70"/>
        <v>256</v>
      </c>
      <c r="B261" s="721" t="s">
        <v>5605</v>
      </c>
      <c r="C261" s="655">
        <v>1040935</v>
      </c>
      <c r="D261" s="658" t="s">
        <v>721</v>
      </c>
      <c r="E261" s="655" t="s">
        <v>5620</v>
      </c>
      <c r="F261" s="546">
        <v>2017</v>
      </c>
      <c r="G261" s="659">
        <v>42971</v>
      </c>
      <c r="H261" s="655" t="s">
        <v>912</v>
      </c>
      <c r="I261" s="655" t="s">
        <v>5770</v>
      </c>
      <c r="J261" s="712"/>
      <c r="K261" s="655" t="s">
        <v>5863</v>
      </c>
      <c r="L261" s="655" t="s">
        <v>6019</v>
      </c>
      <c r="M261" s="660">
        <v>202758.62</v>
      </c>
      <c r="N261" s="660">
        <v>0</v>
      </c>
      <c r="O261" s="660">
        <v>5241.38</v>
      </c>
      <c r="P261" s="660">
        <v>208000</v>
      </c>
      <c r="Q261" s="548"/>
      <c r="R261" s="660">
        <v>170000</v>
      </c>
      <c r="S261" s="549">
        <f t="shared" si="69"/>
        <v>38000</v>
      </c>
      <c r="T261" s="113" t="s">
        <v>263</v>
      </c>
      <c r="U261" s="370"/>
      <c r="V261" s="370"/>
      <c r="W261" s="375"/>
      <c r="X261" s="374"/>
      <c r="Y261" s="370"/>
      <c r="Z261" s="371"/>
      <c r="AA261" s="371"/>
      <c r="AB261" s="744"/>
      <c r="AC261" s="270"/>
      <c r="AD261" s="372"/>
      <c r="AE261" s="270"/>
      <c r="AF261" s="270"/>
      <c r="AG261" s="270"/>
      <c r="AH261" s="350"/>
      <c r="AI261" s="365"/>
      <c r="AJ261" s="330"/>
      <c r="AK261" s="330"/>
      <c r="AL261" s="330"/>
      <c r="AM261" s="330"/>
    </row>
    <row r="262" spans="1:39" s="348" customFormat="1" x14ac:dyDescent="0.2">
      <c r="A262" s="423">
        <f t="shared" si="70"/>
        <v>257</v>
      </c>
      <c r="B262" s="721" t="s">
        <v>5606</v>
      </c>
      <c r="C262" s="655">
        <v>38111</v>
      </c>
      <c r="D262" s="658" t="s">
        <v>721</v>
      </c>
      <c r="E262" s="655" t="s">
        <v>5620</v>
      </c>
      <c r="F262" s="546">
        <v>2017</v>
      </c>
      <c r="G262" s="659">
        <v>42973</v>
      </c>
      <c r="H262" s="655" t="s">
        <v>810</v>
      </c>
      <c r="I262" s="655" t="s">
        <v>4641</v>
      </c>
      <c r="J262" s="712"/>
      <c r="K262" s="655" t="s">
        <v>5866</v>
      </c>
      <c r="L262" s="655" t="s">
        <v>4643</v>
      </c>
      <c r="M262" s="660">
        <v>91379.31</v>
      </c>
      <c r="N262" s="660">
        <v>0</v>
      </c>
      <c r="O262" s="660">
        <v>14620.69</v>
      </c>
      <c r="P262" s="660">
        <v>106000</v>
      </c>
      <c r="Q262" s="548"/>
      <c r="R262" s="660">
        <v>83115.520000000004</v>
      </c>
      <c r="S262" s="549">
        <f t="shared" ref="S262:S272" si="71">+P262-R262</f>
        <v>22884.479999999996</v>
      </c>
      <c r="T262" s="113" t="s">
        <v>263</v>
      </c>
      <c r="U262" s="370"/>
      <c r="V262" s="370"/>
      <c r="W262" s="375"/>
      <c r="X262" s="374"/>
      <c r="Y262" s="370"/>
      <c r="Z262" s="371"/>
      <c r="AA262" s="371"/>
      <c r="AB262" s="744"/>
      <c r="AC262" s="270"/>
      <c r="AD262" s="372"/>
      <c r="AE262" s="270"/>
      <c r="AF262" s="270"/>
      <c r="AG262" s="270"/>
      <c r="AH262" s="350"/>
      <c r="AI262" s="365"/>
      <c r="AJ262" s="330"/>
      <c r="AK262" s="330"/>
      <c r="AL262" s="330"/>
      <c r="AM262" s="330"/>
    </row>
    <row r="263" spans="1:39" s="348" customFormat="1" x14ac:dyDescent="0.2">
      <c r="A263" s="423">
        <f t="shared" si="70"/>
        <v>258</v>
      </c>
      <c r="B263" s="721" t="s">
        <v>5607</v>
      </c>
      <c r="C263" s="655">
        <v>39001</v>
      </c>
      <c r="D263" s="658" t="s">
        <v>721</v>
      </c>
      <c r="E263" s="655" t="s">
        <v>5620</v>
      </c>
      <c r="F263" s="546">
        <v>2017</v>
      </c>
      <c r="G263" s="659">
        <v>42973</v>
      </c>
      <c r="H263" s="655" t="s">
        <v>2954</v>
      </c>
      <c r="I263" s="655" t="s">
        <v>5773</v>
      </c>
      <c r="J263" s="712"/>
      <c r="K263" s="655" t="s">
        <v>5867</v>
      </c>
      <c r="L263" s="655" t="s">
        <v>6022</v>
      </c>
      <c r="M263" s="660">
        <v>115103.45</v>
      </c>
      <c r="N263" s="660">
        <v>0</v>
      </c>
      <c r="O263" s="660">
        <v>2896.55</v>
      </c>
      <c r="P263" s="660">
        <v>118000</v>
      </c>
      <c r="Q263" s="548"/>
      <c r="R263" s="660">
        <v>97000</v>
      </c>
      <c r="S263" s="549">
        <f t="shared" si="71"/>
        <v>21000</v>
      </c>
      <c r="T263" s="113" t="s">
        <v>263</v>
      </c>
      <c r="U263" s="370"/>
      <c r="V263" s="370"/>
      <c r="W263" s="375"/>
      <c r="X263" s="374"/>
      <c r="Y263" s="370"/>
      <c r="Z263" s="371"/>
      <c r="AA263" s="371"/>
      <c r="AB263" s="744"/>
      <c r="AC263" s="270"/>
      <c r="AD263" s="372"/>
      <c r="AE263" s="270"/>
      <c r="AF263" s="270"/>
      <c r="AG263" s="270"/>
      <c r="AH263" s="350"/>
      <c r="AI263" s="365"/>
      <c r="AJ263" s="330"/>
      <c r="AK263" s="330"/>
      <c r="AL263" s="330"/>
      <c r="AM263" s="330"/>
    </row>
    <row r="264" spans="1:39" s="348" customFormat="1" x14ac:dyDescent="0.2">
      <c r="A264" s="423">
        <f t="shared" ref="A264:A272" si="72">+A263+1</f>
        <v>259</v>
      </c>
      <c r="B264" s="721" t="s">
        <v>5608</v>
      </c>
      <c r="C264" s="655">
        <v>521502</v>
      </c>
      <c r="D264" s="658" t="s">
        <v>721</v>
      </c>
      <c r="E264" s="655" t="s">
        <v>5620</v>
      </c>
      <c r="F264" s="546">
        <v>2017</v>
      </c>
      <c r="G264" s="659">
        <v>42975</v>
      </c>
      <c r="H264" s="655" t="s">
        <v>1211</v>
      </c>
      <c r="I264" s="655" t="s">
        <v>5774</v>
      </c>
      <c r="J264" s="712"/>
      <c r="K264" s="655" t="s">
        <v>5868</v>
      </c>
      <c r="L264" s="655" t="s">
        <v>6023</v>
      </c>
      <c r="M264" s="660">
        <v>318965.52</v>
      </c>
      <c r="N264" s="660">
        <v>0</v>
      </c>
      <c r="O264" s="660">
        <v>51034.48</v>
      </c>
      <c r="P264" s="660">
        <v>370000</v>
      </c>
      <c r="Q264" s="548"/>
      <c r="R264" s="660">
        <v>250000</v>
      </c>
      <c r="S264" s="549">
        <f t="shared" si="71"/>
        <v>120000</v>
      </c>
      <c r="T264" s="113" t="s">
        <v>263</v>
      </c>
      <c r="U264" s="370"/>
      <c r="V264" s="370"/>
      <c r="W264" s="375"/>
      <c r="X264" s="374"/>
      <c r="Y264" s="370"/>
      <c r="Z264" s="371"/>
      <c r="AA264" s="371"/>
      <c r="AB264" s="744"/>
      <c r="AC264" s="270"/>
      <c r="AD264" s="372"/>
      <c r="AE264" s="270"/>
      <c r="AF264" s="270"/>
      <c r="AG264" s="270"/>
      <c r="AH264" s="350"/>
      <c r="AI264" s="365"/>
      <c r="AJ264" s="330"/>
      <c r="AK264" s="330"/>
      <c r="AL264" s="330"/>
      <c r="AM264" s="330"/>
    </row>
    <row r="265" spans="1:39" s="348" customFormat="1" x14ac:dyDescent="0.2">
      <c r="A265" s="423">
        <f t="shared" si="72"/>
        <v>260</v>
      </c>
      <c r="B265" s="721" t="s">
        <v>5609</v>
      </c>
      <c r="C265" s="655">
        <v>521705</v>
      </c>
      <c r="D265" s="658" t="s">
        <v>721</v>
      </c>
      <c r="E265" s="655" t="s">
        <v>5620</v>
      </c>
      <c r="F265" s="546">
        <v>2017</v>
      </c>
      <c r="G265" s="659">
        <v>42976</v>
      </c>
      <c r="H265" s="655" t="s">
        <v>751</v>
      </c>
      <c r="I265" s="655" t="s">
        <v>5775</v>
      </c>
      <c r="J265" s="712"/>
      <c r="K265" s="655" t="s">
        <v>5869</v>
      </c>
      <c r="L265" s="655" t="s">
        <v>6024</v>
      </c>
      <c r="M265" s="660">
        <v>75284.479999999996</v>
      </c>
      <c r="N265" s="660">
        <v>0</v>
      </c>
      <c r="O265" s="660">
        <v>1965.52</v>
      </c>
      <c r="P265" s="660">
        <v>77250</v>
      </c>
      <c r="Q265" s="548"/>
      <c r="R265" s="660">
        <v>63000</v>
      </c>
      <c r="S265" s="549">
        <f t="shared" si="71"/>
        <v>14250</v>
      </c>
      <c r="T265" s="113" t="s">
        <v>263</v>
      </c>
      <c r="U265" s="370"/>
      <c r="V265" s="370"/>
      <c r="W265" s="375"/>
      <c r="X265" s="374"/>
      <c r="Y265" s="370"/>
      <c r="Z265" s="371"/>
      <c r="AA265" s="371"/>
      <c r="AB265" s="744"/>
      <c r="AC265" s="270"/>
      <c r="AD265" s="372"/>
      <c r="AE265" s="270"/>
      <c r="AF265" s="270"/>
      <c r="AG265" s="270"/>
      <c r="AH265" s="350"/>
      <c r="AI265" s="365"/>
      <c r="AJ265" s="330"/>
      <c r="AK265" s="330"/>
      <c r="AL265" s="330"/>
      <c r="AM265" s="330"/>
    </row>
    <row r="266" spans="1:39" s="348" customFormat="1" x14ac:dyDescent="0.2">
      <c r="A266" s="423">
        <f t="shared" si="72"/>
        <v>261</v>
      </c>
      <c r="B266" s="721" t="s">
        <v>5610</v>
      </c>
      <c r="C266" s="655">
        <v>521502</v>
      </c>
      <c r="D266" s="658" t="s">
        <v>721</v>
      </c>
      <c r="E266" s="655" t="s">
        <v>5620</v>
      </c>
      <c r="F266" s="546">
        <v>2017</v>
      </c>
      <c r="G266" s="659">
        <v>42977</v>
      </c>
      <c r="H266" s="655" t="s">
        <v>1211</v>
      </c>
      <c r="I266" s="655" t="s">
        <v>5774</v>
      </c>
      <c r="J266" s="712"/>
      <c r="K266" s="655" t="s">
        <v>5868</v>
      </c>
      <c r="L266" s="655" t="s">
        <v>6023</v>
      </c>
      <c r="M266" s="660">
        <v>-318965.52</v>
      </c>
      <c r="N266" s="660">
        <v>0</v>
      </c>
      <c r="O266" s="660">
        <v>-51034.48</v>
      </c>
      <c r="P266" s="660">
        <v>-370000</v>
      </c>
      <c r="Q266" s="548"/>
      <c r="R266" s="660">
        <v>-250000</v>
      </c>
      <c r="S266" s="549">
        <f t="shared" si="71"/>
        <v>-120000</v>
      </c>
      <c r="T266" s="113" t="s">
        <v>263</v>
      </c>
      <c r="U266" s="370"/>
      <c r="V266" s="370"/>
      <c r="W266" s="375"/>
      <c r="X266" s="374"/>
      <c r="Y266" s="370"/>
      <c r="Z266" s="371"/>
      <c r="AA266" s="371"/>
      <c r="AB266" s="744"/>
      <c r="AC266" s="270"/>
      <c r="AD266" s="372"/>
      <c r="AE266" s="270"/>
      <c r="AF266" s="270"/>
      <c r="AG266" s="270"/>
      <c r="AH266" s="350"/>
      <c r="AI266" s="365"/>
      <c r="AJ266" s="330"/>
      <c r="AK266" s="330"/>
      <c r="AL266" s="330"/>
      <c r="AM266" s="330"/>
    </row>
    <row r="267" spans="1:39" s="348" customFormat="1" x14ac:dyDescent="0.2">
      <c r="A267" s="423">
        <f t="shared" si="72"/>
        <v>262</v>
      </c>
      <c r="B267" s="721" t="s">
        <v>5611</v>
      </c>
      <c r="C267" s="655">
        <v>520112</v>
      </c>
      <c r="D267" s="658" t="s">
        <v>686</v>
      </c>
      <c r="E267" s="655" t="s">
        <v>1519</v>
      </c>
      <c r="F267" s="546">
        <v>2017</v>
      </c>
      <c r="G267" s="659">
        <v>42954</v>
      </c>
      <c r="H267" s="655" t="s">
        <v>1038</v>
      </c>
      <c r="I267" s="655" t="s">
        <v>5776</v>
      </c>
      <c r="J267" s="712"/>
      <c r="K267" s="655" t="s">
        <v>5870</v>
      </c>
      <c r="L267" s="655" t="s">
        <v>6025</v>
      </c>
      <c r="M267" s="660">
        <v>185862.07</v>
      </c>
      <c r="N267" s="660">
        <v>0</v>
      </c>
      <c r="O267" s="660">
        <v>4137.93</v>
      </c>
      <c r="P267" s="660">
        <v>190000</v>
      </c>
      <c r="Q267" s="548"/>
      <c r="R267" s="660">
        <v>160000</v>
      </c>
      <c r="S267" s="549">
        <f t="shared" si="71"/>
        <v>30000</v>
      </c>
      <c r="T267" s="113" t="s">
        <v>263</v>
      </c>
      <c r="U267" s="370"/>
      <c r="V267" s="370"/>
      <c r="W267" s="375"/>
      <c r="X267" s="374"/>
      <c r="Y267" s="370"/>
      <c r="Z267" s="371"/>
      <c r="AA267" s="371"/>
      <c r="AB267" s="744"/>
      <c r="AC267" s="270"/>
      <c r="AD267" s="372"/>
      <c r="AE267" s="270"/>
      <c r="AF267" s="270"/>
      <c r="AG267" s="270"/>
      <c r="AH267" s="350"/>
      <c r="AI267" s="365"/>
      <c r="AJ267" s="330"/>
      <c r="AK267" s="330"/>
      <c r="AL267" s="330"/>
      <c r="AM267" s="330"/>
    </row>
    <row r="268" spans="1:39" s="348" customFormat="1" x14ac:dyDescent="0.2">
      <c r="A268" s="423">
        <f t="shared" si="72"/>
        <v>263</v>
      </c>
      <c r="B268" s="721" t="s">
        <v>5612</v>
      </c>
      <c r="C268" s="655">
        <v>521704</v>
      </c>
      <c r="D268" s="658" t="s">
        <v>686</v>
      </c>
      <c r="E268" s="655" t="s">
        <v>1519</v>
      </c>
      <c r="F268" s="546">
        <v>2017</v>
      </c>
      <c r="G268" s="659">
        <v>42955</v>
      </c>
      <c r="H268" s="655" t="s">
        <v>5133</v>
      </c>
      <c r="I268" s="655" t="s">
        <v>5777</v>
      </c>
      <c r="J268" s="712"/>
      <c r="K268" s="655" t="s">
        <v>5871</v>
      </c>
      <c r="L268" s="655" t="s">
        <v>6026</v>
      </c>
      <c r="M268" s="660">
        <v>160862.07</v>
      </c>
      <c r="N268" s="660">
        <v>0</v>
      </c>
      <c r="O268" s="660">
        <v>4137.93</v>
      </c>
      <c r="P268" s="660">
        <v>165000</v>
      </c>
      <c r="Q268" s="548"/>
      <c r="R268" s="660">
        <v>135000</v>
      </c>
      <c r="S268" s="549">
        <f t="shared" si="71"/>
        <v>30000</v>
      </c>
      <c r="T268" s="113" t="s">
        <v>263</v>
      </c>
      <c r="U268" s="370"/>
      <c r="V268" s="370"/>
      <c r="W268" s="375"/>
      <c r="X268" s="374"/>
      <c r="Y268" s="370"/>
      <c r="Z268" s="371"/>
      <c r="AA268" s="371"/>
      <c r="AB268" s="744"/>
      <c r="AC268" s="270"/>
      <c r="AD268" s="372"/>
      <c r="AE268" s="270"/>
      <c r="AF268" s="270"/>
      <c r="AG268" s="270"/>
      <c r="AH268" s="350"/>
      <c r="AI268" s="365"/>
      <c r="AJ268" s="330"/>
      <c r="AK268" s="330"/>
      <c r="AL268" s="330"/>
      <c r="AM268" s="330"/>
    </row>
    <row r="269" spans="1:39" s="348" customFormat="1" x14ac:dyDescent="0.2">
      <c r="A269" s="423">
        <f t="shared" si="72"/>
        <v>264</v>
      </c>
      <c r="B269" s="721" t="s">
        <v>5613</v>
      </c>
      <c r="C269" s="655">
        <v>520113</v>
      </c>
      <c r="D269" s="658" t="s">
        <v>686</v>
      </c>
      <c r="E269" s="655" t="s">
        <v>1519</v>
      </c>
      <c r="F269" s="546">
        <v>2017</v>
      </c>
      <c r="G269" s="659">
        <v>42958</v>
      </c>
      <c r="H269" s="655" t="s">
        <v>2954</v>
      </c>
      <c r="I269" s="655" t="s">
        <v>5778</v>
      </c>
      <c r="J269" s="712"/>
      <c r="K269" s="655" t="s">
        <v>5872</v>
      </c>
      <c r="L269" s="655" t="s">
        <v>6027</v>
      </c>
      <c r="M269" s="660">
        <v>312413.78999999998</v>
      </c>
      <c r="N269" s="660">
        <v>0</v>
      </c>
      <c r="O269" s="660">
        <v>7586.21</v>
      </c>
      <c r="P269" s="660">
        <v>320000</v>
      </c>
      <c r="Q269" s="548"/>
      <c r="R269" s="660">
        <v>265000</v>
      </c>
      <c r="S269" s="549">
        <f t="shared" si="71"/>
        <v>55000</v>
      </c>
      <c r="T269" s="113" t="s">
        <v>263</v>
      </c>
      <c r="U269" s="370"/>
      <c r="V269" s="370"/>
      <c r="W269" s="375"/>
      <c r="X269" s="374"/>
      <c r="Y269" s="370"/>
      <c r="Z269" s="371"/>
      <c r="AA269" s="371"/>
      <c r="AB269" s="744"/>
      <c r="AC269" s="270"/>
      <c r="AD269" s="372"/>
      <c r="AE269" s="270"/>
      <c r="AF269" s="270"/>
      <c r="AG269" s="270"/>
      <c r="AH269" s="350"/>
      <c r="AI269" s="365"/>
      <c r="AJ269" s="330"/>
      <c r="AK269" s="330"/>
      <c r="AL269" s="330"/>
      <c r="AM269" s="330"/>
    </row>
    <row r="270" spans="1:39" s="348" customFormat="1" x14ac:dyDescent="0.2">
      <c r="A270" s="423">
        <f t="shared" si="72"/>
        <v>265</v>
      </c>
      <c r="B270" s="721" t="s">
        <v>5614</v>
      </c>
      <c r="C270" s="655">
        <v>520113</v>
      </c>
      <c r="D270" s="658" t="s">
        <v>686</v>
      </c>
      <c r="E270" s="655" t="s">
        <v>1519</v>
      </c>
      <c r="F270" s="546">
        <v>2017</v>
      </c>
      <c r="G270" s="659">
        <v>42962</v>
      </c>
      <c r="H270" s="655" t="s">
        <v>2954</v>
      </c>
      <c r="I270" s="655" t="s">
        <v>5778</v>
      </c>
      <c r="J270" s="712"/>
      <c r="K270" s="655" t="s">
        <v>5872</v>
      </c>
      <c r="L270" s="655" t="s">
        <v>6027</v>
      </c>
      <c r="M270" s="660">
        <v>-312413.78999999998</v>
      </c>
      <c r="N270" s="660">
        <v>0</v>
      </c>
      <c r="O270" s="660">
        <v>-7586.21</v>
      </c>
      <c r="P270" s="660">
        <v>-320000</v>
      </c>
      <c r="Q270" s="548"/>
      <c r="R270" s="660">
        <v>-265000</v>
      </c>
      <c r="S270" s="549">
        <f t="shared" si="71"/>
        <v>-55000</v>
      </c>
      <c r="T270" s="113" t="s">
        <v>263</v>
      </c>
      <c r="U270" s="370"/>
      <c r="V270" s="370"/>
      <c r="W270" s="375"/>
      <c r="X270" s="374"/>
      <c r="Y270" s="370"/>
      <c r="Z270" s="371"/>
      <c r="AA270" s="371"/>
      <c r="AB270" s="744"/>
      <c r="AC270" s="270"/>
      <c r="AD270" s="372"/>
      <c r="AE270" s="270"/>
      <c r="AF270" s="270"/>
      <c r="AG270" s="270"/>
      <c r="AH270" s="350"/>
      <c r="AI270" s="365"/>
      <c r="AJ270" s="330"/>
      <c r="AK270" s="330"/>
      <c r="AL270" s="330"/>
      <c r="AM270" s="330"/>
    </row>
    <row r="271" spans="1:39" s="348" customFormat="1" x14ac:dyDescent="0.2">
      <c r="A271" s="423">
        <f t="shared" si="72"/>
        <v>266</v>
      </c>
      <c r="B271" s="721" t="s">
        <v>5615</v>
      </c>
      <c r="C271" s="655">
        <v>520113</v>
      </c>
      <c r="D271" s="658" t="s">
        <v>686</v>
      </c>
      <c r="E271" s="655" t="s">
        <v>1519</v>
      </c>
      <c r="F271" s="546">
        <v>2017</v>
      </c>
      <c r="G271" s="659">
        <v>42962</v>
      </c>
      <c r="H271" s="655" t="s">
        <v>2954</v>
      </c>
      <c r="I271" s="655" t="s">
        <v>5779</v>
      </c>
      <c r="J271" s="712"/>
      <c r="K271" s="655" t="s">
        <v>5872</v>
      </c>
      <c r="L271" s="655" t="s">
        <v>6027</v>
      </c>
      <c r="M271" s="660">
        <v>312413.78999999998</v>
      </c>
      <c r="N271" s="660">
        <v>0</v>
      </c>
      <c r="O271" s="660">
        <v>7586.21</v>
      </c>
      <c r="P271" s="660">
        <v>320000</v>
      </c>
      <c r="Q271" s="548"/>
      <c r="R271" s="660">
        <v>265000</v>
      </c>
      <c r="S271" s="549">
        <f t="shared" si="71"/>
        <v>55000</v>
      </c>
      <c r="T271" s="113" t="s">
        <v>263</v>
      </c>
      <c r="U271" s="370"/>
      <c r="V271" s="370"/>
      <c r="W271" s="375"/>
      <c r="X271" s="374"/>
      <c r="Y271" s="370"/>
      <c r="Z271" s="371"/>
      <c r="AA271" s="371"/>
      <c r="AB271" s="744"/>
      <c r="AC271" s="270"/>
      <c r="AD271" s="372"/>
      <c r="AE271" s="270"/>
      <c r="AF271" s="270"/>
      <c r="AG271" s="270"/>
      <c r="AH271" s="350"/>
      <c r="AI271" s="365"/>
      <c r="AJ271" s="330"/>
      <c r="AK271" s="330"/>
      <c r="AL271" s="330"/>
      <c r="AM271" s="330"/>
    </row>
    <row r="272" spans="1:39" s="348" customFormat="1" x14ac:dyDescent="0.2">
      <c r="A272" s="423">
        <f t="shared" si="72"/>
        <v>267</v>
      </c>
      <c r="B272" s="721" t="s">
        <v>5616</v>
      </c>
      <c r="C272" s="655">
        <v>521502</v>
      </c>
      <c r="D272" s="658" t="s">
        <v>686</v>
      </c>
      <c r="E272" s="655" t="s">
        <v>1519</v>
      </c>
      <c r="F272" s="546">
        <v>2017</v>
      </c>
      <c r="G272" s="659">
        <v>42977</v>
      </c>
      <c r="H272" s="655" t="s">
        <v>1211</v>
      </c>
      <c r="I272" s="655" t="s">
        <v>5780</v>
      </c>
      <c r="J272" s="712"/>
      <c r="K272" s="655" t="s">
        <v>5868</v>
      </c>
      <c r="L272" s="655" t="s">
        <v>6023</v>
      </c>
      <c r="M272" s="660">
        <v>318965.52</v>
      </c>
      <c r="N272" s="660">
        <v>0</v>
      </c>
      <c r="O272" s="660">
        <v>51034.48</v>
      </c>
      <c r="P272" s="660">
        <v>370000</v>
      </c>
      <c r="Q272" s="548"/>
      <c r="R272" s="660">
        <v>250000</v>
      </c>
      <c r="S272" s="549">
        <f t="shared" si="71"/>
        <v>120000</v>
      </c>
      <c r="T272" s="113" t="s">
        <v>263</v>
      </c>
      <c r="U272" s="370"/>
      <c r="V272" s="370"/>
      <c r="W272" s="375"/>
      <c r="X272" s="374"/>
      <c r="Y272" s="370"/>
      <c r="Z272" s="371"/>
      <c r="AA272" s="371"/>
      <c r="AB272" s="744"/>
      <c r="AC272" s="270"/>
      <c r="AD272" s="372"/>
      <c r="AE272" s="270"/>
      <c r="AF272" s="270"/>
      <c r="AG272" s="270"/>
      <c r="AH272" s="350"/>
      <c r="AI272" s="365"/>
      <c r="AJ272" s="330"/>
      <c r="AK272" s="330"/>
      <c r="AL272" s="330"/>
      <c r="AM272" s="330"/>
    </row>
    <row r="273" spans="1:41" s="348" customFormat="1" x14ac:dyDescent="0.2">
      <c r="A273" s="423"/>
      <c r="B273" s="657"/>
      <c r="C273" s="655"/>
      <c r="D273" s="658"/>
      <c r="E273" s="655"/>
      <c r="F273" s="546"/>
      <c r="G273" s="659"/>
      <c r="H273" s="655"/>
      <c r="I273" s="655"/>
      <c r="J273" s="712"/>
      <c r="K273" s="655"/>
      <c r="L273" s="655"/>
      <c r="M273" s="660"/>
      <c r="N273" s="660"/>
      <c r="O273" s="660"/>
      <c r="P273" s="660"/>
      <c r="Q273" s="548"/>
      <c r="R273" s="660"/>
      <c r="S273" s="549"/>
      <c r="T273" s="113"/>
      <c r="U273" s="370"/>
      <c r="V273" s="370"/>
      <c r="W273" s="375"/>
      <c r="X273" s="374"/>
      <c r="Y273" s="370"/>
      <c r="Z273" s="371"/>
      <c r="AA273" s="371"/>
      <c r="AB273" s="744"/>
      <c r="AC273" s="270"/>
      <c r="AD273" s="372"/>
      <c r="AE273" s="270"/>
      <c r="AF273" s="270"/>
      <c r="AG273" s="270"/>
      <c r="AH273" s="350"/>
      <c r="AI273" s="365"/>
      <c r="AJ273" s="330"/>
      <c r="AK273" s="330"/>
      <c r="AL273" s="330"/>
      <c r="AM273" s="330"/>
    </row>
    <row r="274" spans="1:41" s="348" customFormat="1" x14ac:dyDescent="0.2">
      <c r="A274" s="423"/>
      <c r="B274" s="657"/>
      <c r="C274" s="655"/>
      <c r="D274" s="658"/>
      <c r="E274" s="655"/>
      <c r="F274" s="546"/>
      <c r="G274" s="659"/>
      <c r="H274" s="655"/>
      <c r="I274" s="655"/>
      <c r="J274" s="712"/>
      <c r="K274" s="655"/>
      <c r="L274" s="655"/>
      <c r="M274" s="660"/>
      <c r="N274" s="660"/>
      <c r="O274" s="660"/>
      <c r="P274" s="660"/>
      <c r="Q274" s="548"/>
      <c r="R274" s="660"/>
      <c r="S274" s="549"/>
      <c r="T274" s="113"/>
      <c r="U274" s="370"/>
      <c r="V274" s="370"/>
      <c r="W274" s="375"/>
      <c r="X274" s="374"/>
      <c r="Y274" s="370"/>
      <c r="Z274" s="371"/>
      <c r="AA274" s="371"/>
      <c r="AB274" s="744"/>
      <c r="AC274" s="270"/>
      <c r="AD274" s="372"/>
      <c r="AE274" s="270"/>
      <c r="AF274" s="270"/>
      <c r="AG274" s="270"/>
      <c r="AH274" s="350"/>
      <c r="AI274" s="365"/>
      <c r="AJ274" s="330"/>
      <c r="AK274" s="330"/>
      <c r="AL274" s="330"/>
      <c r="AM274" s="330"/>
    </row>
    <row r="275" spans="1:41" s="348" customFormat="1" x14ac:dyDescent="0.2">
      <c r="A275" s="423"/>
      <c r="B275" s="657"/>
      <c r="C275" s="655"/>
      <c r="D275" s="658"/>
      <c r="E275" s="655"/>
      <c r="F275" s="546"/>
      <c r="G275" s="659"/>
      <c r="H275" s="655"/>
      <c r="I275" s="655"/>
      <c r="J275" s="712"/>
      <c r="K275" s="655"/>
      <c r="L275" s="655"/>
      <c r="M275" s="660"/>
      <c r="N275" s="660"/>
      <c r="O275" s="660"/>
      <c r="P275" s="660"/>
      <c r="Q275" s="548"/>
      <c r="R275" s="660"/>
      <c r="S275" s="549"/>
      <c r="T275" s="113"/>
      <c r="U275" s="370"/>
      <c r="V275" s="370"/>
      <c r="W275" s="375"/>
      <c r="X275" s="374"/>
      <c r="Y275" s="370"/>
      <c r="Z275" s="371"/>
      <c r="AA275" s="371"/>
      <c r="AB275" s="744"/>
      <c r="AC275" s="270"/>
      <c r="AD275" s="372"/>
      <c r="AE275" s="270"/>
      <c r="AF275" s="270"/>
      <c r="AG275" s="270"/>
      <c r="AH275" s="350"/>
      <c r="AI275" s="365"/>
      <c r="AJ275" s="330"/>
      <c r="AK275" s="330"/>
      <c r="AL275" s="330"/>
      <c r="AM275" s="330"/>
    </row>
    <row r="276" spans="1:41" s="53" customFormat="1" ht="13.5" thickBot="1" x14ac:dyDescent="0.25">
      <c r="A276" s="48"/>
      <c r="B276" s="557"/>
      <c r="C276" s="558"/>
      <c r="D276" s="558"/>
      <c r="E276" s="559"/>
      <c r="F276" s="559"/>
      <c r="G276" s="560"/>
      <c r="H276" s="559"/>
      <c r="I276" s="559"/>
      <c r="J276" s="559"/>
      <c r="K276" s="559"/>
      <c r="L276" s="559"/>
      <c r="M276" s="561"/>
      <c r="N276" s="561"/>
      <c r="O276" s="561"/>
      <c r="P276" s="561"/>
      <c r="Q276" s="561"/>
      <c r="R276" s="561"/>
      <c r="S276" s="562"/>
      <c r="T276" s="13"/>
      <c r="V276" s="298" t="s">
        <v>250</v>
      </c>
      <c r="W276" s="437" t="s">
        <v>2909</v>
      </c>
      <c r="X276" s="382"/>
      <c r="Y276" s="441"/>
      <c r="Z276" s="438"/>
      <c r="AA276" s="439"/>
      <c r="AB276" s="715"/>
      <c r="AC276" s="396"/>
      <c r="AD276" s="425"/>
      <c r="AE276" s="440"/>
      <c r="AF276" s="439"/>
      <c r="AG276" s="396"/>
      <c r="AH276" s="346"/>
      <c r="AI276" s="313"/>
      <c r="AJ276" s="21"/>
      <c r="AK276" s="21"/>
      <c r="AL276" s="21"/>
      <c r="AM276" s="21"/>
      <c r="AN276" s="21"/>
      <c r="AO276" s="21"/>
    </row>
    <row r="277" spans="1:41" s="53" customFormat="1" x14ac:dyDescent="0.2">
      <c r="A277" s="48"/>
      <c r="B277" s="592"/>
      <c r="C277" s="593"/>
      <c r="D277" s="593"/>
      <c r="E277" s="593"/>
      <c r="F277" s="594"/>
      <c r="G277" s="595"/>
      <c r="H277" s="596"/>
      <c r="I277" s="597"/>
      <c r="J277" s="598"/>
      <c r="K277" s="598"/>
      <c r="L277" s="594"/>
      <c r="M277" s="599"/>
      <c r="N277" s="600"/>
      <c r="O277" s="601"/>
      <c r="P277" s="601"/>
      <c r="Q277" s="601"/>
      <c r="R277" s="602"/>
      <c r="S277" s="603"/>
      <c r="T277" s="13"/>
      <c r="V277" s="298" t="s">
        <v>251</v>
      </c>
      <c r="W277" s="437" t="s">
        <v>2745</v>
      </c>
      <c r="X277" s="271"/>
      <c r="Y277" s="441"/>
      <c r="Z277" s="471" t="e">
        <f>+AB120+AB99+AB96+#REF!+#REF!</f>
        <v>#REF!</v>
      </c>
      <c r="AA277" s="472" t="e">
        <f>+AA120+AA99+AA96+#REF!+#REF!</f>
        <v>#REF!</v>
      </c>
      <c r="AB277" s="473"/>
      <c r="AC277" s="474" t="s">
        <v>1269</v>
      </c>
      <c r="AD277" s="436"/>
      <c r="AE277" s="431"/>
      <c r="AF277" s="431"/>
      <c r="AG277" s="440"/>
      <c r="AH277" s="270"/>
      <c r="AI277" s="313"/>
      <c r="AJ277" s="21"/>
      <c r="AK277" s="21"/>
      <c r="AL277" s="21"/>
      <c r="AM277" s="21"/>
      <c r="AN277" s="21"/>
      <c r="AO277" s="21"/>
    </row>
    <row r="278" spans="1:41" s="53" customFormat="1" x14ac:dyDescent="0.2">
      <c r="A278" s="48"/>
      <c r="B278" s="604"/>
      <c r="C278" s="262"/>
      <c r="D278" s="262"/>
      <c r="E278" s="129"/>
      <c r="F278" s="40"/>
      <c r="G278" s="81"/>
      <c r="H278" s="254"/>
      <c r="I278" s="90"/>
      <c r="J278" s="90"/>
      <c r="K278" s="90"/>
      <c r="L278" s="40"/>
      <c r="M278" s="209">
        <f t="shared" ref="M278:S278" si="73">SUM(M6:M276)</f>
        <v>42673976.759999998</v>
      </c>
      <c r="N278" s="209">
        <f t="shared" si="73"/>
        <v>870327.55999999982</v>
      </c>
      <c r="O278" s="209">
        <f t="shared" si="73"/>
        <v>6634768.6600000029</v>
      </c>
      <c r="P278" s="209">
        <f t="shared" si="73"/>
        <v>50179072.980000034</v>
      </c>
      <c r="Q278" s="209">
        <f t="shared" si="73"/>
        <v>0</v>
      </c>
      <c r="R278" s="209">
        <f t="shared" si="73"/>
        <v>39492756.319999985</v>
      </c>
      <c r="S278" s="605">
        <f t="shared" si="73"/>
        <v>10686316.660000011</v>
      </c>
      <c r="T278" s="13"/>
      <c r="V278" s="93"/>
      <c r="W278" s="267"/>
      <c r="X278" s="271"/>
      <c r="Y278" s="94"/>
      <c r="Z278" s="475">
        <f>+AB78+AB75+AB71+AB67+AB51+AB30+AB28</f>
        <v>1</v>
      </c>
      <c r="AA278" s="472">
        <f>+AA78+AA75+AA71+AA67+AA51+AA30+AA28</f>
        <v>520282.13</v>
      </c>
      <c r="AB278" s="473"/>
      <c r="AC278" s="474" t="s">
        <v>1270</v>
      </c>
      <c r="AD278" s="425"/>
      <c r="AE278" s="424"/>
      <c r="AF278" s="424"/>
      <c r="AG278" s="346"/>
      <c r="AH278" s="270"/>
      <c r="AI278" s="313"/>
      <c r="AJ278" s="21"/>
      <c r="AK278" s="21"/>
      <c r="AL278" s="21"/>
      <c r="AM278" s="21"/>
      <c r="AN278" s="21"/>
      <c r="AO278" s="21"/>
    </row>
    <row r="279" spans="1:41" s="53" customFormat="1" ht="13.5" thickBot="1" x14ac:dyDescent="0.25">
      <c r="A279" s="48"/>
      <c r="B279" s="606"/>
      <c r="C279" s="607"/>
      <c r="D279" s="607"/>
      <c r="E279" s="607"/>
      <c r="F279" s="608"/>
      <c r="G279" s="609"/>
      <c r="H279" s="610"/>
      <c r="I279" s="611"/>
      <c r="J279" s="612"/>
      <c r="K279" s="612"/>
      <c r="L279" s="608"/>
      <c r="M279" s="613"/>
      <c r="N279" s="614"/>
      <c r="O279" s="615"/>
      <c r="P279" s="615"/>
      <c r="Q279" s="615"/>
      <c r="R279" s="616"/>
      <c r="S279" s="617"/>
      <c r="T279" s="13"/>
      <c r="V279" s="429"/>
      <c r="W279" s="426"/>
      <c r="X279" s="382"/>
      <c r="Y279" s="442"/>
      <c r="Z279" s="476">
        <f>+AB77+AB76+AB41+AB31+AB27+AB24+AB21+AB19+AB15+AB13+AB10+AB12</f>
        <v>5</v>
      </c>
      <c r="AA279" s="472">
        <f>+AA77+AA76+AA41+AA31+AA27+AA24+AA21+AA19+AA15+AA13+AA12+AA10</f>
        <v>1465611.38</v>
      </c>
      <c r="AB279" s="473"/>
      <c r="AC279" s="474" t="s">
        <v>1271</v>
      </c>
      <c r="AD279" s="443"/>
      <c r="AE279" s="439"/>
      <c r="AF279" s="439"/>
      <c r="AG279" s="291"/>
      <c r="AH279" s="270"/>
      <c r="AI279" s="313"/>
      <c r="AJ279" s="21"/>
      <c r="AK279" s="21"/>
      <c r="AL279" s="21"/>
      <c r="AM279" s="21"/>
      <c r="AN279" s="21"/>
      <c r="AO279" s="21"/>
    </row>
    <row r="280" spans="1:41" s="53" customFormat="1" ht="13.5" thickBot="1" x14ac:dyDescent="0.25">
      <c r="A280" s="48"/>
      <c r="B280" s="305"/>
      <c r="C280" s="233"/>
      <c r="D280" s="233"/>
      <c r="E280" s="113"/>
      <c r="F280" s="48"/>
      <c r="G280" s="49"/>
      <c r="H280" s="256"/>
      <c r="I280" s="133" t="s">
        <v>37</v>
      </c>
      <c r="J280" s="117"/>
      <c r="K280" s="133" t="s">
        <v>37</v>
      </c>
      <c r="L280" s="8" t="s">
        <v>75</v>
      </c>
      <c r="M280" s="410">
        <v>26567155.23</v>
      </c>
      <c r="N280" s="326">
        <f>+N278</f>
        <v>870327.55999999982</v>
      </c>
      <c r="O280" s="201"/>
      <c r="P280" s="279"/>
      <c r="Q280" s="201"/>
      <c r="R280" s="326">
        <v>27364079.710000001</v>
      </c>
      <c r="S280" s="201">
        <f>SUM(R6:R208)+SUM(Q291:Q292)-R281+Q1</f>
        <v>20350490.909999989</v>
      </c>
      <c r="T280" s="13"/>
      <c r="V280" s="351"/>
      <c r="W280" s="351"/>
      <c r="X280" s="351"/>
      <c r="Y280" s="352"/>
      <c r="Z280" s="477">
        <f>+AB38</f>
        <v>0</v>
      </c>
      <c r="AA280" s="478">
        <f>+AA38</f>
        <v>0</v>
      </c>
      <c r="AB280" s="473"/>
      <c r="AC280" s="474" t="s">
        <v>1272</v>
      </c>
      <c r="AD280" s="351"/>
      <c r="AE280" s="351"/>
      <c r="AF280" s="351"/>
      <c r="AG280" s="351"/>
      <c r="AH280" s="270"/>
      <c r="AI280" s="313"/>
      <c r="AJ280" s="21"/>
      <c r="AK280" s="21"/>
      <c r="AL280" s="21"/>
      <c r="AM280" s="21"/>
      <c r="AN280" s="21"/>
      <c r="AO280" s="21"/>
    </row>
    <row r="281" spans="1:41" s="53" customFormat="1" ht="13.5" thickTop="1" x14ac:dyDescent="0.2">
      <c r="A281" s="48"/>
      <c r="B281" s="305"/>
      <c r="C281" s="233"/>
      <c r="D281" s="233"/>
      <c r="E281" s="113"/>
      <c r="F281" s="48"/>
      <c r="G281" s="49"/>
      <c r="H281" s="256"/>
      <c r="I281" s="133" t="s">
        <v>404</v>
      </c>
      <c r="J281" s="117"/>
      <c r="K281" s="133" t="s">
        <v>74</v>
      </c>
      <c r="L281" s="8" t="s">
        <v>75</v>
      </c>
      <c r="M281" s="410">
        <v>12777881.9</v>
      </c>
      <c r="N281" s="326"/>
      <c r="O281" s="201"/>
      <c r="P281" s="279"/>
      <c r="Q281" s="201"/>
      <c r="R281" s="326">
        <v>7522946.3200000003</v>
      </c>
      <c r="S281" s="285"/>
      <c r="T281" s="13"/>
      <c r="V281" s="348"/>
      <c r="W281" s="348"/>
      <c r="X281" s="348"/>
      <c r="Y281" s="348"/>
      <c r="Z281" s="479" t="e">
        <f>+SUM(Z277:Z280)</f>
        <v>#REF!</v>
      </c>
      <c r="AA281" s="480" t="e">
        <f>SUM(AA277:AA280)</f>
        <v>#REF!</v>
      </c>
      <c r="AB281" s="473"/>
      <c r="AC281" s="472"/>
      <c r="AD281" s="348"/>
      <c r="AE281" s="348"/>
      <c r="AF281" s="348"/>
      <c r="AG281" s="348"/>
      <c r="AH281" s="346"/>
      <c r="AI281" s="363"/>
      <c r="AJ281" s="21"/>
      <c r="AK281" s="21"/>
      <c r="AL281" s="21"/>
      <c r="AM281" s="21"/>
      <c r="AN281" s="21"/>
      <c r="AO281" s="21"/>
    </row>
    <row r="282" spans="1:41" s="53" customFormat="1" x14ac:dyDescent="0.2">
      <c r="A282" s="48"/>
      <c r="B282" s="306"/>
      <c r="C282" s="233"/>
      <c r="D282" s="233"/>
      <c r="E282" s="113"/>
      <c r="F282" s="48"/>
      <c r="G282" s="49"/>
      <c r="H282" s="256"/>
      <c r="I282" s="133" t="s">
        <v>74</v>
      </c>
      <c r="J282" s="117"/>
      <c r="K282" s="133" t="s">
        <v>38</v>
      </c>
      <c r="L282" s="8" t="s">
        <v>75</v>
      </c>
      <c r="M282" s="410">
        <v>3328939.63</v>
      </c>
      <c r="N282" s="201"/>
      <c r="O282" s="201"/>
      <c r="P282" s="279"/>
      <c r="Q282" s="332">
        <f>72*360</f>
        <v>25920</v>
      </c>
      <c r="R282" s="326">
        <v>5857317.5899999999</v>
      </c>
      <c r="S282" s="201" t="e">
        <f>SUM(#REF!)</f>
        <v>#REF!</v>
      </c>
      <c r="T282" s="13"/>
      <c r="U282" s="369"/>
      <c r="V282" s="370"/>
      <c r="W282" s="375"/>
      <c r="X282" s="375"/>
      <c r="Y282" s="375"/>
      <c r="Z282" s="376"/>
      <c r="AA282" s="371"/>
      <c r="AB282" s="744"/>
      <c r="AC282" s="371"/>
      <c r="AD282" s="372"/>
      <c r="AE282" s="371"/>
      <c r="AF282" s="371"/>
      <c r="AG282" s="270"/>
      <c r="AH282" s="272"/>
      <c r="AI282" s="313"/>
      <c r="AJ282" s="21"/>
      <c r="AK282" s="21"/>
      <c r="AL282" s="21"/>
      <c r="AM282" s="21"/>
      <c r="AN282" s="21"/>
      <c r="AO282" s="21"/>
    </row>
    <row r="283" spans="1:41" s="53" customFormat="1" x14ac:dyDescent="0.2">
      <c r="A283" s="48"/>
      <c r="B283" s="306"/>
      <c r="C283" s="233"/>
      <c r="D283" s="233"/>
      <c r="E283" s="113"/>
      <c r="F283" s="48"/>
      <c r="G283" s="49"/>
      <c r="H283" s="256"/>
      <c r="I283" s="133" t="s">
        <v>38</v>
      </c>
      <c r="J283" s="117"/>
      <c r="K283" s="117"/>
      <c r="L283" s="8"/>
      <c r="M283" s="326"/>
      <c r="N283" s="326"/>
      <c r="O283" s="326"/>
      <c r="P283" s="327"/>
      <c r="Q283" s="327"/>
      <c r="R283" s="400">
        <v>8200735.7800000003</v>
      </c>
      <c r="S283" s="401"/>
      <c r="T283" s="380"/>
      <c r="U283" s="369"/>
      <c r="V283" s="370"/>
      <c r="W283" s="375"/>
      <c r="X283" s="375"/>
      <c r="Y283" s="375"/>
      <c r="Z283" s="376"/>
      <c r="AA283" s="371"/>
      <c r="AB283" s="744"/>
      <c r="AC283" s="371"/>
      <c r="AD283" s="372"/>
      <c r="AE283" s="371"/>
      <c r="AF283" s="371"/>
      <c r="AG283" s="270"/>
      <c r="AH283" s="272"/>
      <c r="AI283" s="313"/>
      <c r="AJ283" s="21"/>
      <c r="AK283" s="21"/>
      <c r="AL283" s="21"/>
      <c r="AM283" s="21"/>
      <c r="AN283" s="21"/>
      <c r="AO283" s="21"/>
    </row>
    <row r="284" spans="1:41" s="53" customFormat="1" x14ac:dyDescent="0.2">
      <c r="A284" s="48"/>
      <c r="B284" s="306"/>
      <c r="C284" s="233"/>
      <c r="D284" s="233"/>
      <c r="E284" s="113"/>
      <c r="F284" s="48"/>
      <c r="G284" s="49"/>
      <c r="H284" s="256"/>
      <c r="I284" s="133" t="s">
        <v>405</v>
      </c>
      <c r="J284" s="117"/>
      <c r="K284" s="117"/>
      <c r="L284" s="8"/>
      <c r="M284" s="258">
        <v>0</v>
      </c>
      <c r="N284" s="258"/>
      <c r="O284" s="258"/>
      <c r="P284" s="280"/>
      <c r="Q284" s="280"/>
      <c r="R284" s="400">
        <v>604</v>
      </c>
      <c r="S284" s="401"/>
      <c r="T284" s="13"/>
      <c r="U284" s="320"/>
      <c r="V284" s="354"/>
      <c r="W284" s="355"/>
      <c r="X284" s="355"/>
      <c r="Y284" s="355"/>
      <c r="Z284" s="356"/>
      <c r="AA284" s="328"/>
      <c r="AB284" s="744"/>
      <c r="AC284" s="328"/>
      <c r="AD284" s="333"/>
      <c r="AE284" s="328"/>
      <c r="AF284" s="328"/>
      <c r="AG284" s="346"/>
      <c r="AH284" s="347"/>
      <c r="AI284" s="363"/>
      <c r="AJ284" s="21"/>
      <c r="AK284" s="21"/>
      <c r="AL284" s="21"/>
      <c r="AM284" s="21"/>
      <c r="AN284" s="21"/>
      <c r="AO284" s="21"/>
    </row>
    <row r="285" spans="1:41" s="53" customFormat="1" x14ac:dyDescent="0.2">
      <c r="A285" s="48"/>
      <c r="B285" s="306"/>
      <c r="C285" s="233"/>
      <c r="D285" s="233"/>
      <c r="E285" s="113"/>
      <c r="F285" s="48"/>
      <c r="G285" s="51"/>
      <c r="H285" s="257"/>
      <c r="I285" s="133" t="s">
        <v>39</v>
      </c>
      <c r="J285" s="117"/>
      <c r="K285" s="117"/>
      <c r="L285" s="8"/>
      <c r="M285" s="204">
        <f>SUM(M280:M284)</f>
        <v>42673976.760000005</v>
      </c>
      <c r="N285" s="204">
        <f>SUM(N280:N284)</f>
        <v>870327.55999999982</v>
      </c>
      <c r="O285" s="204"/>
      <c r="P285" s="204"/>
      <c r="Q285" s="204">
        <f>+Q278-Q280</f>
        <v>0</v>
      </c>
      <c r="R285" s="402">
        <f>+SUM(R280:R284)</f>
        <v>48945683.400000006</v>
      </c>
      <c r="S285" s="285"/>
      <c r="T285" s="13"/>
      <c r="U285" s="369"/>
      <c r="V285" s="370"/>
      <c r="W285" s="375"/>
      <c r="X285" s="375"/>
      <c r="Y285" s="375"/>
      <c r="Z285" s="376"/>
      <c r="AA285" s="371"/>
      <c r="AB285" s="744"/>
      <c r="AC285" s="371"/>
      <c r="AD285" s="372"/>
      <c r="AE285" s="371"/>
      <c r="AF285" s="371"/>
      <c r="AG285" s="270"/>
      <c r="AH285" s="272"/>
      <c r="AI285" s="313"/>
      <c r="AJ285" s="21"/>
      <c r="AK285" s="21"/>
      <c r="AL285" s="21"/>
      <c r="AM285" s="21"/>
      <c r="AN285" s="21"/>
      <c r="AO285" s="21"/>
    </row>
    <row r="286" spans="1:41" s="53" customFormat="1" x14ac:dyDescent="0.2">
      <c r="A286" s="48"/>
      <c r="B286" s="306"/>
      <c r="C286" s="233"/>
      <c r="D286" s="233"/>
      <c r="E286" s="113"/>
      <c r="F286" s="48"/>
      <c r="G286" s="49"/>
      <c r="H286" s="256"/>
      <c r="I286" s="116"/>
      <c r="J286" s="117"/>
      <c r="K286" s="117"/>
      <c r="L286" s="8"/>
      <c r="M286" s="403"/>
      <c r="N286" s="201"/>
      <c r="O286" s="202"/>
      <c r="P286" s="200"/>
      <c r="Q286" s="200"/>
      <c r="R286" s="52"/>
      <c r="S286" s="285"/>
      <c r="T286" s="13"/>
      <c r="U286" s="369"/>
      <c r="V286" s="370"/>
      <c r="W286" s="375"/>
      <c r="X286" s="375"/>
      <c r="Y286" s="375"/>
      <c r="Z286" s="376"/>
      <c r="AA286" s="371"/>
      <c r="AB286" s="744"/>
      <c r="AC286" s="371"/>
      <c r="AD286" s="372"/>
      <c r="AE286" s="371"/>
      <c r="AF286" s="371"/>
      <c r="AG286" s="270"/>
      <c r="AH286" s="272"/>
      <c r="AI286" s="313"/>
      <c r="AJ286" s="21"/>
      <c r="AK286" s="21"/>
      <c r="AL286" s="21"/>
      <c r="AM286" s="21"/>
      <c r="AN286" s="21"/>
      <c r="AO286" s="21"/>
    </row>
    <row r="287" spans="1:41" s="53" customFormat="1" x14ac:dyDescent="0.2">
      <c r="A287" s="48"/>
      <c r="B287" s="306"/>
      <c r="C287" s="233"/>
      <c r="D287" s="233"/>
      <c r="E287" s="113"/>
      <c r="F287" s="48"/>
      <c r="G287" s="49"/>
      <c r="H287" s="256"/>
      <c r="I287" s="116"/>
      <c r="J287" s="117"/>
      <c r="K287" s="117"/>
      <c r="L287" s="8" t="s">
        <v>40</v>
      </c>
      <c r="M287" s="404">
        <f>+M278-M285</f>
        <v>0</v>
      </c>
      <c r="N287" s="404"/>
      <c r="O287" s="202"/>
      <c r="P287" s="200"/>
      <c r="Q287" s="200"/>
      <c r="R287" s="52"/>
      <c r="S287" s="285"/>
      <c r="T287" s="13"/>
      <c r="U287" s="369"/>
      <c r="V287" s="370"/>
      <c r="W287" s="375"/>
      <c r="X287" s="375"/>
      <c r="Y287" s="375"/>
      <c r="Z287" s="376"/>
      <c r="AA287" s="371"/>
      <c r="AB287" s="744"/>
      <c r="AC287" s="371"/>
      <c r="AD287" s="372"/>
      <c r="AE287" s="371"/>
      <c r="AF287" s="371"/>
      <c r="AG287" s="270"/>
      <c r="AH287" s="272"/>
      <c r="AI287" s="313"/>
      <c r="AJ287" s="21"/>
      <c r="AK287" s="21"/>
      <c r="AL287" s="21"/>
      <c r="AM287" s="21"/>
      <c r="AN287" s="21"/>
      <c r="AO287" s="21"/>
    </row>
    <row r="288" spans="1:41" s="53" customFormat="1" x14ac:dyDescent="0.2">
      <c r="A288" s="48"/>
      <c r="B288" s="369"/>
      <c r="C288" s="375"/>
      <c r="D288" s="374"/>
      <c r="E288" s="374"/>
      <c r="F288" s="374"/>
      <c r="G288" s="414"/>
      <c r="H288" s="415"/>
      <c r="I288" s="374"/>
      <c r="J288" s="374"/>
      <c r="K288" s="374"/>
      <c r="L288" s="374"/>
      <c r="M288" s="396"/>
      <c r="N288" s="396"/>
      <c r="O288" s="396"/>
      <c r="P288" s="396"/>
      <c r="Q288" s="401"/>
      <c r="R288" s="405"/>
      <c r="S288" s="406"/>
      <c r="T288" s="13"/>
      <c r="U288" s="369"/>
      <c r="V288" s="370"/>
      <c r="W288" s="375"/>
      <c r="X288" s="375"/>
      <c r="Y288" s="375"/>
      <c r="Z288" s="376"/>
      <c r="AA288" s="371"/>
      <c r="AB288" s="744"/>
      <c r="AC288" s="371"/>
      <c r="AD288" s="372"/>
      <c r="AE288" s="371"/>
      <c r="AF288" s="371"/>
      <c r="AG288" s="270"/>
      <c r="AH288" s="272"/>
      <c r="AI288" s="313"/>
      <c r="AJ288" s="21"/>
      <c r="AK288" s="21"/>
      <c r="AL288" s="21"/>
      <c r="AM288" s="21"/>
      <c r="AN288" s="21"/>
      <c r="AO288" s="21"/>
    </row>
    <row r="289" spans="1:41" s="53" customFormat="1" x14ac:dyDescent="0.2">
      <c r="A289" s="48"/>
      <c r="B289" s="369"/>
      <c r="C289" s="375"/>
      <c r="D289" s="374"/>
      <c r="E289" s="374"/>
      <c r="F289" s="374"/>
      <c r="G289" s="414"/>
      <c r="H289" s="318"/>
      <c r="I289" s="374"/>
      <c r="J289" s="374"/>
      <c r="K289" s="374"/>
      <c r="L289" s="374"/>
      <c r="M289" s="396"/>
      <c r="N289" s="396"/>
      <c r="O289" s="396"/>
      <c r="P289" s="396"/>
      <c r="Q289" s="97"/>
      <c r="R289" s="407"/>
      <c r="S289" s="94"/>
      <c r="T289" s="13"/>
      <c r="U289" s="320"/>
      <c r="V289" s="354"/>
      <c r="W289" s="355"/>
      <c r="X289" s="355"/>
      <c r="Y289" s="355"/>
      <c r="Z289" s="356"/>
      <c r="AA289" s="328"/>
      <c r="AB289" s="744"/>
      <c r="AC289" s="328"/>
      <c r="AD289" s="333"/>
      <c r="AE289" s="328"/>
      <c r="AF289" s="328"/>
      <c r="AG289" s="346"/>
      <c r="AH289" s="272"/>
      <c r="AI289" s="313"/>
      <c r="AJ289" s="21"/>
      <c r="AK289" s="21"/>
      <c r="AL289" s="21"/>
      <c r="AM289" s="21"/>
      <c r="AN289" s="21"/>
      <c r="AO289" s="21"/>
    </row>
    <row r="290" spans="1:41" s="53" customFormat="1" x14ac:dyDescent="0.2">
      <c r="A290" s="48"/>
      <c r="B290" s="369"/>
      <c r="C290" s="375"/>
      <c r="D290" s="374"/>
      <c r="E290" s="374"/>
      <c r="F290" s="374"/>
      <c r="G290" s="414"/>
      <c r="H290" s="318"/>
      <c r="I290" s="374"/>
      <c r="J290" s="374"/>
      <c r="K290" s="374"/>
      <c r="L290" s="297"/>
      <c r="M290" s="396"/>
      <c r="N290" s="396"/>
      <c r="O290" s="396"/>
      <c r="P290" s="396"/>
      <c r="Q290" s="21"/>
      <c r="R290" s="408"/>
      <c r="S290" s="94"/>
      <c r="T290" s="13"/>
      <c r="U290" s="320"/>
      <c r="V290" s="354"/>
      <c r="W290" s="355"/>
      <c r="X290" s="355"/>
      <c r="Y290" s="355"/>
      <c r="Z290" s="356"/>
      <c r="AA290" s="328"/>
      <c r="AB290" s="744"/>
      <c r="AC290" s="328"/>
      <c r="AD290" s="333"/>
      <c r="AE290" s="328"/>
      <c r="AF290" s="328"/>
      <c r="AG290" s="346"/>
      <c r="AH290" s="347"/>
      <c r="AI290" s="363"/>
      <c r="AJ290" s="21"/>
      <c r="AK290" s="21"/>
      <c r="AL290" s="21"/>
      <c r="AM290" s="21"/>
      <c r="AN290" s="21"/>
      <c r="AO290" s="21"/>
    </row>
    <row r="291" spans="1:41" s="53" customFormat="1" x14ac:dyDescent="0.2">
      <c r="A291" s="48"/>
      <c r="B291" s="369"/>
      <c r="C291" s="375"/>
      <c r="D291" s="374"/>
      <c r="E291" s="374"/>
      <c r="F291" s="374"/>
      <c r="G291" s="414"/>
      <c r="H291" s="415"/>
      <c r="I291" s="291"/>
      <c r="J291" s="291"/>
      <c r="K291" s="374"/>
      <c r="L291" s="416"/>
      <c r="M291" s="403"/>
      <c r="N291" s="396"/>
      <c r="O291" s="396"/>
      <c r="P291" s="409"/>
      <c r="Q291" s="50"/>
      <c r="R291" s="407"/>
      <c r="S291" s="97"/>
      <c r="T291" s="13"/>
      <c r="U291" s="369"/>
      <c r="V291" s="370"/>
      <c r="W291" s="375"/>
      <c r="X291" s="375"/>
      <c r="Y291" s="375"/>
      <c r="Z291" s="376"/>
      <c r="AA291" s="371"/>
      <c r="AB291" s="744"/>
      <c r="AC291" s="371"/>
      <c r="AD291" s="372"/>
      <c r="AE291" s="371"/>
      <c r="AF291" s="371"/>
      <c r="AG291" s="270"/>
      <c r="AH291" s="347"/>
      <c r="AI291" s="363"/>
      <c r="AJ291" s="21"/>
      <c r="AK291" s="21"/>
      <c r="AL291" s="21"/>
      <c r="AM291" s="21"/>
      <c r="AN291" s="21"/>
      <c r="AO291" s="21"/>
    </row>
    <row r="292" spans="1:41" s="53" customFormat="1" x14ac:dyDescent="0.2">
      <c r="A292" s="48"/>
      <c r="B292" s="369"/>
      <c r="C292" s="375"/>
      <c r="D292" s="374"/>
      <c r="E292" s="374"/>
      <c r="F292" s="374"/>
      <c r="G292" s="414"/>
      <c r="H292" s="415"/>
      <c r="I292" s="291"/>
      <c r="J292" s="291"/>
      <c r="K292" s="374"/>
      <c r="L292" s="377"/>
      <c r="M292" s="416"/>
      <c r="N292" s="270"/>
      <c r="O292" s="270"/>
      <c r="P292" s="296"/>
      <c r="Q292" s="78"/>
      <c r="S292" s="319"/>
      <c r="T292" s="13"/>
      <c r="U292" s="369"/>
      <c r="V292" s="370"/>
      <c r="W292" s="375"/>
      <c r="X292" s="375"/>
      <c r="Y292" s="375"/>
      <c r="Z292" s="376"/>
      <c r="AA292" s="371"/>
      <c r="AB292" s="744"/>
      <c r="AC292" s="371"/>
      <c r="AD292" s="372"/>
      <c r="AE292" s="371"/>
      <c r="AF292" s="371"/>
      <c r="AG292" s="270"/>
      <c r="AH292" s="272"/>
      <c r="AI292" s="313"/>
      <c r="AJ292" s="21"/>
      <c r="AK292" s="21"/>
      <c r="AL292" s="21"/>
      <c r="AM292" s="21"/>
      <c r="AN292" s="21"/>
      <c r="AO292" s="21"/>
    </row>
    <row r="293" spans="1:41" s="53" customFormat="1" ht="14.25" x14ac:dyDescent="0.2">
      <c r="A293" s="48"/>
      <c r="B293" s="369"/>
      <c r="C293" s="375"/>
      <c r="D293" s="374"/>
      <c r="E293" s="374"/>
      <c r="F293" s="374"/>
      <c r="G293" s="414"/>
      <c r="H293" s="415"/>
      <c r="I293" s="291"/>
      <c r="J293" s="291"/>
      <c r="K293" s="374"/>
      <c r="L293" s="291"/>
      <c r="M293" s="291"/>
      <c r="N293" s="270"/>
      <c r="O293" s="270"/>
      <c r="P293" s="387"/>
      <c r="Q293" s="417"/>
      <c r="T293" s="13"/>
      <c r="U293" s="369"/>
      <c r="V293" s="370"/>
      <c r="W293" s="375"/>
      <c r="X293" s="375"/>
      <c r="Y293" s="375"/>
      <c r="Z293" s="376"/>
      <c r="AA293" s="371"/>
      <c r="AB293" s="744"/>
      <c r="AC293" s="371"/>
      <c r="AD293" s="372"/>
      <c r="AE293" s="371"/>
      <c r="AF293" s="371"/>
      <c r="AG293" s="270"/>
      <c r="AH293" s="272"/>
      <c r="AI293" s="313"/>
      <c r="AJ293" s="21"/>
      <c r="AK293" s="21"/>
      <c r="AL293" s="21"/>
      <c r="AM293" s="21"/>
      <c r="AN293" s="21"/>
      <c r="AO293" s="21"/>
    </row>
    <row r="294" spans="1:41" s="53" customFormat="1" ht="14.25" x14ac:dyDescent="0.2">
      <c r="A294" s="48"/>
      <c r="B294" s="369"/>
      <c r="C294" s="375"/>
      <c r="D294" s="374"/>
      <c r="E294" s="374"/>
      <c r="F294" s="374"/>
      <c r="G294" s="414"/>
      <c r="H294" s="415"/>
      <c r="I294" s="291"/>
      <c r="J294" s="291"/>
      <c r="L294" s="374"/>
      <c r="M294" s="296"/>
      <c r="N294" s="316"/>
      <c r="O294" s="367"/>
      <c r="P294" s="387"/>
      <c r="Q294" s="417"/>
      <c r="T294" s="13"/>
      <c r="U294" s="369"/>
      <c r="V294" s="370"/>
      <c r="W294" s="375"/>
      <c r="X294" s="375"/>
      <c r="Y294" s="375"/>
      <c r="Z294" s="376"/>
      <c r="AA294" s="371"/>
      <c r="AB294" s="744"/>
      <c r="AC294" s="371"/>
      <c r="AD294" s="372"/>
      <c r="AE294" s="371"/>
      <c r="AF294" s="371"/>
      <c r="AG294" s="270"/>
      <c r="AH294" s="347"/>
      <c r="AI294" s="363"/>
      <c r="AJ294" s="21"/>
      <c r="AK294" s="21"/>
      <c r="AL294" s="21"/>
      <c r="AM294" s="21"/>
      <c r="AN294" s="21"/>
      <c r="AO294" s="21"/>
    </row>
    <row r="295" spans="1:41" s="53" customFormat="1" ht="14.25" x14ac:dyDescent="0.2">
      <c r="A295" s="48"/>
      <c r="B295" s="369"/>
      <c r="C295" s="375"/>
      <c r="D295" s="374"/>
      <c r="E295" s="374"/>
      <c r="F295" s="374"/>
      <c r="G295" s="414"/>
      <c r="H295" s="415"/>
      <c r="I295" s="291"/>
      <c r="J295" s="291"/>
      <c r="L295" s="384"/>
      <c r="M295" s="296"/>
      <c r="N295" s="316"/>
      <c r="O295" s="270"/>
      <c r="P295" s="387"/>
      <c r="Q295" s="417"/>
      <c r="T295" s="13"/>
      <c r="U295" s="369"/>
      <c r="V295" s="370"/>
      <c r="W295" s="375"/>
      <c r="X295" s="375"/>
      <c r="Y295" s="375"/>
      <c r="Z295" s="376"/>
      <c r="AA295" s="371"/>
      <c r="AB295" s="744"/>
      <c r="AC295" s="371"/>
      <c r="AD295" s="372"/>
      <c r="AE295" s="371"/>
      <c r="AF295" s="371"/>
      <c r="AG295" s="270"/>
      <c r="AH295" s="272"/>
      <c r="AI295" s="313"/>
      <c r="AJ295" s="21"/>
      <c r="AK295" s="21"/>
      <c r="AL295" s="21"/>
      <c r="AM295" s="21"/>
      <c r="AN295" s="21"/>
      <c r="AO295" s="21"/>
    </row>
    <row r="296" spans="1:41" s="53" customFormat="1" ht="14.25" x14ac:dyDescent="0.2">
      <c r="A296" s="48"/>
      <c r="B296" s="369"/>
      <c r="C296" s="375"/>
      <c r="D296" s="374"/>
      <c r="E296" s="374"/>
      <c r="F296" s="374"/>
      <c r="G296" s="414"/>
      <c r="H296" s="415"/>
      <c r="I296" s="291"/>
      <c r="J296" s="291"/>
      <c r="L296" s="374"/>
      <c r="M296" s="296"/>
      <c r="N296" s="316"/>
      <c r="O296" s="270"/>
      <c r="P296" s="387"/>
      <c r="Q296" s="417"/>
      <c r="T296" s="13"/>
      <c r="U296" s="369"/>
      <c r="V296" s="370"/>
      <c r="W296" s="375"/>
      <c r="X296" s="375"/>
      <c r="Y296" s="375"/>
      <c r="Z296" s="376"/>
      <c r="AA296" s="371"/>
      <c r="AB296" s="744"/>
      <c r="AC296" s="371"/>
      <c r="AD296" s="372"/>
      <c r="AE296" s="371"/>
      <c r="AF296" s="371"/>
      <c r="AG296" s="270"/>
      <c r="AH296" s="347"/>
      <c r="AI296" s="363"/>
      <c r="AJ296" s="21"/>
      <c r="AK296" s="21"/>
      <c r="AL296" s="21"/>
      <c r="AM296" s="21"/>
      <c r="AN296" s="21"/>
      <c r="AO296" s="21"/>
    </row>
    <row r="297" spans="1:41" s="53" customFormat="1" ht="14.25" x14ac:dyDescent="0.2">
      <c r="A297" s="48"/>
      <c r="B297" s="369"/>
      <c r="C297" s="375"/>
      <c r="D297" s="374"/>
      <c r="E297" s="374"/>
      <c r="F297" s="374"/>
      <c r="G297" s="414"/>
      <c r="H297" s="415"/>
      <c r="I297" s="291"/>
      <c r="J297" s="291"/>
      <c r="L297" s="374"/>
      <c r="M297" s="296"/>
      <c r="N297" s="316"/>
      <c r="O297" s="270"/>
      <c r="P297" s="387"/>
      <c r="Q297" s="417"/>
      <c r="T297" s="13"/>
      <c r="U297" s="369"/>
      <c r="V297" s="370"/>
      <c r="W297" s="375"/>
      <c r="X297" s="375"/>
      <c r="Y297" s="375"/>
      <c r="Z297" s="376"/>
      <c r="AA297" s="371"/>
      <c r="AB297" s="744"/>
      <c r="AC297" s="371"/>
      <c r="AD297" s="372"/>
      <c r="AE297" s="371"/>
      <c r="AF297" s="371"/>
      <c r="AG297" s="270"/>
      <c r="AH297" s="347"/>
      <c r="AI297" s="363"/>
      <c r="AJ297" s="21"/>
      <c r="AK297" s="21"/>
      <c r="AL297" s="21"/>
      <c r="AM297" s="21"/>
      <c r="AN297" s="21"/>
      <c r="AO297" s="21"/>
    </row>
    <row r="298" spans="1:41" s="53" customFormat="1" ht="14.25" x14ac:dyDescent="0.2">
      <c r="A298" s="48"/>
      <c r="B298" s="369"/>
      <c r="C298" s="375"/>
      <c r="D298" s="374"/>
      <c r="E298" s="374"/>
      <c r="F298" s="374"/>
      <c r="G298" s="414"/>
      <c r="H298" s="415"/>
      <c r="I298" s="78"/>
      <c r="J298" s="291"/>
      <c r="L298" s="374"/>
      <c r="M298" s="296"/>
      <c r="N298" s="316"/>
      <c r="O298" s="270"/>
      <c r="P298" s="418"/>
      <c r="Q298" s="417"/>
      <c r="T298" s="13"/>
      <c r="U298" s="366"/>
      <c r="V298" s="354"/>
      <c r="W298" s="355"/>
      <c r="X298" s="355"/>
      <c r="Y298" s="355"/>
      <c r="Z298" s="356"/>
      <c r="AA298" s="328"/>
      <c r="AB298" s="744"/>
      <c r="AC298" s="328"/>
      <c r="AD298" s="333"/>
      <c r="AE298" s="328"/>
      <c r="AF298" s="328"/>
      <c r="AG298" s="346"/>
      <c r="AH298" s="347"/>
      <c r="AI298" s="363"/>
      <c r="AJ298" s="21"/>
      <c r="AK298" s="21"/>
      <c r="AL298" s="21"/>
      <c r="AM298" s="21"/>
      <c r="AN298" s="21"/>
      <c r="AO298" s="21"/>
    </row>
    <row r="299" spans="1:41" s="53" customFormat="1" ht="14.25" x14ac:dyDescent="0.2">
      <c r="A299" s="48"/>
      <c r="B299" s="369"/>
      <c r="C299" s="375"/>
      <c r="D299" s="374"/>
      <c r="E299" s="374"/>
      <c r="F299" s="374"/>
      <c r="G299" s="414"/>
      <c r="H299" s="415"/>
      <c r="I299" s="78"/>
      <c r="J299" s="291"/>
      <c r="L299" s="374"/>
      <c r="M299" s="296"/>
      <c r="N299" s="316"/>
      <c r="O299" s="270"/>
      <c r="P299" s="387"/>
      <c r="Q299" s="417"/>
      <c r="T299" s="13"/>
      <c r="U299" s="320"/>
      <c r="V299" s="354"/>
      <c r="W299" s="355"/>
      <c r="X299" s="355"/>
      <c r="Y299" s="355"/>
      <c r="Z299" s="356"/>
      <c r="AA299" s="328"/>
      <c r="AB299" s="744"/>
      <c r="AC299" s="328"/>
      <c r="AD299" s="333"/>
      <c r="AE299" s="328"/>
      <c r="AF299" s="328"/>
      <c r="AG299" s="346"/>
      <c r="AH299" s="272"/>
      <c r="AI299" s="313"/>
      <c r="AJ299" s="21"/>
      <c r="AK299" s="21"/>
      <c r="AL299" s="21"/>
      <c r="AM299" s="21"/>
      <c r="AN299" s="21"/>
      <c r="AO299" s="21"/>
    </row>
    <row r="300" spans="1:41" s="53" customFormat="1" ht="14.25" x14ac:dyDescent="0.2">
      <c r="A300" s="48"/>
      <c r="B300" s="369"/>
      <c r="C300" s="375"/>
      <c r="D300" s="374"/>
      <c r="E300" s="374"/>
      <c r="F300" s="374"/>
      <c r="G300" s="414"/>
      <c r="H300" s="415"/>
      <c r="I300" s="78"/>
      <c r="J300" s="291"/>
      <c r="L300" s="374"/>
      <c r="M300" s="296"/>
      <c r="N300" s="316"/>
      <c r="O300" s="270"/>
      <c r="P300" s="387"/>
      <c r="Q300" s="417"/>
      <c r="T300" s="13"/>
      <c r="U300" s="320"/>
      <c r="V300" s="354"/>
      <c r="W300" s="355"/>
      <c r="X300" s="355"/>
      <c r="Y300" s="355"/>
      <c r="Z300" s="356"/>
      <c r="AA300" s="328"/>
      <c r="AB300" s="744"/>
      <c r="AC300" s="328"/>
      <c r="AD300" s="333"/>
      <c r="AE300" s="328"/>
      <c r="AF300" s="328"/>
      <c r="AG300" s="346"/>
      <c r="AH300" s="347"/>
      <c r="AI300" s="363"/>
      <c r="AJ300" s="21"/>
      <c r="AK300" s="21"/>
      <c r="AL300" s="21"/>
      <c r="AM300" s="21"/>
      <c r="AN300" s="21"/>
      <c r="AO300" s="21"/>
    </row>
    <row r="301" spans="1:41" s="53" customFormat="1" ht="14.25" x14ac:dyDescent="0.2">
      <c r="A301" s="48"/>
      <c r="B301" s="369"/>
      <c r="C301" s="375"/>
      <c r="D301" s="374"/>
      <c r="E301" s="374"/>
      <c r="F301" s="374"/>
      <c r="G301" s="414"/>
      <c r="H301" s="415"/>
      <c r="I301" s="78"/>
      <c r="J301" s="291"/>
      <c r="L301" s="374"/>
      <c r="M301" s="296"/>
      <c r="N301" s="316"/>
      <c r="O301" s="377"/>
      <c r="P301" s="388"/>
      <c r="Q301" s="417"/>
      <c r="T301" s="13"/>
      <c r="U301" s="366"/>
      <c r="V301" s="354"/>
      <c r="W301" s="359"/>
      <c r="X301" s="355"/>
      <c r="Y301" s="355"/>
      <c r="Z301" s="356"/>
      <c r="AA301" s="328"/>
      <c r="AB301" s="744"/>
      <c r="AC301" s="328"/>
      <c r="AD301" s="333"/>
      <c r="AE301" s="328"/>
      <c r="AF301" s="328"/>
      <c r="AG301" s="346"/>
      <c r="AH301" s="272"/>
      <c r="AI301" s="313"/>
      <c r="AJ301" s="21"/>
      <c r="AK301" s="21"/>
      <c r="AL301" s="21"/>
      <c r="AM301" s="21"/>
      <c r="AN301" s="21"/>
      <c r="AO301" s="21"/>
    </row>
    <row r="302" spans="1:41" s="53" customFormat="1" ht="14.25" x14ac:dyDescent="0.2">
      <c r="A302" s="48"/>
      <c r="B302" s="307"/>
      <c r="C302" s="375"/>
      <c r="D302" s="266"/>
      <c r="E302" s="267"/>
      <c r="F302" s="93"/>
      <c r="G302" s="268"/>
      <c r="H302" s="269"/>
      <c r="I302" s="78"/>
      <c r="J302" s="271"/>
      <c r="L302" s="382"/>
      <c r="M302" s="296"/>
      <c r="N302" s="316"/>
      <c r="O302" s="419"/>
      <c r="P302" s="387"/>
      <c r="Q302" s="417"/>
      <c r="T302" s="13"/>
      <c r="U302" s="366"/>
      <c r="V302" s="354"/>
      <c r="W302" s="355"/>
      <c r="X302" s="355"/>
      <c r="Y302" s="355"/>
      <c r="Z302" s="356"/>
      <c r="AA302" s="328"/>
      <c r="AB302" s="744"/>
      <c r="AC302" s="328"/>
      <c r="AD302" s="333"/>
      <c r="AE302" s="328"/>
      <c r="AF302" s="328"/>
      <c r="AG302" s="346"/>
      <c r="AH302" s="272"/>
      <c r="AI302" s="313"/>
      <c r="AJ302" s="21"/>
      <c r="AK302" s="21"/>
      <c r="AL302" s="21"/>
      <c r="AM302" s="21"/>
      <c r="AN302" s="21"/>
      <c r="AO302" s="21"/>
    </row>
    <row r="303" spans="1:41" s="53" customFormat="1" ht="14.25" x14ac:dyDescent="0.2">
      <c r="A303" s="48"/>
      <c r="B303" s="307"/>
      <c r="C303" s="375"/>
      <c r="D303" s="266"/>
      <c r="E303" s="267"/>
      <c r="F303" s="93"/>
      <c r="G303" s="268"/>
      <c r="H303" s="269"/>
      <c r="I303" s="78"/>
      <c r="J303" s="271"/>
      <c r="L303" s="271"/>
      <c r="M303" s="296"/>
      <c r="N303" s="316"/>
      <c r="O303" s="419"/>
      <c r="P303" s="387"/>
      <c r="Q303" s="417"/>
      <c r="T303" s="13"/>
      <c r="U303" s="320"/>
      <c r="V303" s="354"/>
      <c r="W303" s="355"/>
      <c r="X303" s="355"/>
      <c r="Y303" s="355"/>
      <c r="Z303" s="356"/>
      <c r="AA303" s="328"/>
      <c r="AB303" s="744"/>
      <c r="AC303" s="328"/>
      <c r="AD303" s="333"/>
      <c r="AE303" s="328"/>
      <c r="AF303" s="328"/>
      <c r="AG303" s="346"/>
      <c r="AH303" s="272"/>
      <c r="AI303" s="313"/>
      <c r="AJ303" s="21"/>
      <c r="AK303" s="21"/>
      <c r="AL303" s="21"/>
      <c r="AM303" s="21"/>
      <c r="AN303" s="21"/>
      <c r="AO303" s="21"/>
    </row>
    <row r="304" spans="1:41" s="53" customFormat="1" ht="14.25" x14ac:dyDescent="0.2">
      <c r="A304" s="48"/>
      <c r="B304" s="307"/>
      <c r="C304" s="375"/>
      <c r="D304" s="266"/>
      <c r="E304" s="267"/>
      <c r="F304" s="93"/>
      <c r="G304" s="268"/>
      <c r="H304" s="269"/>
      <c r="I304" s="78"/>
      <c r="J304" s="271"/>
      <c r="L304" s="271"/>
      <c r="M304" s="296"/>
      <c r="N304" s="316"/>
      <c r="O304" s="419"/>
      <c r="P304" s="387"/>
      <c r="Q304" s="417"/>
      <c r="T304" s="13"/>
      <c r="U304" s="357"/>
      <c r="V304" s="354"/>
      <c r="W304" s="355"/>
      <c r="X304" s="330"/>
      <c r="Y304" s="354"/>
      <c r="Z304" s="356"/>
      <c r="AA304" s="328"/>
      <c r="AB304" s="744"/>
      <c r="AC304" s="346"/>
      <c r="AD304" s="333"/>
      <c r="AE304" s="346"/>
      <c r="AF304" s="346"/>
      <c r="AG304" s="346"/>
      <c r="AH304" s="272"/>
      <c r="AI304" s="313"/>
      <c r="AJ304" s="21"/>
      <c r="AK304" s="21"/>
      <c r="AL304" s="21"/>
      <c r="AM304" s="21"/>
      <c r="AN304" s="21"/>
      <c r="AO304" s="21"/>
    </row>
    <row r="305" spans="1:41" s="53" customFormat="1" ht="14.25" x14ac:dyDescent="0.2">
      <c r="A305" s="48"/>
      <c r="B305" s="307"/>
      <c r="C305" s="375"/>
      <c r="D305" s="266"/>
      <c r="E305" s="267"/>
      <c r="F305" s="93"/>
      <c r="G305" s="268"/>
      <c r="H305" s="269"/>
      <c r="I305" s="78"/>
      <c r="J305" s="271"/>
      <c r="L305" s="382"/>
      <c r="M305" s="296"/>
      <c r="N305" s="316"/>
      <c r="O305" s="377"/>
      <c r="P305" s="387"/>
      <c r="Q305" s="417"/>
      <c r="T305" s="13"/>
      <c r="U305" s="370"/>
      <c r="V305" s="370"/>
      <c r="W305" s="375"/>
      <c r="X305" s="374"/>
      <c r="Y305" s="370"/>
      <c r="Z305" s="376"/>
      <c r="AA305" s="371"/>
      <c r="AB305" s="744"/>
      <c r="AC305" s="270"/>
      <c r="AD305" s="372"/>
      <c r="AE305" s="270"/>
      <c r="AF305" s="270"/>
      <c r="AG305" s="270"/>
      <c r="AH305" s="272"/>
      <c r="AI305" s="313"/>
      <c r="AJ305" s="21"/>
      <c r="AK305" s="21"/>
      <c r="AL305" s="21"/>
      <c r="AM305" s="21"/>
      <c r="AN305" s="21"/>
      <c r="AO305" s="21"/>
    </row>
    <row r="306" spans="1:41" s="53" customFormat="1" ht="14.25" x14ac:dyDescent="0.2">
      <c r="A306" s="48"/>
      <c r="B306" s="369"/>
      <c r="C306" s="375"/>
      <c r="D306" s="374"/>
      <c r="E306" s="374"/>
      <c r="F306" s="374"/>
      <c r="G306" s="414"/>
      <c r="H306" s="415"/>
      <c r="I306" s="78"/>
      <c r="J306" s="291"/>
      <c r="L306" s="271"/>
      <c r="M306" s="296"/>
      <c r="N306" s="316"/>
      <c r="O306" s="377"/>
      <c r="P306" s="388"/>
      <c r="Q306" s="417"/>
      <c r="T306" s="13"/>
      <c r="U306" s="370"/>
      <c r="V306" s="370"/>
      <c r="W306" s="375"/>
      <c r="X306" s="374"/>
      <c r="Y306" s="370"/>
      <c r="Z306" s="376"/>
      <c r="AA306" s="371"/>
      <c r="AB306" s="744"/>
      <c r="AC306" s="270"/>
      <c r="AD306" s="372"/>
      <c r="AE306" s="270"/>
      <c r="AF306" s="270"/>
      <c r="AG306" s="270"/>
      <c r="AH306" s="272"/>
      <c r="AI306" s="313"/>
      <c r="AJ306" s="21"/>
      <c r="AK306" s="21"/>
      <c r="AL306" s="21"/>
      <c r="AM306" s="21"/>
      <c r="AN306" s="21"/>
      <c r="AO306" s="21"/>
    </row>
    <row r="307" spans="1:41" s="53" customFormat="1" ht="14.25" x14ac:dyDescent="0.2">
      <c r="A307" s="48"/>
      <c r="B307" s="306"/>
      <c r="C307" s="233"/>
      <c r="D307" s="233"/>
      <c r="F307" s="13"/>
      <c r="G307" s="13"/>
      <c r="I307" s="298"/>
      <c r="J307" s="21"/>
      <c r="L307" s="94"/>
      <c r="M307" s="296"/>
      <c r="N307" s="316"/>
      <c r="O307" s="377"/>
      <c r="P307" s="388"/>
      <c r="Q307" s="417"/>
      <c r="T307" s="13"/>
      <c r="U307" s="370"/>
      <c r="V307" s="370"/>
      <c r="W307" s="375"/>
      <c r="X307" s="374"/>
      <c r="Y307" s="370"/>
      <c r="Z307" s="376"/>
      <c r="AA307" s="371"/>
      <c r="AB307" s="744"/>
      <c r="AC307" s="270"/>
      <c r="AD307" s="372"/>
      <c r="AE307" s="270"/>
      <c r="AF307" s="270"/>
      <c r="AG307" s="270"/>
      <c r="AH307" s="272"/>
      <c r="AI307" s="313"/>
      <c r="AJ307" s="21"/>
      <c r="AK307" s="21"/>
      <c r="AL307" s="21"/>
      <c r="AM307" s="21"/>
      <c r="AN307" s="21"/>
      <c r="AO307" s="21"/>
    </row>
    <row r="308" spans="1:41" s="53" customFormat="1" ht="14.25" x14ac:dyDescent="0.2">
      <c r="A308" s="48"/>
      <c r="B308" s="306"/>
      <c r="C308" s="233"/>
      <c r="D308" s="233"/>
      <c r="F308" s="13"/>
      <c r="G308" s="13"/>
      <c r="I308" s="298"/>
      <c r="J308" s="21"/>
      <c r="L308" s="94"/>
      <c r="M308" s="296"/>
      <c r="N308" s="316"/>
      <c r="O308" s="377"/>
      <c r="P308" s="387"/>
      <c r="Q308" s="417"/>
      <c r="T308" s="13"/>
      <c r="U308" s="370"/>
      <c r="V308" s="370"/>
      <c r="W308" s="375"/>
      <c r="X308" s="374"/>
      <c r="Y308" s="370"/>
      <c r="Z308" s="376"/>
      <c r="AA308" s="371"/>
      <c r="AB308" s="744"/>
      <c r="AC308" s="270"/>
      <c r="AD308" s="372"/>
      <c r="AE308" s="270"/>
      <c r="AF308" s="270"/>
      <c r="AG308" s="270"/>
      <c r="AH308" s="272"/>
      <c r="AI308" s="313"/>
      <c r="AJ308" s="21"/>
      <c r="AK308" s="21"/>
      <c r="AL308" s="21"/>
      <c r="AM308" s="21"/>
      <c r="AN308" s="21"/>
      <c r="AO308" s="21"/>
    </row>
    <row r="309" spans="1:41" s="53" customFormat="1" ht="14.25" x14ac:dyDescent="0.2">
      <c r="A309" s="48"/>
      <c r="B309" s="306"/>
      <c r="C309" s="233"/>
      <c r="D309" s="233"/>
      <c r="F309" s="13"/>
      <c r="G309" s="13"/>
      <c r="I309" s="298"/>
      <c r="J309" s="21"/>
      <c r="L309" s="117"/>
      <c r="M309" s="296"/>
      <c r="N309" s="316"/>
      <c r="O309" s="377"/>
      <c r="P309" s="387"/>
      <c r="Q309" s="417"/>
      <c r="T309" s="13"/>
      <c r="U309" s="370"/>
      <c r="V309" s="370"/>
      <c r="W309" s="375"/>
      <c r="X309" s="374"/>
      <c r="Y309" s="370"/>
      <c r="Z309" s="376"/>
      <c r="AA309" s="371"/>
      <c r="AB309" s="744"/>
      <c r="AC309" s="270"/>
      <c r="AD309" s="372"/>
      <c r="AE309" s="270"/>
      <c r="AF309" s="270"/>
      <c r="AG309" s="270"/>
      <c r="AH309" s="272"/>
      <c r="AI309" s="313"/>
      <c r="AJ309" s="21"/>
      <c r="AK309" s="21"/>
      <c r="AL309" s="21"/>
      <c r="AM309" s="21"/>
      <c r="AN309" s="21"/>
      <c r="AO309" s="21"/>
    </row>
    <row r="310" spans="1:41" s="53" customFormat="1" ht="14.25" x14ac:dyDescent="0.2">
      <c r="A310" s="48"/>
      <c r="B310" s="306"/>
      <c r="C310" s="233"/>
      <c r="D310" s="233"/>
      <c r="F310" s="13"/>
      <c r="G310" s="13"/>
      <c r="I310" s="298"/>
      <c r="J310" s="21"/>
      <c r="L310" s="94"/>
      <c r="M310" s="296"/>
      <c r="N310" s="316"/>
      <c r="O310" s="377"/>
      <c r="P310" s="388"/>
      <c r="Q310" s="417"/>
      <c r="T310" s="13"/>
      <c r="U310" s="370"/>
      <c r="V310" s="370"/>
      <c r="W310" s="375"/>
      <c r="X310" s="374"/>
      <c r="Y310" s="370"/>
      <c r="Z310" s="376"/>
      <c r="AA310" s="371"/>
      <c r="AB310" s="744"/>
      <c r="AC310" s="270"/>
      <c r="AD310" s="372"/>
      <c r="AE310" s="270"/>
      <c r="AF310" s="270"/>
      <c r="AG310" s="270"/>
      <c r="AH310" s="272"/>
      <c r="AI310" s="313"/>
      <c r="AJ310" s="21"/>
      <c r="AK310" s="21"/>
      <c r="AL310" s="21"/>
      <c r="AM310" s="21"/>
      <c r="AN310" s="21"/>
      <c r="AO310" s="21"/>
    </row>
    <row r="311" spans="1:41" s="53" customFormat="1" ht="14.25" x14ac:dyDescent="0.2">
      <c r="A311" s="48"/>
      <c r="B311" s="306"/>
      <c r="C311" s="233"/>
      <c r="D311" s="233"/>
      <c r="F311" s="13"/>
      <c r="G311" s="13"/>
      <c r="I311" s="298"/>
      <c r="J311" s="21"/>
      <c r="L311" s="94"/>
      <c r="M311" s="296"/>
      <c r="N311" s="316"/>
      <c r="O311" s="296"/>
      <c r="P311" s="387"/>
      <c r="Q311" s="417"/>
      <c r="T311" s="13"/>
      <c r="U311" s="370"/>
      <c r="V311" s="370"/>
      <c r="W311" s="375"/>
      <c r="X311" s="374"/>
      <c r="Y311" s="370"/>
      <c r="Z311" s="376"/>
      <c r="AA311" s="371"/>
      <c r="AB311" s="744"/>
      <c r="AC311" s="270"/>
      <c r="AD311" s="372"/>
      <c r="AE311" s="270"/>
      <c r="AF311" s="270"/>
      <c r="AG311" s="270"/>
      <c r="AH311" s="272"/>
      <c r="AI311" s="313"/>
      <c r="AJ311" s="21"/>
      <c r="AK311" s="21"/>
      <c r="AL311" s="21"/>
      <c r="AM311" s="21"/>
      <c r="AN311" s="21"/>
      <c r="AO311" s="21"/>
    </row>
    <row r="312" spans="1:41" s="53" customFormat="1" ht="14.25" x14ac:dyDescent="0.2">
      <c r="A312" s="48"/>
      <c r="B312" s="306"/>
      <c r="C312" s="233"/>
      <c r="D312" s="233"/>
      <c r="F312" s="13"/>
      <c r="G312" s="13"/>
      <c r="I312" s="298"/>
      <c r="J312" s="21"/>
      <c r="L312" s="94"/>
      <c r="M312" s="296"/>
      <c r="N312" s="316"/>
      <c r="O312" s="296"/>
      <c r="P312" s="388"/>
      <c r="Q312" s="417"/>
      <c r="T312" s="13"/>
      <c r="U312" s="370"/>
      <c r="V312" s="370"/>
      <c r="W312" s="375"/>
      <c r="X312" s="374"/>
      <c r="Y312" s="370"/>
      <c r="Z312" s="376"/>
      <c r="AA312" s="371"/>
      <c r="AB312" s="744"/>
      <c r="AC312" s="270"/>
      <c r="AD312" s="372"/>
      <c r="AE312" s="270"/>
      <c r="AF312" s="270"/>
      <c r="AG312" s="270"/>
      <c r="AH312" s="272"/>
      <c r="AI312" s="313"/>
      <c r="AJ312" s="21"/>
      <c r="AK312" s="21"/>
      <c r="AL312" s="21"/>
      <c r="AM312" s="21"/>
      <c r="AN312" s="21"/>
      <c r="AO312" s="21"/>
    </row>
    <row r="313" spans="1:41" s="53" customFormat="1" ht="14.25" x14ac:dyDescent="0.2">
      <c r="A313" s="48"/>
      <c r="B313" s="306"/>
      <c r="C313" s="233"/>
      <c r="D313" s="233"/>
      <c r="F313" s="13"/>
      <c r="G313" s="13"/>
      <c r="I313" s="298"/>
      <c r="J313" s="21"/>
      <c r="L313" s="94"/>
      <c r="M313" s="296"/>
      <c r="N313" s="316"/>
      <c r="O313" s="377"/>
      <c r="P313" s="387"/>
      <c r="Q313" s="417"/>
      <c r="T313" s="13"/>
      <c r="U313" s="370"/>
      <c r="V313" s="370"/>
      <c r="W313" s="375"/>
      <c r="X313" s="374"/>
      <c r="Y313" s="370"/>
      <c r="Z313" s="376"/>
      <c r="AA313" s="371"/>
      <c r="AB313" s="744"/>
      <c r="AC313" s="270"/>
      <c r="AD313" s="372"/>
      <c r="AE313" s="270"/>
      <c r="AF313" s="270"/>
      <c r="AG313" s="270"/>
      <c r="AH313" s="272"/>
      <c r="AI313" s="313"/>
      <c r="AJ313" s="21"/>
      <c r="AK313" s="21"/>
      <c r="AL313" s="21"/>
      <c r="AM313" s="21"/>
      <c r="AN313" s="21"/>
      <c r="AO313" s="21"/>
    </row>
    <row r="314" spans="1:41" s="53" customFormat="1" ht="14.25" x14ac:dyDescent="0.2">
      <c r="A314" s="48"/>
      <c r="B314" s="306"/>
      <c r="C314" s="233"/>
      <c r="D314" s="233"/>
      <c r="F314" s="13"/>
      <c r="G314" s="13"/>
      <c r="I314" s="298"/>
      <c r="J314" s="21"/>
      <c r="L314" s="385"/>
      <c r="M314" s="296"/>
      <c r="N314" s="316"/>
      <c r="O314" s="377"/>
      <c r="P314" s="387"/>
      <c r="Q314" s="417"/>
      <c r="T314" s="13"/>
      <c r="U314" s="370"/>
      <c r="V314" s="370"/>
      <c r="W314" s="375"/>
      <c r="X314" s="374"/>
      <c r="Y314" s="370"/>
      <c r="Z314" s="376"/>
      <c r="AA314" s="371"/>
      <c r="AB314" s="744"/>
      <c r="AC314" s="270"/>
      <c r="AD314" s="372"/>
      <c r="AE314" s="270"/>
      <c r="AF314" s="270"/>
      <c r="AG314" s="270"/>
      <c r="AH314" s="272"/>
      <c r="AI314" s="313"/>
      <c r="AJ314" s="21"/>
      <c r="AK314" s="21"/>
      <c r="AL314" s="21"/>
      <c r="AM314" s="21"/>
      <c r="AN314" s="21"/>
      <c r="AO314" s="21"/>
    </row>
    <row r="315" spans="1:41" s="53" customFormat="1" ht="14.25" x14ac:dyDescent="0.2">
      <c r="A315" s="48"/>
      <c r="B315" s="306"/>
      <c r="C315" s="233"/>
      <c r="D315" s="233"/>
      <c r="F315" s="13"/>
      <c r="G315" s="13"/>
      <c r="I315" s="298"/>
      <c r="J315" s="21"/>
      <c r="L315" s="94"/>
      <c r="M315" s="296"/>
      <c r="N315" s="316"/>
      <c r="O315" s="377"/>
      <c r="P315" s="387"/>
      <c r="Q315" s="417"/>
      <c r="T315" s="13"/>
      <c r="U315" s="370"/>
      <c r="V315" s="370"/>
      <c r="W315" s="375"/>
      <c r="X315" s="374"/>
      <c r="Y315" s="370"/>
      <c r="Z315" s="376"/>
      <c r="AA315" s="371"/>
      <c r="AB315" s="744"/>
      <c r="AC315" s="270"/>
      <c r="AD315" s="372"/>
      <c r="AE315" s="270"/>
      <c r="AF315" s="270"/>
      <c r="AG315" s="270"/>
      <c r="AH315" s="272"/>
      <c r="AI315" s="313"/>
      <c r="AJ315" s="21"/>
      <c r="AK315" s="21"/>
      <c r="AL315" s="21"/>
      <c r="AM315" s="21"/>
      <c r="AN315" s="21"/>
      <c r="AO315" s="21"/>
    </row>
    <row r="316" spans="1:41" s="53" customFormat="1" ht="14.25" x14ac:dyDescent="0.2">
      <c r="A316" s="48"/>
      <c r="B316" s="306"/>
      <c r="C316" s="233"/>
      <c r="D316" s="233"/>
      <c r="F316" s="13"/>
      <c r="G316" s="13"/>
      <c r="I316" s="298"/>
      <c r="J316" s="21"/>
      <c r="L316" s="94"/>
      <c r="M316" s="296"/>
      <c r="N316" s="316"/>
      <c r="O316" s="377"/>
      <c r="P316" s="387"/>
      <c r="Q316" s="417"/>
      <c r="T316" s="13"/>
      <c r="U316" s="370"/>
      <c r="V316" s="370"/>
      <c r="W316" s="375"/>
      <c r="X316" s="374"/>
      <c r="Y316" s="370"/>
      <c r="Z316" s="376"/>
      <c r="AA316" s="371"/>
      <c r="AB316" s="744"/>
      <c r="AC316" s="270"/>
      <c r="AD316" s="372"/>
      <c r="AE316" s="270"/>
      <c r="AF316" s="270"/>
      <c r="AG316" s="270"/>
      <c r="AH316" s="272"/>
      <c r="AI316" s="313"/>
      <c r="AJ316" s="21"/>
      <c r="AK316" s="21"/>
      <c r="AL316" s="21"/>
      <c r="AM316" s="21"/>
      <c r="AN316" s="21"/>
      <c r="AO316" s="21"/>
    </row>
    <row r="317" spans="1:41" s="53" customFormat="1" ht="14.25" x14ac:dyDescent="0.2">
      <c r="A317" s="48"/>
      <c r="B317" s="306"/>
      <c r="C317" s="233"/>
      <c r="D317" s="233"/>
      <c r="F317" s="13"/>
      <c r="G317" s="13"/>
      <c r="I317" s="298"/>
      <c r="J317" s="21"/>
      <c r="L317" s="94"/>
      <c r="M317" s="296"/>
      <c r="N317" s="316"/>
      <c r="O317" s="377"/>
      <c r="P317" s="387"/>
      <c r="Q317" s="417"/>
      <c r="T317" s="13"/>
      <c r="U317" s="370"/>
      <c r="V317" s="370"/>
      <c r="W317" s="375"/>
      <c r="X317" s="374"/>
      <c r="Y317" s="370"/>
      <c r="Z317" s="376"/>
      <c r="AA317" s="371"/>
      <c r="AB317" s="744"/>
      <c r="AC317" s="270"/>
      <c r="AD317" s="372"/>
      <c r="AE317" s="270"/>
      <c r="AF317" s="270"/>
      <c r="AG317" s="270"/>
      <c r="AH317" s="272"/>
      <c r="AI317" s="313"/>
      <c r="AJ317" s="21"/>
      <c r="AK317" s="21"/>
      <c r="AL317" s="21"/>
      <c r="AM317" s="21"/>
      <c r="AN317" s="21"/>
      <c r="AO317" s="21"/>
    </row>
    <row r="318" spans="1:41" s="53" customFormat="1" ht="14.25" x14ac:dyDescent="0.2">
      <c r="A318" s="48"/>
      <c r="B318" s="306"/>
      <c r="C318" s="233"/>
      <c r="D318" s="233"/>
      <c r="F318" s="13"/>
      <c r="G318" s="13"/>
      <c r="I318" s="298"/>
      <c r="J318" s="21"/>
      <c r="K318" s="21"/>
      <c r="L318" s="13"/>
      <c r="M318" s="50"/>
      <c r="O318" s="296"/>
      <c r="P318" s="387"/>
      <c r="Q318" s="417"/>
      <c r="T318" s="13"/>
      <c r="U318" s="370"/>
      <c r="V318" s="370"/>
      <c r="W318" s="375"/>
      <c r="X318" s="374"/>
      <c r="Y318" s="370"/>
      <c r="Z318" s="376"/>
      <c r="AA318" s="371"/>
      <c r="AB318" s="744"/>
      <c r="AC318" s="270"/>
      <c r="AD318" s="372"/>
      <c r="AE318" s="270"/>
      <c r="AF318" s="270"/>
      <c r="AG318" s="270"/>
      <c r="AH318" s="272"/>
      <c r="AI318" s="313"/>
      <c r="AJ318" s="21"/>
      <c r="AK318" s="21"/>
      <c r="AL318" s="21"/>
      <c r="AM318" s="21"/>
      <c r="AN318" s="21"/>
      <c r="AO318" s="21"/>
    </row>
    <row r="319" spans="1:41" s="53" customFormat="1" ht="14.25" x14ac:dyDescent="0.2">
      <c r="A319" s="48"/>
      <c r="B319" s="306"/>
      <c r="C319" s="233"/>
      <c r="D319" s="233"/>
      <c r="F319" s="13"/>
      <c r="G319" s="13"/>
      <c r="I319" s="298"/>
      <c r="J319" s="21"/>
      <c r="K319" s="21"/>
      <c r="L319" s="13"/>
      <c r="M319" s="50"/>
      <c r="O319" s="296"/>
      <c r="P319" s="387"/>
      <c r="Q319" s="417"/>
      <c r="T319" s="13"/>
      <c r="U319" s="370"/>
      <c r="V319" s="370"/>
      <c r="W319" s="375"/>
      <c r="X319" s="374"/>
      <c r="Y319" s="370"/>
      <c r="Z319" s="376"/>
      <c r="AA319" s="371"/>
      <c r="AB319" s="744"/>
      <c r="AC319" s="270"/>
      <c r="AD319" s="372"/>
      <c r="AE319" s="270"/>
      <c r="AF319" s="270"/>
      <c r="AG319" s="270"/>
      <c r="AH319" s="272"/>
      <c r="AI319" s="313"/>
      <c r="AJ319" s="21"/>
      <c r="AK319" s="21"/>
      <c r="AL319" s="21"/>
      <c r="AM319" s="21"/>
      <c r="AN319" s="21"/>
      <c r="AO319" s="21"/>
    </row>
    <row r="320" spans="1:41" s="53" customFormat="1" ht="14.25" x14ac:dyDescent="0.2">
      <c r="A320" s="48"/>
      <c r="B320" s="306"/>
      <c r="C320" s="233"/>
      <c r="D320" s="233"/>
      <c r="F320" s="13"/>
      <c r="G320" s="13"/>
      <c r="I320" s="298"/>
      <c r="J320" s="21"/>
      <c r="K320" s="21"/>
      <c r="L320" s="13"/>
      <c r="M320" s="50"/>
      <c r="O320" s="296"/>
      <c r="P320" s="387"/>
      <c r="Q320" s="417"/>
      <c r="T320" s="13"/>
      <c r="U320" s="370"/>
      <c r="V320" s="370"/>
      <c r="W320" s="375"/>
      <c r="X320" s="374"/>
      <c r="Y320" s="370"/>
      <c r="Z320" s="376"/>
      <c r="AA320" s="371"/>
      <c r="AB320" s="744"/>
      <c r="AC320" s="270"/>
      <c r="AD320" s="372"/>
      <c r="AE320" s="270"/>
      <c r="AF320" s="270"/>
      <c r="AG320" s="270"/>
      <c r="AH320" s="272"/>
      <c r="AI320" s="313"/>
      <c r="AJ320" s="21"/>
      <c r="AK320" s="21"/>
      <c r="AL320" s="21"/>
      <c r="AM320" s="21"/>
      <c r="AN320" s="21"/>
      <c r="AO320" s="21"/>
    </row>
    <row r="321" spans="1:41" s="53" customFormat="1" ht="14.25" x14ac:dyDescent="0.2">
      <c r="A321" s="48"/>
      <c r="B321" s="306"/>
      <c r="C321" s="233"/>
      <c r="D321" s="233"/>
      <c r="F321" s="13"/>
      <c r="G321" s="13"/>
      <c r="I321" s="298"/>
      <c r="J321" s="21"/>
      <c r="K321" s="21"/>
      <c r="L321" s="13"/>
      <c r="M321" s="50"/>
      <c r="N321" s="97"/>
      <c r="O321" s="296"/>
      <c r="P321" s="387"/>
      <c r="Q321" s="417"/>
      <c r="T321" s="13"/>
      <c r="U321" s="370"/>
      <c r="V321" s="370"/>
      <c r="W321" s="375"/>
      <c r="X321" s="374"/>
      <c r="Y321" s="370"/>
      <c r="Z321" s="376"/>
      <c r="AA321" s="371"/>
      <c r="AB321" s="744"/>
      <c r="AC321" s="270"/>
      <c r="AD321" s="372"/>
      <c r="AE321" s="270"/>
      <c r="AF321" s="270"/>
      <c r="AG321" s="270"/>
      <c r="AH321" s="272"/>
      <c r="AI321" s="313"/>
      <c r="AJ321" s="21"/>
      <c r="AK321" s="21"/>
      <c r="AL321" s="21"/>
      <c r="AM321" s="21"/>
      <c r="AN321" s="21"/>
      <c r="AO321" s="21"/>
    </row>
    <row r="322" spans="1:41" s="53" customFormat="1" ht="14.25" x14ac:dyDescent="0.2">
      <c r="A322" s="48"/>
      <c r="B322" s="306"/>
      <c r="C322" s="233"/>
      <c r="D322" s="233"/>
      <c r="F322" s="13"/>
      <c r="G322" s="13"/>
      <c r="I322" s="298"/>
      <c r="J322" s="21"/>
      <c r="K322" s="21"/>
      <c r="L322" s="13"/>
      <c r="M322" s="50"/>
      <c r="N322" s="97"/>
      <c r="O322" s="362"/>
      <c r="P322" s="387"/>
      <c r="Q322" s="417"/>
      <c r="T322" s="13"/>
      <c r="U322" s="370"/>
      <c r="V322" s="370"/>
      <c r="W322" s="375"/>
      <c r="X322" s="374"/>
      <c r="Y322" s="370"/>
      <c r="Z322" s="376"/>
      <c r="AA322" s="371"/>
      <c r="AB322" s="744"/>
      <c r="AC322" s="270"/>
      <c r="AD322" s="372"/>
      <c r="AE322" s="270"/>
      <c r="AF322" s="270"/>
      <c r="AG322" s="270"/>
      <c r="AH322" s="272"/>
      <c r="AI322" s="313"/>
      <c r="AJ322" s="21"/>
      <c r="AK322" s="21"/>
      <c r="AL322" s="21"/>
      <c r="AM322" s="21"/>
      <c r="AN322" s="21"/>
      <c r="AO322" s="21"/>
    </row>
    <row r="323" spans="1:41" s="53" customFormat="1" ht="14.25" x14ac:dyDescent="0.2">
      <c r="A323" s="48"/>
      <c r="B323" s="306"/>
      <c r="C323" s="233"/>
      <c r="D323" s="233"/>
      <c r="F323" s="13"/>
      <c r="G323" s="13"/>
      <c r="I323" s="298"/>
      <c r="J323" s="21"/>
      <c r="K323" s="21"/>
      <c r="L323" s="13"/>
      <c r="M323" s="50"/>
      <c r="N323" s="97"/>
      <c r="O323" s="296"/>
      <c r="P323" s="387"/>
      <c r="Q323" s="417"/>
      <c r="T323" s="13"/>
      <c r="U323" s="370"/>
      <c r="V323" s="370"/>
      <c r="W323" s="375"/>
      <c r="X323" s="374"/>
      <c r="Y323" s="370"/>
      <c r="Z323" s="376"/>
      <c r="AA323" s="371"/>
      <c r="AB323" s="744"/>
      <c r="AC323" s="270"/>
      <c r="AD323" s="372"/>
      <c r="AE323" s="270"/>
      <c r="AF323" s="270"/>
      <c r="AG323" s="270"/>
      <c r="AH323" s="272"/>
      <c r="AI323" s="313"/>
      <c r="AJ323" s="21"/>
      <c r="AK323" s="21"/>
      <c r="AL323" s="21"/>
      <c r="AM323" s="21"/>
      <c r="AN323" s="21"/>
      <c r="AO323" s="21"/>
    </row>
    <row r="324" spans="1:41" s="53" customFormat="1" ht="14.25" x14ac:dyDescent="0.2">
      <c r="A324" s="48"/>
      <c r="B324" s="306"/>
      <c r="C324" s="233"/>
      <c r="D324" s="233"/>
      <c r="F324" s="13"/>
      <c r="G324" s="13"/>
      <c r="I324" s="298"/>
      <c r="J324" s="21"/>
      <c r="K324" s="21"/>
      <c r="L324" s="13"/>
      <c r="M324" s="50"/>
      <c r="N324" s="97"/>
      <c r="O324" s="296"/>
      <c r="P324" s="387"/>
      <c r="Q324" s="417"/>
      <c r="T324" s="13"/>
      <c r="U324" s="370"/>
      <c r="V324" s="370"/>
      <c r="W324" s="375"/>
      <c r="X324" s="374"/>
      <c r="Y324" s="370"/>
      <c r="Z324" s="376"/>
      <c r="AA324" s="371"/>
      <c r="AB324" s="744"/>
      <c r="AC324" s="270"/>
      <c r="AD324" s="372"/>
      <c r="AE324" s="270"/>
      <c r="AF324" s="270"/>
      <c r="AG324" s="270"/>
      <c r="AH324" s="272"/>
      <c r="AI324" s="313"/>
      <c r="AJ324" s="21"/>
      <c r="AK324" s="21"/>
      <c r="AL324" s="21"/>
      <c r="AM324" s="21"/>
      <c r="AN324" s="21"/>
      <c r="AO324" s="21"/>
    </row>
    <row r="325" spans="1:41" s="53" customFormat="1" ht="14.25" x14ac:dyDescent="0.2">
      <c r="A325" s="48"/>
      <c r="B325" s="306"/>
      <c r="C325" s="233"/>
      <c r="D325" s="233"/>
      <c r="F325" s="13"/>
      <c r="G325" s="13"/>
      <c r="I325" s="298"/>
      <c r="J325" s="21"/>
      <c r="K325" s="21"/>
      <c r="L325" s="13"/>
      <c r="M325" s="50"/>
      <c r="N325" s="97"/>
      <c r="O325" s="296"/>
      <c r="P325" s="387"/>
      <c r="Q325" s="417"/>
      <c r="T325" s="13"/>
      <c r="U325" s="370"/>
      <c r="V325" s="370"/>
      <c r="W325" s="375"/>
      <c r="X325" s="374"/>
      <c r="Y325" s="370"/>
      <c r="Z325" s="376"/>
      <c r="AA325" s="371"/>
      <c r="AB325" s="744"/>
      <c r="AC325" s="270"/>
      <c r="AD325" s="372"/>
      <c r="AE325" s="270"/>
      <c r="AF325" s="270"/>
      <c r="AG325" s="270"/>
      <c r="AH325" s="272"/>
      <c r="AI325" s="313"/>
      <c r="AJ325" s="21"/>
      <c r="AK325" s="21"/>
      <c r="AL325" s="21"/>
      <c r="AM325" s="21"/>
      <c r="AN325" s="21"/>
      <c r="AO325" s="21"/>
    </row>
    <row r="326" spans="1:41" s="53" customFormat="1" ht="14.25" x14ac:dyDescent="0.2">
      <c r="A326" s="48"/>
      <c r="B326" s="306"/>
      <c r="C326" s="233"/>
      <c r="D326" s="233"/>
      <c r="F326" s="13"/>
      <c r="G326" s="13"/>
      <c r="I326" s="298"/>
      <c r="J326" s="21"/>
      <c r="K326" s="21"/>
      <c r="L326" s="13"/>
      <c r="M326" s="50"/>
      <c r="N326" s="97"/>
      <c r="O326" s="296"/>
      <c r="P326" s="388"/>
      <c r="Q326" s="417"/>
      <c r="T326" s="13"/>
      <c r="U326" s="370"/>
      <c r="V326" s="370"/>
      <c r="W326" s="375"/>
      <c r="X326" s="374"/>
      <c r="Y326" s="370"/>
      <c r="Z326" s="376"/>
      <c r="AA326" s="371"/>
      <c r="AB326" s="744"/>
      <c r="AC326" s="270"/>
      <c r="AD326" s="372"/>
      <c r="AE326" s="270"/>
      <c r="AF326" s="270"/>
      <c r="AG326" s="270"/>
      <c r="AH326" s="272"/>
      <c r="AI326" s="313"/>
      <c r="AJ326" s="21"/>
      <c r="AK326" s="21"/>
      <c r="AL326" s="21"/>
      <c r="AM326" s="21"/>
      <c r="AN326" s="21"/>
      <c r="AO326" s="21"/>
    </row>
    <row r="327" spans="1:41" s="53" customFormat="1" ht="14.25" x14ac:dyDescent="0.2">
      <c r="A327" s="48"/>
      <c r="B327" s="306"/>
      <c r="C327" s="233"/>
      <c r="D327" s="233"/>
      <c r="F327" s="13"/>
      <c r="G327" s="13"/>
      <c r="I327" s="298"/>
      <c r="J327" s="21"/>
      <c r="K327" s="21"/>
      <c r="L327" s="13"/>
      <c r="M327" s="50"/>
      <c r="N327" s="97"/>
      <c r="O327" s="296"/>
      <c r="P327" s="386"/>
      <c r="Q327" s="420"/>
      <c r="T327" s="13"/>
      <c r="U327" s="370"/>
      <c r="V327" s="370"/>
      <c r="W327" s="375"/>
      <c r="X327" s="374"/>
      <c r="Y327" s="370"/>
      <c r="Z327" s="376"/>
      <c r="AA327" s="371"/>
      <c r="AB327" s="744"/>
      <c r="AC327" s="270"/>
      <c r="AD327" s="372"/>
      <c r="AE327" s="270"/>
      <c r="AF327" s="270"/>
      <c r="AG327" s="270"/>
      <c r="AH327" s="272"/>
      <c r="AI327" s="313"/>
      <c r="AJ327" s="21"/>
      <c r="AK327" s="21"/>
      <c r="AL327" s="21"/>
      <c r="AM327" s="21"/>
      <c r="AN327" s="21"/>
      <c r="AO327" s="21"/>
    </row>
    <row r="328" spans="1:41" s="53" customFormat="1" ht="14.25" x14ac:dyDescent="0.2">
      <c r="A328" s="48"/>
      <c r="B328" s="306"/>
      <c r="C328" s="233"/>
      <c r="D328" s="233"/>
      <c r="F328" s="13"/>
      <c r="G328" s="13"/>
      <c r="I328" s="298"/>
      <c r="J328" s="21"/>
      <c r="K328" s="21"/>
      <c r="L328" s="13"/>
      <c r="M328" s="50"/>
      <c r="N328" s="97"/>
      <c r="O328" s="296"/>
      <c r="P328" s="387"/>
      <c r="Q328" s="417"/>
      <c r="T328" s="13"/>
      <c r="U328" s="370"/>
      <c r="V328" s="370"/>
      <c r="W328" s="375"/>
      <c r="X328" s="374"/>
      <c r="Y328" s="370"/>
      <c r="Z328" s="376"/>
      <c r="AA328" s="371"/>
      <c r="AB328" s="744"/>
      <c r="AC328" s="270"/>
      <c r="AD328" s="372"/>
      <c r="AE328" s="270"/>
      <c r="AF328" s="270"/>
      <c r="AG328" s="270"/>
      <c r="AH328" s="272"/>
      <c r="AI328" s="313"/>
      <c r="AJ328" s="21"/>
      <c r="AK328" s="21"/>
      <c r="AL328" s="21"/>
      <c r="AM328" s="21"/>
      <c r="AN328" s="21"/>
      <c r="AO328" s="21"/>
    </row>
    <row r="329" spans="1:41" s="53" customFormat="1" ht="14.25" x14ac:dyDescent="0.2">
      <c r="A329" s="48"/>
      <c r="B329" s="306"/>
      <c r="C329" s="233"/>
      <c r="D329" s="233"/>
      <c r="F329" s="13"/>
      <c r="G329" s="13"/>
      <c r="I329" s="298"/>
      <c r="J329" s="21"/>
      <c r="K329" s="21"/>
      <c r="L329" s="13"/>
      <c r="M329" s="50"/>
      <c r="N329" s="97"/>
      <c r="O329" s="296"/>
      <c r="P329" s="387"/>
      <c r="Q329" s="417"/>
      <c r="T329" s="13"/>
      <c r="U329" s="370"/>
      <c r="V329" s="370"/>
      <c r="W329" s="375"/>
      <c r="X329" s="374"/>
      <c r="Y329" s="370"/>
      <c r="Z329" s="376"/>
      <c r="AA329" s="371"/>
      <c r="AB329" s="744"/>
      <c r="AC329" s="270"/>
      <c r="AD329" s="372"/>
      <c r="AE329" s="270"/>
      <c r="AF329" s="270"/>
      <c r="AG329" s="270"/>
      <c r="AH329" s="272"/>
      <c r="AI329" s="313"/>
      <c r="AJ329" s="21"/>
      <c r="AK329" s="21"/>
      <c r="AL329" s="21"/>
      <c r="AM329" s="21"/>
      <c r="AN329" s="21"/>
      <c r="AO329" s="21"/>
    </row>
    <row r="330" spans="1:41" s="53" customFormat="1" ht="14.25" x14ac:dyDescent="0.2">
      <c r="A330" s="48"/>
      <c r="B330" s="306"/>
      <c r="C330" s="233"/>
      <c r="D330" s="233"/>
      <c r="F330" s="13"/>
      <c r="G330" s="13"/>
      <c r="I330" s="298"/>
      <c r="J330" s="21"/>
      <c r="K330" s="21"/>
      <c r="L330" s="13"/>
      <c r="M330" s="50"/>
      <c r="N330" s="97"/>
      <c r="O330" s="296"/>
      <c r="P330" s="387"/>
      <c r="Q330" s="417"/>
      <c r="T330" s="13"/>
      <c r="U330" s="370"/>
      <c r="V330" s="370"/>
      <c r="W330" s="375"/>
      <c r="X330" s="374"/>
      <c r="Y330" s="370"/>
      <c r="Z330" s="376"/>
      <c r="AA330" s="371"/>
      <c r="AB330" s="744"/>
      <c r="AC330" s="270"/>
      <c r="AD330" s="372"/>
      <c r="AE330" s="270"/>
      <c r="AF330" s="270"/>
      <c r="AG330" s="270"/>
      <c r="AH330" s="272"/>
      <c r="AI330" s="313"/>
      <c r="AJ330" s="21"/>
      <c r="AK330" s="21"/>
      <c r="AL330" s="21"/>
      <c r="AM330" s="21"/>
      <c r="AN330" s="21"/>
      <c r="AO330" s="21"/>
    </row>
    <row r="331" spans="1:41" s="53" customFormat="1" ht="14.25" x14ac:dyDescent="0.2">
      <c r="A331" s="48"/>
      <c r="B331" s="306"/>
      <c r="C331" s="233"/>
      <c r="D331" s="233"/>
      <c r="F331" s="13"/>
      <c r="G331" s="13"/>
      <c r="I331" s="298"/>
      <c r="J331" s="21"/>
      <c r="K331" s="21"/>
      <c r="L331" s="13"/>
      <c r="M331" s="50"/>
      <c r="N331" s="97"/>
      <c r="O331" s="296"/>
      <c r="P331" s="387"/>
      <c r="Q331" s="417"/>
      <c r="T331" s="13"/>
      <c r="U331" s="370"/>
      <c r="V331" s="370"/>
      <c r="W331" s="375"/>
      <c r="X331" s="374"/>
      <c r="Y331" s="370"/>
      <c r="Z331" s="376"/>
      <c r="AA331" s="371"/>
      <c r="AB331" s="744"/>
      <c r="AC331" s="270"/>
      <c r="AD331" s="372"/>
      <c r="AE331" s="270"/>
      <c r="AF331" s="270"/>
      <c r="AG331" s="270"/>
      <c r="AH331" s="272"/>
      <c r="AI331" s="313"/>
      <c r="AJ331" s="21"/>
      <c r="AK331" s="21"/>
      <c r="AL331" s="21"/>
      <c r="AM331" s="21"/>
      <c r="AN331" s="21"/>
      <c r="AO331" s="21"/>
    </row>
    <row r="332" spans="1:41" s="53" customFormat="1" ht="14.25" x14ac:dyDescent="0.2">
      <c r="A332" s="48"/>
      <c r="B332" s="306"/>
      <c r="C332" s="233"/>
      <c r="D332" s="233"/>
      <c r="F332" s="13"/>
      <c r="G332" s="13"/>
      <c r="I332" s="298"/>
      <c r="J332" s="21"/>
      <c r="K332" s="21"/>
      <c r="L332" s="13"/>
      <c r="M332" s="50"/>
      <c r="N332" s="97"/>
      <c r="O332" s="296"/>
      <c r="P332" s="387"/>
      <c r="Q332" s="417"/>
      <c r="T332" s="13"/>
      <c r="U332" s="370"/>
      <c r="V332" s="370"/>
      <c r="W332" s="375"/>
      <c r="X332" s="374"/>
      <c r="Y332" s="370"/>
      <c r="Z332" s="376"/>
      <c r="AA332" s="371"/>
      <c r="AB332" s="744"/>
      <c r="AC332" s="270"/>
      <c r="AD332" s="372"/>
      <c r="AE332" s="270"/>
      <c r="AF332" s="270"/>
      <c r="AG332" s="270"/>
      <c r="AH332" s="272"/>
      <c r="AI332" s="313"/>
      <c r="AJ332" s="21"/>
      <c r="AK332" s="21"/>
      <c r="AL332" s="21"/>
      <c r="AM332" s="21"/>
      <c r="AN332" s="21"/>
      <c r="AO332" s="21"/>
    </row>
    <row r="333" spans="1:41" s="53" customFormat="1" ht="14.25" x14ac:dyDescent="0.2">
      <c r="A333" s="48"/>
      <c r="B333" s="306"/>
      <c r="C333" s="233"/>
      <c r="D333" s="233"/>
      <c r="F333" s="13"/>
      <c r="G333" s="13"/>
      <c r="I333" s="298"/>
      <c r="J333" s="21"/>
      <c r="K333" s="21"/>
      <c r="L333" s="13"/>
      <c r="M333" s="50"/>
      <c r="N333" s="97"/>
      <c r="O333" s="296"/>
      <c r="P333" s="388"/>
      <c r="Q333" s="417"/>
      <c r="T333" s="13"/>
      <c r="U333" s="370"/>
      <c r="V333" s="370"/>
      <c r="W333" s="375"/>
      <c r="X333" s="374"/>
      <c r="Y333" s="370"/>
      <c r="Z333" s="376"/>
      <c r="AA333" s="371"/>
      <c r="AB333" s="744"/>
      <c r="AC333" s="270"/>
      <c r="AD333" s="372"/>
      <c r="AE333" s="270"/>
      <c r="AF333" s="270"/>
      <c r="AG333" s="270"/>
      <c r="AH333" s="272"/>
      <c r="AI333" s="313"/>
      <c r="AJ333" s="21"/>
      <c r="AK333" s="21"/>
      <c r="AL333" s="21"/>
      <c r="AM333" s="21"/>
      <c r="AN333" s="21"/>
      <c r="AO333" s="21"/>
    </row>
    <row r="334" spans="1:41" s="53" customFormat="1" ht="14.25" x14ac:dyDescent="0.2">
      <c r="A334" s="48"/>
      <c r="B334" s="306"/>
      <c r="C334" s="233"/>
      <c r="D334" s="233"/>
      <c r="F334" s="13"/>
      <c r="G334" s="13"/>
      <c r="I334" s="298"/>
      <c r="J334" s="21"/>
      <c r="K334" s="21"/>
      <c r="L334" s="13"/>
      <c r="M334" s="50"/>
      <c r="N334" s="97"/>
      <c r="O334" s="296"/>
      <c r="P334" s="387"/>
      <c r="Q334" s="417"/>
      <c r="T334" s="13"/>
      <c r="U334" s="370"/>
      <c r="V334" s="370"/>
      <c r="W334" s="375"/>
      <c r="X334" s="374"/>
      <c r="Y334" s="370"/>
      <c r="Z334" s="376"/>
      <c r="AA334" s="371"/>
      <c r="AB334" s="744"/>
      <c r="AC334" s="270"/>
      <c r="AD334" s="372"/>
      <c r="AE334" s="270"/>
      <c r="AF334" s="270"/>
      <c r="AG334" s="270"/>
      <c r="AH334" s="272"/>
      <c r="AI334" s="313"/>
      <c r="AJ334" s="21"/>
      <c r="AK334" s="21"/>
      <c r="AL334" s="21"/>
      <c r="AM334" s="21"/>
      <c r="AN334" s="21"/>
      <c r="AO334" s="21"/>
    </row>
    <row r="335" spans="1:41" s="53" customFormat="1" ht="14.25" x14ac:dyDescent="0.2">
      <c r="A335" s="48"/>
      <c r="B335" s="306"/>
      <c r="C335" s="233"/>
      <c r="D335" s="233"/>
      <c r="F335" s="13"/>
      <c r="G335" s="13"/>
      <c r="I335" s="298"/>
      <c r="J335" s="21"/>
      <c r="K335" s="21"/>
      <c r="L335" s="13"/>
      <c r="M335" s="50"/>
      <c r="N335" s="97"/>
      <c r="O335" s="296"/>
      <c r="P335" s="387"/>
      <c r="Q335" s="417"/>
      <c r="T335" s="13"/>
      <c r="U335" s="370"/>
      <c r="V335" s="370"/>
      <c r="W335" s="375"/>
      <c r="X335" s="374"/>
      <c r="Y335" s="370"/>
      <c r="Z335" s="376"/>
      <c r="AA335" s="371"/>
      <c r="AB335" s="744"/>
      <c r="AC335" s="270"/>
      <c r="AD335" s="372"/>
      <c r="AE335" s="270"/>
      <c r="AF335" s="270"/>
      <c r="AG335" s="270"/>
      <c r="AH335" s="272"/>
      <c r="AI335" s="313"/>
      <c r="AJ335" s="21"/>
      <c r="AK335" s="21"/>
      <c r="AL335" s="21"/>
      <c r="AM335" s="21"/>
      <c r="AN335" s="21"/>
      <c r="AO335" s="21"/>
    </row>
    <row r="336" spans="1:41" s="53" customFormat="1" ht="14.25" x14ac:dyDescent="0.2">
      <c r="A336" s="48"/>
      <c r="B336" s="306"/>
      <c r="C336" s="233"/>
      <c r="D336" s="233"/>
      <c r="F336" s="13"/>
      <c r="G336" s="13"/>
      <c r="I336" s="298"/>
      <c r="J336" s="21"/>
      <c r="K336" s="21"/>
      <c r="L336" s="13"/>
      <c r="M336" s="50"/>
      <c r="N336" s="97"/>
      <c r="O336" s="296"/>
      <c r="P336" s="387"/>
      <c r="Q336" s="417"/>
      <c r="T336" s="13"/>
      <c r="U336" s="370"/>
      <c r="V336" s="370"/>
      <c r="W336" s="375"/>
      <c r="X336" s="374"/>
      <c r="Y336" s="370"/>
      <c r="Z336" s="376"/>
      <c r="AA336" s="371"/>
      <c r="AB336" s="744"/>
      <c r="AC336" s="270"/>
      <c r="AD336" s="372"/>
      <c r="AE336" s="270"/>
      <c r="AF336" s="270"/>
      <c r="AG336" s="270"/>
      <c r="AH336" s="272"/>
      <c r="AI336" s="313"/>
      <c r="AJ336" s="21"/>
      <c r="AK336" s="21"/>
      <c r="AL336" s="21"/>
      <c r="AM336" s="21"/>
      <c r="AN336" s="21"/>
      <c r="AO336" s="21"/>
    </row>
    <row r="337" spans="1:41" s="53" customFormat="1" ht="14.25" x14ac:dyDescent="0.2">
      <c r="A337" s="48"/>
      <c r="B337" s="306"/>
      <c r="C337" s="233"/>
      <c r="D337" s="233"/>
      <c r="F337" s="13"/>
      <c r="G337" s="13"/>
      <c r="I337" s="298"/>
      <c r="J337" s="21"/>
      <c r="K337" s="21"/>
      <c r="L337" s="13"/>
      <c r="M337" s="50"/>
      <c r="N337" s="97"/>
      <c r="O337" s="296"/>
      <c r="P337" s="387"/>
      <c r="Q337" s="417"/>
      <c r="T337" s="13"/>
      <c r="U337" s="370"/>
      <c r="V337" s="370"/>
      <c r="W337" s="375"/>
      <c r="X337" s="374"/>
      <c r="Y337" s="370"/>
      <c r="Z337" s="376"/>
      <c r="AA337" s="371"/>
      <c r="AB337" s="744"/>
      <c r="AC337" s="270"/>
      <c r="AD337" s="372"/>
      <c r="AE337" s="270"/>
      <c r="AF337" s="270"/>
      <c r="AG337" s="270"/>
      <c r="AH337" s="272"/>
      <c r="AI337" s="313"/>
      <c r="AJ337" s="21"/>
      <c r="AK337" s="21"/>
      <c r="AL337" s="21"/>
      <c r="AM337" s="21"/>
      <c r="AN337" s="21"/>
      <c r="AO337" s="21"/>
    </row>
    <row r="338" spans="1:41" s="53" customFormat="1" ht="14.25" x14ac:dyDescent="0.2">
      <c r="A338" s="48"/>
      <c r="B338" s="306"/>
      <c r="C338" s="233"/>
      <c r="D338" s="233"/>
      <c r="F338" s="13"/>
      <c r="G338" s="13"/>
      <c r="I338" s="298"/>
      <c r="J338" s="21"/>
      <c r="K338" s="21"/>
      <c r="L338" s="13"/>
      <c r="M338" s="50"/>
      <c r="N338" s="97"/>
      <c r="O338" s="97"/>
      <c r="P338" s="387"/>
      <c r="Q338" s="417"/>
      <c r="T338" s="13"/>
      <c r="U338" s="370"/>
      <c r="V338" s="370"/>
      <c r="W338" s="375"/>
      <c r="X338" s="374"/>
      <c r="Y338" s="370"/>
      <c r="Z338" s="376"/>
      <c r="AA338" s="371"/>
      <c r="AB338" s="744"/>
      <c r="AC338" s="270"/>
      <c r="AD338" s="372"/>
      <c r="AE338" s="270"/>
      <c r="AF338" s="270"/>
      <c r="AG338" s="270"/>
      <c r="AH338" s="272"/>
      <c r="AI338" s="313"/>
      <c r="AJ338" s="21"/>
      <c r="AK338" s="21"/>
      <c r="AL338" s="21"/>
      <c r="AM338" s="21"/>
      <c r="AN338" s="21"/>
      <c r="AO338" s="21"/>
    </row>
    <row r="339" spans="1:41" s="53" customFormat="1" ht="14.25" x14ac:dyDescent="0.2">
      <c r="A339" s="48"/>
      <c r="B339" s="306"/>
      <c r="C339" s="233"/>
      <c r="D339" s="233"/>
      <c r="F339" s="13"/>
      <c r="G339" s="13"/>
      <c r="I339" s="298"/>
      <c r="J339" s="21"/>
      <c r="K339" s="21"/>
      <c r="L339" s="13"/>
      <c r="M339" s="50"/>
      <c r="N339" s="97"/>
      <c r="O339" s="97"/>
      <c r="P339" s="387"/>
      <c r="Q339" s="417"/>
      <c r="T339" s="13"/>
      <c r="U339" s="370"/>
      <c r="V339" s="370"/>
      <c r="W339" s="375"/>
      <c r="X339" s="374"/>
      <c r="Y339" s="370"/>
      <c r="Z339" s="376"/>
      <c r="AA339" s="371"/>
      <c r="AB339" s="744"/>
      <c r="AC339" s="270"/>
      <c r="AD339" s="372"/>
      <c r="AE339" s="270"/>
      <c r="AF339" s="270"/>
      <c r="AG339" s="270"/>
      <c r="AH339" s="272"/>
      <c r="AI339" s="313"/>
      <c r="AJ339" s="21"/>
      <c r="AK339" s="21"/>
      <c r="AL339" s="21"/>
      <c r="AM339" s="21"/>
      <c r="AN339" s="21"/>
      <c r="AO339" s="21"/>
    </row>
    <row r="340" spans="1:41" s="53" customFormat="1" ht="14.25" x14ac:dyDescent="0.2">
      <c r="A340" s="48"/>
      <c r="B340" s="306"/>
      <c r="C340" s="233"/>
      <c r="D340" s="233"/>
      <c r="F340" s="13"/>
      <c r="G340" s="13"/>
      <c r="I340" s="298"/>
      <c r="J340" s="21"/>
      <c r="K340" s="21"/>
      <c r="L340" s="13"/>
      <c r="M340" s="50"/>
      <c r="N340" s="97"/>
      <c r="O340" s="97"/>
      <c r="P340" s="388"/>
      <c r="Q340" s="417"/>
      <c r="T340" s="13"/>
      <c r="U340" s="370"/>
      <c r="V340" s="370"/>
      <c r="W340" s="375"/>
      <c r="X340" s="374"/>
      <c r="Y340" s="370"/>
      <c r="Z340" s="376"/>
      <c r="AA340" s="371"/>
      <c r="AB340" s="744"/>
      <c r="AC340" s="270"/>
      <c r="AD340" s="372"/>
      <c r="AE340" s="270"/>
      <c r="AF340" s="270"/>
      <c r="AG340" s="270"/>
      <c r="AH340" s="272"/>
      <c r="AI340" s="313"/>
      <c r="AJ340" s="21"/>
      <c r="AK340" s="21"/>
      <c r="AL340" s="21"/>
      <c r="AM340" s="21"/>
      <c r="AN340" s="21"/>
      <c r="AO340" s="21"/>
    </row>
    <row r="341" spans="1:41" s="53" customFormat="1" x14ac:dyDescent="0.2">
      <c r="A341" s="48"/>
      <c r="B341" s="306"/>
      <c r="C341" s="233"/>
      <c r="D341" s="233"/>
      <c r="F341" s="13"/>
      <c r="G341" s="13"/>
      <c r="I341" s="298"/>
      <c r="J341" s="21"/>
      <c r="K341" s="21"/>
      <c r="L341" s="13"/>
      <c r="M341" s="50"/>
      <c r="N341" s="97"/>
      <c r="O341" s="97"/>
      <c r="P341" s="296"/>
      <c r="Q341" s="316"/>
      <c r="R341" s="362"/>
      <c r="S341" s="291"/>
      <c r="T341" s="13"/>
      <c r="U341" s="370"/>
      <c r="V341" s="370"/>
      <c r="W341" s="375"/>
      <c r="X341" s="374"/>
      <c r="Y341" s="370"/>
      <c r="Z341" s="376"/>
      <c r="AA341" s="371"/>
      <c r="AB341" s="744"/>
      <c r="AC341" s="270"/>
      <c r="AD341" s="372"/>
      <c r="AE341" s="270"/>
      <c r="AF341" s="270"/>
      <c r="AG341" s="270"/>
      <c r="AH341" s="272"/>
      <c r="AI341" s="313"/>
      <c r="AJ341" s="21"/>
      <c r="AK341" s="21"/>
      <c r="AL341" s="21"/>
      <c r="AM341" s="21"/>
      <c r="AN341" s="21"/>
      <c r="AO341" s="21"/>
    </row>
    <row r="342" spans="1:41" s="53" customFormat="1" x14ac:dyDescent="0.2">
      <c r="A342" s="48"/>
      <c r="B342" s="306"/>
      <c r="C342" s="233"/>
      <c r="D342" s="233"/>
      <c r="F342" s="13"/>
      <c r="G342" s="13"/>
      <c r="I342" s="298"/>
      <c r="J342" s="21"/>
      <c r="K342" s="21"/>
      <c r="L342" s="13"/>
      <c r="M342" s="50"/>
      <c r="N342" s="97"/>
      <c r="O342" s="97"/>
      <c r="P342" s="296"/>
      <c r="Q342" s="421"/>
      <c r="R342" s="362"/>
      <c r="S342" s="291"/>
      <c r="T342" s="13"/>
      <c r="U342" s="370"/>
      <c r="V342" s="370"/>
      <c r="W342" s="375"/>
      <c r="X342" s="374"/>
      <c r="Y342" s="370"/>
      <c r="Z342" s="376"/>
      <c r="AA342" s="371"/>
      <c r="AB342" s="744"/>
      <c r="AC342" s="270"/>
      <c r="AD342" s="372"/>
      <c r="AE342" s="270"/>
      <c r="AF342" s="270"/>
      <c r="AG342" s="270"/>
      <c r="AH342" s="272"/>
      <c r="AI342" s="313"/>
      <c r="AJ342" s="21"/>
      <c r="AK342" s="21"/>
      <c r="AL342" s="21"/>
      <c r="AM342" s="21"/>
      <c r="AN342" s="21"/>
      <c r="AO342" s="21"/>
    </row>
    <row r="343" spans="1:41" s="53" customFormat="1" x14ac:dyDescent="0.2">
      <c r="A343" s="48"/>
      <c r="B343" s="306"/>
      <c r="C343" s="233"/>
      <c r="D343" s="233"/>
      <c r="F343" s="13"/>
      <c r="G343" s="13"/>
      <c r="I343" s="298"/>
      <c r="J343" s="21"/>
      <c r="K343" s="21"/>
      <c r="L343" s="13"/>
      <c r="M343" s="50"/>
      <c r="N343" s="97"/>
      <c r="O343" s="97"/>
      <c r="P343" s="296"/>
      <c r="Q343" s="421"/>
      <c r="R343" s="362"/>
      <c r="S343" s="291"/>
      <c r="T343" s="13"/>
      <c r="U343" s="370"/>
      <c r="V343" s="370"/>
      <c r="W343" s="375"/>
      <c r="X343" s="374"/>
      <c r="Y343" s="370"/>
      <c r="Z343" s="376"/>
      <c r="AA343" s="371"/>
      <c r="AB343" s="744"/>
      <c r="AC343" s="270"/>
      <c r="AD343" s="372"/>
      <c r="AE343" s="270"/>
      <c r="AF343" s="270"/>
      <c r="AG343" s="270"/>
      <c r="AH343" s="272"/>
      <c r="AI343" s="313"/>
      <c r="AJ343" s="21"/>
      <c r="AK343" s="21"/>
      <c r="AL343" s="21"/>
      <c r="AM343" s="21"/>
      <c r="AN343" s="21"/>
      <c r="AO343" s="21"/>
    </row>
    <row r="344" spans="1:41" s="53" customFormat="1" x14ac:dyDescent="0.2">
      <c r="A344" s="48"/>
      <c r="B344" s="306"/>
      <c r="C344" s="233"/>
      <c r="D344" s="233"/>
      <c r="F344" s="13"/>
      <c r="G344" s="13"/>
      <c r="I344" s="298"/>
      <c r="J344" s="21"/>
      <c r="K344" s="21"/>
      <c r="L344" s="13"/>
      <c r="M344" s="50"/>
      <c r="N344" s="97"/>
      <c r="O344" s="97"/>
      <c r="P344" s="296"/>
      <c r="Q344" s="421"/>
      <c r="R344" s="362"/>
      <c r="S344" s="291"/>
      <c r="T344" s="13"/>
      <c r="U344" s="370"/>
      <c r="V344" s="370"/>
      <c r="W344" s="375"/>
      <c r="X344" s="374"/>
      <c r="Y344" s="370"/>
      <c r="Z344" s="376"/>
      <c r="AA344" s="371"/>
      <c r="AB344" s="744"/>
      <c r="AC344" s="270"/>
      <c r="AD344" s="372"/>
      <c r="AE344" s="270"/>
      <c r="AF344" s="270"/>
      <c r="AG344" s="270"/>
      <c r="AH344" s="272"/>
      <c r="AI344" s="313"/>
      <c r="AJ344" s="21"/>
      <c r="AK344" s="21"/>
      <c r="AL344" s="21"/>
      <c r="AM344" s="21"/>
      <c r="AN344" s="21"/>
      <c r="AO344" s="21"/>
    </row>
    <row r="345" spans="1:41" s="53" customFormat="1" x14ac:dyDescent="0.2">
      <c r="A345" s="48"/>
      <c r="B345" s="306"/>
      <c r="C345" s="233"/>
      <c r="D345" s="233"/>
      <c r="F345" s="13"/>
      <c r="G345" s="13"/>
      <c r="I345" s="298"/>
      <c r="J345" s="21"/>
      <c r="K345" s="21"/>
      <c r="L345" s="13"/>
      <c r="M345" s="50"/>
      <c r="N345" s="97"/>
      <c r="O345" s="97"/>
      <c r="P345" s="296"/>
      <c r="Q345" s="421"/>
      <c r="R345" s="383"/>
      <c r="S345" s="21"/>
      <c r="T345" s="13"/>
      <c r="U345" s="370"/>
      <c r="V345" s="370"/>
      <c r="W345" s="375"/>
      <c r="X345" s="374"/>
      <c r="Y345" s="370"/>
      <c r="Z345" s="376"/>
      <c r="AA345" s="371"/>
      <c r="AB345" s="744"/>
      <c r="AC345" s="270"/>
      <c r="AD345" s="372"/>
      <c r="AE345" s="270"/>
      <c r="AF345" s="270"/>
      <c r="AG345" s="270"/>
      <c r="AH345" s="272"/>
      <c r="AI345" s="313"/>
      <c r="AJ345" s="21"/>
      <c r="AK345" s="21"/>
      <c r="AL345" s="21"/>
      <c r="AM345" s="21"/>
      <c r="AN345" s="21"/>
      <c r="AO345" s="21"/>
    </row>
    <row r="346" spans="1:41" s="53" customFormat="1" x14ac:dyDescent="0.2">
      <c r="A346" s="48"/>
      <c r="B346" s="306"/>
      <c r="C346" s="233"/>
      <c r="D346" s="233"/>
      <c r="F346" s="13"/>
      <c r="G346" s="13"/>
      <c r="I346" s="298"/>
      <c r="J346" s="21"/>
      <c r="K346" s="21"/>
      <c r="L346" s="13"/>
      <c r="M346" s="50"/>
      <c r="N346" s="97"/>
      <c r="O346" s="97"/>
      <c r="P346" s="296"/>
      <c r="Q346" s="421"/>
      <c r="R346" s="383"/>
      <c r="S346" s="21"/>
      <c r="T346" s="13"/>
      <c r="U346" s="354"/>
      <c r="V346" s="354"/>
      <c r="W346" s="355"/>
      <c r="X346" s="330"/>
      <c r="Y346" s="354"/>
      <c r="Z346" s="356"/>
      <c r="AA346" s="328"/>
      <c r="AB346" s="744"/>
      <c r="AC346" s="346"/>
      <c r="AD346" s="333"/>
      <c r="AE346" s="346"/>
      <c r="AF346" s="346"/>
      <c r="AG346" s="346"/>
      <c r="AH346" s="272"/>
      <c r="AI346" s="313"/>
      <c r="AJ346" s="21"/>
      <c r="AK346" s="21"/>
      <c r="AL346" s="21"/>
      <c r="AM346" s="21"/>
      <c r="AN346" s="21"/>
      <c r="AO346" s="21"/>
    </row>
    <row r="347" spans="1:41" s="53" customFormat="1" x14ac:dyDescent="0.2">
      <c r="A347" s="48"/>
      <c r="B347" s="306"/>
      <c r="C347" s="233"/>
      <c r="D347" s="233"/>
      <c r="F347" s="13"/>
      <c r="G347" s="13"/>
      <c r="I347" s="298"/>
      <c r="J347" s="21"/>
      <c r="K347" s="21"/>
      <c r="L347" s="13"/>
      <c r="M347" s="50"/>
      <c r="O347" s="97"/>
      <c r="P347" s="296"/>
      <c r="Q347" s="421"/>
      <c r="R347" s="383"/>
      <c r="S347" s="21"/>
      <c r="T347" s="13"/>
      <c r="U347" s="354"/>
      <c r="V347" s="354"/>
      <c r="W347" s="355"/>
      <c r="X347" s="330"/>
      <c r="Y347" s="354"/>
      <c r="Z347" s="356"/>
      <c r="AA347" s="328"/>
      <c r="AB347" s="744"/>
      <c r="AC347" s="346"/>
      <c r="AD347" s="333"/>
      <c r="AE347" s="346"/>
      <c r="AF347" s="346"/>
      <c r="AG347" s="346"/>
      <c r="AH347" s="272"/>
      <c r="AI347" s="313"/>
      <c r="AJ347" s="21"/>
      <c r="AK347" s="21"/>
      <c r="AL347" s="21"/>
      <c r="AM347" s="21"/>
      <c r="AN347" s="21"/>
      <c r="AO347" s="21"/>
    </row>
    <row r="348" spans="1:41" s="53" customFormat="1" x14ac:dyDescent="0.2">
      <c r="A348" s="48"/>
      <c r="B348" s="306"/>
      <c r="C348" s="233"/>
      <c r="D348" s="233"/>
      <c r="F348" s="13"/>
      <c r="G348" s="13"/>
      <c r="I348" s="298"/>
      <c r="J348" s="21"/>
      <c r="K348" s="21"/>
      <c r="L348" s="13"/>
      <c r="M348" s="50"/>
      <c r="O348" s="97"/>
      <c r="P348" s="296"/>
      <c r="Q348" s="421"/>
      <c r="R348" s="383"/>
      <c r="S348" s="21"/>
      <c r="T348" s="13"/>
      <c r="U348" s="381"/>
      <c r="V348" s="381"/>
      <c r="W348" s="375"/>
      <c r="X348" s="374"/>
      <c r="Y348" s="370"/>
      <c r="Z348" s="376"/>
      <c r="AA348" s="371"/>
      <c r="AB348" s="744"/>
      <c r="AC348" s="270"/>
      <c r="AD348" s="372"/>
      <c r="AE348" s="270"/>
      <c r="AF348" s="270"/>
      <c r="AG348" s="270"/>
      <c r="AH348" s="272"/>
      <c r="AI348" s="313"/>
      <c r="AJ348" s="21"/>
      <c r="AK348" s="21"/>
      <c r="AL348" s="21"/>
      <c r="AM348" s="21"/>
      <c r="AN348" s="21"/>
      <c r="AO348" s="21"/>
    </row>
    <row r="349" spans="1:41" s="53" customFormat="1" x14ac:dyDescent="0.2">
      <c r="A349" s="48"/>
      <c r="B349" s="306"/>
      <c r="C349" s="233"/>
      <c r="D349" s="233"/>
      <c r="F349" s="13"/>
      <c r="G349" s="13"/>
      <c r="I349" s="298"/>
      <c r="J349" s="21"/>
      <c r="K349" s="21"/>
      <c r="L349" s="13"/>
      <c r="M349" s="50"/>
      <c r="N349" s="97"/>
      <c r="O349" s="97"/>
      <c r="P349" s="296"/>
      <c r="Q349" s="421"/>
      <c r="R349" s="383"/>
      <c r="S349" s="21"/>
      <c r="T349" s="13"/>
      <c r="U349" s="381"/>
      <c r="V349" s="381"/>
      <c r="W349" s="375"/>
      <c r="X349" s="374"/>
      <c r="Y349" s="370"/>
      <c r="Z349" s="376"/>
      <c r="AA349" s="371"/>
      <c r="AB349" s="744"/>
      <c r="AC349" s="270"/>
      <c r="AD349" s="372"/>
      <c r="AE349" s="270"/>
      <c r="AF349" s="270"/>
      <c r="AG349" s="270"/>
      <c r="AH349" s="272"/>
      <c r="AI349" s="389"/>
      <c r="AJ349" s="21"/>
      <c r="AK349" s="21"/>
      <c r="AL349" s="21"/>
      <c r="AM349" s="21"/>
      <c r="AN349" s="21"/>
      <c r="AO349" s="21"/>
    </row>
    <row r="350" spans="1:41" s="53" customFormat="1" x14ac:dyDescent="0.2">
      <c r="A350" s="48"/>
      <c r="B350" s="306"/>
      <c r="C350" s="233"/>
      <c r="D350" s="233"/>
      <c r="F350" s="13"/>
      <c r="G350" s="13"/>
      <c r="I350" s="298"/>
      <c r="J350" s="21"/>
      <c r="K350" s="21"/>
      <c r="L350" s="13"/>
      <c r="M350" s="50"/>
      <c r="N350" s="97"/>
      <c r="O350" s="97"/>
      <c r="P350" s="296"/>
      <c r="Q350" s="421"/>
      <c r="R350" s="383"/>
      <c r="S350" s="21"/>
      <c r="T350" s="13"/>
      <c r="U350" s="381"/>
      <c r="V350" s="381"/>
      <c r="W350" s="375"/>
      <c r="X350" s="374"/>
      <c r="Y350" s="370"/>
      <c r="Z350" s="376"/>
      <c r="AA350" s="371"/>
      <c r="AB350" s="744"/>
      <c r="AC350" s="270"/>
      <c r="AD350" s="372"/>
      <c r="AE350" s="270"/>
      <c r="AF350" s="270"/>
      <c r="AG350" s="270"/>
      <c r="AH350" s="272"/>
      <c r="AI350" s="1"/>
      <c r="AJ350" s="21"/>
      <c r="AK350" s="21"/>
      <c r="AL350" s="21"/>
      <c r="AM350" s="21"/>
      <c r="AN350" s="21"/>
      <c r="AO350" s="21"/>
    </row>
    <row r="351" spans="1:41" s="53" customFormat="1" x14ac:dyDescent="0.2">
      <c r="A351" s="48"/>
      <c r="B351" s="306"/>
      <c r="C351" s="233"/>
      <c r="D351" s="233"/>
      <c r="F351" s="13"/>
      <c r="G351" s="13"/>
      <c r="I351" s="298"/>
      <c r="J351" s="21"/>
      <c r="K351" s="21"/>
      <c r="L351" s="13"/>
      <c r="M351" s="50"/>
      <c r="N351" s="97"/>
      <c r="O351" s="97"/>
      <c r="P351" s="296"/>
      <c r="Q351" s="421"/>
      <c r="R351" s="383"/>
      <c r="S351" s="21"/>
      <c r="T351" s="13"/>
      <c r="U351" s="381"/>
      <c r="V351" s="381"/>
      <c r="W351" s="375"/>
      <c r="X351" s="374"/>
      <c r="Y351" s="370"/>
      <c r="Z351" s="376"/>
      <c r="AA351" s="371"/>
      <c r="AB351" s="744"/>
      <c r="AC351" s="270"/>
      <c r="AD351" s="372"/>
      <c r="AE351" s="270"/>
      <c r="AF351" s="270"/>
      <c r="AG351" s="270"/>
      <c r="AH351" s="272"/>
      <c r="AI351" s="1"/>
      <c r="AJ351" s="21"/>
      <c r="AK351" s="21"/>
      <c r="AL351" s="21"/>
      <c r="AM351" s="21"/>
      <c r="AN351" s="21"/>
      <c r="AO351" s="21"/>
    </row>
    <row r="352" spans="1:41" s="53" customFormat="1" x14ac:dyDescent="0.2">
      <c r="A352" s="48"/>
      <c r="B352" s="306"/>
      <c r="C352" s="233"/>
      <c r="D352" s="233"/>
      <c r="F352" s="13"/>
      <c r="G352" s="13"/>
      <c r="I352" s="298"/>
      <c r="J352" s="21"/>
      <c r="K352" s="21"/>
      <c r="L352" s="13"/>
      <c r="M352" s="50"/>
      <c r="N352" s="97"/>
      <c r="O352" s="97"/>
      <c r="P352" s="296"/>
      <c r="Q352" s="421"/>
      <c r="R352" s="383"/>
      <c r="S352" s="21"/>
      <c r="T352" s="13"/>
      <c r="U352" s="381"/>
      <c r="V352" s="381"/>
      <c r="W352" s="375"/>
      <c r="X352" s="374"/>
      <c r="Y352" s="370"/>
      <c r="Z352" s="376"/>
      <c r="AA352" s="371"/>
      <c r="AB352" s="744"/>
      <c r="AC352" s="270"/>
      <c r="AD352" s="372"/>
      <c r="AE352" s="270"/>
      <c r="AF352" s="270"/>
      <c r="AG352" s="270"/>
      <c r="AH352" s="272"/>
      <c r="AI352" s="1"/>
      <c r="AJ352" s="21"/>
      <c r="AK352" s="21"/>
      <c r="AL352" s="21"/>
      <c r="AM352" s="21"/>
      <c r="AN352" s="21"/>
      <c r="AO352" s="21"/>
    </row>
    <row r="353" spans="1:41" s="53" customFormat="1" x14ac:dyDescent="0.2">
      <c r="A353" s="48"/>
      <c r="B353" s="306"/>
      <c r="C353" s="233"/>
      <c r="D353" s="233"/>
      <c r="F353" s="13"/>
      <c r="G353" s="13"/>
      <c r="I353" s="298"/>
      <c r="J353" s="21"/>
      <c r="K353" s="21"/>
      <c r="L353" s="13"/>
      <c r="M353" s="50"/>
      <c r="O353" s="97"/>
      <c r="P353" s="296"/>
      <c r="Q353" s="421"/>
      <c r="R353" s="383"/>
      <c r="S353" s="21"/>
      <c r="T353" s="13"/>
      <c r="U353" s="381"/>
      <c r="V353" s="381"/>
      <c r="W353" s="375"/>
      <c r="X353" s="374"/>
      <c r="Y353" s="370"/>
      <c r="Z353" s="376"/>
      <c r="AA353" s="371"/>
      <c r="AB353" s="744"/>
      <c r="AC353" s="270"/>
      <c r="AD353" s="372"/>
      <c r="AE353" s="270"/>
      <c r="AF353" s="270"/>
      <c r="AG353" s="270"/>
      <c r="AH353" s="272"/>
      <c r="AI353" s="1"/>
      <c r="AJ353" s="21"/>
      <c r="AK353" s="21"/>
      <c r="AL353" s="21"/>
      <c r="AM353" s="21"/>
      <c r="AN353" s="21"/>
      <c r="AO353" s="21"/>
    </row>
    <row r="354" spans="1:41" s="53" customFormat="1" x14ac:dyDescent="0.2">
      <c r="A354" s="48"/>
      <c r="B354" s="306"/>
      <c r="C354" s="233"/>
      <c r="D354" s="233"/>
      <c r="F354" s="13"/>
      <c r="G354" s="13"/>
      <c r="I354" s="298"/>
      <c r="J354" s="21"/>
      <c r="K354" s="21"/>
      <c r="L354" s="13"/>
      <c r="M354" s="50"/>
      <c r="N354" s="97"/>
      <c r="O354" s="97"/>
      <c r="P354" s="296"/>
      <c r="Q354" s="421"/>
      <c r="R354" s="383"/>
      <c r="S354" s="21"/>
      <c r="T354" s="13"/>
      <c r="U354" s="381"/>
      <c r="V354" s="381"/>
      <c r="W354" s="375"/>
      <c r="X354" s="374"/>
      <c r="Y354" s="370"/>
      <c r="Z354" s="376"/>
      <c r="AA354" s="371"/>
      <c r="AB354" s="744"/>
      <c r="AC354" s="270"/>
      <c r="AD354" s="372"/>
      <c r="AE354" s="270"/>
      <c r="AF354" s="270"/>
      <c r="AG354" s="270"/>
      <c r="AH354" s="272"/>
      <c r="AI354" s="1"/>
      <c r="AJ354" s="21"/>
      <c r="AK354" s="21"/>
      <c r="AL354" s="21"/>
      <c r="AM354" s="21"/>
      <c r="AN354" s="21"/>
      <c r="AO354" s="21"/>
    </row>
    <row r="355" spans="1:41" s="53" customFormat="1" x14ac:dyDescent="0.2">
      <c r="A355" s="48"/>
      <c r="B355" s="306"/>
      <c r="C355" s="233"/>
      <c r="D355" s="233"/>
      <c r="F355" s="13"/>
      <c r="G355" s="13"/>
      <c r="I355" s="298"/>
      <c r="J355" s="21"/>
      <c r="K355" s="21"/>
      <c r="L355" s="13"/>
      <c r="M355" s="50"/>
      <c r="N355" s="97"/>
      <c r="O355" s="97"/>
      <c r="P355" s="296"/>
      <c r="Q355" s="421"/>
      <c r="R355" s="383"/>
      <c r="S355" s="21"/>
      <c r="T355" s="13"/>
      <c r="U355" s="381"/>
      <c r="V355" s="381"/>
      <c r="W355" s="375"/>
      <c r="X355" s="374"/>
      <c r="Y355" s="370"/>
      <c r="Z355" s="376"/>
      <c r="AA355" s="371"/>
      <c r="AB355" s="744"/>
      <c r="AC355" s="270"/>
      <c r="AD355" s="372"/>
      <c r="AE355" s="270"/>
      <c r="AF355" s="270"/>
      <c r="AG355" s="270"/>
      <c r="AH355" s="272"/>
      <c r="AI355" s="1"/>
      <c r="AJ355" s="21"/>
      <c r="AK355" s="21"/>
      <c r="AL355" s="21"/>
      <c r="AM355" s="21"/>
      <c r="AN355" s="21"/>
      <c r="AO355" s="21"/>
    </row>
    <row r="356" spans="1:41" s="53" customFormat="1" x14ac:dyDescent="0.2">
      <c r="A356" s="48"/>
      <c r="B356" s="306"/>
      <c r="C356" s="233"/>
      <c r="D356" s="233"/>
      <c r="F356" s="13"/>
      <c r="G356" s="13"/>
      <c r="I356" s="298"/>
      <c r="J356" s="21"/>
      <c r="K356" s="21"/>
      <c r="L356" s="13"/>
      <c r="M356" s="50"/>
      <c r="N356" s="97"/>
      <c r="O356" s="97"/>
      <c r="P356" s="296"/>
      <c r="Q356" s="421"/>
      <c r="R356" s="383"/>
      <c r="S356" s="21"/>
      <c r="T356" s="13"/>
      <c r="U356" s="381"/>
      <c r="V356" s="381"/>
      <c r="W356" s="375"/>
      <c r="X356" s="374"/>
      <c r="Y356" s="370"/>
      <c r="Z356" s="376"/>
      <c r="AA356" s="371"/>
      <c r="AB356" s="744"/>
      <c r="AC356" s="270"/>
      <c r="AD356" s="372"/>
      <c r="AE356" s="270"/>
      <c r="AF356" s="270"/>
      <c r="AG356" s="270"/>
      <c r="AH356" s="272"/>
      <c r="AI356" s="1"/>
      <c r="AJ356" s="21"/>
      <c r="AK356" s="21"/>
      <c r="AL356" s="21"/>
      <c r="AM356" s="21"/>
      <c r="AN356" s="21"/>
      <c r="AO356" s="21"/>
    </row>
    <row r="357" spans="1:41" s="53" customFormat="1" x14ac:dyDescent="0.2">
      <c r="A357" s="48"/>
      <c r="B357" s="306"/>
      <c r="C357" s="233"/>
      <c r="D357" s="233"/>
      <c r="F357" s="13"/>
      <c r="G357" s="13"/>
      <c r="I357" s="298"/>
      <c r="J357" s="21"/>
      <c r="K357" s="21"/>
      <c r="L357" s="13"/>
      <c r="M357" s="50"/>
      <c r="N357" s="97"/>
      <c r="O357" s="97"/>
      <c r="P357" s="296"/>
      <c r="Q357" s="421"/>
      <c r="R357" s="383"/>
      <c r="S357" s="21"/>
      <c r="T357" s="13"/>
      <c r="U357" s="381"/>
      <c r="V357" s="381"/>
      <c r="W357" s="375"/>
      <c r="X357" s="374"/>
      <c r="Y357" s="370"/>
      <c r="Z357" s="376"/>
      <c r="AA357" s="371"/>
      <c r="AB357" s="744"/>
      <c r="AC357" s="270"/>
      <c r="AD357" s="372"/>
      <c r="AE357" s="270"/>
      <c r="AF357" s="270"/>
      <c r="AG357" s="270"/>
      <c r="AH357" s="272"/>
      <c r="AI357" s="1"/>
      <c r="AJ357" s="21"/>
      <c r="AK357" s="21"/>
      <c r="AL357" s="21"/>
      <c r="AM357" s="21"/>
      <c r="AN357" s="21"/>
      <c r="AO357" s="21"/>
    </row>
    <row r="358" spans="1:41" s="53" customFormat="1" x14ac:dyDescent="0.2">
      <c r="A358" s="48"/>
      <c r="B358" s="306"/>
      <c r="C358" s="233"/>
      <c r="D358" s="233"/>
      <c r="F358" s="13"/>
      <c r="G358" s="13"/>
      <c r="I358" s="298"/>
      <c r="J358" s="21"/>
      <c r="K358" s="21"/>
      <c r="L358" s="13"/>
      <c r="M358" s="50"/>
      <c r="N358" s="97"/>
      <c r="O358" s="97"/>
      <c r="P358" s="296"/>
      <c r="Q358" s="421"/>
      <c r="R358" s="383"/>
      <c r="S358" s="1"/>
      <c r="T358" s="13"/>
      <c r="U358" s="381"/>
      <c r="V358" s="381"/>
      <c r="W358" s="375"/>
      <c r="X358" s="374"/>
      <c r="Y358" s="370"/>
      <c r="Z358" s="376"/>
      <c r="AA358" s="371"/>
      <c r="AB358" s="744"/>
      <c r="AC358" s="270"/>
      <c r="AD358" s="372"/>
      <c r="AE358" s="270"/>
      <c r="AF358" s="270"/>
      <c r="AG358" s="270"/>
      <c r="AH358" s="272"/>
      <c r="AI358" s="1"/>
      <c r="AJ358" s="21"/>
      <c r="AK358" s="21"/>
      <c r="AL358" s="21"/>
      <c r="AM358" s="21"/>
      <c r="AN358" s="21"/>
      <c r="AO358" s="21"/>
    </row>
    <row r="359" spans="1:41" s="53" customFormat="1" x14ac:dyDescent="0.2">
      <c r="A359" s="48"/>
      <c r="B359" s="306"/>
      <c r="C359" s="233"/>
      <c r="D359" s="233"/>
      <c r="F359" s="13"/>
      <c r="G359" s="13"/>
      <c r="I359" s="298"/>
      <c r="J359" s="21"/>
      <c r="K359" s="21"/>
      <c r="L359" s="13"/>
      <c r="M359" s="50"/>
      <c r="N359" s="97"/>
      <c r="O359" s="97"/>
      <c r="P359" s="296"/>
      <c r="Q359" s="421"/>
      <c r="R359" s="383"/>
      <c r="S359" s="21"/>
      <c r="T359" s="13"/>
      <c r="U359" s="381"/>
      <c r="V359" s="381"/>
      <c r="W359" s="375"/>
      <c r="X359" s="374"/>
      <c r="Y359" s="370"/>
      <c r="Z359" s="376"/>
      <c r="AA359" s="371"/>
      <c r="AB359" s="744"/>
      <c r="AC359" s="270"/>
      <c r="AD359" s="372"/>
      <c r="AE359" s="270"/>
      <c r="AF359" s="270"/>
      <c r="AG359" s="270"/>
      <c r="AH359" s="272"/>
      <c r="AI359" s="1"/>
      <c r="AJ359" s="21"/>
      <c r="AK359" s="21"/>
      <c r="AL359" s="21"/>
      <c r="AM359" s="21"/>
      <c r="AN359" s="21"/>
      <c r="AO359" s="21"/>
    </row>
    <row r="360" spans="1:41" s="53" customFormat="1" x14ac:dyDescent="0.2">
      <c r="A360" s="48"/>
      <c r="B360" s="306"/>
      <c r="C360" s="233"/>
      <c r="D360" s="233"/>
      <c r="F360" s="13"/>
      <c r="G360" s="13"/>
      <c r="I360" s="298"/>
      <c r="J360" s="21"/>
      <c r="K360" s="21"/>
      <c r="L360" s="13"/>
      <c r="M360" s="50"/>
      <c r="N360" s="97"/>
      <c r="O360" s="97"/>
      <c r="P360" s="296"/>
      <c r="Q360" s="421"/>
      <c r="R360" s="383"/>
      <c r="S360" s="21"/>
      <c r="T360" s="13"/>
      <c r="U360" s="381"/>
      <c r="V360" s="381"/>
      <c r="W360" s="375"/>
      <c r="X360" s="374"/>
      <c r="Y360" s="370"/>
      <c r="Z360" s="376"/>
      <c r="AA360" s="371"/>
      <c r="AB360" s="744"/>
      <c r="AC360" s="270"/>
      <c r="AD360" s="372"/>
      <c r="AE360" s="270"/>
      <c r="AF360" s="270"/>
      <c r="AG360" s="270"/>
      <c r="AH360" s="272"/>
      <c r="AI360" s="1"/>
      <c r="AJ360" s="21"/>
      <c r="AK360" s="21"/>
      <c r="AL360" s="21"/>
      <c r="AM360" s="21"/>
      <c r="AN360" s="21"/>
      <c r="AO360" s="21"/>
    </row>
    <row r="361" spans="1:41" s="53" customFormat="1" x14ac:dyDescent="0.2">
      <c r="A361" s="48"/>
      <c r="B361" s="306"/>
      <c r="C361" s="233"/>
      <c r="D361" s="233"/>
      <c r="F361" s="13"/>
      <c r="G361" s="13"/>
      <c r="I361" s="298"/>
      <c r="J361" s="21"/>
      <c r="K361" s="21"/>
      <c r="L361" s="13"/>
      <c r="M361" s="50"/>
      <c r="N361" s="97"/>
      <c r="O361" s="97"/>
      <c r="P361" s="296"/>
      <c r="Q361" s="421"/>
      <c r="R361" s="383"/>
      <c r="S361" s="21"/>
      <c r="T361" s="13"/>
      <c r="U361" s="381"/>
      <c r="V361" s="381"/>
      <c r="W361" s="375"/>
      <c r="X361" s="374"/>
      <c r="Y361" s="370"/>
      <c r="Z361" s="376"/>
      <c r="AA361" s="371"/>
      <c r="AB361" s="744"/>
      <c r="AC361" s="270"/>
      <c r="AD361" s="372"/>
      <c r="AE361" s="270"/>
      <c r="AF361" s="270"/>
      <c r="AG361" s="270"/>
      <c r="AH361" s="272"/>
      <c r="AI361" s="1"/>
      <c r="AJ361" s="21"/>
      <c r="AK361" s="21"/>
      <c r="AL361" s="21"/>
      <c r="AM361" s="21"/>
      <c r="AN361" s="21"/>
      <c r="AO361" s="21"/>
    </row>
    <row r="362" spans="1:41" s="53" customFormat="1" x14ac:dyDescent="0.2">
      <c r="A362" s="48"/>
      <c r="B362" s="306"/>
      <c r="C362" s="233"/>
      <c r="D362" s="233"/>
      <c r="F362" s="13"/>
      <c r="G362" s="13"/>
      <c r="I362" s="298"/>
      <c r="J362" s="21"/>
      <c r="K362" s="21"/>
      <c r="L362" s="13"/>
      <c r="M362" s="50"/>
      <c r="N362" s="97"/>
      <c r="O362" s="97"/>
      <c r="P362" s="296"/>
      <c r="Q362" s="421"/>
      <c r="R362" s="383"/>
      <c r="S362" s="21"/>
      <c r="T362" s="13"/>
      <c r="U362" s="381"/>
      <c r="V362" s="381"/>
      <c r="W362" s="375"/>
      <c r="X362" s="374"/>
      <c r="Y362" s="370"/>
      <c r="Z362" s="376"/>
      <c r="AA362" s="371"/>
      <c r="AB362" s="744"/>
      <c r="AC362" s="270"/>
      <c r="AD362" s="372"/>
      <c r="AE362" s="270"/>
      <c r="AF362" s="270"/>
      <c r="AG362" s="270"/>
      <c r="AH362" s="272"/>
      <c r="AI362" s="1"/>
      <c r="AJ362" s="21"/>
      <c r="AK362" s="21"/>
      <c r="AL362" s="21"/>
      <c r="AM362" s="21"/>
      <c r="AN362" s="21"/>
      <c r="AO362" s="21"/>
    </row>
    <row r="363" spans="1:41" s="53" customFormat="1" x14ac:dyDescent="0.2">
      <c r="A363" s="48"/>
      <c r="B363" s="306"/>
      <c r="C363" s="233"/>
      <c r="D363" s="233"/>
      <c r="F363" s="13"/>
      <c r="G363" s="13"/>
      <c r="I363" s="298"/>
      <c r="J363" s="21"/>
      <c r="K363" s="21"/>
      <c r="L363" s="13"/>
      <c r="M363" s="50"/>
      <c r="N363" s="97"/>
      <c r="O363" s="97"/>
      <c r="P363" s="296"/>
      <c r="Q363" s="421"/>
      <c r="R363" s="383"/>
      <c r="S363" s="21"/>
      <c r="T363" s="13"/>
      <c r="U363" s="381"/>
      <c r="V363" s="381"/>
      <c r="W363" s="375"/>
      <c r="X363" s="374"/>
      <c r="Y363" s="370"/>
      <c r="Z363" s="376"/>
      <c r="AA363" s="371"/>
      <c r="AB363" s="744"/>
      <c r="AC363" s="270"/>
      <c r="AD363" s="372"/>
      <c r="AE363" s="270"/>
      <c r="AF363" s="270"/>
      <c r="AG363" s="270"/>
      <c r="AH363" s="272"/>
      <c r="AI363" s="1"/>
      <c r="AJ363" s="21"/>
      <c r="AK363" s="21"/>
      <c r="AL363" s="21"/>
      <c r="AM363" s="21"/>
      <c r="AN363" s="21"/>
      <c r="AO363" s="21"/>
    </row>
    <row r="364" spans="1:41" s="53" customFormat="1" x14ac:dyDescent="0.2">
      <c r="A364" s="48"/>
      <c r="B364" s="306"/>
      <c r="C364" s="233"/>
      <c r="D364" s="233"/>
      <c r="F364" s="13"/>
      <c r="G364" s="13"/>
      <c r="I364" s="298"/>
      <c r="J364" s="21"/>
      <c r="K364" s="21"/>
      <c r="L364" s="13"/>
      <c r="M364" s="50"/>
      <c r="N364" s="97"/>
      <c r="O364" s="97"/>
      <c r="P364" s="296"/>
      <c r="Q364" s="421"/>
      <c r="R364" s="383"/>
      <c r="S364" s="21"/>
      <c r="T364" s="13"/>
      <c r="U364" s="381"/>
      <c r="V364" s="381"/>
      <c r="W364" s="375"/>
      <c r="X364" s="374"/>
      <c r="Y364" s="370"/>
      <c r="Z364" s="376"/>
      <c r="AA364" s="371"/>
      <c r="AB364" s="744"/>
      <c r="AC364" s="270"/>
      <c r="AD364" s="372"/>
      <c r="AE364" s="270"/>
      <c r="AF364" s="270"/>
      <c r="AG364" s="270"/>
      <c r="AH364" s="272"/>
      <c r="AI364" s="1"/>
      <c r="AJ364" s="21"/>
      <c r="AK364" s="21"/>
      <c r="AL364" s="21"/>
      <c r="AM364" s="21"/>
      <c r="AN364" s="21"/>
      <c r="AO364" s="21"/>
    </row>
    <row r="365" spans="1:41" s="53" customFormat="1" x14ac:dyDescent="0.2">
      <c r="A365" s="48"/>
      <c r="B365" s="306"/>
      <c r="C365" s="233"/>
      <c r="D365" s="233"/>
      <c r="F365" s="13"/>
      <c r="G365" s="13"/>
      <c r="I365" s="298"/>
      <c r="J365" s="21"/>
      <c r="K365" s="21"/>
      <c r="L365" s="13"/>
      <c r="M365" s="50"/>
      <c r="N365" s="97"/>
      <c r="O365" s="97"/>
      <c r="P365" s="296"/>
      <c r="Q365" s="421"/>
      <c r="R365" s="383"/>
      <c r="S365" s="21"/>
      <c r="T365" s="13"/>
      <c r="U365" s="381"/>
      <c r="V365" s="381"/>
      <c r="W365" s="375"/>
      <c r="X365" s="374"/>
      <c r="Y365" s="370"/>
      <c r="Z365" s="376"/>
      <c r="AA365" s="371"/>
      <c r="AB365" s="744"/>
      <c r="AC365" s="270"/>
      <c r="AD365" s="372"/>
      <c r="AE365" s="270"/>
      <c r="AF365" s="270"/>
      <c r="AG365" s="270"/>
      <c r="AH365" s="272"/>
      <c r="AI365" s="1"/>
      <c r="AJ365" s="21"/>
      <c r="AK365" s="21"/>
      <c r="AL365" s="21"/>
      <c r="AM365" s="21"/>
      <c r="AN365" s="21"/>
      <c r="AO365" s="21"/>
    </row>
    <row r="366" spans="1:41" s="53" customFormat="1" x14ac:dyDescent="0.2">
      <c r="A366" s="48"/>
      <c r="B366" s="306"/>
      <c r="C366" s="233"/>
      <c r="D366" s="233"/>
      <c r="F366" s="13"/>
      <c r="G366" s="13"/>
      <c r="I366" s="298"/>
      <c r="J366" s="21"/>
      <c r="K366" s="21"/>
      <c r="L366" s="13"/>
      <c r="M366" s="50"/>
      <c r="N366" s="97"/>
      <c r="O366" s="97"/>
      <c r="P366" s="296"/>
      <c r="Q366" s="421"/>
      <c r="R366" s="383"/>
      <c r="S366" s="21"/>
      <c r="T366" s="13"/>
      <c r="U366" s="381"/>
      <c r="V366" s="381"/>
      <c r="W366" s="375"/>
      <c r="X366" s="374"/>
      <c r="Y366" s="370"/>
      <c r="Z366" s="376"/>
      <c r="AA366" s="371"/>
      <c r="AB366" s="744"/>
      <c r="AC366" s="270"/>
      <c r="AD366" s="372"/>
      <c r="AE366" s="270"/>
      <c r="AF366" s="270"/>
      <c r="AG366" s="270"/>
      <c r="AH366" s="272"/>
      <c r="AI366" s="1"/>
      <c r="AJ366" s="21"/>
      <c r="AK366" s="21"/>
      <c r="AL366" s="21"/>
      <c r="AM366" s="21"/>
      <c r="AN366" s="21"/>
      <c r="AO366" s="21"/>
    </row>
    <row r="367" spans="1:41" s="53" customFormat="1" x14ac:dyDescent="0.2">
      <c r="A367" s="48"/>
      <c r="B367" s="306"/>
      <c r="C367" s="233"/>
      <c r="D367" s="233"/>
      <c r="F367" s="13"/>
      <c r="G367" s="13"/>
      <c r="I367" s="298"/>
      <c r="J367" s="21"/>
      <c r="K367" s="21"/>
      <c r="L367" s="13"/>
      <c r="M367" s="50"/>
      <c r="N367" s="97"/>
      <c r="O367" s="97"/>
      <c r="P367" s="296"/>
      <c r="Q367" s="421"/>
      <c r="R367" s="383"/>
      <c r="S367" s="21"/>
      <c r="T367" s="13"/>
      <c r="U367" s="381"/>
      <c r="V367" s="381"/>
      <c r="W367" s="375"/>
      <c r="X367" s="374"/>
      <c r="Y367" s="370"/>
      <c r="Z367" s="376"/>
      <c r="AA367" s="371"/>
      <c r="AB367" s="744"/>
      <c r="AC367" s="270"/>
      <c r="AD367" s="372"/>
      <c r="AE367" s="270"/>
      <c r="AF367" s="270"/>
      <c r="AG367" s="270"/>
      <c r="AH367" s="272"/>
      <c r="AI367" s="1"/>
      <c r="AJ367" s="21"/>
      <c r="AK367" s="21"/>
      <c r="AL367" s="21"/>
      <c r="AM367" s="21"/>
      <c r="AN367" s="21"/>
      <c r="AO367" s="21"/>
    </row>
    <row r="368" spans="1:41" s="53" customFormat="1" x14ac:dyDescent="0.2">
      <c r="A368" s="48"/>
      <c r="B368" s="306"/>
      <c r="C368" s="233"/>
      <c r="D368" s="233"/>
      <c r="F368" s="13"/>
      <c r="G368" s="13"/>
      <c r="I368" s="298"/>
      <c r="J368" s="21"/>
      <c r="K368" s="21"/>
      <c r="L368" s="13"/>
      <c r="M368" s="50"/>
      <c r="N368" s="97"/>
      <c r="O368" s="97"/>
      <c r="P368" s="296"/>
      <c r="Q368" s="421"/>
      <c r="R368" s="383"/>
      <c r="S368" s="21"/>
      <c r="T368" s="13"/>
      <c r="U368" s="381"/>
      <c r="V368" s="381"/>
      <c r="W368" s="375"/>
      <c r="X368" s="374"/>
      <c r="Y368" s="370"/>
      <c r="Z368" s="376"/>
      <c r="AA368" s="371"/>
      <c r="AB368" s="744"/>
      <c r="AC368" s="270"/>
      <c r="AD368" s="372"/>
      <c r="AE368" s="270"/>
      <c r="AF368" s="270"/>
      <c r="AG368" s="270"/>
      <c r="AH368" s="272"/>
      <c r="AI368" s="1"/>
      <c r="AJ368" s="21"/>
      <c r="AK368" s="21"/>
      <c r="AL368" s="21"/>
      <c r="AM368" s="21"/>
      <c r="AN368" s="21"/>
      <c r="AO368" s="21"/>
    </row>
    <row r="369" spans="1:41" s="53" customFormat="1" x14ac:dyDescent="0.2">
      <c r="A369" s="48"/>
      <c r="B369" s="306"/>
      <c r="C369" s="233"/>
      <c r="D369" s="233"/>
      <c r="F369" s="13"/>
      <c r="G369" s="13"/>
      <c r="I369" s="298"/>
      <c r="J369" s="21"/>
      <c r="K369" s="21"/>
      <c r="L369" s="13"/>
      <c r="M369" s="50"/>
      <c r="N369" s="97"/>
      <c r="O369" s="97"/>
      <c r="P369" s="296"/>
      <c r="Q369" s="421"/>
      <c r="R369" s="383"/>
      <c r="S369" s="21"/>
      <c r="T369" s="13"/>
      <c r="U369" s="381"/>
      <c r="V369" s="381"/>
      <c r="W369" s="375"/>
      <c r="X369" s="374"/>
      <c r="Y369" s="370"/>
      <c r="Z369" s="376"/>
      <c r="AA369" s="371"/>
      <c r="AB369" s="744"/>
      <c r="AC369" s="270"/>
      <c r="AD369" s="372"/>
      <c r="AE369" s="270"/>
      <c r="AF369" s="270"/>
      <c r="AG369" s="270"/>
      <c r="AH369" s="272"/>
      <c r="AI369" s="1"/>
      <c r="AJ369" s="21"/>
      <c r="AK369" s="21"/>
      <c r="AL369" s="21"/>
      <c r="AM369" s="21"/>
      <c r="AN369" s="21"/>
      <c r="AO369" s="21"/>
    </row>
    <row r="370" spans="1:41" s="53" customFormat="1" x14ac:dyDescent="0.2">
      <c r="A370" s="48"/>
      <c r="B370" s="306"/>
      <c r="C370" s="233"/>
      <c r="D370" s="233"/>
      <c r="F370" s="13"/>
      <c r="G370" s="13"/>
      <c r="I370" s="298"/>
      <c r="J370" s="21"/>
      <c r="K370" s="21"/>
      <c r="L370" s="13"/>
      <c r="M370" s="50"/>
      <c r="N370" s="97"/>
      <c r="O370" s="97"/>
      <c r="P370" s="296"/>
      <c r="Q370" s="421"/>
      <c r="R370" s="383"/>
      <c r="S370" s="21"/>
      <c r="T370" s="13"/>
      <c r="U370" s="381"/>
      <c r="V370" s="381"/>
      <c r="W370" s="375"/>
      <c r="X370" s="374"/>
      <c r="Y370" s="370"/>
      <c r="Z370" s="376"/>
      <c r="AA370" s="371"/>
      <c r="AB370" s="744"/>
      <c r="AC370" s="270"/>
      <c r="AD370" s="372"/>
      <c r="AE370" s="270"/>
      <c r="AF370" s="270"/>
      <c r="AG370" s="270"/>
      <c r="AH370" s="272"/>
      <c r="AI370" s="1"/>
      <c r="AJ370" s="21"/>
      <c r="AK370" s="21"/>
      <c r="AL370" s="21"/>
      <c r="AM370" s="21"/>
      <c r="AN370" s="21"/>
      <c r="AO370" s="21"/>
    </row>
    <row r="371" spans="1:41" s="53" customFormat="1" x14ac:dyDescent="0.2">
      <c r="A371" s="48"/>
      <c r="B371" s="306"/>
      <c r="C371" s="233"/>
      <c r="D371" s="233"/>
      <c r="F371" s="13"/>
      <c r="G371" s="13"/>
      <c r="I371" s="298"/>
      <c r="J371" s="21"/>
      <c r="K371" s="21"/>
      <c r="L371" s="13"/>
      <c r="M371" s="50"/>
      <c r="N371" s="97"/>
      <c r="O371" s="97"/>
      <c r="P371" s="296"/>
      <c r="Q371" s="421"/>
      <c r="R371" s="383"/>
      <c r="S371" s="21"/>
      <c r="T371" s="13"/>
      <c r="U371" s="381"/>
      <c r="V371" s="381"/>
      <c r="W371" s="375"/>
      <c r="X371" s="374"/>
      <c r="Y371" s="370"/>
      <c r="Z371" s="376"/>
      <c r="AA371" s="371"/>
      <c r="AB371" s="744"/>
      <c r="AC371" s="270"/>
      <c r="AD371" s="372"/>
      <c r="AE371" s="270"/>
      <c r="AF371" s="270"/>
      <c r="AG371" s="270"/>
      <c r="AH371" s="272"/>
      <c r="AI371" s="1"/>
      <c r="AJ371" s="21"/>
      <c r="AK371" s="21"/>
      <c r="AL371" s="21"/>
      <c r="AM371" s="21"/>
      <c r="AN371" s="21"/>
      <c r="AO371" s="21"/>
    </row>
    <row r="372" spans="1:41" s="53" customFormat="1" x14ac:dyDescent="0.2">
      <c r="A372" s="48"/>
      <c r="B372" s="306"/>
      <c r="C372" s="233"/>
      <c r="D372" s="233"/>
      <c r="F372" s="13"/>
      <c r="G372" s="13"/>
      <c r="I372" s="298"/>
      <c r="J372" s="21"/>
      <c r="K372" s="21"/>
      <c r="L372" s="13"/>
      <c r="M372" s="50"/>
      <c r="N372" s="97"/>
      <c r="O372" s="97"/>
      <c r="P372" s="296"/>
      <c r="Q372" s="421"/>
      <c r="R372" s="383"/>
      <c r="S372" s="21"/>
      <c r="T372" s="13"/>
      <c r="U372" s="381"/>
      <c r="V372" s="381"/>
      <c r="W372" s="375"/>
      <c r="X372" s="374"/>
      <c r="Y372" s="370"/>
      <c r="Z372" s="376"/>
      <c r="AA372" s="371"/>
      <c r="AB372" s="744"/>
      <c r="AC372" s="270"/>
      <c r="AD372" s="372"/>
      <c r="AE372" s="270"/>
      <c r="AF372" s="270"/>
      <c r="AG372" s="270"/>
      <c r="AH372" s="272"/>
      <c r="AI372" s="1"/>
      <c r="AJ372" s="21"/>
      <c r="AK372" s="21"/>
      <c r="AL372" s="21"/>
      <c r="AM372" s="21"/>
      <c r="AN372" s="21"/>
      <c r="AO372" s="21"/>
    </row>
    <row r="373" spans="1:41" s="53" customFormat="1" x14ac:dyDescent="0.2">
      <c r="A373" s="48"/>
      <c r="B373" s="306"/>
      <c r="C373" s="233"/>
      <c r="D373" s="233"/>
      <c r="F373" s="13"/>
      <c r="G373" s="13"/>
      <c r="I373" s="298"/>
      <c r="J373" s="21"/>
      <c r="K373" s="21"/>
      <c r="L373" s="13"/>
      <c r="M373" s="50"/>
      <c r="N373" s="97"/>
      <c r="O373" s="97"/>
      <c r="P373" s="296"/>
      <c r="Q373" s="421"/>
      <c r="R373" s="383"/>
      <c r="S373" s="21"/>
      <c r="T373" s="13"/>
      <c r="U373" s="381"/>
      <c r="V373" s="381"/>
      <c r="W373" s="375"/>
      <c r="X373" s="374"/>
      <c r="Y373" s="370"/>
      <c r="Z373" s="376"/>
      <c r="AA373" s="371"/>
      <c r="AB373" s="744"/>
      <c r="AC373" s="270"/>
      <c r="AD373" s="372"/>
      <c r="AE373" s="270"/>
      <c r="AF373" s="270"/>
      <c r="AG373" s="270"/>
      <c r="AH373" s="272"/>
      <c r="AI373" s="1"/>
      <c r="AJ373" s="21"/>
      <c r="AK373" s="21"/>
      <c r="AL373" s="21"/>
      <c r="AM373" s="21"/>
      <c r="AN373" s="21"/>
      <c r="AO373" s="21"/>
    </row>
    <row r="374" spans="1:41" s="53" customFormat="1" x14ac:dyDescent="0.2">
      <c r="A374" s="48"/>
      <c r="B374" s="306"/>
      <c r="C374" s="233"/>
      <c r="D374" s="233"/>
      <c r="F374" s="13"/>
      <c r="G374" s="13"/>
      <c r="I374" s="298"/>
      <c r="J374" s="21"/>
      <c r="K374" s="21"/>
      <c r="L374" s="13"/>
      <c r="M374" s="50"/>
      <c r="N374" s="97"/>
      <c r="O374" s="50"/>
      <c r="P374" s="296"/>
      <c r="Q374" s="421"/>
      <c r="R374" s="383"/>
      <c r="S374" s="21"/>
      <c r="T374" s="13"/>
      <c r="U374" s="381"/>
      <c r="V374" s="381"/>
      <c r="W374" s="375"/>
      <c r="X374" s="374"/>
      <c r="Y374" s="370"/>
      <c r="Z374" s="376"/>
      <c r="AA374" s="371"/>
      <c r="AB374" s="744"/>
      <c r="AC374" s="270"/>
      <c r="AD374" s="372"/>
      <c r="AE374" s="270"/>
      <c r="AF374" s="270"/>
      <c r="AG374" s="270"/>
      <c r="AH374" s="272"/>
      <c r="AI374" s="1"/>
      <c r="AJ374" s="21"/>
      <c r="AK374" s="21"/>
      <c r="AL374" s="21"/>
      <c r="AM374" s="21"/>
      <c r="AN374" s="21"/>
      <c r="AO374" s="21"/>
    </row>
    <row r="375" spans="1:41" s="53" customFormat="1" x14ac:dyDescent="0.2">
      <c r="A375" s="48"/>
      <c r="B375" s="306"/>
      <c r="C375" s="233"/>
      <c r="D375" s="233"/>
      <c r="F375" s="13"/>
      <c r="G375" s="13"/>
      <c r="I375" s="298"/>
      <c r="J375" s="21"/>
      <c r="K375" s="21"/>
      <c r="L375" s="13"/>
      <c r="M375" s="50"/>
      <c r="N375" s="97"/>
      <c r="O375" s="50"/>
      <c r="P375" s="296"/>
      <c r="Q375" s="421"/>
      <c r="R375" s="383"/>
      <c r="S375" s="21"/>
      <c r="T375" s="13"/>
      <c r="U375" s="381"/>
      <c r="V375" s="381"/>
      <c r="W375" s="375"/>
      <c r="X375" s="374"/>
      <c r="Y375" s="370"/>
      <c r="Z375" s="376"/>
      <c r="AA375" s="371"/>
      <c r="AB375" s="744"/>
      <c r="AC375" s="270"/>
      <c r="AD375" s="372"/>
      <c r="AE375" s="270"/>
      <c r="AF375" s="270"/>
      <c r="AG375" s="270"/>
      <c r="AH375" s="272"/>
      <c r="AI375" s="1"/>
      <c r="AJ375" s="21"/>
      <c r="AK375" s="21"/>
      <c r="AL375" s="21"/>
      <c r="AM375" s="21"/>
      <c r="AN375" s="21"/>
      <c r="AO375" s="21"/>
    </row>
    <row r="376" spans="1:41" s="53" customFormat="1" x14ac:dyDescent="0.2">
      <c r="A376" s="48"/>
      <c r="B376" s="306"/>
      <c r="C376" s="233"/>
      <c r="D376" s="233"/>
      <c r="F376" s="13"/>
      <c r="G376" s="13"/>
      <c r="I376" s="298"/>
      <c r="J376" s="21"/>
      <c r="K376" s="21"/>
      <c r="L376" s="13"/>
      <c r="M376" s="50"/>
      <c r="N376" s="97"/>
      <c r="O376" s="50"/>
      <c r="P376" s="296"/>
      <c r="Q376" s="421"/>
      <c r="R376" s="383"/>
      <c r="S376" s="21"/>
      <c r="T376" s="13"/>
      <c r="U376" s="381"/>
      <c r="V376" s="381"/>
      <c r="W376" s="375"/>
      <c r="X376" s="374"/>
      <c r="Y376" s="370"/>
      <c r="Z376" s="376"/>
      <c r="AA376" s="371"/>
      <c r="AB376" s="744"/>
      <c r="AC376" s="270"/>
      <c r="AD376" s="372"/>
      <c r="AE376" s="270"/>
      <c r="AF376" s="270"/>
      <c r="AG376" s="270"/>
      <c r="AH376" s="272"/>
      <c r="AI376" s="1"/>
      <c r="AJ376" s="21"/>
      <c r="AK376" s="21"/>
      <c r="AL376" s="21"/>
      <c r="AM376" s="21"/>
      <c r="AN376" s="21"/>
      <c r="AO376" s="21"/>
    </row>
    <row r="377" spans="1:41" s="53" customFormat="1" x14ac:dyDescent="0.2">
      <c r="A377" s="48"/>
      <c r="B377" s="306"/>
      <c r="C377" s="233"/>
      <c r="D377" s="233"/>
      <c r="F377" s="13"/>
      <c r="G377" s="13"/>
      <c r="I377" s="298"/>
      <c r="J377" s="21"/>
      <c r="K377" s="21"/>
      <c r="L377" s="13"/>
      <c r="M377" s="50"/>
      <c r="N377" s="97"/>
      <c r="O377" s="50"/>
      <c r="P377" s="296"/>
      <c r="Q377" s="421"/>
      <c r="R377" s="383"/>
      <c r="S377" s="21"/>
      <c r="T377" s="13"/>
      <c r="U377" s="381"/>
      <c r="V377" s="381"/>
      <c r="W377" s="375"/>
      <c r="X377" s="374"/>
      <c r="Y377" s="370"/>
      <c r="Z377" s="376"/>
      <c r="AA377" s="371"/>
      <c r="AB377" s="744"/>
      <c r="AC377" s="270"/>
      <c r="AD377" s="372"/>
      <c r="AE377" s="270"/>
      <c r="AF377" s="270"/>
      <c r="AG377" s="270"/>
      <c r="AH377" s="272"/>
      <c r="AI377" s="1"/>
      <c r="AJ377" s="21"/>
      <c r="AK377" s="21"/>
      <c r="AL377" s="21"/>
      <c r="AM377" s="21"/>
      <c r="AN377" s="21"/>
      <c r="AO377" s="21"/>
    </row>
    <row r="378" spans="1:41" s="53" customFormat="1" x14ac:dyDescent="0.2">
      <c r="A378" s="48"/>
      <c r="B378" s="306"/>
      <c r="C378" s="233"/>
      <c r="D378" s="233"/>
      <c r="F378" s="13"/>
      <c r="G378" s="13"/>
      <c r="I378" s="298"/>
      <c r="J378" s="21"/>
      <c r="K378" s="21"/>
      <c r="L378" s="13"/>
      <c r="M378" s="50"/>
      <c r="N378" s="97"/>
      <c r="O378" s="50"/>
      <c r="P378" s="296"/>
      <c r="Q378" s="421"/>
      <c r="R378" s="383"/>
      <c r="S378" s="21"/>
      <c r="T378" s="13"/>
      <c r="U378" s="381"/>
      <c r="V378" s="381"/>
      <c r="W378" s="375"/>
      <c r="X378" s="374"/>
      <c r="Y378" s="370"/>
      <c r="Z378" s="376"/>
      <c r="AA378" s="371"/>
      <c r="AB378" s="744"/>
      <c r="AC378" s="270"/>
      <c r="AD378" s="372"/>
      <c r="AE378" s="270"/>
      <c r="AF378" s="270"/>
      <c r="AG378" s="270"/>
      <c r="AH378" s="272"/>
      <c r="AI378" s="1"/>
      <c r="AJ378" s="21"/>
      <c r="AK378" s="21"/>
      <c r="AL378" s="21"/>
      <c r="AM378" s="21"/>
      <c r="AN378" s="21"/>
      <c r="AO378" s="21"/>
    </row>
    <row r="379" spans="1:41" s="53" customFormat="1" x14ac:dyDescent="0.2">
      <c r="A379" s="48"/>
      <c r="B379" s="306"/>
      <c r="C379" s="233"/>
      <c r="D379" s="233"/>
      <c r="F379" s="13"/>
      <c r="G379" s="13"/>
      <c r="I379" s="298"/>
      <c r="J379" s="21"/>
      <c r="K379" s="21"/>
      <c r="L379" s="13"/>
      <c r="M379" s="50"/>
      <c r="N379" s="97"/>
      <c r="O379" s="50"/>
      <c r="P379" s="296"/>
      <c r="Q379" s="421"/>
      <c r="R379" s="383"/>
      <c r="S379" s="21"/>
      <c r="T379" s="13"/>
      <c r="U379" s="381"/>
      <c r="V379" s="381"/>
      <c r="W379" s="375"/>
      <c r="X379" s="374"/>
      <c r="Y379" s="370"/>
      <c r="Z379" s="376"/>
      <c r="AA379" s="371"/>
      <c r="AB379" s="744"/>
      <c r="AC379" s="270"/>
      <c r="AD379" s="372"/>
      <c r="AE379" s="270"/>
      <c r="AF379" s="270"/>
      <c r="AG379" s="270"/>
      <c r="AH379" s="272"/>
      <c r="AI379" s="1"/>
      <c r="AJ379" s="21"/>
      <c r="AK379" s="21"/>
      <c r="AL379" s="21"/>
      <c r="AM379" s="21"/>
      <c r="AN379" s="21"/>
      <c r="AO379" s="21"/>
    </row>
    <row r="380" spans="1:41" s="53" customFormat="1" x14ac:dyDescent="0.2">
      <c r="A380" s="48"/>
      <c r="B380" s="306"/>
      <c r="C380" s="233"/>
      <c r="D380" s="233"/>
      <c r="F380" s="13"/>
      <c r="G380" s="13"/>
      <c r="I380" s="298"/>
      <c r="J380" s="21"/>
      <c r="K380" s="21"/>
      <c r="L380" s="13"/>
      <c r="M380" s="50"/>
      <c r="N380" s="97"/>
      <c r="O380" s="50"/>
      <c r="P380" s="296"/>
      <c r="Q380" s="421"/>
      <c r="R380" s="383"/>
      <c r="S380" s="21"/>
      <c r="T380" s="13"/>
      <c r="U380" s="381"/>
      <c r="V380" s="381"/>
      <c r="W380" s="375"/>
      <c r="X380" s="374"/>
      <c r="Y380" s="370"/>
      <c r="Z380" s="376"/>
      <c r="AA380" s="371"/>
      <c r="AB380" s="744"/>
      <c r="AC380" s="270"/>
      <c r="AD380" s="372"/>
      <c r="AE380" s="270"/>
      <c r="AF380" s="270"/>
      <c r="AG380" s="270"/>
      <c r="AH380" s="272"/>
      <c r="AI380" s="1"/>
      <c r="AJ380" s="21"/>
      <c r="AK380" s="21"/>
      <c r="AL380" s="21"/>
      <c r="AM380" s="21"/>
      <c r="AN380" s="21"/>
      <c r="AO380" s="21"/>
    </row>
    <row r="381" spans="1:41" s="53" customFormat="1" x14ac:dyDescent="0.2">
      <c r="A381" s="48"/>
      <c r="B381" s="306"/>
      <c r="C381" s="233"/>
      <c r="D381" s="233"/>
      <c r="F381" s="13"/>
      <c r="G381" s="13"/>
      <c r="I381" s="298"/>
      <c r="J381" s="21"/>
      <c r="K381" s="21"/>
      <c r="L381" s="13"/>
      <c r="M381" s="50"/>
      <c r="N381" s="97"/>
      <c r="O381" s="50"/>
      <c r="P381" s="296"/>
      <c r="Q381" s="421"/>
      <c r="R381" s="383"/>
      <c r="S381" s="21"/>
      <c r="T381" s="13"/>
      <c r="U381" s="381"/>
      <c r="V381" s="381"/>
      <c r="W381" s="375"/>
      <c r="X381" s="374"/>
      <c r="Y381" s="370"/>
      <c r="Z381" s="376"/>
      <c r="AA381" s="371"/>
      <c r="AB381" s="744"/>
      <c r="AC381" s="270"/>
      <c r="AD381" s="372"/>
      <c r="AE381" s="270"/>
      <c r="AF381" s="270"/>
      <c r="AG381" s="270"/>
      <c r="AH381" s="272"/>
      <c r="AI381" s="1"/>
      <c r="AJ381" s="21"/>
      <c r="AK381" s="21"/>
      <c r="AL381" s="21"/>
      <c r="AM381" s="21"/>
      <c r="AN381" s="21"/>
      <c r="AO381" s="21"/>
    </row>
    <row r="382" spans="1:41" s="53" customFormat="1" x14ac:dyDescent="0.2">
      <c r="A382" s="48"/>
      <c r="B382" s="306"/>
      <c r="C382" s="233"/>
      <c r="D382" s="233"/>
      <c r="F382" s="13"/>
      <c r="G382" s="13"/>
      <c r="I382" s="298"/>
      <c r="J382" s="21"/>
      <c r="K382" s="21"/>
      <c r="L382" s="13"/>
      <c r="M382" s="50"/>
      <c r="N382" s="97"/>
      <c r="O382" s="50"/>
      <c r="P382" s="296"/>
      <c r="Q382" s="421"/>
      <c r="R382" s="383"/>
      <c r="S382" s="21"/>
      <c r="T382" s="13"/>
      <c r="U382" s="381"/>
      <c r="V382" s="381"/>
      <c r="W382" s="375"/>
      <c r="X382" s="374"/>
      <c r="Y382" s="370"/>
      <c r="Z382" s="376"/>
      <c r="AA382" s="371"/>
      <c r="AB382" s="744"/>
      <c r="AC382" s="270"/>
      <c r="AD382" s="372"/>
      <c r="AE382" s="270"/>
      <c r="AF382" s="270"/>
      <c r="AG382" s="270"/>
      <c r="AH382" s="272"/>
      <c r="AI382" s="1"/>
      <c r="AJ382" s="21"/>
      <c r="AK382" s="21"/>
      <c r="AL382" s="21"/>
      <c r="AM382" s="21"/>
      <c r="AN382" s="21"/>
      <c r="AO382" s="21"/>
    </row>
    <row r="383" spans="1:41" s="53" customFormat="1" x14ac:dyDescent="0.2">
      <c r="A383" s="48"/>
      <c r="B383" s="306"/>
      <c r="C383" s="233"/>
      <c r="D383" s="233"/>
      <c r="F383" s="13"/>
      <c r="G383" s="13"/>
      <c r="I383" s="298"/>
      <c r="J383" s="21"/>
      <c r="K383" s="21"/>
      <c r="L383" s="13"/>
      <c r="M383" s="50"/>
      <c r="N383" s="97"/>
      <c r="O383" s="50"/>
      <c r="P383" s="296"/>
      <c r="Q383" s="421"/>
      <c r="R383" s="383"/>
      <c r="S383" s="21"/>
      <c r="T383" s="13"/>
      <c r="U383" s="381"/>
      <c r="V383" s="381"/>
      <c r="W383" s="375"/>
      <c r="X383" s="374"/>
      <c r="Y383" s="370"/>
      <c r="Z383" s="376"/>
      <c r="AA383" s="371"/>
      <c r="AB383" s="744"/>
      <c r="AC383" s="270"/>
      <c r="AD383" s="372"/>
      <c r="AE383" s="270"/>
      <c r="AF383" s="270"/>
      <c r="AG383" s="270"/>
      <c r="AH383" s="272"/>
      <c r="AI383" s="1"/>
      <c r="AJ383" s="21"/>
      <c r="AK383" s="21"/>
      <c r="AL383" s="21"/>
      <c r="AM383" s="21"/>
      <c r="AN383" s="21"/>
      <c r="AO383" s="21"/>
    </row>
    <row r="384" spans="1:41" s="53" customFormat="1" x14ac:dyDescent="0.2">
      <c r="A384" s="48"/>
      <c r="B384" s="306"/>
      <c r="C384" s="233"/>
      <c r="D384" s="233"/>
      <c r="F384" s="13"/>
      <c r="G384" s="13"/>
      <c r="I384" s="298"/>
      <c r="J384" s="21"/>
      <c r="K384" s="21"/>
      <c r="L384" s="13"/>
      <c r="M384" s="50"/>
      <c r="N384" s="97"/>
      <c r="O384" s="50"/>
      <c r="P384" s="296"/>
      <c r="Q384" s="421"/>
      <c r="R384" s="383"/>
      <c r="S384" s="21"/>
      <c r="T384" s="13"/>
      <c r="U384" s="381"/>
      <c r="V384" s="381"/>
      <c r="W384" s="375"/>
      <c r="X384" s="374"/>
      <c r="Y384" s="370"/>
      <c r="Z384" s="376"/>
      <c r="AA384" s="371"/>
      <c r="AB384" s="744"/>
      <c r="AC384" s="270"/>
      <c r="AD384" s="372"/>
      <c r="AE384" s="270"/>
      <c r="AF384" s="270"/>
      <c r="AG384" s="270"/>
      <c r="AH384" s="272"/>
      <c r="AI384" s="1"/>
      <c r="AJ384" s="21"/>
      <c r="AK384" s="21"/>
      <c r="AL384" s="21"/>
      <c r="AM384" s="21"/>
      <c r="AN384" s="21"/>
      <c r="AO384" s="21"/>
    </row>
    <row r="385" spans="1:44" s="53" customFormat="1" x14ac:dyDescent="0.2">
      <c r="A385" s="48"/>
      <c r="B385" s="306"/>
      <c r="C385" s="233"/>
      <c r="D385" s="233"/>
      <c r="F385" s="13"/>
      <c r="G385" s="13"/>
      <c r="I385" s="298"/>
      <c r="J385" s="21"/>
      <c r="K385" s="21"/>
      <c r="L385" s="13"/>
      <c r="M385" s="50"/>
      <c r="N385" s="97"/>
      <c r="O385" s="50"/>
      <c r="P385" s="296"/>
      <c r="Q385" s="421"/>
      <c r="R385" s="383"/>
      <c r="S385" s="21"/>
      <c r="T385" s="13"/>
      <c r="U385" s="381"/>
      <c r="V385" s="381"/>
      <c r="W385" s="375"/>
      <c r="X385" s="374"/>
      <c r="Y385" s="370"/>
      <c r="Z385" s="376"/>
      <c r="AA385" s="371"/>
      <c r="AB385" s="744"/>
      <c r="AC385" s="270"/>
      <c r="AD385" s="372"/>
      <c r="AE385" s="270"/>
      <c r="AF385" s="270"/>
      <c r="AG385" s="270"/>
      <c r="AH385" s="272"/>
      <c r="AI385" s="1"/>
      <c r="AJ385" s="21"/>
      <c r="AK385" s="21"/>
      <c r="AL385" s="21"/>
      <c r="AM385" s="21"/>
      <c r="AN385" s="21"/>
      <c r="AO385" s="21"/>
    </row>
    <row r="386" spans="1:44" s="53" customFormat="1" x14ac:dyDescent="0.2">
      <c r="A386" s="48"/>
      <c r="B386" s="306"/>
      <c r="C386" s="233"/>
      <c r="D386" s="233"/>
      <c r="F386" s="13"/>
      <c r="G386" s="13"/>
      <c r="I386" s="298"/>
      <c r="J386" s="21"/>
      <c r="K386" s="21"/>
      <c r="L386" s="13"/>
      <c r="M386" s="50"/>
      <c r="N386" s="97"/>
      <c r="O386" s="50"/>
      <c r="P386" s="296"/>
      <c r="Q386" s="421"/>
      <c r="R386" s="383"/>
      <c r="S386" s="21"/>
      <c r="T386" s="13"/>
      <c r="U386" s="381"/>
      <c r="V386" s="381"/>
      <c r="W386" s="375"/>
      <c r="X386" s="374"/>
      <c r="Y386" s="370"/>
      <c r="Z386" s="376"/>
      <c r="AA386" s="371"/>
      <c r="AB386" s="744"/>
      <c r="AC386" s="270"/>
      <c r="AD386" s="372"/>
      <c r="AE386" s="270"/>
      <c r="AF386" s="270"/>
      <c r="AG386" s="270"/>
      <c r="AH386" s="272"/>
      <c r="AI386" s="1"/>
      <c r="AJ386" s="21"/>
      <c r="AK386" s="21"/>
      <c r="AL386" s="21"/>
      <c r="AM386" s="21"/>
      <c r="AN386" s="21"/>
      <c r="AO386" s="21"/>
    </row>
    <row r="387" spans="1:44" s="53" customFormat="1" x14ac:dyDescent="0.2">
      <c r="A387" s="48"/>
      <c r="B387" s="306"/>
      <c r="C387" s="233"/>
      <c r="D387" s="233"/>
      <c r="F387" s="13"/>
      <c r="G387" s="13"/>
      <c r="I387" s="298"/>
      <c r="J387" s="21"/>
      <c r="K387" s="21"/>
      <c r="L387" s="13"/>
      <c r="M387" s="50"/>
      <c r="N387" s="97"/>
      <c r="O387" s="50"/>
      <c r="P387" s="296"/>
      <c r="Q387" s="421"/>
      <c r="R387" s="383"/>
      <c r="S387" s="21"/>
      <c r="T387" s="13"/>
      <c r="U387" s="381"/>
      <c r="V387" s="381"/>
      <c r="W387" s="375"/>
      <c r="X387" s="374"/>
      <c r="Y387" s="370"/>
      <c r="Z387" s="376"/>
      <c r="AA387" s="371"/>
      <c r="AB387" s="744"/>
      <c r="AC387" s="270"/>
      <c r="AD387" s="372"/>
      <c r="AE387" s="270"/>
      <c r="AF387" s="270"/>
      <c r="AG387" s="270"/>
      <c r="AH387" s="272"/>
      <c r="AI387" s="1"/>
      <c r="AJ387" s="21"/>
      <c r="AK387" s="21"/>
      <c r="AL387" s="21"/>
      <c r="AM387" s="21"/>
      <c r="AN387" s="21"/>
      <c r="AO387" s="21"/>
    </row>
    <row r="388" spans="1:44" s="53" customFormat="1" x14ac:dyDescent="0.2">
      <c r="A388" s="48"/>
      <c r="B388" s="306"/>
      <c r="C388" s="233"/>
      <c r="D388" s="233"/>
      <c r="F388" s="13"/>
      <c r="G388" s="13"/>
      <c r="I388" s="298"/>
      <c r="J388" s="21"/>
      <c r="K388" s="21"/>
      <c r="L388" s="13"/>
      <c r="M388" s="50"/>
      <c r="N388" s="97"/>
      <c r="O388" s="50"/>
      <c r="P388" s="296"/>
      <c r="Q388" s="421"/>
      <c r="R388" s="383"/>
      <c r="S388" s="21"/>
      <c r="T388" s="13"/>
      <c r="U388" s="381"/>
      <c r="V388" s="321"/>
      <c r="W388" s="322"/>
      <c r="X388" s="322"/>
      <c r="Y388" s="322"/>
      <c r="Z388" s="323"/>
      <c r="AA388" s="371"/>
      <c r="AB388" s="744"/>
      <c r="AC388" s="371"/>
      <c r="AD388" s="372"/>
      <c r="AE388" s="371"/>
      <c r="AF388" s="371"/>
      <c r="AG388" s="270"/>
      <c r="AH388" s="272"/>
      <c r="AI388" s="1"/>
      <c r="AJ388" s="21"/>
      <c r="AK388" s="21"/>
      <c r="AL388" s="21"/>
      <c r="AM388" s="21"/>
      <c r="AN388" s="21"/>
      <c r="AO388" s="21"/>
    </row>
    <row r="389" spans="1:44" s="53" customFormat="1" x14ac:dyDescent="0.2">
      <c r="A389" s="48"/>
      <c r="B389" s="306"/>
      <c r="C389" s="233"/>
      <c r="D389" s="233"/>
      <c r="F389" s="13"/>
      <c r="G389" s="13"/>
      <c r="I389" s="298"/>
      <c r="J389" s="21"/>
      <c r="K389" s="21"/>
      <c r="L389" s="13"/>
      <c r="M389" s="50"/>
      <c r="N389" s="97"/>
      <c r="O389" s="50"/>
      <c r="P389" s="296"/>
      <c r="Q389" s="421"/>
      <c r="R389" s="383"/>
      <c r="S389" s="21"/>
      <c r="T389" s="13"/>
      <c r="U389" s="381"/>
      <c r="V389" s="321"/>
      <c r="W389" s="322"/>
      <c r="X389" s="322"/>
      <c r="Y389" s="322"/>
      <c r="Z389" s="323"/>
      <c r="AA389" s="371"/>
      <c r="AB389" s="744"/>
      <c r="AC389" s="371"/>
      <c r="AD389" s="372"/>
      <c r="AE389" s="371"/>
      <c r="AF389" s="371"/>
      <c r="AG389" s="270"/>
      <c r="AH389" s="272"/>
      <c r="AI389" s="1"/>
      <c r="AJ389" s="21"/>
      <c r="AK389" s="21"/>
      <c r="AL389" s="21"/>
      <c r="AM389" s="21"/>
      <c r="AN389" s="21"/>
      <c r="AO389" s="21"/>
      <c r="AQ389" s="21"/>
      <c r="AR389" s="21"/>
    </row>
    <row r="390" spans="1:44" s="53" customFormat="1" x14ac:dyDescent="0.2">
      <c r="A390" s="48"/>
      <c r="B390" s="306"/>
      <c r="C390" s="233"/>
      <c r="D390" s="233"/>
      <c r="F390" s="13"/>
      <c r="G390" s="13"/>
      <c r="I390" s="298"/>
      <c r="J390" s="21"/>
      <c r="K390" s="21"/>
      <c r="L390" s="13"/>
      <c r="M390" s="50"/>
      <c r="N390" s="97"/>
      <c r="O390" s="50"/>
      <c r="P390" s="296"/>
      <c r="Q390" s="421"/>
      <c r="R390" s="383"/>
      <c r="S390" s="21"/>
      <c r="T390" s="13"/>
      <c r="U390" s="381"/>
      <c r="V390" s="321"/>
      <c r="W390" s="322"/>
      <c r="X390" s="322"/>
      <c r="Y390" s="322"/>
      <c r="Z390" s="323"/>
      <c r="AA390" s="371"/>
      <c r="AB390" s="744"/>
      <c r="AC390" s="371"/>
      <c r="AD390" s="372"/>
      <c r="AE390" s="371"/>
      <c r="AF390" s="371"/>
      <c r="AG390" s="270"/>
      <c r="AH390" s="272"/>
      <c r="AI390" s="1"/>
      <c r="AJ390" s="21"/>
      <c r="AK390" s="21"/>
      <c r="AL390" s="21"/>
      <c r="AM390" s="21"/>
      <c r="AN390" s="21"/>
      <c r="AO390" s="21"/>
      <c r="AQ390" s="21"/>
      <c r="AR390" s="21"/>
    </row>
    <row r="391" spans="1:44" x14ac:dyDescent="0.2">
      <c r="A391" s="48"/>
      <c r="B391" s="306"/>
      <c r="C391" s="233"/>
      <c r="D391" s="233"/>
      <c r="P391" s="296"/>
      <c r="Q391" s="421"/>
      <c r="R391" s="383"/>
      <c r="U391" s="381"/>
      <c r="V391" s="321"/>
      <c r="W391" s="322"/>
      <c r="X391" s="322"/>
      <c r="Y391" s="322"/>
      <c r="Z391" s="323"/>
      <c r="AA391" s="371"/>
      <c r="AB391" s="744"/>
      <c r="AC391" s="371"/>
      <c r="AD391" s="372"/>
      <c r="AE391" s="371"/>
      <c r="AF391" s="371"/>
      <c r="AG391" s="270"/>
      <c r="AH391" s="272"/>
      <c r="AP391" s="53"/>
    </row>
    <row r="392" spans="1:44" x14ac:dyDescent="0.2">
      <c r="A392" s="48"/>
      <c r="B392" s="306"/>
      <c r="C392" s="233"/>
      <c r="D392" s="233"/>
      <c r="P392" s="296"/>
      <c r="Q392" s="421"/>
      <c r="R392" s="383"/>
      <c r="U392" s="381"/>
      <c r="V392" s="321"/>
      <c r="W392" s="322"/>
      <c r="X392" s="322"/>
      <c r="Y392" s="322"/>
      <c r="Z392" s="323"/>
      <c r="AA392" s="371"/>
      <c r="AB392" s="744"/>
      <c r="AC392" s="371"/>
      <c r="AD392" s="372"/>
      <c r="AE392" s="371"/>
      <c r="AF392" s="371"/>
      <c r="AG392" s="270"/>
      <c r="AH392" s="272"/>
      <c r="AP392" s="53"/>
    </row>
    <row r="393" spans="1:44" x14ac:dyDescent="0.2">
      <c r="A393" s="48"/>
      <c r="B393" s="306"/>
      <c r="C393" s="233"/>
      <c r="D393" s="233"/>
      <c r="P393" s="296"/>
      <c r="Q393" s="421"/>
      <c r="R393" s="383"/>
      <c r="U393" s="381"/>
      <c r="V393" s="370"/>
      <c r="W393" s="375"/>
      <c r="X393" s="375"/>
      <c r="Y393" s="375"/>
      <c r="Z393" s="376"/>
      <c r="AA393" s="371"/>
      <c r="AB393" s="744"/>
      <c r="AC393" s="371"/>
      <c r="AD393" s="372"/>
      <c r="AE393" s="371"/>
      <c r="AF393" s="371"/>
      <c r="AG393" s="270"/>
      <c r="AH393" s="272"/>
      <c r="AP393" s="53"/>
    </row>
    <row r="394" spans="1:44" x14ac:dyDescent="0.2">
      <c r="A394" s="48"/>
      <c r="B394" s="306"/>
      <c r="C394" s="233"/>
      <c r="D394" s="233"/>
      <c r="P394" s="296"/>
      <c r="Q394" s="421"/>
      <c r="R394" s="383"/>
      <c r="U394" s="381"/>
      <c r="V394" s="370"/>
      <c r="W394" s="375"/>
      <c r="X394" s="374"/>
      <c r="Y394" s="370"/>
      <c r="Z394" s="376"/>
      <c r="AA394" s="371"/>
      <c r="AB394" s="744"/>
      <c r="AC394" s="270"/>
      <c r="AD394" s="372"/>
      <c r="AE394" s="270"/>
      <c r="AF394" s="270"/>
      <c r="AG394" s="270"/>
      <c r="AH394" s="272"/>
      <c r="AP394" s="53"/>
    </row>
    <row r="395" spans="1:44" x14ac:dyDescent="0.2">
      <c r="A395" s="48"/>
      <c r="B395" s="306"/>
      <c r="C395" s="233"/>
      <c r="D395" s="233"/>
      <c r="P395" s="296"/>
      <c r="Q395" s="421"/>
      <c r="R395" s="383"/>
      <c r="U395" s="381"/>
      <c r="V395" s="370"/>
      <c r="W395" s="375"/>
      <c r="X395" s="374"/>
      <c r="Y395" s="370"/>
      <c r="Z395" s="376"/>
      <c r="AA395" s="371"/>
      <c r="AB395" s="744"/>
      <c r="AC395" s="270"/>
      <c r="AD395" s="372"/>
      <c r="AE395" s="270"/>
      <c r="AF395" s="270"/>
      <c r="AG395" s="270"/>
      <c r="AH395" s="272"/>
      <c r="AP395" s="53"/>
    </row>
    <row r="396" spans="1:44" x14ac:dyDescent="0.2">
      <c r="A396" s="48"/>
      <c r="B396" s="306"/>
      <c r="C396" s="233"/>
      <c r="D396" s="233"/>
      <c r="P396" s="296"/>
      <c r="Q396" s="421"/>
      <c r="R396" s="383"/>
      <c r="U396" s="381"/>
      <c r="V396" s="370"/>
      <c r="W396" s="375"/>
      <c r="X396" s="374"/>
      <c r="Y396" s="370"/>
      <c r="Z396" s="376"/>
      <c r="AA396" s="371"/>
      <c r="AB396" s="744"/>
      <c r="AC396" s="270"/>
      <c r="AD396" s="372"/>
      <c r="AE396" s="270"/>
      <c r="AF396" s="270"/>
      <c r="AG396" s="270"/>
      <c r="AH396" s="272"/>
      <c r="AP396" s="53"/>
    </row>
    <row r="397" spans="1:44" x14ac:dyDescent="0.2">
      <c r="A397" s="48"/>
      <c r="B397" s="306"/>
      <c r="C397" s="233"/>
      <c r="D397" s="233"/>
      <c r="P397" s="296"/>
      <c r="Q397" s="421"/>
      <c r="R397" s="383"/>
      <c r="U397" s="381"/>
      <c r="V397" s="370"/>
      <c r="W397" s="375"/>
      <c r="X397" s="374"/>
      <c r="Y397" s="370"/>
      <c r="Z397" s="376"/>
      <c r="AA397" s="371"/>
      <c r="AB397" s="744"/>
      <c r="AC397" s="270"/>
      <c r="AD397" s="372"/>
      <c r="AE397" s="270"/>
      <c r="AF397" s="270"/>
      <c r="AG397" s="270"/>
      <c r="AH397" s="272"/>
      <c r="AP397" s="53"/>
    </row>
    <row r="398" spans="1:44" x14ac:dyDescent="0.2">
      <c r="A398" s="48"/>
      <c r="B398" s="306"/>
      <c r="C398" s="233"/>
      <c r="D398" s="233"/>
      <c r="P398" s="296"/>
      <c r="Q398" s="421"/>
      <c r="R398" s="383"/>
      <c r="U398" s="381"/>
      <c r="V398" s="370"/>
      <c r="W398" s="375"/>
      <c r="X398" s="374"/>
      <c r="Y398" s="370"/>
      <c r="Z398" s="376"/>
      <c r="AA398" s="371"/>
      <c r="AB398" s="744"/>
      <c r="AC398" s="270"/>
      <c r="AD398" s="372"/>
      <c r="AE398" s="270"/>
      <c r="AF398" s="270"/>
      <c r="AG398" s="270"/>
      <c r="AH398" s="272"/>
      <c r="AP398" s="53"/>
    </row>
    <row r="399" spans="1:44" x14ac:dyDescent="0.2">
      <c r="A399" s="48"/>
      <c r="B399" s="306"/>
      <c r="C399" s="233"/>
      <c r="D399" s="233"/>
      <c r="P399" s="296"/>
      <c r="Q399" s="421"/>
      <c r="R399" s="383"/>
      <c r="U399" s="381"/>
      <c r="V399" s="370"/>
      <c r="W399" s="375"/>
      <c r="X399" s="374"/>
      <c r="Y399" s="370"/>
      <c r="Z399" s="376"/>
      <c r="AA399" s="371"/>
      <c r="AB399" s="744"/>
      <c r="AC399" s="270"/>
      <c r="AD399" s="372"/>
      <c r="AE399" s="270"/>
      <c r="AF399" s="270"/>
      <c r="AG399" s="270"/>
      <c r="AH399" s="272"/>
      <c r="AP399" s="53"/>
      <c r="AQ399" s="53"/>
      <c r="AR399" s="53"/>
    </row>
    <row r="400" spans="1:44" x14ac:dyDescent="0.2">
      <c r="A400" s="48"/>
      <c r="B400" s="306"/>
      <c r="C400" s="233"/>
      <c r="D400" s="233"/>
      <c r="P400" s="296"/>
      <c r="Q400" s="421"/>
      <c r="R400" s="383"/>
      <c r="U400" s="381"/>
      <c r="V400" s="370"/>
      <c r="W400" s="375"/>
      <c r="X400" s="374"/>
      <c r="Y400" s="370"/>
      <c r="Z400" s="376"/>
      <c r="AA400" s="371"/>
      <c r="AB400" s="744"/>
      <c r="AC400" s="270"/>
      <c r="AD400" s="372"/>
      <c r="AE400" s="270"/>
      <c r="AF400" s="270"/>
      <c r="AG400" s="270"/>
      <c r="AH400" s="272"/>
      <c r="AP400" s="53"/>
      <c r="AQ400" s="53"/>
      <c r="AR400" s="53"/>
    </row>
    <row r="401" spans="1:41" s="53" customFormat="1" x14ac:dyDescent="0.2">
      <c r="A401" s="48"/>
      <c r="B401" s="306"/>
      <c r="C401" s="233"/>
      <c r="D401" s="233"/>
      <c r="F401" s="13"/>
      <c r="G401" s="13"/>
      <c r="I401" s="298"/>
      <c r="J401" s="21"/>
      <c r="K401" s="21"/>
      <c r="L401" s="13"/>
      <c r="M401" s="50"/>
      <c r="N401" s="97"/>
      <c r="O401" s="50"/>
      <c r="P401" s="296"/>
      <c r="Q401" s="421"/>
      <c r="R401" s="383"/>
      <c r="S401" s="21"/>
      <c r="T401" s="13"/>
      <c r="U401" s="381"/>
      <c r="V401" s="370"/>
      <c r="W401" s="375"/>
      <c r="X401" s="374"/>
      <c r="Y401" s="370"/>
      <c r="Z401" s="376"/>
      <c r="AA401" s="371"/>
      <c r="AB401" s="744"/>
      <c r="AC401" s="270"/>
      <c r="AD401" s="372"/>
      <c r="AE401" s="270"/>
      <c r="AF401" s="270"/>
      <c r="AG401" s="270"/>
      <c r="AH401" s="272"/>
      <c r="AI401" s="1"/>
      <c r="AJ401" s="21"/>
      <c r="AK401" s="21"/>
      <c r="AL401" s="21"/>
      <c r="AM401" s="21"/>
      <c r="AN401" s="21"/>
      <c r="AO401" s="21"/>
    </row>
    <row r="402" spans="1:41" s="53" customFormat="1" x14ac:dyDescent="0.2">
      <c r="A402" s="48"/>
      <c r="B402" s="306"/>
      <c r="C402" s="233"/>
      <c r="D402" s="233"/>
      <c r="F402" s="13"/>
      <c r="G402" s="13"/>
      <c r="I402" s="298"/>
      <c r="J402" s="21"/>
      <c r="K402" s="21"/>
      <c r="L402" s="13"/>
      <c r="M402" s="50"/>
      <c r="N402" s="97"/>
      <c r="O402" s="50"/>
      <c r="P402" s="296"/>
      <c r="Q402" s="421"/>
      <c r="R402" s="383"/>
      <c r="S402" s="21"/>
      <c r="T402" s="13"/>
      <c r="U402" s="381"/>
      <c r="V402" s="370"/>
      <c r="W402" s="375"/>
      <c r="X402" s="374"/>
      <c r="Y402" s="370"/>
      <c r="Z402" s="376"/>
      <c r="AA402" s="371"/>
      <c r="AB402" s="744"/>
      <c r="AC402" s="270"/>
      <c r="AD402" s="372"/>
      <c r="AE402" s="270"/>
      <c r="AF402" s="270"/>
      <c r="AG402" s="270"/>
      <c r="AH402" s="272"/>
      <c r="AI402" s="1"/>
      <c r="AJ402" s="21"/>
      <c r="AK402" s="21"/>
      <c r="AL402" s="21"/>
      <c r="AM402" s="21"/>
      <c r="AN402" s="21"/>
      <c r="AO402" s="21"/>
    </row>
    <row r="403" spans="1:41" s="53" customFormat="1" x14ac:dyDescent="0.2">
      <c r="A403" s="48"/>
      <c r="B403" s="306"/>
      <c r="C403" s="233"/>
      <c r="D403" s="233"/>
      <c r="F403" s="13"/>
      <c r="G403" s="13"/>
      <c r="I403" s="298"/>
      <c r="J403" s="21"/>
      <c r="K403" s="21"/>
      <c r="L403" s="13"/>
      <c r="M403" s="50"/>
      <c r="N403" s="97"/>
      <c r="O403" s="50"/>
      <c r="P403" s="296"/>
      <c r="Q403" s="421"/>
      <c r="R403" s="383"/>
      <c r="S403" s="21"/>
      <c r="T403" s="13"/>
      <c r="U403" s="381"/>
      <c r="V403" s="370"/>
      <c r="W403" s="375"/>
      <c r="X403" s="374"/>
      <c r="Y403" s="370"/>
      <c r="Z403" s="376"/>
      <c r="AA403" s="371"/>
      <c r="AB403" s="744"/>
      <c r="AC403" s="270"/>
      <c r="AD403" s="372"/>
      <c r="AE403" s="270"/>
      <c r="AF403" s="270"/>
      <c r="AG403" s="270"/>
      <c r="AH403" s="272"/>
      <c r="AI403" s="1"/>
      <c r="AJ403" s="21"/>
      <c r="AK403" s="21"/>
      <c r="AL403" s="21"/>
      <c r="AM403" s="21"/>
      <c r="AN403" s="21"/>
      <c r="AO403" s="21"/>
    </row>
    <row r="404" spans="1:41" s="53" customFormat="1" x14ac:dyDescent="0.2">
      <c r="A404" s="48"/>
      <c r="B404" s="306"/>
      <c r="C404" s="233"/>
      <c r="D404" s="233"/>
      <c r="F404" s="13"/>
      <c r="G404" s="13"/>
      <c r="I404" s="298"/>
      <c r="J404" s="21"/>
      <c r="K404" s="21"/>
      <c r="L404" s="13"/>
      <c r="M404" s="50"/>
      <c r="N404" s="97"/>
      <c r="O404" s="50"/>
      <c r="P404" s="296"/>
      <c r="Q404" s="421"/>
      <c r="R404" s="383"/>
      <c r="S404" s="21"/>
      <c r="T404" s="13"/>
      <c r="U404" s="381"/>
      <c r="V404" s="370"/>
      <c r="W404" s="375"/>
      <c r="X404" s="374"/>
      <c r="Y404" s="370"/>
      <c r="Z404" s="376"/>
      <c r="AA404" s="371"/>
      <c r="AB404" s="744"/>
      <c r="AC404" s="270"/>
      <c r="AD404" s="372"/>
      <c r="AE404" s="270"/>
      <c r="AF404" s="270"/>
      <c r="AG404" s="270"/>
      <c r="AH404" s="272"/>
      <c r="AI404" s="1"/>
      <c r="AJ404" s="21"/>
      <c r="AK404" s="21"/>
      <c r="AL404" s="21"/>
      <c r="AM404" s="21"/>
      <c r="AN404" s="21"/>
      <c r="AO404" s="21"/>
    </row>
    <row r="405" spans="1:41" s="53" customFormat="1" x14ac:dyDescent="0.2">
      <c r="A405" s="48"/>
      <c r="B405" s="306"/>
      <c r="C405" s="233"/>
      <c r="D405" s="233"/>
      <c r="F405" s="13"/>
      <c r="G405" s="13"/>
      <c r="I405" s="298"/>
      <c r="J405" s="21"/>
      <c r="K405" s="21"/>
      <c r="L405" s="13"/>
      <c r="M405" s="50"/>
      <c r="N405" s="97"/>
      <c r="O405" s="50"/>
      <c r="P405" s="296"/>
      <c r="Q405" s="421"/>
      <c r="R405" s="383"/>
      <c r="S405" s="21"/>
      <c r="T405" s="13"/>
      <c r="U405" s="381"/>
      <c r="V405" s="370"/>
      <c r="W405" s="375"/>
      <c r="X405" s="374"/>
      <c r="Y405" s="370"/>
      <c r="Z405" s="376"/>
      <c r="AA405" s="371"/>
      <c r="AB405" s="744"/>
      <c r="AC405" s="270"/>
      <c r="AD405" s="372"/>
      <c r="AE405" s="270"/>
      <c r="AF405" s="270"/>
      <c r="AG405" s="270"/>
      <c r="AH405" s="272"/>
      <c r="AI405" s="1"/>
      <c r="AJ405" s="21"/>
      <c r="AK405" s="21"/>
      <c r="AL405" s="21"/>
      <c r="AM405" s="21"/>
      <c r="AN405" s="21"/>
      <c r="AO405" s="21"/>
    </row>
    <row r="406" spans="1:41" s="53" customFormat="1" x14ac:dyDescent="0.2">
      <c r="A406" s="48"/>
      <c r="B406" s="306"/>
      <c r="C406" s="233"/>
      <c r="D406" s="233"/>
      <c r="F406" s="13"/>
      <c r="G406" s="13"/>
      <c r="I406" s="298"/>
      <c r="J406" s="21"/>
      <c r="K406" s="21"/>
      <c r="L406" s="13"/>
      <c r="M406" s="50"/>
      <c r="N406" s="97"/>
      <c r="O406" s="50"/>
      <c r="P406" s="296"/>
      <c r="Q406" s="421"/>
      <c r="R406" s="383"/>
      <c r="S406" s="21"/>
      <c r="T406" s="13"/>
      <c r="U406" s="381"/>
      <c r="V406" s="370"/>
      <c r="W406" s="375"/>
      <c r="X406" s="374"/>
      <c r="Y406" s="370"/>
      <c r="Z406" s="376"/>
      <c r="AA406" s="371"/>
      <c r="AB406" s="744"/>
      <c r="AC406" s="270"/>
      <c r="AD406" s="372"/>
      <c r="AE406" s="270"/>
      <c r="AF406" s="270"/>
      <c r="AG406" s="270"/>
      <c r="AH406" s="272"/>
      <c r="AI406" s="1"/>
      <c r="AJ406" s="21"/>
      <c r="AK406" s="21"/>
      <c r="AL406" s="21"/>
      <c r="AM406" s="21"/>
      <c r="AN406" s="21"/>
      <c r="AO406" s="21"/>
    </row>
    <row r="407" spans="1:41" s="53" customFormat="1" x14ac:dyDescent="0.2">
      <c r="A407" s="48"/>
      <c r="B407" s="306"/>
      <c r="C407" s="233"/>
      <c r="D407" s="233"/>
      <c r="F407" s="13"/>
      <c r="G407" s="13"/>
      <c r="I407" s="298"/>
      <c r="J407" s="21"/>
      <c r="K407" s="21"/>
      <c r="L407" s="13"/>
      <c r="M407" s="50"/>
      <c r="N407" s="97"/>
      <c r="O407" s="50"/>
      <c r="P407" s="296"/>
      <c r="Q407" s="421"/>
      <c r="R407" s="383"/>
      <c r="S407" s="21"/>
      <c r="T407" s="13"/>
      <c r="U407" s="381"/>
      <c r="V407" s="370"/>
      <c r="W407" s="375"/>
      <c r="X407" s="374"/>
      <c r="Y407" s="370"/>
      <c r="Z407" s="376"/>
      <c r="AA407" s="371"/>
      <c r="AB407" s="744"/>
      <c r="AC407" s="270"/>
      <c r="AD407" s="372"/>
      <c r="AE407" s="270"/>
      <c r="AF407" s="270"/>
      <c r="AG407" s="270"/>
      <c r="AH407" s="272"/>
      <c r="AI407" s="1"/>
      <c r="AJ407" s="21"/>
      <c r="AK407" s="21"/>
      <c r="AL407" s="21"/>
      <c r="AM407" s="21"/>
      <c r="AN407" s="21"/>
      <c r="AO407" s="21"/>
    </row>
    <row r="408" spans="1:41" s="53" customFormat="1" x14ac:dyDescent="0.2">
      <c r="A408" s="48"/>
      <c r="B408" s="306"/>
      <c r="C408" s="233"/>
      <c r="D408" s="233"/>
      <c r="F408" s="13"/>
      <c r="G408" s="13"/>
      <c r="I408" s="298"/>
      <c r="J408" s="21"/>
      <c r="K408" s="21"/>
      <c r="L408" s="13"/>
      <c r="M408" s="50"/>
      <c r="N408" s="97"/>
      <c r="O408" s="50"/>
      <c r="P408" s="296"/>
      <c r="Q408" s="421"/>
      <c r="R408" s="383"/>
      <c r="S408" s="21"/>
      <c r="T408" s="13"/>
      <c r="U408" s="381"/>
      <c r="V408" s="370"/>
      <c r="W408" s="375"/>
      <c r="X408" s="374"/>
      <c r="Y408" s="370"/>
      <c r="Z408" s="376"/>
      <c r="AA408" s="371"/>
      <c r="AB408" s="744"/>
      <c r="AC408" s="270"/>
      <c r="AD408" s="372"/>
      <c r="AE408" s="270"/>
      <c r="AF408" s="270"/>
      <c r="AG408" s="270"/>
      <c r="AH408" s="272"/>
      <c r="AI408" s="1"/>
      <c r="AJ408" s="21"/>
      <c r="AK408" s="21"/>
      <c r="AL408" s="21"/>
      <c r="AM408" s="21"/>
      <c r="AN408" s="21"/>
      <c r="AO408" s="21"/>
    </row>
    <row r="409" spans="1:41" s="53" customFormat="1" x14ac:dyDescent="0.2">
      <c r="A409" s="48"/>
      <c r="B409" s="306"/>
      <c r="C409" s="233"/>
      <c r="D409" s="233"/>
      <c r="F409" s="13"/>
      <c r="G409" s="13"/>
      <c r="I409" s="298"/>
      <c r="J409" s="21"/>
      <c r="K409" s="21"/>
      <c r="L409" s="13"/>
      <c r="M409" s="50"/>
      <c r="N409" s="97"/>
      <c r="O409" s="50"/>
      <c r="P409" s="296"/>
      <c r="Q409" s="421"/>
      <c r="R409" s="383"/>
      <c r="S409" s="21"/>
      <c r="T409" s="13"/>
      <c r="U409" s="381"/>
      <c r="V409" s="370"/>
      <c r="W409" s="375"/>
      <c r="X409" s="374"/>
      <c r="Y409" s="370"/>
      <c r="Z409" s="376"/>
      <c r="AA409" s="371"/>
      <c r="AB409" s="744"/>
      <c r="AC409" s="270"/>
      <c r="AD409" s="372"/>
      <c r="AE409" s="270"/>
      <c r="AF409" s="270"/>
      <c r="AG409" s="270"/>
      <c r="AH409" s="272"/>
      <c r="AI409" s="1"/>
      <c r="AJ409" s="21"/>
      <c r="AK409" s="21"/>
      <c r="AL409" s="21"/>
      <c r="AM409" s="21"/>
      <c r="AN409" s="21"/>
      <c r="AO409" s="21"/>
    </row>
    <row r="410" spans="1:41" s="53" customFormat="1" x14ac:dyDescent="0.2">
      <c r="A410" s="48"/>
      <c r="B410" s="306"/>
      <c r="C410" s="233"/>
      <c r="D410" s="233"/>
      <c r="F410" s="13"/>
      <c r="G410" s="13"/>
      <c r="I410" s="298"/>
      <c r="J410" s="21"/>
      <c r="K410" s="21"/>
      <c r="L410" s="13"/>
      <c r="M410" s="50"/>
      <c r="N410" s="97"/>
      <c r="O410" s="50"/>
      <c r="P410" s="296"/>
      <c r="Q410" s="421"/>
      <c r="R410" s="383"/>
      <c r="S410" s="21"/>
      <c r="T410" s="13"/>
      <c r="U410" s="381"/>
      <c r="V410" s="370"/>
      <c r="W410" s="375"/>
      <c r="X410" s="374"/>
      <c r="Y410" s="370"/>
      <c r="Z410" s="376"/>
      <c r="AA410" s="371"/>
      <c r="AB410" s="744"/>
      <c r="AC410" s="270"/>
      <c r="AD410" s="372"/>
      <c r="AE410" s="270"/>
      <c r="AF410" s="270"/>
      <c r="AG410" s="270"/>
      <c r="AH410" s="272"/>
      <c r="AI410" s="1"/>
      <c r="AJ410" s="21"/>
      <c r="AK410" s="21"/>
      <c r="AL410" s="21"/>
      <c r="AM410" s="21"/>
      <c r="AN410" s="21"/>
      <c r="AO410" s="21"/>
    </row>
    <row r="411" spans="1:41" s="53" customFormat="1" x14ac:dyDescent="0.2">
      <c r="A411" s="48"/>
      <c r="B411" s="306"/>
      <c r="C411" s="233"/>
      <c r="D411" s="233"/>
      <c r="F411" s="13"/>
      <c r="G411" s="13"/>
      <c r="I411" s="298"/>
      <c r="J411" s="21"/>
      <c r="K411" s="21"/>
      <c r="L411" s="13"/>
      <c r="M411" s="50"/>
      <c r="N411" s="97"/>
      <c r="O411" s="50"/>
      <c r="P411" s="296"/>
      <c r="Q411" s="421"/>
      <c r="R411" s="383"/>
      <c r="S411" s="21"/>
      <c r="T411" s="13"/>
      <c r="U411" s="381"/>
      <c r="V411" s="370"/>
      <c r="W411" s="375"/>
      <c r="X411" s="374"/>
      <c r="Y411" s="370"/>
      <c r="Z411" s="376"/>
      <c r="AA411" s="371"/>
      <c r="AB411" s="744"/>
      <c r="AC411" s="270"/>
      <c r="AD411" s="372"/>
      <c r="AE411" s="270"/>
      <c r="AF411" s="270"/>
      <c r="AG411" s="270"/>
      <c r="AH411" s="272"/>
      <c r="AI411" s="1"/>
      <c r="AJ411" s="21"/>
      <c r="AK411" s="21"/>
      <c r="AL411" s="21"/>
      <c r="AM411" s="21"/>
      <c r="AN411" s="21"/>
      <c r="AO411" s="21"/>
    </row>
    <row r="412" spans="1:41" s="53" customFormat="1" x14ac:dyDescent="0.2">
      <c r="A412" s="48"/>
      <c r="B412" s="306"/>
      <c r="C412" s="233"/>
      <c r="D412" s="233"/>
      <c r="F412" s="13"/>
      <c r="G412" s="13"/>
      <c r="I412" s="298"/>
      <c r="J412" s="21"/>
      <c r="K412" s="21"/>
      <c r="L412" s="13"/>
      <c r="M412" s="50"/>
      <c r="N412" s="97"/>
      <c r="O412" s="50"/>
      <c r="P412" s="296"/>
      <c r="Q412" s="421"/>
      <c r="R412" s="383"/>
      <c r="S412" s="21"/>
      <c r="T412" s="13"/>
      <c r="U412" s="381"/>
      <c r="V412" s="370"/>
      <c r="W412" s="375"/>
      <c r="X412" s="374"/>
      <c r="Y412" s="370"/>
      <c r="Z412" s="376"/>
      <c r="AA412" s="371"/>
      <c r="AB412" s="744"/>
      <c r="AC412" s="270"/>
      <c r="AD412" s="372"/>
      <c r="AE412" s="270"/>
      <c r="AF412" s="270"/>
      <c r="AG412" s="270"/>
      <c r="AH412" s="272"/>
      <c r="AI412" s="1"/>
      <c r="AJ412" s="21"/>
      <c r="AK412" s="21"/>
      <c r="AL412" s="21"/>
      <c r="AM412" s="21"/>
      <c r="AN412" s="21"/>
      <c r="AO412" s="21"/>
    </row>
    <row r="413" spans="1:41" s="53" customFormat="1" x14ac:dyDescent="0.2">
      <c r="A413" s="48"/>
      <c r="B413" s="306"/>
      <c r="C413" s="233"/>
      <c r="D413" s="233"/>
      <c r="F413" s="13"/>
      <c r="G413" s="13"/>
      <c r="I413" s="298"/>
      <c r="J413" s="21"/>
      <c r="K413" s="21"/>
      <c r="L413" s="13"/>
      <c r="M413" s="50"/>
      <c r="N413" s="97"/>
      <c r="O413" s="50"/>
      <c r="P413" s="296"/>
      <c r="Q413" s="421"/>
      <c r="R413" s="383"/>
      <c r="S413" s="21"/>
      <c r="T413" s="13"/>
      <c r="U413" s="381"/>
      <c r="V413" s="370"/>
      <c r="W413" s="375"/>
      <c r="X413" s="374"/>
      <c r="Y413" s="370"/>
      <c r="Z413" s="376"/>
      <c r="AA413" s="371"/>
      <c r="AB413" s="744"/>
      <c r="AC413" s="270"/>
      <c r="AD413" s="372"/>
      <c r="AE413" s="270"/>
      <c r="AF413" s="270"/>
      <c r="AG413" s="270"/>
      <c r="AH413" s="272"/>
      <c r="AI413" s="1"/>
      <c r="AJ413" s="21"/>
      <c r="AK413" s="21"/>
      <c r="AL413" s="21"/>
      <c r="AM413" s="21"/>
      <c r="AN413" s="21"/>
      <c r="AO413" s="21"/>
    </row>
    <row r="414" spans="1:41" s="53" customFormat="1" x14ac:dyDescent="0.2">
      <c r="A414" s="48"/>
      <c r="B414" s="306"/>
      <c r="C414" s="233"/>
      <c r="D414" s="233"/>
      <c r="F414" s="13"/>
      <c r="G414" s="13"/>
      <c r="I414" s="298"/>
      <c r="J414" s="21"/>
      <c r="K414" s="21"/>
      <c r="L414" s="13"/>
      <c r="M414" s="50"/>
      <c r="N414" s="97"/>
      <c r="O414" s="50"/>
      <c r="P414" s="296"/>
      <c r="Q414" s="421"/>
      <c r="R414" s="383"/>
      <c r="S414" s="21"/>
      <c r="T414" s="13"/>
      <c r="U414" s="381"/>
      <c r="V414" s="370"/>
      <c r="W414" s="375"/>
      <c r="X414" s="374"/>
      <c r="Y414" s="370"/>
      <c r="Z414" s="376"/>
      <c r="AA414" s="371"/>
      <c r="AB414" s="744"/>
      <c r="AC414" s="270"/>
      <c r="AD414" s="372"/>
      <c r="AE414" s="270"/>
      <c r="AF414" s="270"/>
      <c r="AG414" s="270"/>
      <c r="AH414" s="272"/>
      <c r="AI414" s="1"/>
      <c r="AJ414" s="21"/>
      <c r="AK414" s="21"/>
      <c r="AL414" s="21"/>
      <c r="AM414" s="21"/>
      <c r="AN414" s="21"/>
      <c r="AO414" s="21"/>
    </row>
    <row r="415" spans="1:41" s="53" customFormat="1" x14ac:dyDescent="0.2">
      <c r="A415" s="48"/>
      <c r="B415" s="306"/>
      <c r="C415" s="233"/>
      <c r="D415" s="233"/>
      <c r="F415" s="13"/>
      <c r="G415" s="13"/>
      <c r="I415" s="298"/>
      <c r="J415" s="21"/>
      <c r="K415" s="21"/>
      <c r="L415" s="13"/>
      <c r="M415" s="50"/>
      <c r="N415" s="97"/>
      <c r="O415" s="50"/>
      <c r="P415" s="296"/>
      <c r="Q415" s="421"/>
      <c r="R415" s="383"/>
      <c r="S415" s="21"/>
      <c r="T415" s="13"/>
      <c r="U415" s="381"/>
      <c r="V415" s="370"/>
      <c r="W415" s="375"/>
      <c r="X415" s="374"/>
      <c r="Y415" s="370"/>
      <c r="Z415" s="376"/>
      <c r="AA415" s="371"/>
      <c r="AB415" s="744"/>
      <c r="AC415" s="270"/>
      <c r="AD415" s="372"/>
      <c r="AE415" s="270"/>
      <c r="AF415" s="270"/>
      <c r="AG415" s="270"/>
      <c r="AH415" s="272"/>
      <c r="AI415" s="1"/>
      <c r="AJ415" s="21"/>
      <c r="AK415" s="21"/>
      <c r="AL415" s="21"/>
      <c r="AM415" s="21"/>
      <c r="AN415" s="21"/>
      <c r="AO415" s="21"/>
    </row>
    <row r="416" spans="1:41" s="53" customFormat="1" x14ac:dyDescent="0.2">
      <c r="A416" s="48"/>
      <c r="B416" s="306"/>
      <c r="C416" s="233"/>
      <c r="D416" s="233"/>
      <c r="F416" s="13"/>
      <c r="G416" s="13"/>
      <c r="I416" s="298"/>
      <c r="J416" s="21"/>
      <c r="K416" s="21"/>
      <c r="L416" s="13"/>
      <c r="M416" s="50"/>
      <c r="N416" s="97"/>
      <c r="O416" s="50"/>
      <c r="P416" s="296"/>
      <c r="Q416" s="421"/>
      <c r="R416" s="383"/>
      <c r="S416" s="21"/>
      <c r="T416" s="13"/>
      <c r="U416" s="381"/>
      <c r="V416" s="370"/>
      <c r="W416" s="375"/>
      <c r="X416" s="374"/>
      <c r="Y416" s="370"/>
      <c r="Z416" s="376"/>
      <c r="AA416" s="371"/>
      <c r="AB416" s="744"/>
      <c r="AC416" s="270"/>
      <c r="AD416" s="372"/>
      <c r="AE416" s="270"/>
      <c r="AF416" s="270"/>
      <c r="AG416" s="270"/>
      <c r="AH416" s="315"/>
      <c r="AI416" s="1"/>
      <c r="AJ416" s="21"/>
      <c r="AK416" s="21"/>
      <c r="AL416" s="21"/>
      <c r="AM416" s="21"/>
      <c r="AN416" s="21"/>
      <c r="AO416" s="21"/>
    </row>
    <row r="417" spans="1:41" s="53" customFormat="1" x14ac:dyDescent="0.2">
      <c r="A417" s="48"/>
      <c r="B417" s="306"/>
      <c r="C417" s="233"/>
      <c r="D417" s="233"/>
      <c r="F417" s="13"/>
      <c r="G417" s="13"/>
      <c r="I417" s="298"/>
      <c r="J417" s="21"/>
      <c r="K417" s="21"/>
      <c r="L417" s="13"/>
      <c r="M417" s="50"/>
      <c r="N417" s="97"/>
      <c r="O417" s="50"/>
      <c r="P417" s="296"/>
      <c r="Q417" s="316"/>
      <c r="R417" s="383"/>
      <c r="S417" s="21"/>
      <c r="T417" s="13"/>
      <c r="U417" s="381"/>
      <c r="V417" s="370"/>
      <c r="W417" s="375"/>
      <c r="X417" s="374"/>
      <c r="Y417" s="370"/>
      <c r="Z417" s="376"/>
      <c r="AA417" s="371"/>
      <c r="AB417" s="744"/>
      <c r="AC417" s="270"/>
      <c r="AD417" s="372"/>
      <c r="AE417" s="270"/>
      <c r="AF417" s="270"/>
      <c r="AG417" s="270"/>
      <c r="AH417" s="315"/>
      <c r="AI417" s="1"/>
      <c r="AJ417" s="21"/>
      <c r="AK417" s="21"/>
      <c r="AL417" s="21"/>
      <c r="AM417" s="21"/>
      <c r="AN417" s="21"/>
      <c r="AO417" s="21"/>
    </row>
    <row r="418" spans="1:41" s="53" customFormat="1" x14ac:dyDescent="0.2">
      <c r="A418" s="48"/>
      <c r="B418" s="306"/>
      <c r="C418" s="233"/>
      <c r="D418" s="233"/>
      <c r="F418" s="13"/>
      <c r="G418" s="13"/>
      <c r="I418" s="298"/>
      <c r="J418" s="21"/>
      <c r="K418" s="21"/>
      <c r="L418" s="13"/>
      <c r="M418" s="50"/>
      <c r="N418" s="97"/>
      <c r="O418" s="50"/>
      <c r="P418" s="296"/>
      <c r="Q418" s="316"/>
      <c r="R418" s="383"/>
      <c r="S418" s="21"/>
      <c r="T418" s="13"/>
      <c r="U418" s="381"/>
      <c r="V418" s="370"/>
      <c r="W418" s="375"/>
      <c r="X418" s="374"/>
      <c r="Y418" s="370"/>
      <c r="Z418" s="376"/>
      <c r="AA418" s="371"/>
      <c r="AB418" s="744"/>
      <c r="AC418" s="270"/>
      <c r="AD418" s="372"/>
      <c r="AE418" s="270"/>
      <c r="AF418" s="270"/>
      <c r="AG418" s="270"/>
      <c r="AH418" s="315"/>
      <c r="AI418" s="1"/>
      <c r="AJ418" s="21"/>
      <c r="AK418" s="21"/>
      <c r="AL418" s="21"/>
      <c r="AM418" s="21"/>
      <c r="AN418" s="21"/>
      <c r="AO418" s="21"/>
    </row>
    <row r="419" spans="1:41" s="53" customFormat="1" x14ac:dyDescent="0.2">
      <c r="A419" s="48"/>
      <c r="B419" s="306"/>
      <c r="C419" s="233"/>
      <c r="D419" s="233"/>
      <c r="F419" s="13"/>
      <c r="G419" s="13"/>
      <c r="I419" s="298"/>
      <c r="J419" s="21"/>
      <c r="K419" s="21"/>
      <c r="L419" s="13"/>
      <c r="M419" s="50"/>
      <c r="N419" s="97"/>
      <c r="O419" s="50"/>
      <c r="P419" s="296"/>
      <c r="Q419" s="316"/>
      <c r="R419" s="383"/>
      <c r="S419" s="21"/>
      <c r="T419" s="13"/>
      <c r="U419" s="381"/>
      <c r="V419" s="370"/>
      <c r="W419" s="375"/>
      <c r="X419" s="374"/>
      <c r="Y419" s="370"/>
      <c r="Z419" s="376"/>
      <c r="AA419" s="371"/>
      <c r="AB419" s="744"/>
      <c r="AC419" s="270"/>
      <c r="AD419" s="372"/>
      <c r="AE419" s="270"/>
      <c r="AF419" s="270"/>
      <c r="AG419" s="270"/>
      <c r="AH419" s="315"/>
      <c r="AI419" s="1"/>
      <c r="AJ419" s="21"/>
      <c r="AK419" s="21"/>
      <c r="AL419" s="21"/>
      <c r="AM419" s="21"/>
      <c r="AN419" s="21"/>
      <c r="AO419" s="21"/>
    </row>
    <row r="420" spans="1:41" s="53" customFormat="1" x14ac:dyDescent="0.2">
      <c r="A420" s="48"/>
      <c r="B420" s="306"/>
      <c r="C420" s="233"/>
      <c r="D420" s="233"/>
      <c r="F420" s="13"/>
      <c r="G420" s="13"/>
      <c r="I420" s="298"/>
      <c r="J420" s="21"/>
      <c r="K420" s="21"/>
      <c r="L420" s="13"/>
      <c r="M420" s="50"/>
      <c r="N420" s="97"/>
      <c r="O420" s="50"/>
      <c r="P420" s="296"/>
      <c r="Q420" s="316"/>
      <c r="R420" s="383"/>
      <c r="S420" s="21"/>
      <c r="T420" s="13"/>
      <c r="U420" s="381"/>
      <c r="V420" s="370"/>
      <c r="W420" s="375"/>
      <c r="X420" s="374"/>
      <c r="Y420" s="370"/>
      <c r="Z420" s="376"/>
      <c r="AA420" s="371"/>
      <c r="AB420" s="744"/>
      <c r="AC420" s="270"/>
      <c r="AD420" s="372"/>
      <c r="AE420" s="270"/>
      <c r="AF420" s="270"/>
      <c r="AG420" s="270"/>
      <c r="AH420" s="315"/>
      <c r="AI420" s="1"/>
      <c r="AJ420" s="21"/>
      <c r="AK420" s="21"/>
      <c r="AL420" s="21"/>
      <c r="AM420" s="21"/>
      <c r="AN420" s="21"/>
      <c r="AO420" s="21"/>
    </row>
    <row r="421" spans="1:41" s="53" customFormat="1" x14ac:dyDescent="0.2">
      <c r="A421" s="48"/>
      <c r="B421" s="306"/>
      <c r="C421" s="233"/>
      <c r="D421" s="233"/>
      <c r="F421" s="13"/>
      <c r="G421" s="13"/>
      <c r="I421" s="298"/>
      <c r="J421" s="21"/>
      <c r="K421" s="21"/>
      <c r="L421" s="13"/>
      <c r="M421" s="50"/>
      <c r="N421" s="97"/>
      <c r="O421" s="50"/>
      <c r="P421" s="97"/>
      <c r="Q421" s="316"/>
      <c r="R421" s="383"/>
      <c r="S421" s="21"/>
      <c r="T421" s="13"/>
      <c r="U421" s="381"/>
      <c r="V421" s="370"/>
      <c r="W421" s="375"/>
      <c r="X421" s="374"/>
      <c r="Y421" s="370"/>
      <c r="Z421" s="376"/>
      <c r="AA421" s="371"/>
      <c r="AB421" s="744"/>
      <c r="AC421" s="270"/>
      <c r="AD421" s="372"/>
      <c r="AE421" s="270"/>
      <c r="AF421" s="270"/>
      <c r="AG421" s="270"/>
      <c r="AH421" s="315"/>
      <c r="AI421" s="1"/>
      <c r="AJ421" s="21"/>
      <c r="AK421" s="21"/>
      <c r="AL421" s="21"/>
      <c r="AM421" s="21"/>
      <c r="AN421" s="21"/>
      <c r="AO421" s="21"/>
    </row>
    <row r="422" spans="1:41" s="53" customFormat="1" x14ac:dyDescent="0.2">
      <c r="A422" s="48"/>
      <c r="B422" s="306"/>
      <c r="C422" s="233"/>
      <c r="D422" s="233"/>
      <c r="F422" s="13"/>
      <c r="G422" s="13"/>
      <c r="I422" s="298"/>
      <c r="J422" s="21"/>
      <c r="K422" s="21"/>
      <c r="L422" s="13"/>
      <c r="M422" s="50"/>
      <c r="N422" s="97"/>
      <c r="O422" s="50"/>
      <c r="P422" s="97"/>
      <c r="Q422" s="316"/>
      <c r="R422" s="383"/>
      <c r="S422" s="21"/>
      <c r="T422" s="13"/>
      <c r="U422" s="381"/>
      <c r="V422" s="370"/>
      <c r="W422" s="375"/>
      <c r="X422" s="374"/>
      <c r="Y422" s="370"/>
      <c r="Z422" s="376"/>
      <c r="AA422" s="371"/>
      <c r="AB422" s="744"/>
      <c r="AC422" s="270"/>
      <c r="AD422" s="372"/>
      <c r="AE422" s="270"/>
      <c r="AF422" s="270"/>
      <c r="AG422" s="270"/>
      <c r="AH422" s="315"/>
      <c r="AI422" s="1"/>
      <c r="AJ422" s="21"/>
      <c r="AK422" s="21"/>
      <c r="AL422" s="21"/>
      <c r="AM422" s="21"/>
      <c r="AN422" s="21"/>
      <c r="AO422" s="21"/>
    </row>
    <row r="423" spans="1:41" s="53" customFormat="1" x14ac:dyDescent="0.2">
      <c r="A423" s="48"/>
      <c r="B423" s="306"/>
      <c r="C423" s="233"/>
      <c r="D423" s="233"/>
      <c r="F423" s="13"/>
      <c r="G423" s="13"/>
      <c r="I423" s="298"/>
      <c r="J423" s="21"/>
      <c r="K423" s="21"/>
      <c r="L423" s="13"/>
      <c r="M423" s="50"/>
      <c r="N423" s="97"/>
      <c r="O423" s="50"/>
      <c r="P423" s="97"/>
      <c r="Q423" s="316"/>
      <c r="R423" s="383"/>
      <c r="S423" s="21"/>
      <c r="T423" s="13"/>
      <c r="U423" s="381"/>
      <c r="V423" s="370"/>
      <c r="W423" s="375"/>
      <c r="X423" s="374"/>
      <c r="Y423" s="370"/>
      <c r="Z423" s="376"/>
      <c r="AA423" s="371"/>
      <c r="AB423" s="744"/>
      <c r="AC423" s="270"/>
      <c r="AD423" s="372"/>
      <c r="AE423" s="270"/>
      <c r="AF423" s="270"/>
      <c r="AG423" s="270"/>
      <c r="AH423" s="272"/>
      <c r="AI423" s="1"/>
      <c r="AJ423" s="21"/>
      <c r="AK423" s="21"/>
      <c r="AL423" s="21"/>
      <c r="AM423" s="21"/>
      <c r="AN423" s="21"/>
      <c r="AO423" s="21"/>
    </row>
    <row r="424" spans="1:41" s="53" customFormat="1" x14ac:dyDescent="0.2">
      <c r="A424" s="48"/>
      <c r="B424" s="306"/>
      <c r="C424" s="233"/>
      <c r="D424" s="233"/>
      <c r="F424" s="13"/>
      <c r="G424" s="13"/>
      <c r="I424" s="298"/>
      <c r="J424" s="21"/>
      <c r="K424" s="21"/>
      <c r="L424" s="13"/>
      <c r="M424" s="50"/>
      <c r="N424" s="97"/>
      <c r="O424" s="50"/>
      <c r="P424" s="97"/>
      <c r="Q424" s="316"/>
      <c r="R424" s="383"/>
      <c r="S424" s="21"/>
      <c r="T424" s="13"/>
      <c r="U424" s="381"/>
      <c r="V424" s="370"/>
      <c r="W424" s="375"/>
      <c r="X424" s="374"/>
      <c r="Y424" s="370"/>
      <c r="Z424" s="376"/>
      <c r="AA424" s="371"/>
      <c r="AB424" s="744"/>
      <c r="AC424" s="270"/>
      <c r="AD424" s="372"/>
      <c r="AE424" s="270"/>
      <c r="AF424" s="270"/>
      <c r="AG424" s="270"/>
      <c r="AH424" s="272"/>
      <c r="AI424" s="1"/>
      <c r="AJ424" s="21"/>
      <c r="AK424" s="21"/>
      <c r="AL424" s="21"/>
      <c r="AM424" s="21"/>
      <c r="AN424" s="21"/>
      <c r="AO424" s="21"/>
    </row>
    <row r="425" spans="1:41" s="53" customFormat="1" x14ac:dyDescent="0.2">
      <c r="A425" s="48"/>
      <c r="B425" s="306"/>
      <c r="C425" s="233"/>
      <c r="D425" s="233"/>
      <c r="F425" s="13"/>
      <c r="G425" s="13"/>
      <c r="I425" s="298"/>
      <c r="J425" s="21"/>
      <c r="K425" s="21"/>
      <c r="L425" s="13"/>
      <c r="M425" s="50"/>
      <c r="N425" s="97"/>
      <c r="O425" s="50"/>
      <c r="P425" s="97"/>
      <c r="Q425" s="316"/>
      <c r="R425" s="383"/>
      <c r="S425" s="21"/>
      <c r="T425" s="13"/>
      <c r="U425" s="381"/>
      <c r="V425" s="370"/>
      <c r="W425" s="375"/>
      <c r="X425" s="374"/>
      <c r="Y425" s="370"/>
      <c r="Z425" s="376"/>
      <c r="AA425" s="371"/>
      <c r="AB425" s="744"/>
      <c r="AC425" s="270"/>
      <c r="AD425" s="372"/>
      <c r="AE425" s="270"/>
      <c r="AF425" s="270"/>
      <c r="AG425" s="270"/>
      <c r="AH425" s="272"/>
      <c r="AI425" s="1"/>
      <c r="AJ425" s="21"/>
      <c r="AK425" s="21"/>
      <c r="AL425" s="21"/>
      <c r="AM425" s="21"/>
      <c r="AN425" s="21"/>
      <c r="AO425" s="21"/>
    </row>
    <row r="426" spans="1:41" s="53" customFormat="1" x14ac:dyDescent="0.2">
      <c r="A426" s="48"/>
      <c r="B426" s="306"/>
      <c r="C426" s="233"/>
      <c r="D426" s="233"/>
      <c r="F426" s="13"/>
      <c r="G426" s="13"/>
      <c r="I426" s="298"/>
      <c r="J426" s="21"/>
      <c r="K426" s="21"/>
      <c r="L426" s="13"/>
      <c r="M426" s="50"/>
      <c r="N426" s="97"/>
      <c r="O426" s="50"/>
      <c r="P426" s="97"/>
      <c r="Q426" s="316"/>
      <c r="R426" s="383"/>
      <c r="S426" s="21"/>
      <c r="T426" s="13"/>
      <c r="U426" s="381"/>
      <c r="V426" s="370"/>
      <c r="W426" s="375"/>
      <c r="X426" s="374"/>
      <c r="Y426" s="370"/>
      <c r="Z426" s="376"/>
      <c r="AA426" s="371"/>
      <c r="AB426" s="744"/>
      <c r="AC426" s="270"/>
      <c r="AD426" s="372"/>
      <c r="AE426" s="270"/>
      <c r="AF426" s="270"/>
      <c r="AG426" s="270"/>
      <c r="AH426" s="272"/>
      <c r="AI426" s="1"/>
      <c r="AJ426" s="21"/>
      <c r="AK426" s="21"/>
      <c r="AL426" s="21"/>
      <c r="AM426" s="21"/>
      <c r="AN426" s="21"/>
      <c r="AO426" s="21"/>
    </row>
    <row r="427" spans="1:41" s="53" customFormat="1" x14ac:dyDescent="0.2">
      <c r="A427" s="48"/>
      <c r="B427" s="306"/>
      <c r="C427" s="233"/>
      <c r="D427" s="233"/>
      <c r="F427" s="13"/>
      <c r="G427" s="13"/>
      <c r="I427" s="298"/>
      <c r="J427" s="21"/>
      <c r="K427" s="21"/>
      <c r="L427" s="13"/>
      <c r="M427" s="50"/>
      <c r="N427" s="97"/>
      <c r="O427" s="50"/>
      <c r="P427" s="97"/>
      <c r="Q427" s="316"/>
      <c r="R427" s="383"/>
      <c r="S427" s="21"/>
      <c r="T427" s="13"/>
      <c r="U427" s="381"/>
      <c r="V427" s="370"/>
      <c r="W427" s="375"/>
      <c r="X427" s="374"/>
      <c r="Y427" s="370"/>
      <c r="Z427" s="376"/>
      <c r="AA427" s="371"/>
      <c r="AB427" s="744"/>
      <c r="AC427" s="270"/>
      <c r="AD427" s="372"/>
      <c r="AE427" s="270"/>
      <c r="AF427" s="270"/>
      <c r="AG427" s="270"/>
      <c r="AH427" s="272"/>
      <c r="AI427" s="1"/>
      <c r="AJ427" s="21"/>
      <c r="AK427" s="21"/>
      <c r="AL427" s="21"/>
      <c r="AM427" s="21"/>
      <c r="AN427" s="21"/>
      <c r="AO427" s="21"/>
    </row>
    <row r="428" spans="1:41" s="53" customFormat="1" x14ac:dyDescent="0.2">
      <c r="A428" s="48"/>
      <c r="B428" s="306"/>
      <c r="C428" s="233"/>
      <c r="D428" s="233"/>
      <c r="F428" s="13"/>
      <c r="G428" s="13"/>
      <c r="I428" s="298"/>
      <c r="J428" s="21"/>
      <c r="K428" s="21"/>
      <c r="L428" s="13"/>
      <c r="M428" s="50"/>
      <c r="N428" s="97"/>
      <c r="O428" s="50"/>
      <c r="P428" s="97"/>
      <c r="Q428" s="316"/>
      <c r="R428" s="383"/>
      <c r="S428" s="21"/>
      <c r="T428" s="13"/>
      <c r="U428" s="381"/>
      <c r="V428" s="370"/>
      <c r="W428" s="375"/>
      <c r="X428" s="374"/>
      <c r="Y428" s="370"/>
      <c r="Z428" s="376"/>
      <c r="AA428" s="371"/>
      <c r="AB428" s="744"/>
      <c r="AC428" s="270"/>
      <c r="AD428" s="372"/>
      <c r="AE428" s="270"/>
      <c r="AF428" s="270"/>
      <c r="AG428" s="270"/>
      <c r="AH428" s="272"/>
      <c r="AI428" s="1"/>
      <c r="AJ428" s="21"/>
      <c r="AK428" s="21"/>
      <c r="AL428" s="21"/>
      <c r="AM428" s="21"/>
      <c r="AN428" s="21"/>
      <c r="AO428" s="21"/>
    </row>
    <row r="429" spans="1:41" s="53" customFormat="1" x14ac:dyDescent="0.2">
      <c r="A429" s="48"/>
      <c r="B429" s="306"/>
      <c r="C429" s="233"/>
      <c r="D429" s="233"/>
      <c r="F429" s="13"/>
      <c r="G429" s="13"/>
      <c r="I429" s="298"/>
      <c r="J429" s="21"/>
      <c r="K429" s="21"/>
      <c r="L429" s="13"/>
      <c r="M429" s="50"/>
      <c r="N429" s="97"/>
      <c r="O429" s="50"/>
      <c r="P429" s="97"/>
      <c r="Q429" s="316"/>
      <c r="R429" s="383"/>
      <c r="S429" s="21"/>
      <c r="T429" s="13"/>
      <c r="U429" s="381"/>
      <c r="V429" s="370"/>
      <c r="W429" s="375"/>
      <c r="X429" s="374"/>
      <c r="Y429" s="370"/>
      <c r="Z429" s="376"/>
      <c r="AA429" s="371"/>
      <c r="AB429" s="744"/>
      <c r="AC429" s="270"/>
      <c r="AD429" s="372"/>
      <c r="AE429" s="270"/>
      <c r="AF429" s="270"/>
      <c r="AG429" s="270"/>
      <c r="AH429" s="272"/>
      <c r="AI429" s="1"/>
      <c r="AJ429" s="21"/>
      <c r="AK429" s="21"/>
      <c r="AL429" s="21"/>
      <c r="AM429" s="21"/>
      <c r="AN429" s="21"/>
      <c r="AO429" s="21"/>
    </row>
    <row r="430" spans="1:41" s="53" customFormat="1" x14ac:dyDescent="0.2">
      <c r="A430" s="48"/>
      <c r="B430" s="306"/>
      <c r="C430" s="233"/>
      <c r="D430" s="233"/>
      <c r="F430" s="13"/>
      <c r="G430" s="13"/>
      <c r="I430" s="298"/>
      <c r="J430" s="21"/>
      <c r="K430" s="21"/>
      <c r="L430" s="13"/>
      <c r="M430" s="50"/>
      <c r="N430" s="97"/>
      <c r="O430" s="50"/>
      <c r="P430" s="97"/>
      <c r="Q430" s="316"/>
      <c r="R430" s="383"/>
      <c r="S430" s="21"/>
      <c r="T430" s="13"/>
      <c r="U430" s="381"/>
      <c r="V430" s="370"/>
      <c r="W430" s="375"/>
      <c r="X430" s="374"/>
      <c r="Y430" s="370"/>
      <c r="Z430" s="376"/>
      <c r="AA430" s="371"/>
      <c r="AB430" s="744"/>
      <c r="AC430" s="270"/>
      <c r="AD430" s="372"/>
      <c r="AE430" s="270"/>
      <c r="AF430" s="270"/>
      <c r="AG430" s="270"/>
      <c r="AH430" s="272"/>
      <c r="AI430" s="1"/>
      <c r="AJ430" s="21"/>
      <c r="AK430" s="21"/>
      <c r="AL430" s="21"/>
      <c r="AM430" s="21"/>
      <c r="AN430" s="21"/>
      <c r="AO430" s="21"/>
    </row>
    <row r="431" spans="1:41" s="53" customFormat="1" x14ac:dyDescent="0.2">
      <c r="A431" s="48"/>
      <c r="B431" s="306"/>
      <c r="C431" s="233"/>
      <c r="D431" s="233"/>
      <c r="F431" s="13"/>
      <c r="G431" s="13"/>
      <c r="I431" s="298"/>
      <c r="J431" s="21"/>
      <c r="K431" s="21"/>
      <c r="L431" s="13"/>
      <c r="M431" s="50"/>
      <c r="N431" s="97"/>
      <c r="O431" s="50"/>
      <c r="P431" s="97"/>
      <c r="Q431" s="316"/>
      <c r="R431" s="383"/>
      <c r="S431" s="21"/>
      <c r="T431" s="13"/>
      <c r="U431" s="381"/>
      <c r="V431" s="370"/>
      <c r="W431" s="375"/>
      <c r="X431" s="374"/>
      <c r="Y431" s="370"/>
      <c r="Z431" s="376"/>
      <c r="AA431" s="371"/>
      <c r="AB431" s="744"/>
      <c r="AC431" s="270"/>
      <c r="AD431" s="372"/>
      <c r="AE431" s="270"/>
      <c r="AF431" s="270"/>
      <c r="AG431" s="270"/>
      <c r="AH431" s="272"/>
      <c r="AI431" s="1"/>
      <c r="AJ431" s="21"/>
      <c r="AK431" s="21"/>
      <c r="AL431" s="21"/>
      <c r="AM431" s="21"/>
      <c r="AN431" s="21"/>
      <c r="AO431" s="21"/>
    </row>
    <row r="432" spans="1:41" s="53" customFormat="1" x14ac:dyDescent="0.2">
      <c r="A432" s="48"/>
      <c r="B432" s="306"/>
      <c r="C432" s="233"/>
      <c r="D432" s="233"/>
      <c r="F432" s="13"/>
      <c r="G432" s="13"/>
      <c r="I432" s="298"/>
      <c r="J432" s="21"/>
      <c r="K432" s="21"/>
      <c r="L432" s="13"/>
      <c r="M432" s="50"/>
      <c r="N432" s="97"/>
      <c r="O432" s="50"/>
      <c r="P432" s="97"/>
      <c r="Q432" s="316"/>
      <c r="R432" s="383"/>
      <c r="S432" s="21"/>
      <c r="T432" s="13"/>
      <c r="U432" s="381"/>
      <c r="V432" s="370"/>
      <c r="W432" s="375"/>
      <c r="X432" s="374"/>
      <c r="Y432" s="370"/>
      <c r="Z432" s="376"/>
      <c r="AA432" s="371"/>
      <c r="AB432" s="744"/>
      <c r="AC432" s="270"/>
      <c r="AD432" s="372"/>
      <c r="AE432" s="270"/>
      <c r="AF432" s="270"/>
      <c r="AG432" s="270"/>
      <c r="AH432" s="272"/>
      <c r="AI432" s="1"/>
      <c r="AJ432" s="21"/>
      <c r="AK432" s="21"/>
      <c r="AL432" s="21"/>
      <c r="AM432" s="21"/>
      <c r="AN432" s="21"/>
      <c r="AO432" s="21"/>
    </row>
    <row r="433" spans="1:42" s="53" customFormat="1" x14ac:dyDescent="0.2">
      <c r="A433" s="48"/>
      <c r="B433" s="306"/>
      <c r="C433" s="233"/>
      <c r="D433" s="233"/>
      <c r="F433" s="13"/>
      <c r="G433" s="13"/>
      <c r="I433" s="298"/>
      <c r="J433" s="21"/>
      <c r="K433" s="21"/>
      <c r="L433" s="13"/>
      <c r="M433" s="50"/>
      <c r="N433" s="97"/>
      <c r="O433" s="50"/>
      <c r="P433" s="97"/>
      <c r="Q433" s="316"/>
      <c r="R433" s="383"/>
      <c r="S433" s="21"/>
      <c r="T433" s="13"/>
      <c r="U433" s="381"/>
      <c r="V433" s="370"/>
      <c r="W433" s="375"/>
      <c r="X433" s="374"/>
      <c r="Y433" s="370"/>
      <c r="Z433" s="376"/>
      <c r="AA433" s="371"/>
      <c r="AB433" s="744"/>
      <c r="AC433" s="270"/>
      <c r="AD433" s="372"/>
      <c r="AE433" s="270"/>
      <c r="AF433" s="270"/>
      <c r="AG433" s="270"/>
      <c r="AH433" s="272"/>
      <c r="AI433" s="1"/>
      <c r="AJ433" s="21"/>
      <c r="AK433" s="21"/>
      <c r="AL433" s="21"/>
      <c r="AM433" s="21"/>
      <c r="AN433" s="21"/>
      <c r="AO433" s="21"/>
    </row>
    <row r="434" spans="1:42" s="53" customFormat="1" x14ac:dyDescent="0.2">
      <c r="A434" s="48"/>
      <c r="B434" s="306"/>
      <c r="C434" s="233"/>
      <c r="D434" s="233"/>
      <c r="F434" s="13"/>
      <c r="G434" s="13"/>
      <c r="I434" s="298"/>
      <c r="J434" s="21"/>
      <c r="K434" s="21"/>
      <c r="L434" s="13"/>
      <c r="M434" s="50"/>
      <c r="N434" s="97"/>
      <c r="O434" s="50"/>
      <c r="P434" s="97"/>
      <c r="Q434" s="316"/>
      <c r="R434" s="383"/>
      <c r="S434" s="21"/>
      <c r="T434" s="13"/>
      <c r="U434" s="381"/>
      <c r="V434" s="370"/>
      <c r="W434" s="375"/>
      <c r="X434" s="374"/>
      <c r="Y434" s="370"/>
      <c r="Z434" s="376"/>
      <c r="AA434" s="371"/>
      <c r="AB434" s="744"/>
      <c r="AC434" s="270"/>
      <c r="AD434" s="372"/>
      <c r="AE434" s="270"/>
      <c r="AF434" s="270"/>
      <c r="AG434" s="270"/>
      <c r="AH434" s="272"/>
      <c r="AI434" s="1"/>
      <c r="AJ434" s="21"/>
      <c r="AK434" s="21"/>
      <c r="AL434" s="21"/>
      <c r="AM434" s="21"/>
      <c r="AN434" s="21"/>
      <c r="AO434" s="21"/>
    </row>
    <row r="435" spans="1:42" s="53" customFormat="1" x14ac:dyDescent="0.2">
      <c r="A435" s="48"/>
      <c r="B435" s="306"/>
      <c r="C435" s="233"/>
      <c r="D435" s="233"/>
      <c r="F435" s="13"/>
      <c r="G435" s="13"/>
      <c r="I435" s="298"/>
      <c r="J435" s="21"/>
      <c r="K435" s="21"/>
      <c r="L435" s="13"/>
      <c r="M435" s="50"/>
      <c r="N435" s="97"/>
      <c r="O435" s="50"/>
      <c r="P435" s="97"/>
      <c r="Q435" s="316"/>
      <c r="R435" s="383"/>
      <c r="S435" s="21"/>
      <c r="T435" s="13"/>
      <c r="U435" s="381"/>
      <c r="V435" s="370"/>
      <c r="W435" s="375"/>
      <c r="X435" s="374"/>
      <c r="Y435" s="370"/>
      <c r="Z435" s="376"/>
      <c r="AA435" s="371"/>
      <c r="AB435" s="744"/>
      <c r="AC435" s="270"/>
      <c r="AD435" s="372"/>
      <c r="AE435" s="270"/>
      <c r="AF435" s="270"/>
      <c r="AG435" s="270"/>
      <c r="AH435" s="272"/>
      <c r="AI435" s="1"/>
      <c r="AJ435" s="21"/>
      <c r="AK435" s="21"/>
      <c r="AL435" s="21"/>
      <c r="AM435" s="21"/>
      <c r="AN435" s="21"/>
      <c r="AO435" s="21"/>
    </row>
    <row r="436" spans="1:42" s="53" customFormat="1" x14ac:dyDescent="0.2">
      <c r="A436" s="48"/>
      <c r="B436" s="306"/>
      <c r="C436" s="233"/>
      <c r="D436" s="233"/>
      <c r="F436" s="13"/>
      <c r="G436" s="13"/>
      <c r="I436" s="298"/>
      <c r="J436" s="21"/>
      <c r="K436" s="21"/>
      <c r="L436" s="13"/>
      <c r="M436" s="50"/>
      <c r="N436" s="97"/>
      <c r="O436" s="50"/>
      <c r="P436" s="97"/>
      <c r="Q436" s="316"/>
      <c r="R436" s="383"/>
      <c r="S436" s="21"/>
      <c r="T436" s="13"/>
      <c r="U436" s="381"/>
      <c r="V436" s="370"/>
      <c r="W436" s="375"/>
      <c r="X436" s="374"/>
      <c r="Y436" s="370"/>
      <c r="Z436" s="376"/>
      <c r="AA436" s="371"/>
      <c r="AB436" s="744"/>
      <c r="AC436" s="270"/>
      <c r="AD436" s="372"/>
      <c r="AE436" s="270"/>
      <c r="AF436" s="270"/>
      <c r="AG436" s="270"/>
      <c r="AH436" s="272"/>
      <c r="AI436" s="1"/>
      <c r="AJ436" s="21"/>
      <c r="AK436" s="21"/>
      <c r="AL436" s="21"/>
      <c r="AM436" s="21"/>
      <c r="AN436" s="21"/>
      <c r="AO436" s="21"/>
    </row>
    <row r="437" spans="1:42" s="53" customFormat="1" x14ac:dyDescent="0.2">
      <c r="A437" s="48"/>
      <c r="B437" s="306"/>
      <c r="C437" s="233"/>
      <c r="D437" s="233"/>
      <c r="F437" s="13"/>
      <c r="G437" s="13"/>
      <c r="I437" s="298"/>
      <c r="J437" s="21"/>
      <c r="K437" s="21"/>
      <c r="L437" s="13"/>
      <c r="M437" s="50"/>
      <c r="N437" s="97"/>
      <c r="O437" s="50"/>
      <c r="P437" s="97"/>
      <c r="Q437" s="316"/>
      <c r="R437" s="383"/>
      <c r="S437" s="21"/>
      <c r="T437" s="13"/>
      <c r="U437" s="381"/>
      <c r="V437" s="370"/>
      <c r="W437" s="375"/>
      <c r="X437" s="374"/>
      <c r="Y437" s="370"/>
      <c r="Z437" s="376"/>
      <c r="AA437" s="371"/>
      <c r="AB437" s="744"/>
      <c r="AC437" s="270"/>
      <c r="AD437" s="372"/>
      <c r="AE437" s="270"/>
      <c r="AF437" s="270"/>
      <c r="AG437" s="270"/>
      <c r="AH437" s="272"/>
      <c r="AI437" s="1"/>
      <c r="AJ437" s="21"/>
      <c r="AK437" s="21"/>
      <c r="AL437" s="21"/>
      <c r="AM437" s="21"/>
      <c r="AN437" s="21"/>
      <c r="AO437" s="21"/>
      <c r="AP437" s="21"/>
    </row>
    <row r="438" spans="1:42" s="53" customFormat="1" x14ac:dyDescent="0.2">
      <c r="A438" s="48"/>
      <c r="B438" s="306"/>
      <c r="C438" s="233"/>
      <c r="D438" s="233"/>
      <c r="F438" s="13"/>
      <c r="G438" s="13"/>
      <c r="I438" s="298"/>
      <c r="J438" s="21"/>
      <c r="K438" s="21"/>
      <c r="L438" s="13"/>
      <c r="M438" s="50"/>
      <c r="N438" s="97"/>
      <c r="O438" s="50"/>
      <c r="P438" s="97"/>
      <c r="Q438" s="316"/>
      <c r="R438" s="383"/>
      <c r="S438" s="21"/>
      <c r="T438" s="13"/>
      <c r="U438" s="381"/>
      <c r="V438" s="370"/>
      <c r="W438" s="375"/>
      <c r="X438" s="374"/>
      <c r="Y438" s="370"/>
      <c r="Z438" s="376"/>
      <c r="AA438" s="371"/>
      <c r="AB438" s="744"/>
      <c r="AC438" s="270"/>
      <c r="AD438" s="372"/>
      <c r="AE438" s="270"/>
      <c r="AF438" s="270"/>
      <c r="AG438" s="270"/>
      <c r="AH438" s="272"/>
      <c r="AI438" s="1"/>
      <c r="AJ438" s="21"/>
      <c r="AK438" s="21"/>
      <c r="AL438" s="21"/>
      <c r="AM438" s="21"/>
      <c r="AN438" s="21"/>
      <c r="AO438" s="21"/>
      <c r="AP438" s="21"/>
    </row>
    <row r="439" spans="1:42" s="53" customFormat="1" x14ac:dyDescent="0.2">
      <c r="A439" s="48"/>
      <c r="B439" s="306"/>
      <c r="C439" s="233"/>
      <c r="D439" s="233"/>
      <c r="F439" s="13"/>
      <c r="G439" s="13"/>
      <c r="I439" s="298"/>
      <c r="J439" s="21"/>
      <c r="K439" s="21"/>
      <c r="L439" s="13"/>
      <c r="M439" s="50"/>
      <c r="N439" s="97"/>
      <c r="O439" s="50"/>
      <c r="P439" s="97"/>
      <c r="Q439" s="316"/>
      <c r="R439" s="383"/>
      <c r="S439" s="21"/>
      <c r="T439" s="13"/>
      <c r="U439" s="381"/>
      <c r="V439" s="370"/>
      <c r="W439" s="375"/>
      <c r="X439" s="374"/>
      <c r="Y439" s="370"/>
      <c r="Z439" s="376"/>
      <c r="AA439" s="371"/>
      <c r="AB439" s="744"/>
      <c r="AC439" s="270"/>
      <c r="AD439" s="372"/>
      <c r="AE439" s="270"/>
      <c r="AF439" s="270"/>
      <c r="AG439" s="270"/>
      <c r="AH439" s="272"/>
      <c r="AI439" s="1"/>
      <c r="AJ439" s="21"/>
      <c r="AK439" s="21"/>
      <c r="AL439" s="21"/>
      <c r="AM439" s="21"/>
      <c r="AN439" s="21"/>
      <c r="AO439" s="21"/>
      <c r="AP439" s="21"/>
    </row>
    <row r="440" spans="1:42" s="53" customFormat="1" x14ac:dyDescent="0.2">
      <c r="A440" s="48"/>
      <c r="B440" s="306"/>
      <c r="C440" s="233"/>
      <c r="D440" s="233"/>
      <c r="F440" s="13"/>
      <c r="G440" s="13"/>
      <c r="I440" s="298"/>
      <c r="J440" s="21"/>
      <c r="K440" s="21"/>
      <c r="L440" s="13"/>
      <c r="M440" s="50"/>
      <c r="N440" s="97"/>
      <c r="O440" s="50"/>
      <c r="P440" s="97"/>
      <c r="Q440" s="316"/>
      <c r="R440" s="383"/>
      <c r="S440" s="21"/>
      <c r="T440" s="13"/>
      <c r="U440" s="381"/>
      <c r="V440" s="370"/>
      <c r="W440" s="375"/>
      <c r="X440" s="374"/>
      <c r="Y440" s="370"/>
      <c r="Z440" s="376"/>
      <c r="AA440" s="371"/>
      <c r="AB440" s="744"/>
      <c r="AC440" s="270"/>
      <c r="AD440" s="372"/>
      <c r="AE440" s="270"/>
      <c r="AF440" s="270"/>
      <c r="AG440" s="270"/>
      <c r="AH440" s="272"/>
      <c r="AI440" s="1"/>
      <c r="AJ440" s="21"/>
      <c r="AK440" s="21"/>
      <c r="AL440" s="21"/>
      <c r="AM440" s="21"/>
      <c r="AN440" s="21"/>
      <c r="AO440" s="21"/>
      <c r="AP440" s="21"/>
    </row>
    <row r="441" spans="1:42" s="53" customFormat="1" x14ac:dyDescent="0.2">
      <c r="A441" s="48"/>
      <c r="B441" s="306"/>
      <c r="C441" s="233"/>
      <c r="D441" s="233"/>
      <c r="F441" s="13"/>
      <c r="G441" s="13"/>
      <c r="I441" s="298"/>
      <c r="J441" s="21"/>
      <c r="K441" s="21"/>
      <c r="L441" s="13"/>
      <c r="M441" s="50"/>
      <c r="N441" s="97"/>
      <c r="O441" s="50"/>
      <c r="P441" s="97"/>
      <c r="Q441" s="316"/>
      <c r="R441" s="383"/>
      <c r="S441" s="21"/>
      <c r="T441" s="13"/>
      <c r="U441" s="381"/>
      <c r="V441" s="375"/>
      <c r="W441" s="374"/>
      <c r="X441" s="370"/>
      <c r="Y441" s="376"/>
      <c r="Z441" s="371"/>
      <c r="AA441" s="371"/>
      <c r="AB441" s="745"/>
      <c r="AC441" s="372"/>
      <c r="AD441" s="270"/>
      <c r="AE441" s="270"/>
      <c r="AF441" s="270"/>
      <c r="AG441" s="376"/>
      <c r="AH441" s="272"/>
      <c r="AI441" s="1"/>
      <c r="AJ441" s="21"/>
      <c r="AK441" s="21"/>
      <c r="AL441" s="21"/>
      <c r="AM441" s="21"/>
      <c r="AN441" s="21"/>
      <c r="AO441" s="21"/>
      <c r="AP441" s="21"/>
    </row>
    <row r="442" spans="1:42" s="53" customFormat="1" x14ac:dyDescent="0.2">
      <c r="A442" s="48"/>
      <c r="B442" s="306"/>
      <c r="C442" s="233"/>
      <c r="D442" s="233"/>
      <c r="F442" s="13"/>
      <c r="G442" s="13"/>
      <c r="I442" s="298"/>
      <c r="J442" s="21"/>
      <c r="K442" s="21"/>
      <c r="L442" s="13"/>
      <c r="M442" s="50"/>
      <c r="N442" s="97"/>
      <c r="O442" s="50"/>
      <c r="P442" s="97"/>
      <c r="Q442" s="316"/>
      <c r="R442" s="383"/>
      <c r="S442" s="21"/>
      <c r="T442" s="13"/>
      <c r="U442" s="381"/>
      <c r="V442" s="375"/>
      <c r="W442" s="374"/>
      <c r="X442" s="370"/>
      <c r="Y442" s="376"/>
      <c r="Z442" s="371"/>
      <c r="AA442" s="371"/>
      <c r="AB442" s="745"/>
      <c r="AC442" s="372"/>
      <c r="AD442" s="270"/>
      <c r="AE442" s="270"/>
      <c r="AF442" s="270"/>
      <c r="AG442" s="376"/>
      <c r="AH442" s="272"/>
      <c r="AI442" s="1"/>
      <c r="AJ442" s="21"/>
      <c r="AK442" s="21"/>
      <c r="AL442" s="21"/>
      <c r="AM442" s="21"/>
      <c r="AN442" s="21"/>
      <c r="AO442" s="21"/>
      <c r="AP442" s="21"/>
    </row>
    <row r="443" spans="1:42" s="53" customFormat="1" x14ac:dyDescent="0.2">
      <c r="A443" s="48"/>
      <c r="B443" s="306"/>
      <c r="C443" s="233"/>
      <c r="D443" s="233"/>
      <c r="F443" s="13"/>
      <c r="G443" s="13"/>
      <c r="I443" s="298"/>
      <c r="J443" s="21"/>
      <c r="K443" s="21"/>
      <c r="L443" s="13"/>
      <c r="M443" s="50"/>
      <c r="N443" s="97"/>
      <c r="O443" s="50"/>
      <c r="P443" s="97"/>
      <c r="Q443" s="316"/>
      <c r="R443" s="383"/>
      <c r="S443" s="21"/>
      <c r="T443" s="13"/>
      <c r="U443" s="381"/>
      <c r="V443" s="375"/>
      <c r="W443" s="374"/>
      <c r="X443" s="370"/>
      <c r="Y443" s="376"/>
      <c r="Z443" s="371"/>
      <c r="AA443" s="371"/>
      <c r="AB443" s="745"/>
      <c r="AC443" s="372"/>
      <c r="AD443" s="270"/>
      <c r="AE443" s="270"/>
      <c r="AF443" s="270"/>
      <c r="AG443" s="376"/>
      <c r="AH443" s="272"/>
      <c r="AI443" s="1"/>
      <c r="AJ443" s="21"/>
      <c r="AK443" s="21"/>
      <c r="AL443" s="21"/>
      <c r="AM443" s="21"/>
      <c r="AN443" s="21"/>
      <c r="AO443" s="21"/>
      <c r="AP443" s="21"/>
    </row>
    <row r="444" spans="1:42" s="53" customFormat="1" x14ac:dyDescent="0.2">
      <c r="A444" s="48"/>
      <c r="B444" s="306"/>
      <c r="C444" s="233"/>
      <c r="D444" s="233"/>
      <c r="F444" s="13"/>
      <c r="G444" s="13"/>
      <c r="I444" s="298"/>
      <c r="J444" s="21"/>
      <c r="K444" s="21"/>
      <c r="L444" s="13"/>
      <c r="M444" s="50"/>
      <c r="N444" s="97"/>
      <c r="O444" s="50"/>
      <c r="P444" s="97"/>
      <c r="Q444" s="316"/>
      <c r="R444" s="383"/>
      <c r="S444" s="21"/>
      <c r="T444" s="13"/>
      <c r="U444" s="381"/>
      <c r="V444" s="375"/>
      <c r="W444" s="374"/>
      <c r="X444" s="370"/>
      <c r="Y444" s="376"/>
      <c r="Z444" s="371"/>
      <c r="AA444" s="371"/>
      <c r="AB444" s="745"/>
      <c r="AC444" s="372"/>
      <c r="AD444" s="270"/>
      <c r="AE444" s="270"/>
      <c r="AF444" s="270"/>
      <c r="AG444" s="376"/>
      <c r="AH444" s="272"/>
      <c r="AI444" s="1"/>
      <c r="AJ444" s="21"/>
      <c r="AK444" s="21"/>
      <c r="AL444" s="21"/>
      <c r="AM444" s="21"/>
      <c r="AN444" s="21"/>
      <c r="AO444" s="21"/>
      <c r="AP444" s="21"/>
    </row>
    <row r="445" spans="1:42" s="53" customFormat="1" x14ac:dyDescent="0.2">
      <c r="A445" s="48"/>
      <c r="B445" s="306"/>
      <c r="C445" s="233"/>
      <c r="D445" s="233"/>
      <c r="F445" s="13"/>
      <c r="G445" s="13"/>
      <c r="I445" s="298"/>
      <c r="J445" s="21"/>
      <c r="K445" s="21"/>
      <c r="L445" s="13"/>
      <c r="M445" s="50"/>
      <c r="N445" s="97"/>
      <c r="O445" s="50"/>
      <c r="P445" s="97"/>
      <c r="Q445" s="316"/>
      <c r="R445" s="383"/>
      <c r="S445" s="21"/>
      <c r="T445" s="13"/>
      <c r="U445" s="381"/>
      <c r="V445" s="375"/>
      <c r="W445" s="374"/>
      <c r="X445" s="370"/>
      <c r="Y445" s="376"/>
      <c r="Z445" s="371"/>
      <c r="AA445" s="371"/>
      <c r="AB445" s="745"/>
      <c r="AC445" s="372"/>
      <c r="AD445" s="270"/>
      <c r="AE445" s="270"/>
      <c r="AF445" s="270"/>
      <c r="AG445" s="376"/>
      <c r="AH445" s="272"/>
      <c r="AI445" s="1"/>
      <c r="AJ445" s="21"/>
      <c r="AK445" s="21"/>
      <c r="AL445" s="21"/>
      <c r="AM445" s="21"/>
      <c r="AN445" s="21"/>
      <c r="AO445" s="21"/>
      <c r="AP445" s="21"/>
    </row>
    <row r="446" spans="1:42" s="53" customFormat="1" x14ac:dyDescent="0.2">
      <c r="A446" s="48"/>
      <c r="B446" s="306"/>
      <c r="C446" s="233"/>
      <c r="D446" s="233"/>
      <c r="F446" s="13"/>
      <c r="G446" s="13"/>
      <c r="I446" s="298"/>
      <c r="J446" s="21"/>
      <c r="K446" s="21"/>
      <c r="L446" s="13"/>
      <c r="M446" s="50"/>
      <c r="N446" s="97"/>
      <c r="O446" s="50"/>
      <c r="P446" s="97"/>
      <c r="Q446" s="316"/>
      <c r="R446" s="383"/>
      <c r="S446" s="21"/>
      <c r="T446" s="13"/>
      <c r="U446" s="381"/>
      <c r="V446" s="375"/>
      <c r="W446" s="374"/>
      <c r="X446" s="370"/>
      <c r="Y446" s="376"/>
      <c r="Z446" s="371"/>
      <c r="AA446" s="371"/>
      <c r="AB446" s="745"/>
      <c r="AC446" s="372"/>
      <c r="AD446" s="270"/>
      <c r="AE446" s="270"/>
      <c r="AF446" s="270"/>
      <c r="AG446" s="376"/>
      <c r="AH446" s="272"/>
      <c r="AI446" s="1"/>
      <c r="AJ446" s="21"/>
      <c r="AK446" s="21"/>
      <c r="AL446" s="21"/>
      <c r="AM446" s="21"/>
      <c r="AN446" s="21"/>
      <c r="AO446" s="21"/>
      <c r="AP446" s="21"/>
    </row>
    <row r="447" spans="1:42" s="53" customFormat="1" x14ac:dyDescent="0.2">
      <c r="A447" s="48"/>
      <c r="B447" s="306"/>
      <c r="C447" s="233"/>
      <c r="D447" s="233"/>
      <c r="F447" s="13"/>
      <c r="G447" s="13"/>
      <c r="I447" s="298"/>
      <c r="J447" s="21"/>
      <c r="K447" s="21"/>
      <c r="L447" s="13"/>
      <c r="M447" s="50"/>
      <c r="N447" s="97"/>
      <c r="O447" s="50"/>
      <c r="P447" s="97"/>
      <c r="Q447" s="362"/>
      <c r="R447" s="383"/>
      <c r="S447" s="21"/>
      <c r="T447" s="13"/>
      <c r="U447" s="381"/>
      <c r="V447" s="375"/>
      <c r="W447" s="374"/>
      <c r="X447" s="370"/>
      <c r="Y447" s="376"/>
      <c r="Z447" s="371"/>
      <c r="AA447" s="371"/>
      <c r="AB447" s="745"/>
      <c r="AC447" s="372"/>
      <c r="AD447" s="270"/>
      <c r="AE447" s="270"/>
      <c r="AF447" s="270"/>
      <c r="AG447" s="376"/>
      <c r="AH447" s="272"/>
      <c r="AI447" s="1"/>
      <c r="AJ447" s="21"/>
      <c r="AK447" s="21"/>
      <c r="AL447" s="21"/>
      <c r="AM447" s="21"/>
      <c r="AN447" s="21"/>
      <c r="AO447" s="21"/>
    </row>
    <row r="448" spans="1:42" s="53" customFormat="1" x14ac:dyDescent="0.2">
      <c r="A448" s="48"/>
      <c r="B448" s="306"/>
      <c r="C448" s="233"/>
      <c r="D448" s="233"/>
      <c r="F448" s="13"/>
      <c r="G448" s="13"/>
      <c r="I448" s="298"/>
      <c r="J448" s="21"/>
      <c r="K448" s="21"/>
      <c r="L448" s="13"/>
      <c r="M448" s="50"/>
      <c r="N448" s="97"/>
      <c r="O448" s="50"/>
      <c r="P448" s="97"/>
      <c r="R448" s="285"/>
      <c r="S448" s="21"/>
      <c r="T448" s="13"/>
      <c r="U448" s="381"/>
      <c r="V448" s="375"/>
      <c r="W448" s="374"/>
      <c r="X448" s="370"/>
      <c r="Y448" s="376"/>
      <c r="Z448" s="371"/>
      <c r="AA448" s="371"/>
      <c r="AB448" s="745"/>
      <c r="AC448" s="372"/>
      <c r="AD448" s="270"/>
      <c r="AE448" s="270"/>
      <c r="AF448" s="270"/>
      <c r="AG448" s="376"/>
      <c r="AH448" s="272"/>
      <c r="AI448" s="1"/>
      <c r="AJ448" s="21"/>
      <c r="AK448" s="21"/>
      <c r="AL448" s="21"/>
      <c r="AM448" s="21"/>
      <c r="AN448" s="21"/>
      <c r="AO448" s="21"/>
    </row>
    <row r="449" spans="1:41" s="53" customFormat="1" x14ac:dyDescent="0.2">
      <c r="A449" s="48"/>
      <c r="B449" s="306"/>
      <c r="C449" s="233"/>
      <c r="D449" s="233"/>
      <c r="F449" s="13"/>
      <c r="G449" s="13"/>
      <c r="I449" s="298"/>
      <c r="J449" s="21"/>
      <c r="K449" s="21"/>
      <c r="L449" s="13"/>
      <c r="M449" s="50"/>
      <c r="N449" s="97"/>
      <c r="O449" s="50"/>
      <c r="P449" s="97"/>
      <c r="R449" s="285"/>
      <c r="S449" s="21"/>
      <c r="T449" s="13"/>
      <c r="U449" s="381"/>
      <c r="V449" s="375"/>
      <c r="W449" s="374"/>
      <c r="X449" s="370"/>
      <c r="Y449" s="376"/>
      <c r="Z449" s="371"/>
      <c r="AA449" s="371"/>
      <c r="AB449" s="745"/>
      <c r="AC449" s="372"/>
      <c r="AD449" s="270"/>
      <c r="AE449" s="270"/>
      <c r="AF449" s="270"/>
      <c r="AG449" s="376"/>
      <c r="AH449" s="272"/>
      <c r="AI449" s="1"/>
      <c r="AJ449" s="21"/>
      <c r="AK449" s="21"/>
      <c r="AL449" s="21"/>
      <c r="AM449" s="21"/>
      <c r="AN449" s="21"/>
      <c r="AO449" s="21"/>
    </row>
    <row r="450" spans="1:41" s="53" customFormat="1" x14ac:dyDescent="0.2">
      <c r="A450" s="48"/>
      <c r="B450" s="306"/>
      <c r="C450" s="233"/>
      <c r="D450" s="233"/>
      <c r="F450" s="13"/>
      <c r="G450" s="13"/>
      <c r="I450" s="298"/>
      <c r="J450" s="21"/>
      <c r="K450" s="21"/>
      <c r="L450" s="13"/>
      <c r="M450" s="50"/>
      <c r="N450" s="97"/>
      <c r="O450" s="50"/>
      <c r="P450" s="97"/>
      <c r="R450" s="285"/>
      <c r="S450" s="21"/>
      <c r="T450" s="13"/>
      <c r="U450" s="381"/>
      <c r="V450" s="375"/>
      <c r="W450" s="374"/>
      <c r="X450" s="370"/>
      <c r="Y450" s="376"/>
      <c r="Z450" s="371"/>
      <c r="AA450" s="371"/>
      <c r="AB450" s="745"/>
      <c r="AC450" s="372"/>
      <c r="AD450" s="270"/>
      <c r="AE450" s="270"/>
      <c r="AF450" s="270"/>
      <c r="AG450" s="376"/>
      <c r="AH450" s="272"/>
      <c r="AI450" s="1"/>
      <c r="AJ450" s="21"/>
      <c r="AK450" s="21"/>
      <c r="AL450" s="21"/>
      <c r="AM450" s="21"/>
      <c r="AN450" s="21"/>
      <c r="AO450" s="21"/>
    </row>
    <row r="451" spans="1:41" s="53" customFormat="1" x14ac:dyDescent="0.2">
      <c r="A451" s="48"/>
      <c r="B451" s="306"/>
      <c r="C451" s="233"/>
      <c r="D451" s="233"/>
      <c r="F451" s="13"/>
      <c r="G451" s="13"/>
      <c r="I451" s="298"/>
      <c r="J451" s="21"/>
      <c r="K451" s="21"/>
      <c r="L451" s="13"/>
      <c r="M451" s="50"/>
      <c r="N451" s="97"/>
      <c r="O451" s="50"/>
      <c r="P451" s="97"/>
      <c r="R451" s="285"/>
      <c r="S451" s="21"/>
      <c r="T451" s="13"/>
      <c r="U451" s="381"/>
      <c r="V451" s="375"/>
      <c r="W451" s="374"/>
      <c r="X451" s="370"/>
      <c r="Y451" s="376"/>
      <c r="Z451" s="371"/>
      <c r="AA451" s="371"/>
      <c r="AB451" s="745"/>
      <c r="AC451" s="372"/>
      <c r="AD451" s="270"/>
      <c r="AE451" s="270"/>
      <c r="AF451" s="270"/>
      <c r="AG451" s="376"/>
      <c r="AH451" s="272"/>
      <c r="AI451" s="1"/>
      <c r="AJ451" s="21"/>
      <c r="AK451" s="21"/>
      <c r="AL451" s="21"/>
      <c r="AM451" s="21"/>
      <c r="AN451" s="21"/>
      <c r="AO451" s="21"/>
    </row>
    <row r="452" spans="1:41" s="53" customFormat="1" x14ac:dyDescent="0.2">
      <c r="A452" s="48"/>
      <c r="B452" s="306"/>
      <c r="C452" s="233"/>
      <c r="D452" s="233"/>
      <c r="F452" s="13"/>
      <c r="G452" s="13"/>
      <c r="I452" s="298"/>
      <c r="J452" s="21"/>
      <c r="K452" s="21"/>
      <c r="L452" s="13"/>
      <c r="M452" s="50"/>
      <c r="N452" s="97"/>
      <c r="O452" s="50"/>
      <c r="P452" s="97"/>
      <c r="R452" s="285"/>
      <c r="S452" s="21"/>
      <c r="T452" s="13"/>
      <c r="U452" s="381"/>
      <c r="V452" s="375"/>
      <c r="W452" s="374"/>
      <c r="X452" s="370"/>
      <c r="Y452" s="376"/>
      <c r="Z452" s="371"/>
      <c r="AA452" s="371"/>
      <c r="AB452" s="745"/>
      <c r="AC452" s="372"/>
      <c r="AD452" s="270"/>
      <c r="AE452" s="270"/>
      <c r="AF452" s="270"/>
      <c r="AG452" s="376"/>
      <c r="AH452" s="272"/>
      <c r="AI452" s="1"/>
      <c r="AJ452" s="21"/>
      <c r="AK452" s="21"/>
      <c r="AL452" s="21"/>
      <c r="AM452" s="21"/>
      <c r="AN452" s="21"/>
      <c r="AO452" s="21"/>
    </row>
    <row r="453" spans="1:41" s="53" customFormat="1" x14ac:dyDescent="0.2">
      <c r="A453" s="48"/>
      <c r="B453" s="306"/>
      <c r="C453" s="233"/>
      <c r="D453" s="233"/>
      <c r="F453" s="13"/>
      <c r="G453" s="13"/>
      <c r="I453" s="298"/>
      <c r="J453" s="21"/>
      <c r="K453" s="21"/>
      <c r="L453" s="13"/>
      <c r="M453" s="50"/>
      <c r="N453" s="97"/>
      <c r="O453" s="50"/>
      <c r="P453" s="97"/>
      <c r="R453" s="285"/>
      <c r="S453" s="21"/>
      <c r="T453" s="13"/>
      <c r="U453" s="381"/>
      <c r="V453" s="375"/>
      <c r="W453" s="374"/>
      <c r="X453" s="370"/>
      <c r="Y453" s="376"/>
      <c r="Z453" s="371"/>
      <c r="AA453" s="371"/>
      <c r="AB453" s="745"/>
      <c r="AC453" s="372"/>
      <c r="AD453" s="270"/>
      <c r="AE453" s="270"/>
      <c r="AF453" s="270"/>
      <c r="AG453" s="376"/>
      <c r="AH453" s="272"/>
      <c r="AI453" s="1"/>
      <c r="AJ453" s="21"/>
      <c r="AK453" s="21"/>
      <c r="AL453" s="21"/>
      <c r="AM453" s="21"/>
      <c r="AN453" s="21"/>
      <c r="AO453" s="21"/>
    </row>
    <row r="454" spans="1:41" s="53" customFormat="1" x14ac:dyDescent="0.2">
      <c r="A454" s="48"/>
      <c r="B454" s="306"/>
      <c r="C454" s="233"/>
      <c r="D454" s="233"/>
      <c r="F454" s="13"/>
      <c r="G454" s="13"/>
      <c r="I454" s="298"/>
      <c r="J454" s="21"/>
      <c r="K454" s="21"/>
      <c r="L454" s="13"/>
      <c r="M454" s="50"/>
      <c r="N454" s="97"/>
      <c r="O454" s="50"/>
      <c r="P454" s="97"/>
      <c r="R454" s="285"/>
      <c r="S454" s="21"/>
      <c r="T454" s="13"/>
      <c r="U454" s="381"/>
      <c r="V454" s="375"/>
      <c r="W454" s="374"/>
      <c r="X454" s="370"/>
      <c r="Y454" s="376"/>
      <c r="Z454" s="371"/>
      <c r="AA454" s="371"/>
      <c r="AB454" s="745"/>
      <c r="AC454" s="372"/>
      <c r="AD454" s="270"/>
      <c r="AE454" s="270"/>
      <c r="AF454" s="270"/>
      <c r="AG454" s="376"/>
      <c r="AH454" s="272"/>
      <c r="AI454" s="1"/>
      <c r="AJ454" s="21"/>
      <c r="AK454" s="21"/>
      <c r="AL454" s="21"/>
      <c r="AM454" s="21"/>
      <c r="AN454" s="21"/>
      <c r="AO454" s="21"/>
    </row>
    <row r="455" spans="1:41" s="53" customFormat="1" x14ac:dyDescent="0.2">
      <c r="A455" s="48"/>
      <c r="B455" s="306"/>
      <c r="C455" s="233"/>
      <c r="D455" s="233"/>
      <c r="F455" s="13"/>
      <c r="G455" s="13"/>
      <c r="I455" s="298"/>
      <c r="J455" s="21"/>
      <c r="K455" s="21"/>
      <c r="L455" s="13"/>
      <c r="M455" s="50"/>
      <c r="N455" s="97"/>
      <c r="O455" s="50"/>
      <c r="P455" s="50"/>
      <c r="Q455" s="316"/>
      <c r="R455" s="285"/>
      <c r="S455" s="21"/>
      <c r="T455" s="13"/>
      <c r="U455" s="381"/>
      <c r="V455" s="375"/>
      <c r="W455" s="374"/>
      <c r="X455" s="370"/>
      <c r="Y455" s="376"/>
      <c r="Z455" s="371"/>
      <c r="AA455" s="371"/>
      <c r="AB455" s="745"/>
      <c r="AC455" s="372"/>
      <c r="AD455" s="270"/>
      <c r="AE455" s="270"/>
      <c r="AF455" s="270"/>
      <c r="AG455" s="376"/>
      <c r="AH455" s="272"/>
      <c r="AI455" s="1"/>
      <c r="AJ455" s="21"/>
      <c r="AK455" s="21"/>
      <c r="AL455" s="21"/>
      <c r="AM455" s="21"/>
      <c r="AN455" s="21"/>
      <c r="AO455" s="21"/>
    </row>
    <row r="456" spans="1:41" s="53" customFormat="1" x14ac:dyDescent="0.2">
      <c r="A456" s="48"/>
      <c r="B456" s="306"/>
      <c r="C456" s="233"/>
      <c r="D456" s="233"/>
      <c r="F456" s="13"/>
      <c r="G456" s="13"/>
      <c r="I456" s="298"/>
      <c r="J456" s="21"/>
      <c r="K456" s="21"/>
      <c r="L456" s="13"/>
      <c r="M456" s="50"/>
      <c r="N456" s="97"/>
      <c r="O456" s="50"/>
      <c r="P456" s="50"/>
      <c r="Q456" s="316"/>
      <c r="R456" s="285"/>
      <c r="S456" s="21"/>
      <c r="T456" s="13"/>
      <c r="U456" s="381"/>
      <c r="V456" s="375"/>
      <c r="W456" s="374"/>
      <c r="X456" s="370"/>
      <c r="Y456" s="376"/>
      <c r="Z456" s="371"/>
      <c r="AA456" s="371"/>
      <c r="AB456" s="745"/>
      <c r="AC456" s="372"/>
      <c r="AD456" s="270"/>
      <c r="AE456" s="270"/>
      <c r="AF456" s="270"/>
      <c r="AG456" s="376"/>
      <c r="AH456" s="272"/>
      <c r="AI456" s="1"/>
      <c r="AJ456" s="21"/>
      <c r="AK456" s="21"/>
      <c r="AL456" s="21"/>
      <c r="AM456" s="21"/>
      <c r="AN456" s="21"/>
      <c r="AO456" s="21"/>
    </row>
    <row r="457" spans="1:41" s="53" customFormat="1" x14ac:dyDescent="0.2">
      <c r="A457" s="48"/>
      <c r="B457" s="306"/>
      <c r="C457" s="233"/>
      <c r="D457" s="233"/>
      <c r="F457" s="13"/>
      <c r="G457" s="13"/>
      <c r="I457" s="298"/>
      <c r="J457" s="21"/>
      <c r="K457" s="21"/>
      <c r="L457" s="13"/>
      <c r="M457" s="50"/>
      <c r="N457" s="97"/>
      <c r="O457" s="50"/>
      <c r="P457" s="50"/>
      <c r="Q457" s="316"/>
      <c r="R457" s="285"/>
      <c r="S457" s="21"/>
      <c r="T457" s="13"/>
      <c r="U457" s="381"/>
      <c r="V457" s="375"/>
      <c r="W457" s="374"/>
      <c r="X457" s="370"/>
      <c r="Y457" s="376"/>
      <c r="Z457" s="371"/>
      <c r="AA457" s="371"/>
      <c r="AB457" s="745"/>
      <c r="AC457" s="372"/>
      <c r="AD457" s="270"/>
      <c r="AE457" s="270"/>
      <c r="AF457" s="270"/>
      <c r="AG457" s="376"/>
      <c r="AH457" s="272"/>
      <c r="AI457" s="1"/>
      <c r="AJ457" s="21"/>
      <c r="AK457" s="21"/>
      <c r="AL457" s="21"/>
      <c r="AM457" s="21"/>
      <c r="AN457" s="21"/>
      <c r="AO457" s="21"/>
    </row>
    <row r="458" spans="1:41" s="53" customFormat="1" x14ac:dyDescent="0.2">
      <c r="A458" s="48"/>
      <c r="B458" s="306"/>
      <c r="C458" s="233"/>
      <c r="D458" s="233"/>
      <c r="F458" s="13"/>
      <c r="G458" s="13"/>
      <c r="I458" s="298"/>
      <c r="J458" s="21"/>
      <c r="K458" s="21"/>
      <c r="L458" s="13"/>
      <c r="M458" s="50"/>
      <c r="N458" s="97"/>
      <c r="O458" s="50"/>
      <c r="P458" s="50"/>
      <c r="Q458" s="316"/>
      <c r="R458" s="285"/>
      <c r="S458" s="21"/>
      <c r="T458" s="13"/>
      <c r="U458" s="381"/>
      <c r="V458" s="375"/>
      <c r="W458" s="374"/>
      <c r="X458" s="370"/>
      <c r="Y458" s="376"/>
      <c r="Z458" s="371"/>
      <c r="AA458" s="371"/>
      <c r="AB458" s="745"/>
      <c r="AC458" s="372"/>
      <c r="AD458" s="270"/>
      <c r="AE458" s="270"/>
      <c r="AF458" s="270"/>
      <c r="AG458" s="376"/>
      <c r="AH458" s="272"/>
      <c r="AI458" s="1"/>
      <c r="AJ458" s="21"/>
      <c r="AK458" s="21"/>
      <c r="AL458" s="21"/>
      <c r="AM458" s="21"/>
      <c r="AN458" s="21"/>
      <c r="AO458" s="21"/>
    </row>
    <row r="459" spans="1:41" s="53" customFormat="1" x14ac:dyDescent="0.2">
      <c r="A459" s="48"/>
      <c r="B459" s="306"/>
      <c r="C459" s="233"/>
      <c r="D459" s="233"/>
      <c r="F459" s="13"/>
      <c r="G459" s="13"/>
      <c r="I459" s="298"/>
      <c r="J459" s="21"/>
      <c r="K459" s="21"/>
      <c r="L459" s="13"/>
      <c r="M459" s="50"/>
      <c r="N459" s="97"/>
      <c r="O459" s="50"/>
      <c r="P459" s="50"/>
      <c r="Q459" s="316"/>
      <c r="R459" s="285"/>
      <c r="S459" s="21"/>
      <c r="T459" s="13"/>
      <c r="U459" s="381"/>
      <c r="V459" s="375"/>
      <c r="W459" s="374"/>
      <c r="X459" s="370"/>
      <c r="Y459" s="376"/>
      <c r="Z459" s="371"/>
      <c r="AA459" s="371"/>
      <c r="AB459" s="745"/>
      <c r="AC459" s="372"/>
      <c r="AD459" s="270"/>
      <c r="AE459" s="270"/>
      <c r="AF459" s="270"/>
      <c r="AG459" s="376"/>
      <c r="AH459" s="272"/>
      <c r="AI459" s="1"/>
      <c r="AJ459" s="21"/>
      <c r="AK459" s="21"/>
      <c r="AL459" s="21"/>
      <c r="AM459" s="21"/>
      <c r="AN459" s="21"/>
      <c r="AO459" s="21"/>
    </row>
    <row r="460" spans="1:41" s="53" customFormat="1" x14ac:dyDescent="0.2">
      <c r="A460" s="48"/>
      <c r="B460" s="306"/>
      <c r="C460" s="233"/>
      <c r="D460" s="233"/>
      <c r="F460" s="13"/>
      <c r="G460" s="13"/>
      <c r="I460" s="298"/>
      <c r="J460" s="21"/>
      <c r="K460" s="21"/>
      <c r="L460" s="13"/>
      <c r="M460" s="50"/>
      <c r="N460" s="97"/>
      <c r="O460" s="50"/>
      <c r="P460" s="50"/>
      <c r="Q460" s="316"/>
      <c r="R460" s="285"/>
      <c r="S460" s="21"/>
      <c r="T460" s="13"/>
      <c r="U460" s="370"/>
      <c r="V460" s="375"/>
      <c r="W460" s="374"/>
      <c r="X460" s="370"/>
      <c r="Y460" s="376"/>
      <c r="Z460" s="371"/>
      <c r="AA460" s="371"/>
      <c r="AB460" s="745"/>
      <c r="AC460" s="372"/>
      <c r="AD460" s="270"/>
      <c r="AE460" s="270"/>
      <c r="AF460" s="270"/>
      <c r="AG460" s="376"/>
      <c r="AH460" s="272"/>
      <c r="AI460" s="1"/>
      <c r="AJ460" s="21"/>
      <c r="AK460" s="21"/>
      <c r="AL460" s="21"/>
      <c r="AM460" s="21"/>
      <c r="AN460" s="21"/>
      <c r="AO460" s="21"/>
    </row>
    <row r="461" spans="1:41" s="53" customFormat="1" x14ac:dyDescent="0.2">
      <c r="A461" s="48"/>
      <c r="B461" s="306"/>
      <c r="C461" s="233"/>
      <c r="D461" s="233"/>
      <c r="F461" s="13"/>
      <c r="G461" s="13"/>
      <c r="I461" s="298"/>
      <c r="J461" s="21"/>
      <c r="K461" s="21"/>
      <c r="L461" s="13"/>
      <c r="M461" s="50"/>
      <c r="N461" s="97"/>
      <c r="O461" s="50"/>
      <c r="P461" s="50"/>
      <c r="Q461" s="316"/>
      <c r="R461" s="285"/>
      <c r="S461" s="21"/>
      <c r="T461" s="13"/>
      <c r="U461" s="370"/>
      <c r="V461" s="375"/>
      <c r="W461" s="374"/>
      <c r="X461" s="370"/>
      <c r="Y461" s="376"/>
      <c r="Z461" s="371"/>
      <c r="AA461" s="371"/>
      <c r="AB461" s="745"/>
      <c r="AC461" s="372"/>
      <c r="AD461" s="270"/>
      <c r="AE461" s="270"/>
      <c r="AF461" s="270"/>
      <c r="AG461" s="376"/>
      <c r="AH461" s="272"/>
      <c r="AI461" s="1"/>
      <c r="AJ461" s="21"/>
      <c r="AK461" s="21"/>
      <c r="AL461" s="21"/>
      <c r="AM461" s="21"/>
      <c r="AN461" s="21"/>
      <c r="AO461" s="21"/>
    </row>
    <row r="462" spans="1:41" s="53" customFormat="1" x14ac:dyDescent="0.2">
      <c r="A462" s="48"/>
      <c r="B462" s="306"/>
      <c r="C462" s="233"/>
      <c r="D462" s="233"/>
      <c r="F462" s="13"/>
      <c r="G462" s="13"/>
      <c r="I462" s="298"/>
      <c r="J462" s="21"/>
      <c r="K462" s="21"/>
      <c r="L462" s="13"/>
      <c r="M462" s="50"/>
      <c r="N462" s="97"/>
      <c r="O462" s="50"/>
      <c r="P462" s="50"/>
      <c r="Q462" s="316"/>
      <c r="R462" s="285"/>
      <c r="S462" s="21"/>
      <c r="T462" s="13"/>
      <c r="U462" s="370"/>
      <c r="V462" s="375"/>
      <c r="W462" s="374"/>
      <c r="X462" s="370"/>
      <c r="Y462" s="376"/>
      <c r="Z462" s="371"/>
      <c r="AA462" s="371"/>
      <c r="AB462" s="745"/>
      <c r="AC462" s="372"/>
      <c r="AD462" s="270"/>
      <c r="AE462" s="270"/>
      <c r="AF462" s="270"/>
      <c r="AG462" s="376"/>
      <c r="AH462" s="272"/>
      <c r="AI462" s="1"/>
      <c r="AJ462" s="21"/>
      <c r="AK462" s="21"/>
      <c r="AL462" s="21"/>
      <c r="AM462" s="21"/>
      <c r="AN462" s="21"/>
      <c r="AO462" s="21"/>
    </row>
    <row r="463" spans="1:41" s="53" customFormat="1" x14ac:dyDescent="0.2">
      <c r="A463" s="48"/>
      <c r="B463" s="306"/>
      <c r="C463" s="233"/>
      <c r="D463" s="233"/>
      <c r="F463" s="13"/>
      <c r="G463" s="13"/>
      <c r="I463" s="298"/>
      <c r="J463" s="21"/>
      <c r="K463" s="21"/>
      <c r="L463" s="13"/>
      <c r="M463" s="50"/>
      <c r="N463" s="97"/>
      <c r="O463" s="50"/>
      <c r="P463" s="50"/>
      <c r="Q463" s="316"/>
      <c r="R463" s="285"/>
      <c r="S463" s="21"/>
      <c r="T463" s="13"/>
      <c r="U463" s="370"/>
      <c r="V463" s="375"/>
      <c r="W463" s="374"/>
      <c r="X463" s="370"/>
      <c r="Y463" s="376"/>
      <c r="Z463" s="371"/>
      <c r="AA463" s="371"/>
      <c r="AB463" s="745"/>
      <c r="AC463" s="372"/>
      <c r="AD463" s="270"/>
      <c r="AE463" s="270"/>
      <c r="AF463" s="270"/>
      <c r="AG463" s="376"/>
      <c r="AH463" s="272"/>
      <c r="AI463" s="1"/>
      <c r="AJ463" s="21"/>
      <c r="AK463" s="21"/>
      <c r="AL463" s="21"/>
      <c r="AM463" s="21"/>
      <c r="AN463" s="21"/>
      <c r="AO463" s="21"/>
    </row>
    <row r="464" spans="1:41" s="53" customFormat="1" x14ac:dyDescent="0.2">
      <c r="A464" s="48"/>
      <c r="B464" s="306"/>
      <c r="C464" s="233"/>
      <c r="D464" s="233"/>
      <c r="F464" s="13"/>
      <c r="G464" s="13"/>
      <c r="I464" s="298"/>
      <c r="J464" s="21"/>
      <c r="K464" s="21"/>
      <c r="L464" s="13"/>
      <c r="M464" s="50"/>
      <c r="N464" s="97"/>
      <c r="O464" s="50"/>
      <c r="P464" s="50"/>
      <c r="Q464" s="316"/>
      <c r="R464" s="285"/>
      <c r="S464" s="21"/>
      <c r="T464" s="13"/>
      <c r="U464" s="370"/>
      <c r="V464" s="375"/>
      <c r="W464" s="374"/>
      <c r="X464" s="370"/>
      <c r="Y464" s="376"/>
      <c r="Z464" s="371"/>
      <c r="AA464" s="371"/>
      <c r="AB464" s="745"/>
      <c r="AC464" s="372"/>
      <c r="AD464" s="270"/>
      <c r="AE464" s="270"/>
      <c r="AF464" s="270"/>
      <c r="AG464" s="376"/>
      <c r="AH464" s="272"/>
      <c r="AI464" s="1"/>
      <c r="AJ464" s="21"/>
      <c r="AK464" s="21"/>
      <c r="AL464" s="21"/>
      <c r="AM464" s="21"/>
      <c r="AN464" s="21"/>
      <c r="AO464" s="21"/>
    </row>
    <row r="465" spans="1:44" s="53" customFormat="1" x14ac:dyDescent="0.2">
      <c r="A465" s="48"/>
      <c r="B465" s="306"/>
      <c r="C465" s="233"/>
      <c r="D465" s="233"/>
      <c r="F465" s="13"/>
      <c r="G465" s="13"/>
      <c r="I465" s="298"/>
      <c r="J465" s="21"/>
      <c r="K465" s="21"/>
      <c r="L465" s="13"/>
      <c r="M465" s="50"/>
      <c r="N465" s="97"/>
      <c r="O465" s="50"/>
      <c r="P465" s="50"/>
      <c r="Q465" s="316"/>
      <c r="R465" s="285"/>
      <c r="S465" s="21"/>
      <c r="T465" s="13"/>
      <c r="U465" s="370"/>
      <c r="V465" s="375"/>
      <c r="W465" s="374"/>
      <c r="X465" s="370"/>
      <c r="Y465" s="376"/>
      <c r="Z465" s="371"/>
      <c r="AA465" s="371"/>
      <c r="AB465" s="745"/>
      <c r="AC465" s="372"/>
      <c r="AD465" s="270"/>
      <c r="AE465" s="270"/>
      <c r="AF465" s="270"/>
      <c r="AG465" s="376"/>
      <c r="AH465" s="272"/>
      <c r="AI465" s="1"/>
      <c r="AJ465" s="21"/>
      <c r="AK465" s="21"/>
      <c r="AL465" s="21"/>
      <c r="AM465" s="21"/>
      <c r="AN465" s="21"/>
      <c r="AO465" s="21"/>
    </row>
    <row r="466" spans="1:44" s="53" customFormat="1" x14ac:dyDescent="0.2">
      <c r="A466" s="48"/>
      <c r="B466" s="306"/>
      <c r="C466" s="233"/>
      <c r="D466" s="233"/>
      <c r="F466" s="13"/>
      <c r="G466" s="13"/>
      <c r="I466" s="298"/>
      <c r="J466" s="21"/>
      <c r="K466" s="21"/>
      <c r="L466" s="13"/>
      <c r="M466" s="50"/>
      <c r="N466" s="97"/>
      <c r="O466" s="50"/>
      <c r="P466" s="50"/>
      <c r="Q466" s="316"/>
      <c r="R466" s="285"/>
      <c r="S466" s="21"/>
      <c r="T466" s="13"/>
      <c r="U466" s="422"/>
      <c r="V466" s="375"/>
      <c r="W466" s="374"/>
      <c r="X466" s="370"/>
      <c r="Y466" s="376"/>
      <c r="Z466" s="371"/>
      <c r="AA466" s="371"/>
      <c r="AB466" s="745"/>
      <c r="AC466" s="372"/>
      <c r="AD466" s="270"/>
      <c r="AE466" s="270"/>
      <c r="AF466" s="270"/>
      <c r="AG466" s="376"/>
      <c r="AH466" s="272"/>
      <c r="AI466" s="1"/>
      <c r="AJ466" s="21"/>
      <c r="AK466" s="21"/>
      <c r="AL466" s="21"/>
      <c r="AM466" s="21"/>
      <c r="AN466" s="21"/>
      <c r="AO466" s="21"/>
    </row>
    <row r="467" spans="1:44" s="53" customFormat="1" x14ac:dyDescent="0.2">
      <c r="A467" s="48"/>
      <c r="B467" s="306"/>
      <c r="C467" s="233"/>
      <c r="D467" s="233"/>
      <c r="F467" s="13"/>
      <c r="G467" s="13"/>
      <c r="I467" s="298"/>
      <c r="J467" s="21"/>
      <c r="K467" s="21"/>
      <c r="L467" s="13"/>
      <c r="M467" s="50"/>
      <c r="N467" s="97"/>
      <c r="O467" s="50"/>
      <c r="P467" s="50"/>
      <c r="Q467" s="316"/>
      <c r="R467" s="285"/>
      <c r="S467" s="21"/>
      <c r="T467" s="13"/>
      <c r="U467" s="422"/>
      <c r="V467" s="375"/>
      <c r="W467" s="374"/>
      <c r="X467" s="370"/>
      <c r="Y467" s="376"/>
      <c r="Z467" s="371"/>
      <c r="AA467" s="371"/>
      <c r="AB467" s="745"/>
      <c r="AC467" s="372"/>
      <c r="AD467" s="270"/>
      <c r="AE467" s="270"/>
      <c r="AF467" s="270"/>
      <c r="AG467" s="376"/>
      <c r="AH467" s="272"/>
      <c r="AI467" s="1"/>
      <c r="AJ467" s="21"/>
      <c r="AK467" s="21"/>
      <c r="AL467" s="21"/>
      <c r="AM467" s="21"/>
      <c r="AN467" s="21"/>
      <c r="AO467" s="21"/>
    </row>
    <row r="468" spans="1:44" s="53" customFormat="1" x14ac:dyDescent="0.2">
      <c r="A468" s="48"/>
      <c r="B468" s="306"/>
      <c r="C468" s="233"/>
      <c r="D468" s="233"/>
      <c r="F468" s="13"/>
      <c r="G468" s="13"/>
      <c r="I468" s="298"/>
      <c r="J468" s="21"/>
      <c r="K468" s="21"/>
      <c r="L468" s="13"/>
      <c r="M468" s="50"/>
      <c r="N468" s="97"/>
      <c r="O468" s="50"/>
      <c r="P468" s="50"/>
      <c r="Q468" s="316"/>
      <c r="R468" s="285"/>
      <c r="S468" s="21"/>
      <c r="T468" s="13"/>
      <c r="U468" s="422"/>
      <c r="V468" s="375"/>
      <c r="W468" s="374"/>
      <c r="X468" s="370"/>
      <c r="Y468" s="376"/>
      <c r="Z468" s="371"/>
      <c r="AA468" s="371"/>
      <c r="AB468" s="745"/>
      <c r="AC468" s="372"/>
      <c r="AD468" s="270"/>
      <c r="AE468" s="270"/>
      <c r="AF468" s="270"/>
      <c r="AG468" s="376"/>
      <c r="AH468" s="272"/>
      <c r="AI468" s="1"/>
      <c r="AJ468" s="21"/>
      <c r="AK468" s="21"/>
      <c r="AL468" s="21"/>
      <c r="AM468" s="21"/>
      <c r="AN468" s="21"/>
      <c r="AO468" s="21"/>
    </row>
    <row r="469" spans="1:44" s="53" customFormat="1" x14ac:dyDescent="0.2">
      <c r="A469" s="48"/>
      <c r="B469" s="306"/>
      <c r="C469" s="233"/>
      <c r="D469" s="233"/>
      <c r="F469" s="13"/>
      <c r="G469" s="13"/>
      <c r="I469" s="298"/>
      <c r="J469" s="21"/>
      <c r="K469" s="21"/>
      <c r="L469" s="13"/>
      <c r="M469" s="50"/>
      <c r="N469" s="97"/>
      <c r="O469" s="50"/>
      <c r="P469" s="50"/>
      <c r="Q469" s="316"/>
      <c r="R469" s="285"/>
      <c r="S469" s="21"/>
      <c r="T469" s="13"/>
      <c r="U469" s="422"/>
      <c r="V469" s="375"/>
      <c r="W469" s="374"/>
      <c r="X469" s="370"/>
      <c r="Y469" s="376"/>
      <c r="Z469" s="371"/>
      <c r="AA469" s="371"/>
      <c r="AB469" s="745"/>
      <c r="AC469" s="372"/>
      <c r="AD469" s="270"/>
      <c r="AE469" s="270"/>
      <c r="AF469" s="270"/>
      <c r="AG469" s="376"/>
      <c r="AH469" s="272"/>
      <c r="AI469" s="1"/>
      <c r="AJ469" s="21"/>
      <c r="AK469" s="21"/>
      <c r="AL469" s="21"/>
      <c r="AM469" s="21"/>
      <c r="AN469" s="21"/>
      <c r="AO469" s="21"/>
    </row>
    <row r="470" spans="1:44" s="53" customFormat="1" x14ac:dyDescent="0.2">
      <c r="A470" s="48"/>
      <c r="B470" s="306"/>
      <c r="C470" s="233"/>
      <c r="D470" s="233"/>
      <c r="F470" s="13"/>
      <c r="G470" s="13"/>
      <c r="I470" s="298"/>
      <c r="J470" s="21"/>
      <c r="K470" s="21"/>
      <c r="L470" s="13"/>
      <c r="M470" s="50"/>
      <c r="N470" s="97"/>
      <c r="O470" s="50"/>
      <c r="P470" s="50"/>
      <c r="Q470" s="316"/>
      <c r="R470" s="285"/>
      <c r="S470" s="21"/>
      <c r="T470" s="13"/>
      <c r="U470" s="422"/>
      <c r="V470" s="375"/>
      <c r="W470" s="374"/>
      <c r="X470" s="370"/>
      <c r="Y470" s="376"/>
      <c r="Z470" s="371"/>
      <c r="AA470" s="371"/>
      <c r="AB470" s="745"/>
      <c r="AC470" s="372"/>
      <c r="AD470" s="270"/>
      <c r="AE470" s="270"/>
      <c r="AF470" s="270"/>
      <c r="AG470" s="376"/>
      <c r="AH470" s="272"/>
      <c r="AI470" s="1"/>
      <c r="AJ470" s="21"/>
      <c r="AK470" s="21"/>
      <c r="AL470" s="21"/>
      <c r="AM470" s="21"/>
      <c r="AN470" s="21"/>
      <c r="AO470" s="21"/>
    </row>
    <row r="471" spans="1:44" s="53" customFormat="1" x14ac:dyDescent="0.2">
      <c r="A471" s="48"/>
      <c r="B471" s="306"/>
      <c r="C471" s="233"/>
      <c r="D471" s="233"/>
      <c r="F471" s="13"/>
      <c r="G471" s="13"/>
      <c r="I471" s="298"/>
      <c r="J471" s="21"/>
      <c r="K471" s="21"/>
      <c r="L471" s="13"/>
      <c r="M471" s="50"/>
      <c r="N471" s="97"/>
      <c r="O471" s="50"/>
      <c r="P471" s="50"/>
      <c r="Q471" s="316"/>
      <c r="R471" s="285"/>
      <c r="S471" s="21"/>
      <c r="T471" s="13"/>
      <c r="U471" s="422"/>
      <c r="V471" s="375"/>
      <c r="W471" s="374"/>
      <c r="X471" s="370"/>
      <c r="Y471" s="376"/>
      <c r="Z471" s="371"/>
      <c r="AA471" s="371"/>
      <c r="AB471" s="745"/>
      <c r="AC471" s="372"/>
      <c r="AD471" s="270"/>
      <c r="AE471" s="270"/>
      <c r="AF471" s="270"/>
      <c r="AG471" s="376"/>
      <c r="AH471" s="272"/>
      <c r="AI471" s="1"/>
      <c r="AJ471" s="21"/>
      <c r="AK471" s="21"/>
      <c r="AL471" s="21"/>
      <c r="AM471" s="21"/>
      <c r="AN471" s="21"/>
      <c r="AO471" s="21"/>
    </row>
    <row r="472" spans="1:44" s="53" customFormat="1" x14ac:dyDescent="0.2">
      <c r="A472" s="48"/>
      <c r="B472" s="306"/>
      <c r="C472" s="233"/>
      <c r="D472" s="233"/>
      <c r="F472" s="13"/>
      <c r="G472" s="13"/>
      <c r="I472" s="298"/>
      <c r="J472" s="21"/>
      <c r="K472" s="21"/>
      <c r="L472" s="13"/>
      <c r="M472" s="50"/>
      <c r="N472" s="97"/>
      <c r="O472" s="50"/>
      <c r="P472" s="50"/>
      <c r="Q472" s="316"/>
      <c r="R472" s="285"/>
      <c r="S472" s="21"/>
      <c r="T472" s="13"/>
      <c r="U472" s="422"/>
      <c r="V472" s="375"/>
      <c r="W472" s="374"/>
      <c r="X472" s="370"/>
      <c r="Y472" s="376"/>
      <c r="Z472" s="371"/>
      <c r="AA472" s="371"/>
      <c r="AB472" s="745"/>
      <c r="AC472" s="372"/>
      <c r="AD472" s="270"/>
      <c r="AE472" s="270"/>
      <c r="AF472" s="270"/>
      <c r="AG472" s="376"/>
      <c r="AH472" s="272"/>
      <c r="AI472" s="1"/>
      <c r="AJ472" s="21"/>
      <c r="AK472" s="21"/>
      <c r="AL472" s="21"/>
      <c r="AM472" s="21"/>
      <c r="AN472" s="21"/>
      <c r="AO472" s="21"/>
    </row>
    <row r="473" spans="1:44" s="53" customFormat="1" x14ac:dyDescent="0.2">
      <c r="A473" s="48"/>
      <c r="B473" s="306"/>
      <c r="C473" s="233"/>
      <c r="D473" s="233"/>
      <c r="F473" s="13"/>
      <c r="G473" s="13"/>
      <c r="I473" s="298"/>
      <c r="J473" s="21"/>
      <c r="K473" s="21"/>
      <c r="L473" s="13"/>
      <c r="M473" s="50"/>
      <c r="N473" s="97"/>
      <c r="O473" s="50"/>
      <c r="P473" s="50"/>
      <c r="Q473" s="316"/>
      <c r="R473" s="285"/>
      <c r="S473" s="21"/>
      <c r="T473" s="13"/>
      <c r="U473" s="422"/>
      <c r="V473" s="375"/>
      <c r="W473" s="374"/>
      <c r="X473" s="370"/>
      <c r="Y473" s="376"/>
      <c r="Z473" s="371"/>
      <c r="AA473" s="371"/>
      <c r="AB473" s="745"/>
      <c r="AC473" s="372"/>
      <c r="AD473" s="270"/>
      <c r="AE473" s="270"/>
      <c r="AF473" s="270"/>
      <c r="AG473" s="376"/>
      <c r="AH473" s="272"/>
      <c r="AI473" s="1"/>
      <c r="AJ473" s="21"/>
      <c r="AK473" s="21"/>
      <c r="AL473" s="21"/>
      <c r="AM473" s="21"/>
      <c r="AN473" s="21"/>
      <c r="AO473" s="21"/>
    </row>
    <row r="474" spans="1:44" s="53" customFormat="1" x14ac:dyDescent="0.2">
      <c r="A474" s="48"/>
      <c r="B474" s="306"/>
      <c r="C474" s="233"/>
      <c r="D474" s="233"/>
      <c r="F474" s="13"/>
      <c r="G474" s="13"/>
      <c r="I474" s="298"/>
      <c r="J474" s="21"/>
      <c r="K474" s="21"/>
      <c r="L474" s="13"/>
      <c r="M474" s="50"/>
      <c r="N474" s="97"/>
      <c r="O474" s="50"/>
      <c r="P474" s="50"/>
      <c r="Q474" s="316"/>
      <c r="R474" s="285"/>
      <c r="S474" s="21"/>
      <c r="T474" s="13"/>
      <c r="U474" s="422"/>
      <c r="V474" s="375"/>
      <c r="W474" s="374"/>
      <c r="X474" s="370"/>
      <c r="Y474" s="376"/>
      <c r="Z474" s="371"/>
      <c r="AA474" s="371"/>
      <c r="AB474" s="745"/>
      <c r="AC474" s="372"/>
      <c r="AD474" s="270"/>
      <c r="AE474" s="270"/>
      <c r="AF474" s="270"/>
      <c r="AG474" s="376"/>
      <c r="AH474" s="272"/>
      <c r="AI474" s="1"/>
      <c r="AJ474" s="21"/>
      <c r="AK474" s="21"/>
      <c r="AL474" s="21"/>
      <c r="AM474" s="21"/>
      <c r="AN474" s="21"/>
      <c r="AO474" s="21"/>
    </row>
    <row r="475" spans="1:44" s="53" customFormat="1" x14ac:dyDescent="0.2">
      <c r="A475" s="48"/>
      <c r="B475" s="306"/>
      <c r="C475" s="233"/>
      <c r="D475" s="233"/>
      <c r="F475" s="13"/>
      <c r="G475" s="13"/>
      <c r="I475" s="298"/>
      <c r="J475" s="21"/>
      <c r="K475" s="21"/>
      <c r="L475" s="13"/>
      <c r="M475" s="50"/>
      <c r="N475" s="97"/>
      <c r="O475" s="50"/>
      <c r="P475" s="50"/>
      <c r="Q475" s="316"/>
      <c r="R475" s="285"/>
      <c r="S475" s="21"/>
      <c r="T475" s="13"/>
      <c r="U475" s="422"/>
      <c r="V475" s="375"/>
      <c r="W475" s="374"/>
      <c r="X475" s="370"/>
      <c r="Y475" s="376"/>
      <c r="Z475" s="371"/>
      <c r="AA475" s="371"/>
      <c r="AB475" s="745"/>
      <c r="AC475" s="372"/>
      <c r="AD475" s="270"/>
      <c r="AE475" s="270"/>
      <c r="AF475" s="270"/>
      <c r="AG475" s="376"/>
      <c r="AH475" s="272"/>
      <c r="AI475" s="1"/>
      <c r="AJ475" s="21"/>
      <c r="AK475" s="21"/>
      <c r="AL475" s="21"/>
      <c r="AM475" s="21"/>
      <c r="AN475" s="21"/>
      <c r="AO475" s="21"/>
    </row>
    <row r="476" spans="1:44" s="53" customFormat="1" x14ac:dyDescent="0.2">
      <c r="A476" s="48"/>
      <c r="B476" s="306"/>
      <c r="C476" s="233"/>
      <c r="D476" s="233"/>
      <c r="F476" s="13"/>
      <c r="G476" s="13"/>
      <c r="I476" s="298"/>
      <c r="J476" s="21"/>
      <c r="K476" s="21"/>
      <c r="L476" s="13"/>
      <c r="M476" s="50"/>
      <c r="N476" s="97"/>
      <c r="O476" s="50"/>
      <c r="P476" s="50"/>
      <c r="Q476" s="316"/>
      <c r="R476" s="285"/>
      <c r="S476" s="21"/>
      <c r="T476" s="13"/>
      <c r="U476" s="13"/>
      <c r="V476" s="21"/>
      <c r="W476" s="21"/>
      <c r="X476" s="21"/>
      <c r="Y476" s="260"/>
      <c r="Z476" s="177"/>
      <c r="AA476" s="177"/>
      <c r="AB476" s="61"/>
      <c r="AC476" s="64"/>
      <c r="AD476" s="50"/>
      <c r="AE476" s="50"/>
      <c r="AF476" s="19"/>
      <c r="AG476" s="376"/>
      <c r="AH476" s="272"/>
      <c r="AI476" s="1"/>
      <c r="AJ476" s="21"/>
      <c r="AK476" s="21"/>
      <c r="AL476" s="21"/>
      <c r="AM476" s="21"/>
      <c r="AN476" s="21"/>
      <c r="AO476" s="21"/>
    </row>
    <row r="477" spans="1:44" s="53" customFormat="1" x14ac:dyDescent="0.2">
      <c r="A477" s="48"/>
      <c r="B477" s="306"/>
      <c r="C477" s="233"/>
      <c r="D477" s="233"/>
      <c r="F477" s="13"/>
      <c r="G477" s="13"/>
      <c r="I477" s="298"/>
      <c r="J477" s="21"/>
      <c r="K477" s="21"/>
      <c r="L477" s="13"/>
      <c r="M477" s="50"/>
      <c r="N477" s="97"/>
      <c r="O477" s="50"/>
      <c r="P477" s="50"/>
      <c r="Q477" s="316"/>
      <c r="R477" s="285"/>
      <c r="S477" s="21"/>
      <c r="T477" s="13"/>
      <c r="U477" s="13"/>
      <c r="V477" s="21"/>
      <c r="W477" s="21"/>
      <c r="X477" s="21"/>
      <c r="Y477" s="260"/>
      <c r="Z477" s="177"/>
      <c r="AA477" s="177"/>
      <c r="AB477" s="61"/>
      <c r="AC477" s="64"/>
      <c r="AD477" s="50"/>
      <c r="AE477" s="50"/>
      <c r="AF477" s="19"/>
      <c r="AG477" s="376"/>
      <c r="AH477" s="272"/>
      <c r="AI477" s="1"/>
      <c r="AJ477" s="21"/>
      <c r="AK477" s="21"/>
      <c r="AL477" s="21"/>
      <c r="AM477" s="21"/>
      <c r="AN477" s="21"/>
      <c r="AO477" s="21"/>
    </row>
    <row r="478" spans="1:44" s="53" customFormat="1" x14ac:dyDescent="0.2">
      <c r="A478" s="48"/>
      <c r="B478" s="306"/>
      <c r="C478" s="233"/>
      <c r="D478" s="233"/>
      <c r="F478" s="13"/>
      <c r="G478" s="13"/>
      <c r="I478" s="298"/>
      <c r="J478" s="21"/>
      <c r="K478" s="21"/>
      <c r="L478" s="13"/>
      <c r="M478" s="50"/>
      <c r="N478" s="97"/>
      <c r="O478" s="50"/>
      <c r="P478" s="50"/>
      <c r="Q478" s="316"/>
      <c r="R478" s="285"/>
      <c r="S478" s="21"/>
      <c r="T478" s="13"/>
      <c r="U478" s="13"/>
      <c r="V478" s="21"/>
      <c r="W478" s="21"/>
      <c r="X478" s="21"/>
      <c r="Y478" s="260"/>
      <c r="Z478" s="177"/>
      <c r="AA478" s="177"/>
      <c r="AB478" s="61"/>
      <c r="AC478" s="64"/>
      <c r="AD478" s="50"/>
      <c r="AE478" s="50"/>
      <c r="AF478" s="19"/>
      <c r="AG478" s="376"/>
      <c r="AH478" s="272"/>
      <c r="AI478" s="1"/>
      <c r="AJ478" s="21"/>
      <c r="AK478" s="21"/>
      <c r="AL478" s="21"/>
      <c r="AM478" s="21"/>
      <c r="AN478" s="21"/>
      <c r="AO478" s="21"/>
    </row>
    <row r="479" spans="1:44" s="53" customFormat="1" x14ac:dyDescent="0.2">
      <c r="A479" s="48"/>
      <c r="B479" s="306"/>
      <c r="C479" s="233"/>
      <c r="D479" s="233"/>
      <c r="F479" s="13"/>
      <c r="G479" s="13"/>
      <c r="I479" s="298"/>
      <c r="J479" s="21"/>
      <c r="K479" s="21"/>
      <c r="L479" s="13"/>
      <c r="M479" s="50"/>
      <c r="N479" s="97"/>
      <c r="O479" s="50"/>
      <c r="P479" s="50"/>
      <c r="Q479" s="316"/>
      <c r="R479" s="285"/>
      <c r="S479" s="21"/>
      <c r="T479" s="13"/>
      <c r="U479" s="13"/>
      <c r="V479" s="21"/>
      <c r="W479" s="21"/>
      <c r="X479" s="21"/>
      <c r="Y479" s="260"/>
      <c r="Z479" s="177"/>
      <c r="AA479" s="177"/>
      <c r="AB479" s="61"/>
      <c r="AC479" s="64"/>
      <c r="AD479" s="50"/>
      <c r="AE479" s="50"/>
      <c r="AF479" s="19"/>
      <c r="AG479" s="376"/>
      <c r="AH479" s="272"/>
      <c r="AI479" s="1"/>
      <c r="AJ479" s="21"/>
      <c r="AK479" s="21"/>
      <c r="AL479" s="21"/>
      <c r="AM479" s="21"/>
      <c r="AN479" s="21"/>
      <c r="AO479" s="21"/>
      <c r="AQ479" s="308"/>
      <c r="AR479" s="308"/>
    </row>
    <row r="480" spans="1:44" s="53" customFormat="1" x14ac:dyDescent="0.2">
      <c r="A480" s="48"/>
      <c r="B480" s="306"/>
      <c r="C480" s="233"/>
      <c r="D480" s="233"/>
      <c r="F480" s="13"/>
      <c r="G480" s="13"/>
      <c r="I480" s="298"/>
      <c r="J480" s="21"/>
      <c r="K480" s="21"/>
      <c r="L480" s="13"/>
      <c r="M480" s="50"/>
      <c r="N480" s="97"/>
      <c r="O480" s="50"/>
      <c r="P480" s="50"/>
      <c r="Q480" s="316"/>
      <c r="R480" s="285"/>
      <c r="S480" s="21"/>
      <c r="T480" s="13"/>
      <c r="U480" s="13"/>
      <c r="V480" s="21"/>
      <c r="W480" s="21"/>
      <c r="X480" s="21"/>
      <c r="Y480" s="260"/>
      <c r="Z480" s="177"/>
      <c r="AA480" s="177"/>
      <c r="AB480" s="61"/>
      <c r="AC480" s="64"/>
      <c r="AD480" s="50"/>
      <c r="AE480" s="50"/>
      <c r="AF480" s="19"/>
      <c r="AG480" s="376"/>
      <c r="AH480" s="272"/>
      <c r="AI480" s="1"/>
      <c r="AJ480" s="21"/>
      <c r="AK480" s="21"/>
      <c r="AL480" s="21"/>
      <c r="AM480" s="21"/>
      <c r="AN480" s="21"/>
      <c r="AO480" s="21"/>
      <c r="AQ480" s="308"/>
      <c r="AR480" s="308"/>
    </row>
    <row r="481" spans="1:42" s="308" customFormat="1" x14ac:dyDescent="0.2">
      <c r="A481" s="48"/>
      <c r="B481" s="306"/>
      <c r="C481" s="233"/>
      <c r="D481" s="233"/>
      <c r="E481" s="53"/>
      <c r="F481" s="13"/>
      <c r="G481" s="13"/>
      <c r="H481" s="53"/>
      <c r="I481" s="298"/>
      <c r="J481" s="21"/>
      <c r="K481" s="21"/>
      <c r="L481" s="13"/>
      <c r="M481" s="50"/>
      <c r="N481" s="97"/>
      <c r="O481" s="50"/>
      <c r="P481" s="50"/>
      <c r="Q481" s="316"/>
      <c r="R481" s="285"/>
      <c r="S481" s="21"/>
      <c r="T481" s="13"/>
      <c r="U481" s="13"/>
      <c r="V481" s="21"/>
      <c r="W481" s="21"/>
      <c r="X481" s="21"/>
      <c r="Y481" s="260"/>
      <c r="Z481" s="177"/>
      <c r="AA481" s="177"/>
      <c r="AB481" s="61"/>
      <c r="AC481" s="64"/>
      <c r="AD481" s="50"/>
      <c r="AE481" s="50"/>
      <c r="AF481" s="19"/>
      <c r="AG481" s="376"/>
      <c r="AH481" s="272"/>
      <c r="AI481" s="1"/>
      <c r="AJ481" s="21"/>
      <c r="AK481" s="21"/>
      <c r="AL481" s="21"/>
      <c r="AM481" s="21"/>
      <c r="AN481" s="21"/>
      <c r="AO481" s="21"/>
      <c r="AP481" s="53"/>
    </row>
    <row r="482" spans="1:42" s="308" customFormat="1" x14ac:dyDescent="0.2">
      <c r="A482" s="48"/>
      <c r="B482" s="306"/>
      <c r="C482" s="233"/>
      <c r="D482" s="233"/>
      <c r="E482" s="53"/>
      <c r="F482" s="13"/>
      <c r="G482" s="13"/>
      <c r="H482" s="53"/>
      <c r="I482" s="298"/>
      <c r="J482" s="21"/>
      <c r="K482" s="21"/>
      <c r="L482" s="13"/>
      <c r="M482" s="50"/>
      <c r="N482" s="97"/>
      <c r="O482" s="50"/>
      <c r="P482" s="50"/>
      <c r="Q482" s="316"/>
      <c r="R482" s="285"/>
      <c r="S482" s="21"/>
      <c r="T482" s="13"/>
      <c r="U482" s="13"/>
      <c r="V482" s="21"/>
      <c r="W482" s="21"/>
      <c r="X482" s="21"/>
      <c r="Y482" s="260"/>
      <c r="Z482" s="177"/>
      <c r="AA482" s="177"/>
      <c r="AB482" s="61"/>
      <c r="AC482" s="64"/>
      <c r="AD482" s="50"/>
      <c r="AE482" s="50"/>
      <c r="AF482" s="19"/>
      <c r="AG482" s="376"/>
      <c r="AH482" s="272"/>
      <c r="AI482" s="1"/>
      <c r="AJ482" s="21"/>
      <c r="AK482" s="21"/>
      <c r="AL482" s="21"/>
      <c r="AM482" s="21"/>
      <c r="AN482" s="21"/>
      <c r="AO482" s="21"/>
      <c r="AP482" s="53"/>
    </row>
    <row r="483" spans="1:42" s="308" customFormat="1" x14ac:dyDescent="0.2">
      <c r="A483" s="48"/>
      <c r="B483" s="306"/>
      <c r="C483" s="233"/>
      <c r="D483" s="233"/>
      <c r="E483" s="53"/>
      <c r="F483" s="13"/>
      <c r="G483" s="13"/>
      <c r="H483" s="53"/>
      <c r="I483" s="298"/>
      <c r="J483" s="21"/>
      <c r="K483" s="21"/>
      <c r="L483" s="13"/>
      <c r="M483" s="50"/>
      <c r="N483" s="97"/>
      <c r="O483" s="50"/>
      <c r="P483" s="50"/>
      <c r="Q483" s="316"/>
      <c r="R483" s="285"/>
      <c r="S483" s="21"/>
      <c r="T483" s="13"/>
      <c r="U483" s="13"/>
      <c r="V483" s="21"/>
      <c r="W483" s="21"/>
      <c r="X483" s="21"/>
      <c r="Y483" s="260"/>
      <c r="Z483" s="177"/>
      <c r="AA483" s="177"/>
      <c r="AB483" s="61"/>
      <c r="AC483" s="64"/>
      <c r="AD483" s="50"/>
      <c r="AE483" s="50"/>
      <c r="AF483" s="19"/>
      <c r="AG483" s="120"/>
      <c r="AH483" s="272"/>
      <c r="AI483" s="1"/>
      <c r="AJ483" s="21"/>
      <c r="AK483" s="21"/>
      <c r="AL483" s="21"/>
      <c r="AM483" s="21"/>
      <c r="AN483" s="21"/>
      <c r="AO483" s="21"/>
      <c r="AP483" s="53"/>
    </row>
    <row r="484" spans="1:42" s="308" customFormat="1" x14ac:dyDescent="0.2">
      <c r="A484" s="48"/>
      <c r="B484" s="306"/>
      <c r="C484" s="233"/>
      <c r="D484" s="233"/>
      <c r="E484" s="53"/>
      <c r="F484" s="13"/>
      <c r="G484" s="13"/>
      <c r="H484" s="53"/>
      <c r="I484" s="298"/>
      <c r="J484" s="21"/>
      <c r="K484" s="21"/>
      <c r="L484" s="13"/>
      <c r="M484" s="50"/>
      <c r="N484" s="97"/>
      <c r="O484" s="50"/>
      <c r="P484" s="50"/>
      <c r="Q484" s="316"/>
      <c r="R484" s="285"/>
      <c r="S484" s="21"/>
      <c r="T484" s="13"/>
      <c r="U484" s="13"/>
      <c r="V484" s="21"/>
      <c r="W484" s="21"/>
      <c r="X484" s="21"/>
      <c r="Y484" s="260"/>
      <c r="Z484" s="177"/>
      <c r="AA484" s="177"/>
      <c r="AB484" s="61"/>
      <c r="AC484" s="64"/>
      <c r="AD484" s="50"/>
      <c r="AE484" s="50"/>
      <c r="AF484" s="19"/>
      <c r="AG484" s="120"/>
      <c r="AH484" s="119"/>
      <c r="AI484" s="1"/>
      <c r="AJ484" s="21"/>
      <c r="AK484" s="21"/>
      <c r="AL484" s="21"/>
      <c r="AM484" s="21"/>
      <c r="AN484" s="21"/>
      <c r="AO484" s="21"/>
      <c r="AP484" s="53"/>
    </row>
    <row r="485" spans="1:42" s="308" customFormat="1" x14ac:dyDescent="0.2">
      <c r="A485" s="48"/>
      <c r="B485" s="306"/>
      <c r="C485" s="233"/>
      <c r="D485" s="233"/>
      <c r="E485" s="53"/>
      <c r="F485" s="13"/>
      <c r="G485" s="13"/>
      <c r="H485" s="53"/>
      <c r="I485" s="298"/>
      <c r="J485" s="21"/>
      <c r="K485" s="21"/>
      <c r="L485" s="13"/>
      <c r="M485" s="50"/>
      <c r="N485" s="97"/>
      <c r="O485" s="50"/>
      <c r="P485" s="50"/>
      <c r="Q485" s="316"/>
      <c r="R485" s="285"/>
      <c r="S485" s="21"/>
      <c r="T485" s="13"/>
      <c r="U485" s="13"/>
      <c r="V485" s="21"/>
      <c r="W485" s="21"/>
      <c r="X485" s="21"/>
      <c r="Y485" s="260"/>
      <c r="Z485" s="177"/>
      <c r="AA485" s="177"/>
      <c r="AB485" s="61"/>
      <c r="AC485" s="64"/>
      <c r="AD485" s="50"/>
      <c r="AE485" s="50"/>
      <c r="AF485" s="19"/>
      <c r="AG485" s="120"/>
      <c r="AH485" s="119"/>
      <c r="AI485" s="1"/>
      <c r="AJ485" s="21"/>
      <c r="AK485" s="21"/>
      <c r="AL485" s="21"/>
      <c r="AM485" s="21"/>
      <c r="AN485" s="21"/>
      <c r="AO485" s="21"/>
      <c r="AP485" s="53"/>
    </row>
    <row r="486" spans="1:42" s="308" customFormat="1" x14ac:dyDescent="0.2">
      <c r="A486" s="48"/>
      <c r="B486" s="306"/>
      <c r="C486" s="233"/>
      <c r="D486" s="233"/>
      <c r="E486" s="53"/>
      <c r="F486" s="13"/>
      <c r="G486" s="13"/>
      <c r="H486" s="53"/>
      <c r="I486" s="298"/>
      <c r="J486" s="21"/>
      <c r="K486" s="21"/>
      <c r="L486" s="13"/>
      <c r="M486" s="50"/>
      <c r="N486" s="97"/>
      <c r="O486" s="50"/>
      <c r="P486" s="50"/>
      <c r="Q486" s="316"/>
      <c r="R486" s="285"/>
      <c r="S486" s="21"/>
      <c r="T486" s="13"/>
      <c r="U486" s="13"/>
      <c r="V486" s="21"/>
      <c r="W486" s="21"/>
      <c r="X486" s="21"/>
      <c r="Y486" s="260"/>
      <c r="Z486" s="177"/>
      <c r="AA486" s="177"/>
      <c r="AB486" s="61"/>
      <c r="AC486" s="64"/>
      <c r="AD486" s="50"/>
      <c r="AE486" s="50"/>
      <c r="AF486" s="19"/>
      <c r="AG486" s="120"/>
      <c r="AH486" s="119"/>
      <c r="AI486" s="1"/>
      <c r="AJ486" s="21"/>
      <c r="AK486" s="21"/>
      <c r="AL486" s="21"/>
      <c r="AM486" s="21"/>
      <c r="AN486" s="21"/>
      <c r="AO486" s="21"/>
      <c r="AP486" s="53"/>
    </row>
    <row r="487" spans="1:42" s="308" customFormat="1" x14ac:dyDescent="0.2">
      <c r="A487" s="48"/>
      <c r="B487" s="306"/>
      <c r="C487" s="233"/>
      <c r="D487" s="233"/>
      <c r="E487" s="53"/>
      <c r="F487" s="13"/>
      <c r="G487" s="13"/>
      <c r="H487" s="53"/>
      <c r="I487" s="298"/>
      <c r="J487" s="21"/>
      <c r="K487" s="21"/>
      <c r="L487" s="13"/>
      <c r="M487" s="50"/>
      <c r="N487" s="97"/>
      <c r="O487" s="50"/>
      <c r="P487" s="50"/>
      <c r="Q487" s="316"/>
      <c r="R487" s="285"/>
      <c r="S487" s="21"/>
      <c r="T487" s="13"/>
      <c r="U487" s="13"/>
      <c r="V487" s="21"/>
      <c r="W487" s="21"/>
      <c r="X487" s="21"/>
      <c r="Y487" s="260"/>
      <c r="Z487" s="177"/>
      <c r="AA487" s="177"/>
      <c r="AB487" s="61"/>
      <c r="AC487" s="64"/>
      <c r="AD487" s="50"/>
      <c r="AE487" s="50"/>
      <c r="AF487" s="19"/>
      <c r="AG487" s="120"/>
      <c r="AH487" s="119"/>
      <c r="AI487" s="1"/>
      <c r="AJ487" s="21"/>
      <c r="AK487" s="21"/>
      <c r="AL487" s="21"/>
      <c r="AM487" s="21"/>
      <c r="AN487" s="21"/>
      <c r="AO487" s="21"/>
      <c r="AP487" s="53"/>
    </row>
    <row r="488" spans="1:42" s="308" customFormat="1" x14ac:dyDescent="0.2">
      <c r="A488" s="48"/>
      <c r="B488" s="306"/>
      <c r="C488" s="233"/>
      <c r="D488" s="233"/>
      <c r="E488" s="53"/>
      <c r="F488" s="13"/>
      <c r="G488" s="13"/>
      <c r="H488" s="53"/>
      <c r="I488" s="298"/>
      <c r="J488" s="21"/>
      <c r="K488" s="21"/>
      <c r="L488" s="13"/>
      <c r="M488" s="50"/>
      <c r="N488" s="97"/>
      <c r="O488" s="50"/>
      <c r="P488" s="50"/>
      <c r="Q488" s="316"/>
      <c r="R488" s="285"/>
      <c r="S488" s="21"/>
      <c r="T488" s="13"/>
      <c r="U488" s="13"/>
      <c r="V488" s="21"/>
      <c r="W488" s="21"/>
      <c r="X488" s="21"/>
      <c r="Y488" s="260"/>
      <c r="Z488" s="177"/>
      <c r="AA488" s="177"/>
      <c r="AB488" s="61"/>
      <c r="AC488" s="64"/>
      <c r="AD488" s="50"/>
      <c r="AE488" s="50"/>
      <c r="AF488" s="19"/>
      <c r="AG488" s="120"/>
      <c r="AH488" s="119"/>
      <c r="AI488" s="1"/>
      <c r="AJ488" s="21"/>
      <c r="AK488" s="21"/>
      <c r="AL488" s="21"/>
      <c r="AM488" s="21"/>
      <c r="AN488" s="21"/>
      <c r="AO488" s="21"/>
      <c r="AP488" s="53"/>
    </row>
    <row r="489" spans="1:42" s="308" customFormat="1" x14ac:dyDescent="0.2">
      <c r="A489" s="48"/>
      <c r="B489" s="306"/>
      <c r="C489" s="233"/>
      <c r="D489" s="233"/>
      <c r="E489" s="53"/>
      <c r="F489" s="13"/>
      <c r="G489" s="13"/>
      <c r="H489" s="53"/>
      <c r="I489" s="298"/>
      <c r="J489" s="21"/>
      <c r="K489" s="21"/>
      <c r="L489" s="13"/>
      <c r="M489" s="50"/>
      <c r="N489" s="97"/>
      <c r="O489" s="50"/>
      <c r="P489" s="50"/>
      <c r="Q489" s="316"/>
      <c r="R489" s="285"/>
      <c r="S489" s="21"/>
      <c r="T489" s="13"/>
      <c r="U489" s="13"/>
      <c r="V489" s="21"/>
      <c r="W489" s="21"/>
      <c r="X489" s="21"/>
      <c r="Y489" s="260"/>
      <c r="Z489" s="177"/>
      <c r="AA489" s="177"/>
      <c r="AB489" s="61"/>
      <c r="AC489" s="64"/>
      <c r="AD489" s="50"/>
      <c r="AE489" s="50"/>
      <c r="AF489" s="19"/>
      <c r="AG489" s="120"/>
      <c r="AH489" s="119"/>
      <c r="AI489" s="1"/>
      <c r="AJ489" s="21"/>
      <c r="AK489" s="21"/>
      <c r="AL489" s="21"/>
      <c r="AM489" s="21"/>
      <c r="AN489" s="21"/>
      <c r="AO489" s="21"/>
      <c r="AP489" s="53"/>
    </row>
    <row r="490" spans="1:42" s="308" customFormat="1" x14ac:dyDescent="0.2">
      <c r="A490" s="48"/>
      <c r="B490" s="306"/>
      <c r="C490" s="233"/>
      <c r="D490" s="233"/>
      <c r="E490" s="53"/>
      <c r="F490" s="13"/>
      <c r="G490" s="13"/>
      <c r="H490" s="53"/>
      <c r="I490" s="298"/>
      <c r="J490" s="21"/>
      <c r="K490" s="21"/>
      <c r="L490" s="13"/>
      <c r="M490" s="50"/>
      <c r="N490" s="97"/>
      <c r="O490" s="50"/>
      <c r="P490" s="50"/>
      <c r="Q490" s="316"/>
      <c r="R490" s="285"/>
      <c r="S490" s="21"/>
      <c r="T490" s="13"/>
      <c r="U490" s="13"/>
      <c r="V490" s="21"/>
      <c r="W490" s="21"/>
      <c r="X490" s="21"/>
      <c r="Y490" s="260"/>
      <c r="Z490" s="177"/>
      <c r="AA490" s="177"/>
      <c r="AB490" s="61"/>
      <c r="AC490" s="64"/>
      <c r="AD490" s="50"/>
      <c r="AE490" s="50"/>
      <c r="AF490" s="19"/>
      <c r="AG490" s="120"/>
      <c r="AH490" s="119"/>
      <c r="AI490" s="1"/>
      <c r="AJ490" s="21"/>
      <c r="AK490" s="21"/>
      <c r="AL490" s="21"/>
      <c r="AM490" s="21"/>
      <c r="AN490" s="21"/>
      <c r="AO490" s="21"/>
      <c r="AP490" s="53"/>
    </row>
    <row r="491" spans="1:42" s="308" customFormat="1" x14ac:dyDescent="0.2">
      <c r="A491" s="48"/>
      <c r="B491" s="306"/>
      <c r="C491" s="233"/>
      <c r="D491" s="233"/>
      <c r="E491" s="53"/>
      <c r="F491" s="13"/>
      <c r="G491" s="13"/>
      <c r="H491" s="53"/>
      <c r="I491" s="298"/>
      <c r="J491" s="21"/>
      <c r="K491" s="21"/>
      <c r="L491" s="13"/>
      <c r="M491" s="50"/>
      <c r="N491" s="97"/>
      <c r="O491" s="50"/>
      <c r="P491" s="50"/>
      <c r="Q491" s="316"/>
      <c r="R491" s="285"/>
      <c r="S491" s="21"/>
      <c r="T491" s="13"/>
      <c r="U491" s="13"/>
      <c r="V491" s="21"/>
      <c r="W491" s="21"/>
      <c r="X491" s="21"/>
      <c r="Y491" s="260"/>
      <c r="Z491" s="177"/>
      <c r="AA491" s="177"/>
      <c r="AB491" s="61"/>
      <c r="AC491" s="64"/>
      <c r="AD491" s="50"/>
      <c r="AE491" s="50"/>
      <c r="AF491" s="19"/>
      <c r="AG491" s="120"/>
      <c r="AH491" s="119"/>
      <c r="AI491" s="1"/>
      <c r="AJ491" s="21"/>
      <c r="AK491" s="21"/>
      <c r="AL491" s="21"/>
      <c r="AM491" s="21"/>
      <c r="AN491" s="21"/>
      <c r="AO491" s="21"/>
      <c r="AP491" s="53"/>
    </row>
    <row r="492" spans="1:42" s="308" customFormat="1" x14ac:dyDescent="0.2">
      <c r="A492" s="48"/>
      <c r="B492" s="306"/>
      <c r="C492" s="233"/>
      <c r="D492" s="233"/>
      <c r="E492" s="53"/>
      <c r="F492" s="13"/>
      <c r="G492" s="13"/>
      <c r="H492" s="53"/>
      <c r="I492" s="298"/>
      <c r="J492" s="21"/>
      <c r="K492" s="21"/>
      <c r="L492" s="13"/>
      <c r="M492" s="50"/>
      <c r="N492" s="97"/>
      <c r="O492" s="50"/>
      <c r="P492" s="50"/>
      <c r="Q492" s="316"/>
      <c r="R492" s="285"/>
      <c r="S492" s="21"/>
      <c r="T492" s="13"/>
      <c r="U492" s="13"/>
      <c r="V492" s="21"/>
      <c r="W492" s="21"/>
      <c r="X492" s="21"/>
      <c r="Y492" s="260"/>
      <c r="Z492" s="177"/>
      <c r="AA492" s="177"/>
      <c r="AB492" s="61"/>
      <c r="AC492" s="64"/>
      <c r="AD492" s="50"/>
      <c r="AE492" s="50"/>
      <c r="AF492" s="19"/>
      <c r="AG492" s="120"/>
      <c r="AH492" s="119"/>
      <c r="AI492" s="1"/>
      <c r="AJ492" s="21"/>
      <c r="AK492" s="21"/>
      <c r="AL492" s="21"/>
      <c r="AM492" s="21"/>
      <c r="AN492" s="21"/>
      <c r="AO492" s="21"/>
      <c r="AP492" s="53"/>
    </row>
    <row r="493" spans="1:42" s="308" customFormat="1" x14ac:dyDescent="0.2">
      <c r="A493" s="48"/>
      <c r="B493" s="306"/>
      <c r="C493" s="233"/>
      <c r="D493" s="233"/>
      <c r="E493" s="53"/>
      <c r="F493" s="13"/>
      <c r="G493" s="13"/>
      <c r="H493" s="53"/>
      <c r="I493" s="298"/>
      <c r="J493" s="21"/>
      <c r="K493" s="21"/>
      <c r="L493" s="13"/>
      <c r="M493" s="50"/>
      <c r="N493" s="97"/>
      <c r="O493" s="50"/>
      <c r="P493" s="50"/>
      <c r="Q493" s="316"/>
      <c r="R493" s="285"/>
      <c r="S493" s="21"/>
      <c r="T493" s="13"/>
      <c r="U493" s="13"/>
      <c r="V493" s="21"/>
      <c r="W493" s="21"/>
      <c r="X493" s="21"/>
      <c r="Y493" s="260"/>
      <c r="Z493" s="177"/>
      <c r="AA493" s="177"/>
      <c r="AB493" s="61"/>
      <c r="AC493" s="64"/>
      <c r="AD493" s="50"/>
      <c r="AE493" s="50"/>
      <c r="AF493" s="19"/>
      <c r="AG493" s="120"/>
      <c r="AH493" s="119"/>
      <c r="AI493" s="1"/>
      <c r="AJ493" s="21"/>
      <c r="AK493" s="21"/>
      <c r="AL493" s="21"/>
      <c r="AM493" s="21"/>
      <c r="AN493" s="21"/>
      <c r="AO493" s="21"/>
      <c r="AP493" s="53"/>
    </row>
    <row r="494" spans="1:42" s="308" customFormat="1" x14ac:dyDescent="0.2">
      <c r="A494" s="48"/>
      <c r="B494" s="306"/>
      <c r="C494" s="233"/>
      <c r="D494" s="233"/>
      <c r="E494" s="53"/>
      <c r="F494" s="13"/>
      <c r="G494" s="13"/>
      <c r="H494" s="53"/>
      <c r="I494" s="298"/>
      <c r="J494" s="21"/>
      <c r="K494" s="21"/>
      <c r="L494" s="13"/>
      <c r="M494" s="50"/>
      <c r="N494" s="97"/>
      <c r="O494" s="50"/>
      <c r="P494" s="50"/>
      <c r="Q494" s="316"/>
      <c r="R494" s="285"/>
      <c r="S494" s="21"/>
      <c r="T494" s="13"/>
      <c r="U494" s="13"/>
      <c r="V494" s="21"/>
      <c r="W494" s="21"/>
      <c r="X494" s="21"/>
      <c r="Y494" s="260"/>
      <c r="Z494" s="177"/>
      <c r="AA494" s="177"/>
      <c r="AB494" s="61"/>
      <c r="AC494" s="64"/>
      <c r="AD494" s="50"/>
      <c r="AE494" s="50"/>
      <c r="AF494" s="19"/>
      <c r="AG494" s="120"/>
      <c r="AH494" s="119"/>
      <c r="AI494" s="1"/>
      <c r="AJ494" s="21"/>
      <c r="AK494" s="21"/>
      <c r="AL494" s="21"/>
      <c r="AM494" s="21"/>
      <c r="AN494" s="21"/>
      <c r="AO494" s="21"/>
      <c r="AP494" s="53"/>
    </row>
    <row r="495" spans="1:42" s="308" customFormat="1" x14ac:dyDescent="0.2">
      <c r="A495" s="48"/>
      <c r="B495" s="306"/>
      <c r="C495" s="233"/>
      <c r="D495" s="233"/>
      <c r="E495" s="53"/>
      <c r="F495" s="13"/>
      <c r="G495" s="13"/>
      <c r="H495" s="53"/>
      <c r="I495" s="298"/>
      <c r="J495" s="21"/>
      <c r="K495" s="21"/>
      <c r="L495" s="13"/>
      <c r="M495" s="50"/>
      <c r="N495" s="97"/>
      <c r="O495" s="50"/>
      <c r="P495" s="50"/>
      <c r="Q495" s="316"/>
      <c r="R495" s="285"/>
      <c r="S495" s="21"/>
      <c r="T495" s="13"/>
      <c r="U495" s="13"/>
      <c r="V495" s="21"/>
      <c r="W495" s="21"/>
      <c r="X495" s="21"/>
      <c r="Y495" s="260"/>
      <c r="Z495" s="177"/>
      <c r="AA495" s="177"/>
      <c r="AB495" s="61"/>
      <c r="AC495" s="64"/>
      <c r="AD495" s="50"/>
      <c r="AE495" s="50"/>
      <c r="AF495" s="19"/>
      <c r="AG495" s="120"/>
      <c r="AH495" s="119"/>
      <c r="AI495" s="1"/>
      <c r="AJ495" s="21"/>
      <c r="AK495" s="21"/>
      <c r="AL495" s="21"/>
      <c r="AM495" s="21"/>
      <c r="AN495" s="21"/>
      <c r="AO495" s="21"/>
      <c r="AP495" s="53"/>
    </row>
    <row r="496" spans="1:42" s="308" customFormat="1" x14ac:dyDescent="0.2">
      <c r="A496" s="48"/>
      <c r="B496" s="306"/>
      <c r="C496" s="233"/>
      <c r="D496" s="233"/>
      <c r="E496" s="53"/>
      <c r="F496" s="13"/>
      <c r="G496" s="13"/>
      <c r="H496" s="53"/>
      <c r="I496" s="298"/>
      <c r="J496" s="21"/>
      <c r="K496" s="21"/>
      <c r="L496" s="13"/>
      <c r="M496" s="50"/>
      <c r="N496" s="97"/>
      <c r="O496" s="50"/>
      <c r="P496" s="50"/>
      <c r="Q496" s="316"/>
      <c r="R496" s="285"/>
      <c r="S496" s="21"/>
      <c r="T496" s="13"/>
      <c r="U496" s="13"/>
      <c r="V496" s="21"/>
      <c r="W496" s="21"/>
      <c r="X496" s="21"/>
      <c r="Y496" s="260"/>
      <c r="Z496" s="177"/>
      <c r="AA496" s="177"/>
      <c r="AB496" s="61"/>
      <c r="AC496" s="64"/>
      <c r="AD496" s="50"/>
      <c r="AE496" s="50"/>
      <c r="AF496" s="19"/>
      <c r="AG496" s="120"/>
      <c r="AH496" s="119"/>
      <c r="AI496" s="1"/>
      <c r="AJ496" s="21"/>
      <c r="AK496" s="21"/>
      <c r="AL496" s="21"/>
      <c r="AM496" s="21"/>
      <c r="AN496" s="21"/>
      <c r="AO496" s="21"/>
      <c r="AP496" s="53"/>
    </row>
    <row r="497" spans="1:42" s="308" customFormat="1" x14ac:dyDescent="0.2">
      <c r="A497" s="48"/>
      <c r="B497" s="306"/>
      <c r="C497" s="233"/>
      <c r="D497" s="233"/>
      <c r="E497" s="53"/>
      <c r="F497" s="13"/>
      <c r="G497" s="13"/>
      <c r="H497" s="53"/>
      <c r="I497" s="298"/>
      <c r="J497" s="21"/>
      <c r="K497" s="21"/>
      <c r="L497" s="13"/>
      <c r="M497" s="50"/>
      <c r="N497" s="97"/>
      <c r="O497" s="50"/>
      <c r="P497" s="50"/>
      <c r="Q497" s="316"/>
      <c r="R497" s="285"/>
      <c r="S497" s="21"/>
      <c r="T497" s="13"/>
      <c r="U497" s="13"/>
      <c r="V497" s="21"/>
      <c r="W497" s="21"/>
      <c r="X497" s="21"/>
      <c r="Y497" s="260"/>
      <c r="Z497" s="177"/>
      <c r="AA497" s="177"/>
      <c r="AB497" s="61"/>
      <c r="AC497" s="64"/>
      <c r="AD497" s="50"/>
      <c r="AE497" s="50"/>
      <c r="AF497" s="19"/>
      <c r="AG497" s="120"/>
      <c r="AH497" s="119"/>
      <c r="AI497" s="1"/>
      <c r="AJ497" s="21"/>
      <c r="AK497" s="21"/>
      <c r="AL497" s="21"/>
      <c r="AM497" s="21"/>
      <c r="AN497" s="21"/>
      <c r="AO497" s="21"/>
      <c r="AP497" s="53"/>
    </row>
    <row r="498" spans="1:42" s="308" customFormat="1" x14ac:dyDescent="0.2">
      <c r="A498" s="48"/>
      <c r="B498" s="306"/>
      <c r="C498" s="233"/>
      <c r="D498" s="233"/>
      <c r="E498" s="53"/>
      <c r="F498" s="13"/>
      <c r="G498" s="13"/>
      <c r="H498" s="53"/>
      <c r="I498" s="298"/>
      <c r="J498" s="21"/>
      <c r="K498" s="21"/>
      <c r="L498" s="13"/>
      <c r="M498" s="50"/>
      <c r="N498" s="97"/>
      <c r="O498" s="50"/>
      <c r="P498" s="50"/>
      <c r="Q498" s="316"/>
      <c r="R498" s="285"/>
      <c r="S498" s="21"/>
      <c r="T498" s="13"/>
      <c r="U498" s="13"/>
      <c r="V498" s="21"/>
      <c r="W498" s="21"/>
      <c r="X498" s="21"/>
      <c r="Y498" s="260"/>
      <c r="Z498" s="177"/>
      <c r="AA498" s="177"/>
      <c r="AB498" s="61"/>
      <c r="AC498" s="64"/>
      <c r="AD498" s="50"/>
      <c r="AE498" s="50"/>
      <c r="AF498" s="19"/>
      <c r="AG498" s="120"/>
      <c r="AH498" s="119"/>
      <c r="AI498" s="1"/>
      <c r="AJ498" s="21"/>
      <c r="AK498" s="21"/>
      <c r="AL498" s="21"/>
      <c r="AM498" s="21"/>
      <c r="AN498" s="21"/>
      <c r="AO498" s="21"/>
      <c r="AP498" s="53"/>
    </row>
    <row r="499" spans="1:42" s="308" customFormat="1" x14ac:dyDescent="0.2">
      <c r="A499" s="48"/>
      <c r="B499" s="306"/>
      <c r="C499" s="233"/>
      <c r="D499" s="233"/>
      <c r="E499" s="53"/>
      <c r="F499" s="13"/>
      <c r="G499" s="13"/>
      <c r="H499" s="53"/>
      <c r="I499" s="298"/>
      <c r="J499" s="21"/>
      <c r="K499" s="21"/>
      <c r="L499" s="13"/>
      <c r="M499" s="50"/>
      <c r="N499" s="97"/>
      <c r="O499" s="50"/>
      <c r="P499" s="50"/>
      <c r="Q499" s="316"/>
      <c r="R499" s="285"/>
      <c r="S499" s="21"/>
      <c r="T499" s="13"/>
      <c r="U499" s="13"/>
      <c r="V499" s="21"/>
      <c r="W499" s="21"/>
      <c r="X499" s="21"/>
      <c r="Y499" s="260"/>
      <c r="Z499" s="177"/>
      <c r="AA499" s="177"/>
      <c r="AB499" s="61"/>
      <c r="AC499" s="64"/>
      <c r="AD499" s="50"/>
      <c r="AE499" s="50"/>
      <c r="AF499" s="19"/>
      <c r="AG499" s="120"/>
      <c r="AH499" s="119"/>
      <c r="AI499" s="1"/>
      <c r="AJ499" s="21"/>
      <c r="AK499" s="21"/>
      <c r="AL499" s="21"/>
      <c r="AM499" s="21"/>
      <c r="AN499" s="21"/>
      <c r="AO499" s="21"/>
      <c r="AP499" s="53"/>
    </row>
    <row r="500" spans="1:42" s="308" customFormat="1" x14ac:dyDescent="0.2">
      <c r="A500" s="48"/>
      <c r="B500" s="306"/>
      <c r="C500" s="233"/>
      <c r="D500" s="233"/>
      <c r="E500" s="53"/>
      <c r="F500" s="13"/>
      <c r="G500" s="13"/>
      <c r="H500" s="53"/>
      <c r="I500" s="298"/>
      <c r="J500" s="21"/>
      <c r="K500" s="21"/>
      <c r="L500" s="13"/>
      <c r="M500" s="50"/>
      <c r="N500" s="97"/>
      <c r="O500" s="50"/>
      <c r="P500" s="50"/>
      <c r="Q500" s="316"/>
      <c r="R500" s="285"/>
      <c r="S500" s="21"/>
      <c r="T500" s="13"/>
      <c r="U500" s="13"/>
      <c r="V500" s="21"/>
      <c r="W500" s="21"/>
      <c r="X500" s="21"/>
      <c r="Y500" s="260"/>
      <c r="Z500" s="177"/>
      <c r="AA500" s="177"/>
      <c r="AB500" s="61"/>
      <c r="AC500" s="64"/>
      <c r="AD500" s="50"/>
      <c r="AE500" s="50"/>
      <c r="AF500" s="19"/>
      <c r="AG500" s="120"/>
      <c r="AH500" s="119"/>
      <c r="AI500" s="1"/>
      <c r="AJ500" s="21"/>
      <c r="AK500" s="21"/>
      <c r="AL500" s="21"/>
      <c r="AM500" s="21"/>
      <c r="AN500" s="21"/>
      <c r="AO500" s="21"/>
      <c r="AP500" s="53"/>
    </row>
    <row r="501" spans="1:42" s="308" customFormat="1" x14ac:dyDescent="0.2">
      <c r="A501" s="48"/>
      <c r="B501" s="306"/>
      <c r="C501" s="233"/>
      <c r="D501" s="233"/>
      <c r="E501" s="53"/>
      <c r="F501" s="13"/>
      <c r="G501" s="13"/>
      <c r="H501" s="53"/>
      <c r="I501" s="298"/>
      <c r="J501" s="21"/>
      <c r="K501" s="21"/>
      <c r="L501" s="13"/>
      <c r="M501" s="50"/>
      <c r="N501" s="97"/>
      <c r="O501" s="50"/>
      <c r="P501" s="50"/>
      <c r="Q501" s="316"/>
      <c r="R501" s="285"/>
      <c r="S501" s="21"/>
      <c r="T501" s="13"/>
      <c r="U501" s="13"/>
      <c r="V501" s="21"/>
      <c r="W501" s="21"/>
      <c r="X501" s="21"/>
      <c r="Y501" s="260"/>
      <c r="Z501" s="177"/>
      <c r="AA501" s="177"/>
      <c r="AB501" s="61"/>
      <c r="AC501" s="64"/>
      <c r="AD501" s="50"/>
      <c r="AE501" s="50"/>
      <c r="AF501" s="19"/>
      <c r="AG501" s="120"/>
      <c r="AH501" s="119"/>
      <c r="AI501" s="1"/>
      <c r="AJ501" s="21"/>
      <c r="AK501" s="21"/>
      <c r="AL501" s="21"/>
      <c r="AM501" s="21"/>
      <c r="AN501" s="21"/>
      <c r="AO501" s="21"/>
      <c r="AP501" s="53"/>
    </row>
    <row r="502" spans="1:42" s="308" customFormat="1" x14ac:dyDescent="0.2">
      <c r="A502" s="48"/>
      <c r="B502" s="306"/>
      <c r="C502" s="233"/>
      <c r="D502" s="233"/>
      <c r="E502" s="53"/>
      <c r="F502" s="13"/>
      <c r="G502" s="13"/>
      <c r="H502" s="53"/>
      <c r="I502" s="298"/>
      <c r="J502" s="21"/>
      <c r="K502" s="21"/>
      <c r="L502" s="13"/>
      <c r="M502" s="50"/>
      <c r="N502" s="97"/>
      <c r="O502" s="50"/>
      <c r="P502" s="50"/>
      <c r="Q502" s="316"/>
      <c r="R502" s="285"/>
      <c r="S502" s="21"/>
      <c r="T502" s="13"/>
      <c r="U502" s="13"/>
      <c r="V502" s="21"/>
      <c r="W502" s="21"/>
      <c r="X502" s="21"/>
      <c r="Y502" s="260"/>
      <c r="Z502" s="177"/>
      <c r="AA502" s="177"/>
      <c r="AB502" s="61"/>
      <c r="AC502" s="64"/>
      <c r="AD502" s="50"/>
      <c r="AE502" s="50"/>
      <c r="AF502" s="19"/>
      <c r="AG502" s="120"/>
      <c r="AH502" s="119"/>
      <c r="AI502" s="1"/>
      <c r="AJ502" s="21"/>
      <c r="AK502" s="21"/>
      <c r="AL502" s="21"/>
      <c r="AM502" s="21"/>
      <c r="AN502" s="21"/>
      <c r="AO502" s="21"/>
      <c r="AP502" s="53"/>
    </row>
    <row r="503" spans="1:42" s="308" customFormat="1" x14ac:dyDescent="0.2">
      <c r="A503" s="48"/>
      <c r="B503" s="306"/>
      <c r="C503" s="233"/>
      <c r="D503" s="233"/>
      <c r="E503" s="53"/>
      <c r="F503" s="13"/>
      <c r="G503" s="13"/>
      <c r="H503" s="53"/>
      <c r="I503" s="298"/>
      <c r="J503" s="21"/>
      <c r="K503" s="21"/>
      <c r="L503" s="13"/>
      <c r="M503" s="50"/>
      <c r="N503" s="97"/>
      <c r="O503" s="50"/>
      <c r="P503" s="50"/>
      <c r="Q503" s="316"/>
      <c r="R503" s="285"/>
      <c r="S503" s="21"/>
      <c r="T503" s="13"/>
      <c r="U503" s="13"/>
      <c r="V503" s="21"/>
      <c r="W503" s="21"/>
      <c r="X503" s="21"/>
      <c r="Y503" s="260"/>
      <c r="Z503" s="177"/>
      <c r="AA503" s="177"/>
      <c r="AB503" s="61"/>
      <c r="AC503" s="64"/>
      <c r="AD503" s="50"/>
      <c r="AE503" s="50"/>
      <c r="AF503" s="19"/>
      <c r="AG503" s="120"/>
      <c r="AH503" s="119"/>
      <c r="AI503" s="1"/>
      <c r="AJ503" s="21"/>
      <c r="AK503" s="21"/>
      <c r="AL503" s="21"/>
      <c r="AM503" s="21"/>
      <c r="AN503" s="21"/>
      <c r="AO503" s="21"/>
      <c r="AP503" s="53"/>
    </row>
    <row r="504" spans="1:42" s="308" customFormat="1" x14ac:dyDescent="0.2">
      <c r="A504" s="48"/>
      <c r="B504" s="306"/>
      <c r="C504" s="233"/>
      <c r="D504" s="233"/>
      <c r="E504" s="53"/>
      <c r="F504" s="13"/>
      <c r="G504" s="13"/>
      <c r="H504" s="53"/>
      <c r="I504" s="298"/>
      <c r="J504" s="21"/>
      <c r="K504" s="21"/>
      <c r="L504" s="13"/>
      <c r="M504" s="50"/>
      <c r="N504" s="97"/>
      <c r="O504" s="50"/>
      <c r="P504" s="50"/>
      <c r="Q504" s="316"/>
      <c r="R504" s="285"/>
      <c r="S504" s="21"/>
      <c r="T504" s="13"/>
      <c r="U504" s="13"/>
      <c r="V504" s="21"/>
      <c r="W504" s="21"/>
      <c r="X504" s="21"/>
      <c r="Y504" s="260"/>
      <c r="Z504" s="177"/>
      <c r="AA504" s="177"/>
      <c r="AB504" s="61"/>
      <c r="AC504" s="64"/>
      <c r="AD504" s="50"/>
      <c r="AE504" s="50"/>
      <c r="AF504" s="19"/>
      <c r="AG504" s="120"/>
      <c r="AH504" s="119"/>
      <c r="AI504" s="1"/>
      <c r="AJ504" s="21"/>
      <c r="AK504" s="21"/>
      <c r="AL504" s="21"/>
      <c r="AM504" s="21"/>
      <c r="AN504" s="21"/>
      <c r="AO504" s="21"/>
      <c r="AP504" s="53"/>
    </row>
    <row r="505" spans="1:42" s="308" customFormat="1" x14ac:dyDescent="0.2">
      <c r="A505" s="48"/>
      <c r="B505" s="306"/>
      <c r="C505" s="233"/>
      <c r="D505" s="233"/>
      <c r="E505" s="53"/>
      <c r="F505" s="13"/>
      <c r="G505" s="13"/>
      <c r="H505" s="53"/>
      <c r="I505" s="298"/>
      <c r="J505" s="21"/>
      <c r="K505" s="21"/>
      <c r="L505" s="13"/>
      <c r="M505" s="50"/>
      <c r="N505" s="97"/>
      <c r="O505" s="50"/>
      <c r="P505" s="50"/>
      <c r="Q505" s="316"/>
      <c r="R505" s="285"/>
      <c r="S505" s="21"/>
      <c r="T505" s="13"/>
      <c r="U505" s="13"/>
      <c r="V505" s="21"/>
      <c r="W505" s="21"/>
      <c r="X505" s="21"/>
      <c r="Y505" s="260"/>
      <c r="Z505" s="177"/>
      <c r="AA505" s="177"/>
      <c r="AB505" s="61"/>
      <c r="AC505" s="64"/>
      <c r="AD505" s="50"/>
      <c r="AE505" s="50"/>
      <c r="AF505" s="19"/>
      <c r="AG505" s="120"/>
      <c r="AH505" s="119"/>
      <c r="AI505" s="1"/>
      <c r="AJ505" s="21"/>
      <c r="AK505" s="21"/>
      <c r="AL505" s="21"/>
      <c r="AM505" s="21"/>
      <c r="AN505" s="21"/>
      <c r="AO505" s="21"/>
      <c r="AP505" s="53"/>
    </row>
    <row r="506" spans="1:42" s="308" customFormat="1" x14ac:dyDescent="0.2">
      <c r="A506" s="48"/>
      <c r="B506" s="306"/>
      <c r="C506" s="233"/>
      <c r="D506" s="233"/>
      <c r="E506" s="53"/>
      <c r="F506" s="13"/>
      <c r="G506" s="13"/>
      <c r="H506" s="53"/>
      <c r="I506" s="298"/>
      <c r="J506" s="21"/>
      <c r="K506" s="21"/>
      <c r="L506" s="13"/>
      <c r="M506" s="50"/>
      <c r="N506" s="97"/>
      <c r="O506" s="50"/>
      <c r="P506" s="50"/>
      <c r="Q506" s="316"/>
      <c r="R506" s="285"/>
      <c r="S506" s="21"/>
      <c r="T506" s="13"/>
      <c r="U506" s="13"/>
      <c r="V506" s="21"/>
      <c r="W506" s="21"/>
      <c r="X506" s="21"/>
      <c r="Y506" s="260"/>
      <c r="Z506" s="177"/>
      <c r="AA506" s="177"/>
      <c r="AB506" s="61"/>
      <c r="AC506" s="64"/>
      <c r="AD506" s="50"/>
      <c r="AE506" s="50"/>
      <c r="AF506" s="19"/>
      <c r="AG506" s="120"/>
      <c r="AH506" s="119"/>
      <c r="AI506" s="1"/>
      <c r="AJ506" s="21"/>
      <c r="AK506" s="21"/>
      <c r="AL506" s="21"/>
      <c r="AM506" s="21"/>
      <c r="AN506" s="21"/>
      <c r="AO506" s="21"/>
      <c r="AP506" s="53"/>
    </row>
    <row r="507" spans="1:42" s="308" customFormat="1" x14ac:dyDescent="0.2">
      <c r="A507" s="48"/>
      <c r="B507" s="306"/>
      <c r="C507" s="233"/>
      <c r="D507" s="233"/>
      <c r="E507" s="53"/>
      <c r="F507" s="13"/>
      <c r="G507" s="13"/>
      <c r="H507" s="53"/>
      <c r="I507" s="298"/>
      <c r="J507" s="21"/>
      <c r="K507" s="21"/>
      <c r="L507" s="13"/>
      <c r="M507" s="50"/>
      <c r="N507" s="97"/>
      <c r="O507" s="50"/>
      <c r="P507" s="50"/>
      <c r="Q507" s="316"/>
      <c r="R507" s="285"/>
      <c r="S507" s="21"/>
      <c r="T507" s="13"/>
      <c r="U507" s="13"/>
      <c r="V507" s="21"/>
      <c r="W507" s="21"/>
      <c r="X507" s="21"/>
      <c r="Y507" s="260"/>
      <c r="Z507" s="177"/>
      <c r="AA507" s="177"/>
      <c r="AB507" s="61"/>
      <c r="AC507" s="64"/>
      <c r="AD507" s="50"/>
      <c r="AE507" s="50"/>
      <c r="AF507" s="19"/>
      <c r="AG507" s="120"/>
      <c r="AH507" s="119"/>
      <c r="AI507" s="1"/>
      <c r="AJ507" s="21"/>
      <c r="AK507" s="21"/>
      <c r="AL507" s="21"/>
      <c r="AM507" s="21"/>
      <c r="AN507" s="21"/>
      <c r="AO507" s="21"/>
      <c r="AP507" s="53"/>
    </row>
    <row r="508" spans="1:42" s="308" customFormat="1" x14ac:dyDescent="0.2">
      <c r="A508" s="48"/>
      <c r="B508" s="306"/>
      <c r="C508" s="233"/>
      <c r="D508" s="233"/>
      <c r="E508" s="53"/>
      <c r="F508" s="13"/>
      <c r="G508" s="13"/>
      <c r="H508" s="53"/>
      <c r="I508" s="298"/>
      <c r="J508" s="21"/>
      <c r="K508" s="21"/>
      <c r="L508" s="13"/>
      <c r="M508" s="50"/>
      <c r="N508" s="97"/>
      <c r="O508" s="50"/>
      <c r="P508" s="50"/>
      <c r="Q508" s="316"/>
      <c r="R508" s="285"/>
      <c r="S508" s="21"/>
      <c r="T508" s="13"/>
      <c r="U508" s="13"/>
      <c r="V508" s="21"/>
      <c r="W508" s="21"/>
      <c r="X508" s="21"/>
      <c r="Y508" s="260"/>
      <c r="Z508" s="177"/>
      <c r="AA508" s="177"/>
      <c r="AB508" s="61"/>
      <c r="AC508" s="64"/>
      <c r="AD508" s="50"/>
      <c r="AE508" s="50"/>
      <c r="AF508" s="19"/>
      <c r="AG508" s="120"/>
      <c r="AH508" s="119"/>
      <c r="AI508" s="1"/>
      <c r="AJ508" s="21"/>
      <c r="AK508" s="21"/>
      <c r="AL508" s="21"/>
      <c r="AM508" s="21"/>
      <c r="AN508" s="21"/>
      <c r="AO508" s="21"/>
      <c r="AP508" s="53"/>
    </row>
    <row r="509" spans="1:42" s="308" customFormat="1" x14ac:dyDescent="0.2">
      <c r="A509" s="48"/>
      <c r="B509" s="306"/>
      <c r="C509" s="233"/>
      <c r="D509" s="233"/>
      <c r="E509" s="53"/>
      <c r="F509" s="13"/>
      <c r="G509" s="13"/>
      <c r="H509" s="53"/>
      <c r="I509" s="298"/>
      <c r="J509" s="21"/>
      <c r="K509" s="21"/>
      <c r="L509" s="13"/>
      <c r="M509" s="50"/>
      <c r="N509" s="97"/>
      <c r="O509" s="50"/>
      <c r="P509" s="50"/>
      <c r="Q509" s="316"/>
      <c r="R509" s="285"/>
      <c r="S509" s="21"/>
      <c r="T509" s="13"/>
      <c r="U509" s="13"/>
      <c r="V509" s="21"/>
      <c r="W509" s="21"/>
      <c r="X509" s="21"/>
      <c r="Y509" s="260"/>
      <c r="Z509" s="177"/>
      <c r="AA509" s="177"/>
      <c r="AB509" s="61"/>
      <c r="AC509" s="64"/>
      <c r="AD509" s="50"/>
      <c r="AE509" s="50"/>
      <c r="AF509" s="19"/>
      <c r="AG509" s="120"/>
      <c r="AH509" s="119"/>
      <c r="AI509" s="1"/>
      <c r="AJ509" s="21"/>
      <c r="AK509" s="21"/>
      <c r="AL509" s="21"/>
      <c r="AM509" s="21"/>
      <c r="AN509" s="21"/>
      <c r="AO509" s="21"/>
      <c r="AP509" s="53"/>
    </row>
    <row r="510" spans="1:42" s="308" customFormat="1" x14ac:dyDescent="0.2">
      <c r="A510" s="48"/>
      <c r="B510" s="306"/>
      <c r="C510" s="233"/>
      <c r="D510" s="233"/>
      <c r="E510" s="53"/>
      <c r="F510" s="13"/>
      <c r="G510" s="13"/>
      <c r="H510" s="53"/>
      <c r="I510" s="298"/>
      <c r="J510" s="21"/>
      <c r="K510" s="21"/>
      <c r="L510" s="13"/>
      <c r="M510" s="50"/>
      <c r="N510" s="97"/>
      <c r="O510" s="50"/>
      <c r="P510" s="50"/>
      <c r="Q510" s="316"/>
      <c r="R510" s="285"/>
      <c r="S510" s="21"/>
      <c r="T510" s="13"/>
      <c r="U510" s="13"/>
      <c r="V510" s="21"/>
      <c r="W510" s="21"/>
      <c r="X510" s="21"/>
      <c r="Y510" s="260"/>
      <c r="Z510" s="177"/>
      <c r="AA510" s="177"/>
      <c r="AB510" s="61"/>
      <c r="AC510" s="64"/>
      <c r="AD510" s="50"/>
      <c r="AE510" s="50"/>
      <c r="AF510" s="19"/>
      <c r="AG510" s="120"/>
      <c r="AH510" s="119"/>
      <c r="AI510" s="1"/>
      <c r="AJ510" s="21"/>
      <c r="AK510" s="21"/>
      <c r="AL510" s="21"/>
      <c r="AM510" s="21"/>
      <c r="AN510" s="21"/>
      <c r="AO510" s="21"/>
      <c r="AP510" s="53"/>
    </row>
    <row r="511" spans="1:42" s="308" customFormat="1" x14ac:dyDescent="0.2">
      <c r="A511" s="48"/>
      <c r="B511" s="306"/>
      <c r="C511" s="233"/>
      <c r="D511" s="233"/>
      <c r="E511" s="53"/>
      <c r="F511" s="13"/>
      <c r="G511" s="13"/>
      <c r="H511" s="53"/>
      <c r="I511" s="298"/>
      <c r="J511" s="21"/>
      <c r="K511" s="21"/>
      <c r="L511" s="13"/>
      <c r="M511" s="50"/>
      <c r="N511" s="97"/>
      <c r="O511" s="50"/>
      <c r="P511" s="50"/>
      <c r="Q511" s="316"/>
      <c r="R511" s="285"/>
      <c r="S511" s="21"/>
      <c r="T511" s="13"/>
      <c r="U511" s="13"/>
      <c r="V511" s="21"/>
      <c r="W511" s="21"/>
      <c r="X511" s="21"/>
      <c r="Y511" s="260"/>
      <c r="Z511" s="177"/>
      <c r="AA511" s="177"/>
      <c r="AB511" s="61"/>
      <c r="AC511" s="64"/>
      <c r="AD511" s="50"/>
      <c r="AE511" s="50"/>
      <c r="AF511" s="19"/>
      <c r="AG511" s="120"/>
      <c r="AH511" s="119"/>
      <c r="AI511" s="1"/>
      <c r="AJ511" s="21"/>
      <c r="AK511" s="21"/>
      <c r="AL511" s="21"/>
      <c r="AM511" s="21"/>
      <c r="AN511" s="21"/>
      <c r="AO511" s="21"/>
      <c r="AP511" s="53"/>
    </row>
    <row r="512" spans="1:42" s="308" customFormat="1" x14ac:dyDescent="0.2">
      <c r="A512" s="48"/>
      <c r="B512" s="306"/>
      <c r="C512" s="233"/>
      <c r="D512" s="233"/>
      <c r="E512" s="53"/>
      <c r="F512" s="13"/>
      <c r="G512" s="13"/>
      <c r="H512" s="53"/>
      <c r="I512" s="298"/>
      <c r="J512" s="21"/>
      <c r="K512" s="21"/>
      <c r="L512" s="13"/>
      <c r="M512" s="50"/>
      <c r="N512" s="97"/>
      <c r="O512" s="50"/>
      <c r="P512" s="50"/>
      <c r="Q512" s="316"/>
      <c r="R512" s="285"/>
      <c r="S512" s="21"/>
      <c r="T512" s="13"/>
      <c r="U512" s="13"/>
      <c r="V512" s="21"/>
      <c r="W512" s="21"/>
      <c r="X512" s="21"/>
      <c r="Y512" s="260"/>
      <c r="Z512" s="177"/>
      <c r="AA512" s="177"/>
      <c r="AB512" s="61"/>
      <c r="AC512" s="64"/>
      <c r="AD512" s="50"/>
      <c r="AE512" s="50"/>
      <c r="AF512" s="19"/>
      <c r="AG512" s="120"/>
      <c r="AH512" s="119"/>
      <c r="AI512" s="1"/>
      <c r="AJ512" s="21"/>
      <c r="AK512" s="21"/>
      <c r="AL512" s="21"/>
      <c r="AM512" s="21"/>
      <c r="AN512" s="21"/>
      <c r="AO512" s="21"/>
      <c r="AP512" s="53"/>
    </row>
    <row r="513" spans="1:42" s="308" customFormat="1" x14ac:dyDescent="0.2">
      <c r="A513" s="48"/>
      <c r="B513" s="306"/>
      <c r="C513" s="233"/>
      <c r="D513" s="233"/>
      <c r="E513" s="53"/>
      <c r="F513" s="13"/>
      <c r="G513" s="13"/>
      <c r="H513" s="53"/>
      <c r="I513" s="298"/>
      <c r="J513" s="21"/>
      <c r="K513" s="21"/>
      <c r="L513" s="13"/>
      <c r="M513" s="50"/>
      <c r="N513" s="97"/>
      <c r="O513" s="50"/>
      <c r="P513" s="50"/>
      <c r="Q513" s="316"/>
      <c r="R513" s="285"/>
      <c r="S513" s="21"/>
      <c r="T513" s="13"/>
      <c r="U513" s="13"/>
      <c r="V513" s="21"/>
      <c r="W513" s="21"/>
      <c r="X513" s="21"/>
      <c r="Y513" s="260"/>
      <c r="Z513" s="177"/>
      <c r="AA513" s="177"/>
      <c r="AB513" s="61"/>
      <c r="AC513" s="64"/>
      <c r="AD513" s="50"/>
      <c r="AE513" s="50"/>
      <c r="AF513" s="19"/>
      <c r="AG513" s="120"/>
      <c r="AH513" s="119"/>
      <c r="AI513" s="1"/>
      <c r="AJ513" s="21"/>
      <c r="AK513" s="21"/>
      <c r="AL513" s="21"/>
      <c r="AM513" s="21"/>
      <c r="AN513" s="21"/>
      <c r="AO513" s="21"/>
      <c r="AP513" s="53"/>
    </row>
    <row r="514" spans="1:42" s="308" customFormat="1" x14ac:dyDescent="0.2">
      <c r="A514" s="48"/>
      <c r="B514" s="306"/>
      <c r="C514" s="233"/>
      <c r="D514" s="233"/>
      <c r="E514" s="53"/>
      <c r="F514" s="13"/>
      <c r="G514" s="13"/>
      <c r="H514" s="53"/>
      <c r="I514" s="298"/>
      <c r="J514" s="21"/>
      <c r="K514" s="21"/>
      <c r="L514" s="13"/>
      <c r="M514" s="50"/>
      <c r="N514" s="97"/>
      <c r="O514" s="50"/>
      <c r="P514" s="50"/>
      <c r="Q514" s="316"/>
      <c r="R514" s="285"/>
      <c r="S514" s="21"/>
      <c r="T514" s="13"/>
      <c r="U514" s="13"/>
      <c r="V514" s="21"/>
      <c r="W514" s="21"/>
      <c r="X514" s="21"/>
      <c r="Y514" s="260"/>
      <c r="Z514" s="177"/>
      <c r="AA514" s="177"/>
      <c r="AB514" s="61"/>
      <c r="AC514" s="64"/>
      <c r="AD514" s="50"/>
      <c r="AE514" s="50"/>
      <c r="AF514" s="19"/>
      <c r="AG514" s="120"/>
      <c r="AH514" s="119"/>
      <c r="AI514" s="1"/>
      <c r="AJ514" s="21"/>
      <c r="AK514" s="21"/>
      <c r="AL514" s="21"/>
      <c r="AM514" s="21"/>
      <c r="AN514" s="21"/>
      <c r="AO514" s="21"/>
      <c r="AP514" s="53"/>
    </row>
    <row r="515" spans="1:42" s="308" customFormat="1" x14ac:dyDescent="0.2">
      <c r="A515" s="48"/>
      <c r="B515" s="306"/>
      <c r="C515" s="233"/>
      <c r="D515" s="233"/>
      <c r="E515" s="53"/>
      <c r="F515" s="13"/>
      <c r="G515" s="13"/>
      <c r="H515" s="53"/>
      <c r="I515" s="298"/>
      <c r="J515" s="21"/>
      <c r="K515" s="21"/>
      <c r="L515" s="13"/>
      <c r="M515" s="50"/>
      <c r="N515" s="97"/>
      <c r="O515" s="50"/>
      <c r="P515" s="50"/>
      <c r="Q515" s="316"/>
      <c r="R515" s="285"/>
      <c r="S515" s="21"/>
      <c r="T515" s="13"/>
      <c r="U515" s="13"/>
      <c r="V515" s="21"/>
      <c r="W515" s="21"/>
      <c r="X515" s="21"/>
      <c r="Y515" s="260"/>
      <c r="Z515" s="177"/>
      <c r="AA515" s="177"/>
      <c r="AB515" s="61"/>
      <c r="AC515" s="64"/>
      <c r="AD515" s="50"/>
      <c r="AE515" s="50"/>
      <c r="AF515" s="19"/>
      <c r="AG515" s="120"/>
      <c r="AH515" s="119"/>
      <c r="AI515" s="1"/>
      <c r="AJ515" s="21"/>
      <c r="AK515" s="21"/>
      <c r="AL515" s="21"/>
      <c r="AM515" s="21"/>
      <c r="AN515" s="21"/>
      <c r="AO515" s="21"/>
      <c r="AP515" s="53"/>
    </row>
    <row r="516" spans="1:42" s="308" customFormat="1" x14ac:dyDescent="0.2">
      <c r="A516" s="48"/>
      <c r="B516" s="306"/>
      <c r="C516" s="233"/>
      <c r="D516" s="233"/>
      <c r="E516" s="53"/>
      <c r="F516" s="13"/>
      <c r="G516" s="13"/>
      <c r="H516" s="53"/>
      <c r="I516" s="298"/>
      <c r="J516" s="21"/>
      <c r="K516" s="21"/>
      <c r="L516" s="13"/>
      <c r="M516" s="50"/>
      <c r="N516" s="97"/>
      <c r="O516" s="50"/>
      <c r="P516" s="50"/>
      <c r="Q516" s="316"/>
      <c r="R516" s="285"/>
      <c r="S516" s="21"/>
      <c r="T516" s="13"/>
      <c r="U516" s="13"/>
      <c r="V516" s="21"/>
      <c r="W516" s="21"/>
      <c r="X516" s="21"/>
      <c r="Y516" s="260"/>
      <c r="Z516" s="177"/>
      <c r="AA516" s="177"/>
      <c r="AB516" s="61"/>
      <c r="AC516" s="64"/>
      <c r="AD516" s="50"/>
      <c r="AE516" s="50"/>
      <c r="AF516" s="19"/>
      <c r="AG516" s="120"/>
      <c r="AH516" s="119"/>
      <c r="AI516" s="1"/>
      <c r="AJ516" s="21"/>
      <c r="AK516" s="21"/>
      <c r="AL516" s="21"/>
      <c r="AM516" s="21"/>
      <c r="AN516" s="21"/>
      <c r="AO516" s="21"/>
      <c r="AP516" s="53"/>
    </row>
    <row r="517" spans="1:42" s="308" customFormat="1" x14ac:dyDescent="0.2">
      <c r="A517" s="48"/>
      <c r="B517" s="306"/>
      <c r="C517" s="233"/>
      <c r="D517" s="233"/>
      <c r="E517" s="53"/>
      <c r="F517" s="13"/>
      <c r="G517" s="13"/>
      <c r="H517" s="53"/>
      <c r="I517" s="298"/>
      <c r="J517" s="21"/>
      <c r="K517" s="21"/>
      <c r="L517" s="13"/>
      <c r="M517" s="50"/>
      <c r="N517" s="97"/>
      <c r="O517" s="50"/>
      <c r="P517" s="50"/>
      <c r="Q517" s="316"/>
      <c r="R517" s="285"/>
      <c r="S517" s="21"/>
      <c r="T517" s="13"/>
      <c r="U517" s="13"/>
      <c r="V517" s="21"/>
      <c r="W517" s="21"/>
      <c r="X517" s="21"/>
      <c r="Y517" s="260"/>
      <c r="Z517" s="177"/>
      <c r="AA517" s="177"/>
      <c r="AB517" s="61"/>
      <c r="AC517" s="64"/>
      <c r="AD517" s="50"/>
      <c r="AE517" s="50"/>
      <c r="AF517" s="19"/>
      <c r="AG517" s="120"/>
      <c r="AH517" s="119"/>
      <c r="AI517" s="1"/>
      <c r="AJ517" s="21"/>
      <c r="AK517" s="21"/>
      <c r="AL517" s="21"/>
      <c r="AM517" s="21"/>
      <c r="AN517" s="21"/>
      <c r="AO517" s="21"/>
      <c r="AP517" s="53"/>
    </row>
    <row r="518" spans="1:42" s="308" customFormat="1" x14ac:dyDescent="0.2">
      <c r="A518" s="48"/>
      <c r="B518" s="306"/>
      <c r="C518" s="233"/>
      <c r="D518" s="233"/>
      <c r="E518" s="53"/>
      <c r="F518" s="13"/>
      <c r="G518" s="13"/>
      <c r="H518" s="53"/>
      <c r="I518" s="298"/>
      <c r="J518" s="21"/>
      <c r="K518" s="21"/>
      <c r="L518" s="13"/>
      <c r="M518" s="50"/>
      <c r="N518" s="97"/>
      <c r="O518" s="50"/>
      <c r="P518" s="50"/>
      <c r="Q518" s="316"/>
      <c r="R518" s="285"/>
      <c r="S518" s="21"/>
      <c r="T518" s="13"/>
      <c r="U518" s="13"/>
      <c r="V518" s="21"/>
      <c r="W518" s="21"/>
      <c r="X518" s="21"/>
      <c r="Y518" s="260"/>
      <c r="Z518" s="177"/>
      <c r="AA518" s="177"/>
      <c r="AB518" s="61"/>
      <c r="AC518" s="64"/>
      <c r="AD518" s="50"/>
      <c r="AE518" s="50"/>
      <c r="AF518" s="19"/>
      <c r="AG518" s="120"/>
      <c r="AH518" s="119"/>
      <c r="AI518" s="1"/>
      <c r="AJ518" s="21"/>
      <c r="AK518" s="21"/>
      <c r="AL518" s="21"/>
      <c r="AM518" s="21"/>
      <c r="AN518" s="21"/>
      <c r="AO518" s="21"/>
      <c r="AP518" s="53"/>
    </row>
    <row r="519" spans="1:42" s="308" customFormat="1" x14ac:dyDescent="0.2">
      <c r="A519" s="48"/>
      <c r="B519" s="306"/>
      <c r="C519" s="233"/>
      <c r="D519" s="233"/>
      <c r="E519" s="53"/>
      <c r="F519" s="13"/>
      <c r="G519" s="13"/>
      <c r="H519" s="53"/>
      <c r="I519" s="298"/>
      <c r="J519" s="21"/>
      <c r="K519" s="21"/>
      <c r="L519" s="13"/>
      <c r="M519" s="50"/>
      <c r="N519" s="97"/>
      <c r="O519" s="50"/>
      <c r="P519" s="50"/>
      <c r="Q519" s="316"/>
      <c r="R519" s="285"/>
      <c r="S519" s="21"/>
      <c r="T519" s="13"/>
      <c r="U519" s="13"/>
      <c r="V519" s="21"/>
      <c r="W519" s="21"/>
      <c r="X519" s="21"/>
      <c r="Y519" s="260"/>
      <c r="Z519" s="177"/>
      <c r="AA519" s="177"/>
      <c r="AB519" s="61"/>
      <c r="AC519" s="64"/>
      <c r="AD519" s="50"/>
      <c r="AE519" s="50"/>
      <c r="AF519" s="19"/>
      <c r="AG519" s="120"/>
      <c r="AH519" s="119"/>
      <c r="AI519" s="1"/>
      <c r="AJ519" s="21"/>
      <c r="AK519" s="21"/>
      <c r="AL519" s="21"/>
      <c r="AM519" s="21"/>
      <c r="AN519" s="21"/>
      <c r="AO519" s="21"/>
      <c r="AP519" s="53"/>
    </row>
    <row r="520" spans="1:42" s="308" customFormat="1" x14ac:dyDescent="0.2">
      <c r="A520" s="48"/>
      <c r="B520" s="306"/>
      <c r="C520" s="233"/>
      <c r="D520" s="233"/>
      <c r="E520" s="53"/>
      <c r="F520" s="13"/>
      <c r="G520" s="13"/>
      <c r="H520" s="53"/>
      <c r="I520" s="298"/>
      <c r="J520" s="21"/>
      <c r="K520" s="21"/>
      <c r="L520" s="13"/>
      <c r="M520" s="50"/>
      <c r="N520" s="97"/>
      <c r="O520" s="50"/>
      <c r="P520" s="50"/>
      <c r="Q520" s="316"/>
      <c r="R520" s="285"/>
      <c r="S520" s="21"/>
      <c r="T520" s="13"/>
      <c r="U520" s="13"/>
      <c r="V520" s="21"/>
      <c r="W520" s="21"/>
      <c r="X520" s="21"/>
      <c r="Y520" s="260"/>
      <c r="Z520" s="177"/>
      <c r="AA520" s="177"/>
      <c r="AB520" s="61"/>
      <c r="AC520" s="64"/>
      <c r="AD520" s="50"/>
      <c r="AE520" s="50"/>
      <c r="AF520" s="19"/>
      <c r="AG520" s="120"/>
      <c r="AH520" s="119"/>
      <c r="AI520" s="1"/>
      <c r="AJ520" s="21"/>
      <c r="AK520" s="21"/>
      <c r="AL520" s="21"/>
      <c r="AM520" s="21"/>
      <c r="AN520" s="21"/>
      <c r="AO520" s="21"/>
      <c r="AP520" s="53"/>
    </row>
    <row r="521" spans="1:42" s="308" customFormat="1" x14ac:dyDescent="0.2">
      <c r="A521" s="48"/>
      <c r="B521" s="306"/>
      <c r="C521" s="233"/>
      <c r="D521" s="233"/>
      <c r="E521" s="53"/>
      <c r="F521" s="13"/>
      <c r="G521" s="13"/>
      <c r="H521" s="53"/>
      <c r="I521" s="298"/>
      <c r="J521" s="21"/>
      <c r="K521" s="21"/>
      <c r="L521" s="13"/>
      <c r="M521" s="50"/>
      <c r="N521" s="97"/>
      <c r="O521" s="50"/>
      <c r="P521" s="50"/>
      <c r="Q521" s="316"/>
      <c r="R521" s="285"/>
      <c r="S521" s="21"/>
      <c r="T521" s="13"/>
      <c r="U521" s="13"/>
      <c r="V521" s="21"/>
      <c r="W521" s="21"/>
      <c r="X521" s="21"/>
      <c r="Y521" s="260"/>
      <c r="Z521" s="177"/>
      <c r="AA521" s="177"/>
      <c r="AB521" s="61"/>
      <c r="AC521" s="64"/>
      <c r="AD521" s="50"/>
      <c r="AE521" s="50"/>
      <c r="AF521" s="19"/>
      <c r="AG521" s="120"/>
      <c r="AH521" s="119"/>
      <c r="AI521" s="1"/>
      <c r="AJ521" s="21"/>
      <c r="AK521" s="21"/>
      <c r="AL521" s="21"/>
      <c r="AM521" s="21"/>
      <c r="AN521" s="21"/>
      <c r="AO521" s="21"/>
      <c r="AP521" s="53"/>
    </row>
    <row r="522" spans="1:42" s="308" customFormat="1" x14ac:dyDescent="0.2">
      <c r="A522" s="48"/>
      <c r="B522" s="306"/>
      <c r="C522" s="233"/>
      <c r="D522" s="233"/>
      <c r="E522" s="53"/>
      <c r="F522" s="13"/>
      <c r="G522" s="13"/>
      <c r="H522" s="53"/>
      <c r="I522" s="298"/>
      <c r="J522" s="21"/>
      <c r="K522" s="21"/>
      <c r="L522" s="13"/>
      <c r="M522" s="50"/>
      <c r="N522" s="97"/>
      <c r="O522" s="50"/>
      <c r="P522" s="50"/>
      <c r="Q522" s="316"/>
      <c r="R522" s="285"/>
      <c r="S522" s="21"/>
      <c r="T522" s="13"/>
      <c r="U522" s="13"/>
      <c r="V522" s="21"/>
      <c r="W522" s="21"/>
      <c r="X522" s="21"/>
      <c r="Y522" s="260"/>
      <c r="Z522" s="177"/>
      <c r="AA522" s="177"/>
      <c r="AB522" s="61"/>
      <c r="AC522" s="64"/>
      <c r="AD522" s="50"/>
      <c r="AE522" s="50"/>
      <c r="AF522" s="19"/>
      <c r="AG522" s="120"/>
      <c r="AH522" s="119"/>
      <c r="AI522" s="1"/>
      <c r="AJ522" s="21"/>
      <c r="AK522" s="21"/>
      <c r="AL522" s="21"/>
      <c r="AM522" s="21"/>
      <c r="AN522" s="21"/>
      <c r="AO522" s="21"/>
      <c r="AP522" s="53"/>
    </row>
    <row r="523" spans="1:42" s="308" customFormat="1" x14ac:dyDescent="0.2">
      <c r="A523" s="48"/>
      <c r="B523" s="306"/>
      <c r="C523" s="233"/>
      <c r="D523" s="233"/>
      <c r="E523" s="53"/>
      <c r="F523" s="13"/>
      <c r="G523" s="13"/>
      <c r="H523" s="53"/>
      <c r="I523" s="298"/>
      <c r="J523" s="21"/>
      <c r="K523" s="21"/>
      <c r="L523" s="13"/>
      <c r="M523" s="50"/>
      <c r="N523" s="97"/>
      <c r="O523" s="50"/>
      <c r="P523" s="50"/>
      <c r="Q523" s="316"/>
      <c r="R523" s="285"/>
      <c r="S523" s="21"/>
      <c r="T523" s="13"/>
      <c r="U523" s="13"/>
      <c r="V523" s="21"/>
      <c r="W523" s="21"/>
      <c r="X523" s="21"/>
      <c r="Y523" s="260"/>
      <c r="Z523" s="177"/>
      <c r="AA523" s="177"/>
      <c r="AB523" s="61"/>
      <c r="AC523" s="64"/>
      <c r="AD523" s="50"/>
      <c r="AE523" s="50"/>
      <c r="AF523" s="19"/>
      <c r="AG523" s="120"/>
      <c r="AH523" s="119"/>
      <c r="AI523" s="1"/>
      <c r="AJ523" s="21"/>
      <c r="AK523" s="21"/>
      <c r="AL523" s="21"/>
      <c r="AM523" s="21"/>
      <c r="AN523" s="21"/>
      <c r="AO523" s="21"/>
      <c r="AP523" s="53"/>
    </row>
    <row r="524" spans="1:42" s="308" customFormat="1" x14ac:dyDescent="0.2">
      <c r="A524" s="48"/>
      <c r="B524" s="306"/>
      <c r="C524" s="233"/>
      <c r="D524" s="233"/>
      <c r="E524" s="53"/>
      <c r="F524" s="13"/>
      <c r="G524" s="13"/>
      <c r="H524" s="53"/>
      <c r="I524" s="298"/>
      <c r="J524" s="21"/>
      <c r="K524" s="21"/>
      <c r="L524" s="13"/>
      <c r="M524" s="50"/>
      <c r="N524" s="97"/>
      <c r="O524" s="50"/>
      <c r="P524" s="50"/>
      <c r="Q524" s="316"/>
      <c r="R524" s="285"/>
      <c r="S524" s="21"/>
      <c r="T524" s="13"/>
      <c r="U524" s="13"/>
      <c r="V524" s="21"/>
      <c r="W524" s="21"/>
      <c r="X524" s="21"/>
      <c r="Y524" s="260"/>
      <c r="Z524" s="177"/>
      <c r="AA524" s="177"/>
      <c r="AB524" s="61"/>
      <c r="AC524" s="64"/>
      <c r="AD524" s="50"/>
      <c r="AE524" s="50"/>
      <c r="AF524" s="19"/>
      <c r="AG524" s="120"/>
      <c r="AH524" s="119"/>
      <c r="AI524" s="1"/>
      <c r="AJ524" s="21"/>
      <c r="AK524" s="21"/>
      <c r="AL524" s="21"/>
      <c r="AM524" s="21"/>
      <c r="AN524" s="21"/>
      <c r="AO524" s="21"/>
      <c r="AP524" s="53"/>
    </row>
    <row r="525" spans="1:42" s="308" customFormat="1" x14ac:dyDescent="0.2">
      <c r="A525" s="48"/>
      <c r="B525" s="306"/>
      <c r="C525" s="233"/>
      <c r="D525" s="233"/>
      <c r="E525" s="53"/>
      <c r="F525" s="13"/>
      <c r="G525" s="13"/>
      <c r="H525" s="53"/>
      <c r="I525" s="298"/>
      <c r="J525" s="21"/>
      <c r="K525" s="21"/>
      <c r="L525" s="13"/>
      <c r="M525" s="50"/>
      <c r="N525" s="97"/>
      <c r="O525" s="50"/>
      <c r="P525" s="50"/>
      <c r="Q525" s="316"/>
      <c r="R525" s="285"/>
      <c r="S525" s="21"/>
      <c r="T525" s="13"/>
      <c r="U525" s="13"/>
      <c r="V525" s="21"/>
      <c r="W525" s="21"/>
      <c r="X525" s="21"/>
      <c r="Y525" s="260"/>
      <c r="Z525" s="177"/>
      <c r="AA525" s="177"/>
      <c r="AB525" s="61"/>
      <c r="AC525" s="64"/>
      <c r="AD525" s="50"/>
      <c r="AE525" s="50"/>
      <c r="AF525" s="19"/>
      <c r="AG525" s="120"/>
      <c r="AH525" s="119"/>
      <c r="AI525" s="1"/>
      <c r="AJ525" s="21"/>
      <c r="AK525" s="21"/>
      <c r="AL525" s="21"/>
      <c r="AM525" s="21"/>
      <c r="AN525" s="21"/>
      <c r="AO525" s="21"/>
      <c r="AP525" s="53"/>
    </row>
    <row r="526" spans="1:42" s="308" customFormat="1" x14ac:dyDescent="0.2">
      <c r="A526" s="48"/>
      <c r="B526" s="306"/>
      <c r="C526" s="233"/>
      <c r="D526" s="233"/>
      <c r="E526" s="53"/>
      <c r="F526" s="13"/>
      <c r="G526" s="13"/>
      <c r="H526" s="53"/>
      <c r="I526" s="298"/>
      <c r="J526" s="21"/>
      <c r="K526" s="21"/>
      <c r="L526" s="13"/>
      <c r="M526" s="50"/>
      <c r="N526" s="97"/>
      <c r="O526" s="50"/>
      <c r="P526" s="50"/>
      <c r="Q526" s="316"/>
      <c r="R526" s="285"/>
      <c r="S526" s="21"/>
      <c r="T526" s="13"/>
      <c r="U526" s="13"/>
      <c r="V526" s="21"/>
      <c r="W526" s="21"/>
      <c r="X526" s="21"/>
      <c r="Y526" s="260"/>
      <c r="Z526" s="177"/>
      <c r="AA526" s="177"/>
      <c r="AB526" s="61"/>
      <c r="AC526" s="64"/>
      <c r="AD526" s="50"/>
      <c r="AE526" s="50"/>
      <c r="AF526" s="19"/>
      <c r="AG526" s="120"/>
      <c r="AH526" s="119"/>
      <c r="AI526" s="1"/>
      <c r="AJ526" s="21"/>
      <c r="AK526" s="21"/>
      <c r="AL526" s="21"/>
      <c r="AM526" s="21"/>
      <c r="AN526" s="21"/>
      <c r="AO526" s="21"/>
      <c r="AP526" s="53"/>
    </row>
    <row r="527" spans="1:42" s="308" customFormat="1" x14ac:dyDescent="0.2">
      <c r="A527" s="48"/>
      <c r="B527" s="306"/>
      <c r="C527" s="233"/>
      <c r="D527" s="233"/>
      <c r="E527" s="53"/>
      <c r="F527" s="13"/>
      <c r="G527" s="13"/>
      <c r="H527" s="53"/>
      <c r="I527" s="298"/>
      <c r="J527" s="21"/>
      <c r="K527" s="21"/>
      <c r="L527" s="13"/>
      <c r="M527" s="50"/>
      <c r="N527" s="97"/>
      <c r="O527" s="50"/>
      <c r="P527" s="50"/>
      <c r="Q527" s="316"/>
      <c r="R527" s="285"/>
      <c r="S527" s="21"/>
      <c r="T527" s="13"/>
      <c r="U527" s="13"/>
      <c r="V527" s="21"/>
      <c r="W527" s="21"/>
      <c r="X527" s="21"/>
      <c r="Y527" s="260"/>
      <c r="Z527" s="177"/>
      <c r="AA527" s="177"/>
      <c r="AB527" s="61"/>
      <c r="AC527" s="64"/>
      <c r="AD527" s="50"/>
      <c r="AE527" s="50"/>
      <c r="AF527" s="19"/>
      <c r="AG527" s="120"/>
      <c r="AH527" s="119"/>
      <c r="AI527" s="1"/>
      <c r="AJ527" s="21"/>
      <c r="AK527" s="21"/>
      <c r="AL527" s="21"/>
      <c r="AM527" s="21"/>
      <c r="AN527" s="21"/>
      <c r="AO527" s="21"/>
    </row>
    <row r="528" spans="1:42" s="308" customFormat="1" x14ac:dyDescent="0.2">
      <c r="A528" s="48"/>
      <c r="B528" s="306"/>
      <c r="C528" s="233"/>
      <c r="D528" s="233"/>
      <c r="E528" s="53"/>
      <c r="F528" s="13"/>
      <c r="G528" s="13"/>
      <c r="H528" s="53"/>
      <c r="I528" s="298"/>
      <c r="J528" s="21"/>
      <c r="K528" s="21"/>
      <c r="L528" s="13"/>
      <c r="M528" s="50"/>
      <c r="N528" s="97"/>
      <c r="O528" s="50"/>
      <c r="P528" s="50"/>
      <c r="Q528" s="316"/>
      <c r="R528" s="285"/>
      <c r="S528" s="21"/>
      <c r="T528" s="13"/>
      <c r="U528" s="13"/>
      <c r="V528" s="21"/>
      <c r="W528" s="21"/>
      <c r="X528" s="21"/>
      <c r="Y528" s="260"/>
      <c r="Z528" s="177"/>
      <c r="AA528" s="177"/>
      <c r="AB528" s="61"/>
      <c r="AC528" s="64"/>
      <c r="AD528" s="50"/>
      <c r="AE528" s="50"/>
      <c r="AF528" s="19"/>
      <c r="AG528" s="120"/>
      <c r="AH528" s="119"/>
      <c r="AI528" s="1"/>
      <c r="AJ528" s="21"/>
      <c r="AK528" s="21"/>
      <c r="AL528" s="21"/>
      <c r="AM528" s="21"/>
      <c r="AN528" s="21"/>
      <c r="AO528" s="21"/>
    </row>
    <row r="529" spans="1:41" s="308" customFormat="1" x14ac:dyDescent="0.2">
      <c r="A529" s="48"/>
      <c r="B529" s="306"/>
      <c r="C529" s="233"/>
      <c r="D529" s="233"/>
      <c r="E529" s="53"/>
      <c r="F529" s="13"/>
      <c r="G529" s="13"/>
      <c r="H529" s="53"/>
      <c r="I529" s="298"/>
      <c r="J529" s="21"/>
      <c r="K529" s="21"/>
      <c r="L529" s="13"/>
      <c r="M529" s="50"/>
      <c r="N529" s="97"/>
      <c r="O529" s="50"/>
      <c r="P529" s="50"/>
      <c r="Q529" s="316"/>
      <c r="R529" s="285"/>
      <c r="S529" s="21"/>
      <c r="T529" s="13"/>
      <c r="U529" s="13"/>
      <c r="V529" s="21"/>
      <c r="W529" s="21"/>
      <c r="X529" s="21"/>
      <c r="Y529" s="260"/>
      <c r="Z529" s="177"/>
      <c r="AA529" s="177"/>
      <c r="AB529" s="61"/>
      <c r="AC529" s="64"/>
      <c r="AD529" s="50"/>
      <c r="AE529" s="50"/>
      <c r="AF529" s="19"/>
      <c r="AG529" s="120"/>
      <c r="AH529" s="119"/>
      <c r="AI529" s="1"/>
      <c r="AJ529" s="21"/>
      <c r="AK529" s="21"/>
      <c r="AL529" s="21"/>
      <c r="AM529" s="21"/>
      <c r="AN529" s="21"/>
      <c r="AO529" s="21"/>
    </row>
    <row r="530" spans="1:41" s="308" customFormat="1" x14ac:dyDescent="0.2">
      <c r="A530" s="48"/>
      <c r="B530" s="306"/>
      <c r="C530" s="233"/>
      <c r="D530" s="233"/>
      <c r="E530" s="53"/>
      <c r="F530" s="13"/>
      <c r="G530" s="13"/>
      <c r="H530" s="53"/>
      <c r="I530" s="298"/>
      <c r="J530" s="21"/>
      <c r="K530" s="21"/>
      <c r="L530" s="13"/>
      <c r="M530" s="50"/>
      <c r="N530" s="97"/>
      <c r="O530" s="50"/>
      <c r="P530" s="50"/>
      <c r="Q530" s="316"/>
      <c r="R530" s="285"/>
      <c r="S530" s="21"/>
      <c r="T530" s="13"/>
      <c r="U530" s="13"/>
      <c r="V530" s="21"/>
      <c r="W530" s="21"/>
      <c r="X530" s="21"/>
      <c r="Y530" s="260"/>
      <c r="Z530" s="177"/>
      <c r="AA530" s="177"/>
      <c r="AB530" s="61"/>
      <c r="AC530" s="64"/>
      <c r="AD530" s="50"/>
      <c r="AE530" s="50"/>
      <c r="AF530" s="19"/>
      <c r="AG530" s="120"/>
      <c r="AH530" s="119"/>
      <c r="AI530" s="1"/>
      <c r="AJ530" s="21"/>
      <c r="AK530" s="21"/>
      <c r="AL530" s="21"/>
      <c r="AM530" s="21"/>
      <c r="AN530" s="21"/>
      <c r="AO530" s="21"/>
    </row>
    <row r="531" spans="1:41" s="308" customFormat="1" x14ac:dyDescent="0.2">
      <c r="A531" s="48"/>
      <c r="B531" s="306"/>
      <c r="C531" s="233"/>
      <c r="D531" s="233"/>
      <c r="E531" s="53"/>
      <c r="F531" s="13"/>
      <c r="G531" s="13"/>
      <c r="H531" s="53"/>
      <c r="I531" s="298"/>
      <c r="J531" s="21"/>
      <c r="K531" s="21"/>
      <c r="L531" s="13"/>
      <c r="M531" s="50"/>
      <c r="N531" s="97"/>
      <c r="O531" s="50"/>
      <c r="P531" s="50"/>
      <c r="Q531" s="316"/>
      <c r="R531" s="285"/>
      <c r="S531" s="21"/>
      <c r="T531" s="13"/>
      <c r="U531" s="13"/>
      <c r="V531" s="21"/>
      <c r="W531" s="21"/>
      <c r="X531" s="21"/>
      <c r="Y531" s="260"/>
      <c r="Z531" s="177"/>
      <c r="AA531" s="177"/>
      <c r="AB531" s="61"/>
      <c r="AC531" s="64"/>
      <c r="AD531" s="50"/>
      <c r="AE531" s="50"/>
      <c r="AF531" s="19"/>
      <c r="AG531" s="120"/>
      <c r="AH531" s="119"/>
      <c r="AI531" s="1"/>
      <c r="AJ531" s="21"/>
      <c r="AK531" s="21"/>
      <c r="AL531" s="21"/>
      <c r="AM531" s="21"/>
      <c r="AN531" s="21"/>
      <c r="AO531" s="21"/>
    </row>
    <row r="532" spans="1:41" s="308" customFormat="1" x14ac:dyDescent="0.2">
      <c r="A532" s="48"/>
      <c r="B532" s="306"/>
      <c r="C532" s="233"/>
      <c r="D532" s="233"/>
      <c r="E532" s="53"/>
      <c r="F532" s="13"/>
      <c r="G532" s="13"/>
      <c r="H532" s="53"/>
      <c r="I532" s="298"/>
      <c r="J532" s="21"/>
      <c r="K532" s="21"/>
      <c r="L532" s="13"/>
      <c r="M532" s="50"/>
      <c r="N532" s="97"/>
      <c r="O532" s="50"/>
      <c r="P532" s="50"/>
      <c r="Q532" s="316"/>
      <c r="R532" s="285"/>
      <c r="S532" s="21"/>
      <c r="T532" s="13"/>
      <c r="U532" s="13"/>
      <c r="V532" s="21"/>
      <c r="W532" s="21"/>
      <c r="X532" s="21"/>
      <c r="Y532" s="260"/>
      <c r="Z532" s="177"/>
      <c r="AA532" s="177"/>
      <c r="AB532" s="61"/>
      <c r="AC532" s="64"/>
      <c r="AD532" s="50"/>
      <c r="AE532" s="50"/>
      <c r="AF532" s="19"/>
      <c r="AG532" s="120"/>
      <c r="AH532" s="119"/>
      <c r="AI532" s="1"/>
      <c r="AJ532" s="21"/>
      <c r="AK532" s="21"/>
      <c r="AL532" s="21"/>
      <c r="AM532" s="21"/>
      <c r="AN532" s="21"/>
      <c r="AO532" s="21"/>
    </row>
    <row r="533" spans="1:41" s="308" customFormat="1" x14ac:dyDescent="0.2">
      <c r="A533" s="48"/>
      <c r="B533" s="306"/>
      <c r="C533" s="233"/>
      <c r="D533" s="233"/>
      <c r="E533" s="53"/>
      <c r="F533" s="13"/>
      <c r="G533" s="13"/>
      <c r="H533" s="53"/>
      <c r="I533" s="298"/>
      <c r="J533" s="21"/>
      <c r="K533" s="21"/>
      <c r="L533" s="13"/>
      <c r="M533" s="50"/>
      <c r="N533" s="97"/>
      <c r="O533" s="50"/>
      <c r="P533" s="50"/>
      <c r="Q533" s="316"/>
      <c r="R533" s="285"/>
      <c r="S533" s="21"/>
      <c r="T533" s="13"/>
      <c r="U533" s="13"/>
      <c r="V533" s="21"/>
      <c r="W533" s="21"/>
      <c r="X533" s="21"/>
      <c r="Y533" s="260"/>
      <c r="Z533" s="177"/>
      <c r="AA533" s="177"/>
      <c r="AB533" s="61"/>
      <c r="AC533" s="64"/>
      <c r="AD533" s="50"/>
      <c r="AE533" s="50"/>
      <c r="AF533" s="19"/>
      <c r="AG533" s="120"/>
      <c r="AH533" s="119"/>
      <c r="AI533" s="1"/>
      <c r="AJ533" s="21"/>
      <c r="AK533" s="21"/>
      <c r="AL533" s="21"/>
      <c r="AM533" s="21"/>
      <c r="AN533" s="21"/>
      <c r="AO533" s="21"/>
    </row>
    <row r="534" spans="1:41" s="308" customFormat="1" x14ac:dyDescent="0.2">
      <c r="A534" s="48"/>
      <c r="B534" s="306"/>
      <c r="C534" s="233"/>
      <c r="D534" s="233"/>
      <c r="E534" s="53"/>
      <c r="F534" s="13"/>
      <c r="G534" s="13"/>
      <c r="H534" s="53"/>
      <c r="I534" s="298"/>
      <c r="J534" s="21"/>
      <c r="K534" s="21"/>
      <c r="L534" s="13"/>
      <c r="M534" s="50"/>
      <c r="N534" s="97"/>
      <c r="O534" s="50"/>
      <c r="P534" s="50"/>
      <c r="Q534" s="316"/>
      <c r="R534" s="285"/>
      <c r="S534" s="21"/>
      <c r="T534" s="13"/>
      <c r="U534" s="13"/>
      <c r="V534" s="21"/>
      <c r="W534" s="21"/>
      <c r="X534" s="21"/>
      <c r="Y534" s="260"/>
      <c r="Z534" s="177"/>
      <c r="AA534" s="177"/>
      <c r="AB534" s="61"/>
      <c r="AC534" s="64"/>
      <c r="AD534" s="50"/>
      <c r="AE534" s="50"/>
      <c r="AF534" s="19"/>
      <c r="AG534" s="120"/>
      <c r="AH534" s="119"/>
      <c r="AI534" s="1"/>
      <c r="AJ534" s="21"/>
      <c r="AK534" s="21"/>
      <c r="AL534" s="21"/>
      <c r="AM534" s="21"/>
      <c r="AN534" s="21"/>
      <c r="AO534" s="21"/>
    </row>
    <row r="535" spans="1:41" s="308" customFormat="1" x14ac:dyDescent="0.2">
      <c r="A535" s="48"/>
      <c r="B535" s="306"/>
      <c r="C535" s="233"/>
      <c r="D535" s="233"/>
      <c r="E535" s="53"/>
      <c r="F535" s="13"/>
      <c r="G535" s="13"/>
      <c r="H535" s="53"/>
      <c r="I535" s="298"/>
      <c r="J535" s="21"/>
      <c r="K535" s="21"/>
      <c r="L535" s="13"/>
      <c r="M535" s="50"/>
      <c r="N535" s="97"/>
      <c r="O535" s="50"/>
      <c r="P535" s="50"/>
      <c r="Q535" s="316"/>
      <c r="R535" s="285"/>
      <c r="S535" s="21"/>
      <c r="T535" s="13"/>
      <c r="U535" s="13"/>
      <c r="V535" s="21"/>
      <c r="W535" s="21"/>
      <c r="X535" s="21"/>
      <c r="Y535" s="260"/>
      <c r="Z535" s="177"/>
      <c r="AA535" s="177"/>
      <c r="AB535" s="61"/>
      <c r="AC535" s="64"/>
      <c r="AD535" s="50"/>
      <c r="AE535" s="50"/>
      <c r="AF535" s="19"/>
      <c r="AG535" s="120"/>
      <c r="AH535" s="119"/>
      <c r="AI535" s="1"/>
      <c r="AJ535" s="21"/>
      <c r="AK535" s="21"/>
      <c r="AL535" s="21"/>
      <c r="AM535" s="21"/>
      <c r="AN535" s="21"/>
      <c r="AO535" s="21"/>
    </row>
    <row r="536" spans="1:41" s="308" customFormat="1" x14ac:dyDescent="0.2">
      <c r="A536" s="48"/>
      <c r="B536" s="306"/>
      <c r="C536" s="233"/>
      <c r="D536" s="233"/>
      <c r="E536" s="53"/>
      <c r="F536" s="13"/>
      <c r="G536" s="13"/>
      <c r="H536" s="53"/>
      <c r="I536" s="298"/>
      <c r="J536" s="21"/>
      <c r="K536" s="21"/>
      <c r="L536" s="13"/>
      <c r="M536" s="50"/>
      <c r="N536" s="97"/>
      <c r="O536" s="50"/>
      <c r="P536" s="50"/>
      <c r="Q536" s="316"/>
      <c r="R536" s="285"/>
      <c r="S536" s="21"/>
      <c r="T536" s="13"/>
      <c r="U536" s="13"/>
      <c r="V536" s="21"/>
      <c r="W536" s="21"/>
      <c r="X536" s="21"/>
      <c r="Y536" s="260"/>
      <c r="Z536" s="177"/>
      <c r="AA536" s="177"/>
      <c r="AB536" s="61"/>
      <c r="AC536" s="64"/>
      <c r="AD536" s="50"/>
      <c r="AE536" s="50"/>
      <c r="AF536" s="19"/>
      <c r="AG536" s="120"/>
      <c r="AH536" s="119"/>
      <c r="AI536" s="1"/>
      <c r="AJ536" s="21"/>
      <c r="AK536" s="21"/>
      <c r="AL536" s="21"/>
      <c r="AM536" s="21"/>
      <c r="AN536" s="21"/>
      <c r="AO536" s="21"/>
    </row>
    <row r="537" spans="1:41" s="308" customFormat="1" x14ac:dyDescent="0.2">
      <c r="A537" s="48"/>
      <c r="B537" s="306"/>
      <c r="C537" s="233"/>
      <c r="D537" s="233"/>
      <c r="E537" s="53"/>
      <c r="F537" s="13"/>
      <c r="G537" s="13"/>
      <c r="H537" s="53"/>
      <c r="I537" s="298"/>
      <c r="J537" s="21"/>
      <c r="K537" s="21"/>
      <c r="L537" s="13"/>
      <c r="M537" s="50"/>
      <c r="N537" s="97"/>
      <c r="O537" s="50"/>
      <c r="P537" s="50"/>
      <c r="Q537" s="316"/>
      <c r="R537" s="285"/>
      <c r="S537" s="21"/>
      <c r="T537" s="13"/>
      <c r="U537" s="13"/>
      <c r="V537" s="21"/>
      <c r="W537" s="21"/>
      <c r="X537" s="21"/>
      <c r="Y537" s="260"/>
      <c r="Z537" s="177"/>
      <c r="AA537" s="177"/>
      <c r="AB537" s="61"/>
      <c r="AC537" s="64"/>
      <c r="AD537" s="50"/>
      <c r="AE537" s="50"/>
      <c r="AF537" s="19"/>
      <c r="AG537" s="120"/>
      <c r="AH537" s="119"/>
      <c r="AI537" s="1"/>
      <c r="AJ537" s="21"/>
      <c r="AK537" s="21"/>
      <c r="AL537" s="21"/>
      <c r="AM537" s="21"/>
      <c r="AN537" s="21"/>
      <c r="AO537" s="21"/>
    </row>
    <row r="538" spans="1:41" s="308" customFormat="1" x14ac:dyDescent="0.2">
      <c r="A538" s="48"/>
      <c r="B538" s="306"/>
      <c r="C538" s="233"/>
      <c r="D538" s="233"/>
      <c r="E538" s="53"/>
      <c r="F538" s="13"/>
      <c r="G538" s="13"/>
      <c r="H538" s="53"/>
      <c r="I538" s="298"/>
      <c r="J538" s="21"/>
      <c r="K538" s="21"/>
      <c r="L538" s="13"/>
      <c r="M538" s="50"/>
      <c r="N538" s="97"/>
      <c r="O538" s="50"/>
      <c r="P538" s="50"/>
      <c r="Q538" s="316"/>
      <c r="R538" s="285"/>
      <c r="S538" s="21"/>
      <c r="T538" s="13"/>
      <c r="U538" s="13"/>
      <c r="V538" s="21"/>
      <c r="W538" s="21"/>
      <c r="X538" s="21"/>
      <c r="Y538" s="260"/>
      <c r="Z538" s="177"/>
      <c r="AA538" s="177"/>
      <c r="AB538" s="61"/>
      <c r="AC538" s="64"/>
      <c r="AD538" s="50"/>
      <c r="AE538" s="50"/>
      <c r="AF538" s="19"/>
      <c r="AG538" s="120"/>
      <c r="AH538" s="119"/>
      <c r="AI538" s="1"/>
      <c r="AJ538" s="21"/>
      <c r="AK538" s="21"/>
      <c r="AL538" s="21"/>
      <c r="AM538" s="21"/>
      <c r="AN538" s="21"/>
      <c r="AO538" s="21"/>
    </row>
    <row r="539" spans="1:41" s="308" customFormat="1" x14ac:dyDescent="0.2">
      <c r="A539" s="48"/>
      <c r="B539" s="306"/>
      <c r="C539" s="233"/>
      <c r="D539" s="233"/>
      <c r="E539" s="53"/>
      <c r="F539" s="13"/>
      <c r="G539" s="13"/>
      <c r="H539" s="53"/>
      <c r="I539" s="298"/>
      <c r="J539" s="21"/>
      <c r="K539" s="21"/>
      <c r="L539" s="13"/>
      <c r="M539" s="50"/>
      <c r="N539" s="97"/>
      <c r="O539" s="50"/>
      <c r="P539" s="50"/>
      <c r="Q539" s="316"/>
      <c r="R539" s="285"/>
      <c r="S539" s="21"/>
      <c r="T539" s="13"/>
      <c r="U539" s="13"/>
      <c r="V539" s="21"/>
      <c r="W539" s="21"/>
      <c r="X539" s="21"/>
      <c r="Y539" s="260"/>
      <c r="Z539" s="177"/>
      <c r="AA539" s="177"/>
      <c r="AB539" s="61"/>
      <c r="AC539" s="64"/>
      <c r="AD539" s="50"/>
      <c r="AE539" s="50"/>
      <c r="AF539" s="19"/>
      <c r="AG539" s="120"/>
      <c r="AH539" s="119"/>
      <c r="AI539" s="1"/>
      <c r="AJ539" s="21"/>
      <c r="AK539" s="21"/>
      <c r="AL539" s="21"/>
      <c r="AM539" s="21"/>
      <c r="AN539" s="21"/>
      <c r="AO539" s="21"/>
    </row>
    <row r="540" spans="1:41" s="308" customFormat="1" x14ac:dyDescent="0.2">
      <c r="A540" s="48"/>
      <c r="B540" s="306"/>
      <c r="C540" s="233"/>
      <c r="D540" s="233"/>
      <c r="E540" s="53"/>
      <c r="F540" s="13"/>
      <c r="G540" s="13"/>
      <c r="H540" s="53"/>
      <c r="I540" s="298"/>
      <c r="J540" s="21"/>
      <c r="K540" s="21"/>
      <c r="L540" s="13"/>
      <c r="M540" s="50"/>
      <c r="N540" s="97"/>
      <c r="O540" s="50"/>
      <c r="P540" s="50"/>
      <c r="Q540" s="316"/>
      <c r="R540" s="285"/>
      <c r="S540" s="21"/>
      <c r="T540" s="13"/>
      <c r="U540" s="13"/>
      <c r="V540" s="21"/>
      <c r="W540" s="21"/>
      <c r="X540" s="21"/>
      <c r="Y540" s="260"/>
      <c r="Z540" s="177"/>
      <c r="AA540" s="177"/>
      <c r="AB540" s="61"/>
      <c r="AC540" s="64"/>
      <c r="AD540" s="50"/>
      <c r="AE540" s="50"/>
      <c r="AF540" s="19"/>
      <c r="AG540" s="120"/>
      <c r="AH540" s="119"/>
      <c r="AI540" s="1"/>
      <c r="AJ540" s="21"/>
      <c r="AK540" s="21"/>
      <c r="AL540" s="21"/>
      <c r="AM540" s="21"/>
      <c r="AN540" s="21"/>
      <c r="AO540" s="21"/>
    </row>
    <row r="541" spans="1:41" s="308" customFormat="1" x14ac:dyDescent="0.2">
      <c r="A541" s="48"/>
      <c r="B541" s="306"/>
      <c r="C541" s="233"/>
      <c r="D541" s="233"/>
      <c r="E541" s="53"/>
      <c r="F541" s="13"/>
      <c r="G541" s="13"/>
      <c r="H541" s="53"/>
      <c r="I541" s="298"/>
      <c r="J541" s="21"/>
      <c r="K541" s="21"/>
      <c r="L541" s="13"/>
      <c r="M541" s="50"/>
      <c r="N541" s="97"/>
      <c r="O541" s="50"/>
      <c r="P541" s="50"/>
      <c r="Q541" s="316"/>
      <c r="R541" s="285"/>
      <c r="S541" s="21"/>
      <c r="T541" s="13"/>
      <c r="U541" s="13"/>
      <c r="V541" s="21"/>
      <c r="W541" s="21"/>
      <c r="X541" s="21"/>
      <c r="Y541" s="260"/>
      <c r="Z541" s="177"/>
      <c r="AA541" s="177"/>
      <c r="AB541" s="61"/>
      <c r="AC541" s="64"/>
      <c r="AD541" s="50"/>
      <c r="AE541" s="50"/>
      <c r="AF541" s="19"/>
      <c r="AG541" s="120"/>
      <c r="AH541" s="119"/>
      <c r="AI541" s="1"/>
      <c r="AJ541" s="21"/>
      <c r="AK541" s="21"/>
      <c r="AL541" s="21"/>
      <c r="AM541" s="21"/>
      <c r="AN541" s="21"/>
      <c r="AO541" s="21"/>
    </row>
    <row r="542" spans="1:41" s="308" customFormat="1" x14ac:dyDescent="0.2">
      <c r="A542" s="48"/>
      <c r="B542" s="306"/>
      <c r="C542" s="233"/>
      <c r="D542" s="233"/>
      <c r="E542" s="53"/>
      <c r="F542" s="13"/>
      <c r="G542" s="13"/>
      <c r="H542" s="53"/>
      <c r="I542" s="298"/>
      <c r="J542" s="21"/>
      <c r="K542" s="21"/>
      <c r="L542" s="13"/>
      <c r="M542" s="50"/>
      <c r="N542" s="97"/>
      <c r="O542" s="50"/>
      <c r="P542" s="50"/>
      <c r="Q542" s="316"/>
      <c r="R542" s="285"/>
      <c r="S542" s="21"/>
      <c r="T542" s="13"/>
      <c r="U542" s="13"/>
      <c r="V542" s="21"/>
      <c r="W542" s="21"/>
      <c r="X542" s="21"/>
      <c r="Y542" s="260"/>
      <c r="Z542" s="177"/>
      <c r="AA542" s="177"/>
      <c r="AB542" s="61"/>
      <c r="AC542" s="64"/>
      <c r="AD542" s="50"/>
      <c r="AE542" s="50"/>
      <c r="AF542" s="19"/>
      <c r="AG542" s="120"/>
      <c r="AH542" s="119"/>
      <c r="AI542" s="1"/>
      <c r="AJ542" s="21"/>
      <c r="AK542" s="21"/>
      <c r="AL542" s="21"/>
      <c r="AM542" s="21"/>
      <c r="AN542" s="21"/>
      <c r="AO542" s="21"/>
    </row>
    <row r="543" spans="1:41" s="308" customFormat="1" x14ac:dyDescent="0.2">
      <c r="A543" s="48"/>
      <c r="B543" s="306"/>
      <c r="C543" s="233"/>
      <c r="D543" s="233"/>
      <c r="E543" s="53"/>
      <c r="F543" s="13"/>
      <c r="G543" s="13"/>
      <c r="H543" s="53"/>
      <c r="I543" s="298"/>
      <c r="J543" s="21"/>
      <c r="K543" s="21"/>
      <c r="L543" s="13"/>
      <c r="M543" s="50"/>
      <c r="N543" s="97"/>
      <c r="O543" s="50"/>
      <c r="P543" s="50"/>
      <c r="Q543" s="316"/>
      <c r="R543" s="285"/>
      <c r="S543" s="21"/>
      <c r="T543" s="13"/>
      <c r="U543" s="13"/>
      <c r="V543" s="21"/>
      <c r="W543" s="21"/>
      <c r="X543" s="21"/>
      <c r="Y543" s="260"/>
      <c r="Z543" s="177"/>
      <c r="AA543" s="177"/>
      <c r="AB543" s="61"/>
      <c r="AC543" s="64"/>
      <c r="AD543" s="50"/>
      <c r="AE543" s="50"/>
      <c r="AF543" s="19"/>
      <c r="AG543" s="120"/>
      <c r="AH543" s="119"/>
      <c r="AI543" s="1"/>
      <c r="AJ543" s="21"/>
      <c r="AK543" s="21"/>
      <c r="AL543" s="21"/>
      <c r="AM543" s="21"/>
      <c r="AN543" s="21"/>
      <c r="AO543" s="21"/>
    </row>
    <row r="544" spans="1:41" s="308" customFormat="1" x14ac:dyDescent="0.2">
      <c r="A544" s="48"/>
      <c r="B544" s="306"/>
      <c r="C544" s="233"/>
      <c r="D544" s="233"/>
      <c r="E544" s="53"/>
      <c r="F544" s="13"/>
      <c r="G544" s="13"/>
      <c r="H544" s="53"/>
      <c r="I544" s="298"/>
      <c r="J544" s="21"/>
      <c r="K544" s="21"/>
      <c r="L544" s="13"/>
      <c r="M544" s="50"/>
      <c r="N544" s="97"/>
      <c r="O544" s="50"/>
      <c r="P544" s="50"/>
      <c r="Q544" s="316"/>
      <c r="R544" s="285"/>
      <c r="S544" s="21"/>
      <c r="T544" s="13"/>
      <c r="U544" s="13"/>
      <c r="V544" s="21"/>
      <c r="W544" s="21"/>
      <c r="X544" s="21"/>
      <c r="Y544" s="260"/>
      <c r="Z544" s="177"/>
      <c r="AA544" s="177"/>
      <c r="AB544" s="61"/>
      <c r="AC544" s="64"/>
      <c r="AD544" s="50"/>
      <c r="AE544" s="50"/>
      <c r="AF544" s="19"/>
      <c r="AG544" s="120"/>
      <c r="AH544" s="119"/>
      <c r="AI544" s="1"/>
      <c r="AJ544" s="21"/>
      <c r="AK544" s="21"/>
      <c r="AL544" s="21"/>
      <c r="AM544" s="21"/>
      <c r="AN544" s="21"/>
      <c r="AO544" s="21"/>
    </row>
    <row r="545" spans="1:41" s="308" customFormat="1" x14ac:dyDescent="0.2">
      <c r="A545" s="48"/>
      <c r="B545" s="306"/>
      <c r="C545" s="233"/>
      <c r="D545" s="233"/>
      <c r="E545" s="53"/>
      <c r="F545" s="13"/>
      <c r="G545" s="13"/>
      <c r="H545" s="53"/>
      <c r="I545" s="298"/>
      <c r="J545" s="21"/>
      <c r="K545" s="21"/>
      <c r="L545" s="13"/>
      <c r="M545" s="50"/>
      <c r="N545" s="97"/>
      <c r="O545" s="50"/>
      <c r="P545" s="50"/>
      <c r="Q545" s="316"/>
      <c r="R545" s="285"/>
      <c r="S545" s="21"/>
      <c r="T545" s="13"/>
      <c r="U545" s="13"/>
      <c r="V545" s="21"/>
      <c r="W545" s="21"/>
      <c r="X545" s="21"/>
      <c r="Y545" s="260"/>
      <c r="Z545" s="177"/>
      <c r="AA545" s="177"/>
      <c r="AB545" s="61"/>
      <c r="AC545" s="64"/>
      <c r="AD545" s="50"/>
      <c r="AE545" s="50"/>
      <c r="AF545" s="19"/>
      <c r="AG545" s="120"/>
      <c r="AH545" s="119"/>
      <c r="AI545" s="1"/>
      <c r="AJ545" s="21"/>
      <c r="AK545" s="21"/>
      <c r="AL545" s="21"/>
      <c r="AM545" s="21"/>
      <c r="AN545" s="21"/>
      <c r="AO545" s="21"/>
    </row>
    <row r="546" spans="1:41" s="308" customFormat="1" x14ac:dyDescent="0.2">
      <c r="A546" s="48"/>
      <c r="B546" s="306"/>
      <c r="C546" s="233"/>
      <c r="D546" s="233"/>
      <c r="E546" s="53"/>
      <c r="F546" s="13"/>
      <c r="G546" s="13"/>
      <c r="H546" s="53"/>
      <c r="I546" s="298"/>
      <c r="J546" s="21"/>
      <c r="K546" s="21"/>
      <c r="L546" s="13"/>
      <c r="M546" s="50"/>
      <c r="N546" s="97"/>
      <c r="O546" s="50"/>
      <c r="P546" s="50"/>
      <c r="Q546" s="316"/>
      <c r="R546" s="285"/>
      <c r="S546" s="21"/>
      <c r="T546" s="13"/>
      <c r="U546" s="13"/>
      <c r="V546" s="21"/>
      <c r="W546" s="21"/>
      <c r="X546" s="21"/>
      <c r="Y546" s="260"/>
      <c r="Z546" s="177"/>
      <c r="AA546" s="177"/>
      <c r="AB546" s="61"/>
      <c r="AC546" s="64"/>
      <c r="AD546" s="50"/>
      <c r="AE546" s="50"/>
      <c r="AF546" s="19"/>
      <c r="AG546" s="120"/>
      <c r="AH546" s="119"/>
      <c r="AI546" s="1"/>
      <c r="AJ546" s="21"/>
      <c r="AK546" s="21"/>
      <c r="AL546" s="21"/>
      <c r="AM546" s="21"/>
      <c r="AN546" s="21"/>
      <c r="AO546" s="21"/>
    </row>
    <row r="547" spans="1:41" s="308" customFormat="1" x14ac:dyDescent="0.2">
      <c r="A547" s="48"/>
      <c r="B547" s="306"/>
      <c r="C547" s="233"/>
      <c r="D547" s="233"/>
      <c r="E547" s="53"/>
      <c r="F547" s="13"/>
      <c r="G547" s="13"/>
      <c r="H547" s="53"/>
      <c r="I547" s="298"/>
      <c r="J547" s="21"/>
      <c r="K547" s="21"/>
      <c r="L547" s="13"/>
      <c r="M547" s="50"/>
      <c r="N547" s="97"/>
      <c r="O547" s="50"/>
      <c r="P547" s="50"/>
      <c r="Q547" s="316"/>
      <c r="R547" s="285"/>
      <c r="S547" s="21"/>
      <c r="T547" s="13"/>
      <c r="U547" s="13"/>
      <c r="V547" s="21"/>
      <c r="W547" s="21"/>
      <c r="X547" s="21"/>
      <c r="Y547" s="260"/>
      <c r="Z547" s="177"/>
      <c r="AA547" s="177"/>
      <c r="AB547" s="61"/>
      <c r="AC547" s="64"/>
      <c r="AD547" s="50"/>
      <c r="AE547" s="50"/>
      <c r="AF547" s="19"/>
      <c r="AG547" s="120"/>
      <c r="AH547" s="119"/>
      <c r="AI547" s="1"/>
      <c r="AJ547" s="21"/>
      <c r="AK547" s="21"/>
      <c r="AL547" s="21"/>
      <c r="AM547" s="21"/>
      <c r="AN547" s="21"/>
      <c r="AO547" s="21"/>
    </row>
    <row r="548" spans="1:41" s="308" customFormat="1" x14ac:dyDescent="0.2">
      <c r="A548" s="48"/>
      <c r="B548" s="306"/>
      <c r="C548" s="233"/>
      <c r="D548" s="233"/>
      <c r="E548" s="53"/>
      <c r="F548" s="13"/>
      <c r="G548" s="13"/>
      <c r="H548" s="53"/>
      <c r="I548" s="298"/>
      <c r="J548" s="21"/>
      <c r="K548" s="21"/>
      <c r="L548" s="13"/>
      <c r="M548" s="50"/>
      <c r="N548" s="97"/>
      <c r="O548" s="50"/>
      <c r="P548" s="50"/>
      <c r="Q548" s="316"/>
      <c r="R548" s="285"/>
      <c r="S548" s="21"/>
      <c r="T548" s="13"/>
      <c r="U548" s="13"/>
      <c r="V548" s="21"/>
      <c r="W548" s="21"/>
      <c r="X548" s="21"/>
      <c r="Y548" s="260"/>
      <c r="Z548" s="177"/>
      <c r="AA548" s="177"/>
      <c r="AB548" s="61"/>
      <c r="AC548" s="64"/>
      <c r="AD548" s="50"/>
      <c r="AE548" s="50"/>
      <c r="AF548" s="19"/>
      <c r="AG548" s="120"/>
      <c r="AH548" s="119"/>
      <c r="AI548" s="1"/>
      <c r="AJ548" s="21"/>
      <c r="AK548" s="21"/>
      <c r="AL548" s="21"/>
      <c r="AM548" s="21"/>
      <c r="AN548" s="21"/>
      <c r="AO548" s="21"/>
    </row>
    <row r="549" spans="1:41" s="308" customFormat="1" x14ac:dyDescent="0.2">
      <c r="A549" s="48"/>
      <c r="B549" s="306"/>
      <c r="C549" s="233"/>
      <c r="D549" s="233"/>
      <c r="E549" s="53"/>
      <c r="F549" s="13"/>
      <c r="G549" s="13"/>
      <c r="H549" s="53"/>
      <c r="I549" s="298"/>
      <c r="J549" s="21"/>
      <c r="K549" s="21"/>
      <c r="L549" s="13"/>
      <c r="M549" s="50"/>
      <c r="N549" s="97"/>
      <c r="O549" s="50"/>
      <c r="P549" s="50"/>
      <c r="Q549" s="316"/>
      <c r="R549" s="285"/>
      <c r="S549" s="21"/>
      <c r="T549" s="13"/>
      <c r="U549" s="13"/>
      <c r="V549" s="21"/>
      <c r="W549" s="21"/>
      <c r="X549" s="21"/>
      <c r="Y549" s="260"/>
      <c r="Z549" s="177"/>
      <c r="AA549" s="177"/>
      <c r="AB549" s="61"/>
      <c r="AC549" s="64"/>
      <c r="AD549" s="50"/>
      <c r="AE549" s="50"/>
      <c r="AF549" s="19"/>
      <c r="AG549" s="123"/>
      <c r="AH549" s="119"/>
      <c r="AI549" s="1"/>
      <c r="AJ549" s="21"/>
      <c r="AK549" s="21"/>
      <c r="AL549" s="21"/>
      <c r="AM549" s="21"/>
      <c r="AN549" s="21"/>
      <c r="AO549" s="21"/>
    </row>
    <row r="550" spans="1:41" s="308" customFormat="1" x14ac:dyDescent="0.2">
      <c r="A550" s="48"/>
      <c r="B550" s="306"/>
      <c r="C550" s="233"/>
      <c r="D550" s="233"/>
      <c r="E550" s="53"/>
      <c r="F550" s="13"/>
      <c r="G550" s="13"/>
      <c r="H550" s="53"/>
      <c r="I550" s="298"/>
      <c r="J550" s="21"/>
      <c r="K550" s="21"/>
      <c r="L550" s="13"/>
      <c r="M550" s="50"/>
      <c r="N550" s="97"/>
      <c r="O550" s="50"/>
      <c r="P550" s="50"/>
      <c r="Q550" s="316"/>
      <c r="R550" s="285"/>
      <c r="S550" s="21"/>
      <c r="T550" s="13"/>
      <c r="U550" s="13"/>
      <c r="V550" s="21"/>
      <c r="W550" s="21"/>
      <c r="X550" s="21"/>
      <c r="Y550" s="260"/>
      <c r="Z550" s="177"/>
      <c r="AA550" s="177"/>
      <c r="AB550" s="61"/>
      <c r="AC550" s="64"/>
      <c r="AD550" s="50"/>
      <c r="AE550" s="50"/>
      <c r="AF550" s="19"/>
      <c r="AG550" s="120"/>
      <c r="AH550" s="119"/>
      <c r="AI550" s="1"/>
      <c r="AJ550" s="21"/>
      <c r="AK550" s="21"/>
      <c r="AL550" s="21"/>
      <c r="AM550" s="21"/>
      <c r="AN550" s="21"/>
      <c r="AO550" s="21"/>
    </row>
    <row r="551" spans="1:41" s="308" customFormat="1" x14ac:dyDescent="0.2">
      <c r="A551" s="48"/>
      <c r="B551" s="306"/>
      <c r="C551" s="233"/>
      <c r="D551" s="233"/>
      <c r="E551" s="53"/>
      <c r="F551" s="13"/>
      <c r="G551" s="13"/>
      <c r="H551" s="53"/>
      <c r="I551" s="298"/>
      <c r="J551" s="21"/>
      <c r="K551" s="21"/>
      <c r="L551" s="13"/>
      <c r="M551" s="50"/>
      <c r="N551" s="97"/>
      <c r="O551" s="50"/>
      <c r="P551" s="50"/>
      <c r="Q551" s="316"/>
      <c r="R551" s="285"/>
      <c r="S551" s="21"/>
      <c r="T551" s="13"/>
      <c r="U551" s="13"/>
      <c r="V551" s="21"/>
      <c r="W551" s="21"/>
      <c r="X551" s="21"/>
      <c r="Y551" s="260"/>
      <c r="Z551" s="177"/>
      <c r="AA551" s="177"/>
      <c r="AB551" s="61"/>
      <c r="AC551" s="64"/>
      <c r="AD551" s="50"/>
      <c r="AE551" s="50"/>
      <c r="AF551" s="19"/>
      <c r="AG551" s="120"/>
      <c r="AH551" s="119"/>
      <c r="AI551" s="1"/>
      <c r="AJ551" s="21"/>
      <c r="AK551" s="21"/>
      <c r="AL551" s="21"/>
      <c r="AM551" s="21"/>
      <c r="AN551" s="21"/>
      <c r="AO551" s="21"/>
    </row>
    <row r="552" spans="1:41" s="308" customFormat="1" x14ac:dyDescent="0.2">
      <c r="A552" s="48"/>
      <c r="B552" s="306"/>
      <c r="C552" s="233"/>
      <c r="D552" s="233"/>
      <c r="E552" s="53"/>
      <c r="F552" s="13"/>
      <c r="G552" s="13"/>
      <c r="H552" s="53"/>
      <c r="I552" s="298"/>
      <c r="J552" s="21"/>
      <c r="K552" s="21"/>
      <c r="L552" s="13"/>
      <c r="M552" s="50"/>
      <c r="N552" s="97"/>
      <c r="O552" s="50"/>
      <c r="P552" s="50"/>
      <c r="Q552" s="316"/>
      <c r="R552" s="285"/>
      <c r="S552" s="21"/>
      <c r="T552" s="13"/>
      <c r="U552" s="13"/>
      <c r="V552" s="21"/>
      <c r="W552" s="21"/>
      <c r="X552" s="21"/>
      <c r="Y552" s="260"/>
      <c r="Z552" s="177"/>
      <c r="AA552" s="177"/>
      <c r="AB552" s="61"/>
      <c r="AC552" s="64"/>
      <c r="AD552" s="50"/>
      <c r="AE552" s="50"/>
      <c r="AF552" s="19"/>
      <c r="AG552" s="120"/>
      <c r="AH552" s="119"/>
      <c r="AI552" s="1"/>
      <c r="AJ552" s="21"/>
      <c r="AK552" s="21"/>
      <c r="AL552" s="21"/>
      <c r="AM552" s="21"/>
      <c r="AN552" s="21"/>
      <c r="AO552" s="21"/>
    </row>
    <row r="553" spans="1:41" s="308" customFormat="1" x14ac:dyDescent="0.2">
      <c r="A553" s="48"/>
      <c r="B553" s="306"/>
      <c r="C553" s="233"/>
      <c r="D553" s="233"/>
      <c r="E553" s="53"/>
      <c r="F553" s="13"/>
      <c r="G553" s="13"/>
      <c r="H553" s="53"/>
      <c r="I553" s="298"/>
      <c r="J553" s="21"/>
      <c r="K553" s="21"/>
      <c r="L553" s="13"/>
      <c r="M553" s="50"/>
      <c r="N553" s="97"/>
      <c r="O553" s="50"/>
      <c r="P553" s="50"/>
      <c r="Q553" s="316"/>
      <c r="R553" s="285"/>
      <c r="S553" s="21"/>
      <c r="T553" s="13"/>
      <c r="U553" s="13"/>
      <c r="V553" s="21"/>
      <c r="W553" s="21"/>
      <c r="X553" s="21"/>
      <c r="Y553" s="260"/>
      <c r="Z553" s="177"/>
      <c r="AA553" s="177"/>
      <c r="AB553" s="61"/>
      <c r="AC553" s="64"/>
      <c r="AD553" s="50"/>
      <c r="AE553" s="50"/>
      <c r="AF553" s="19"/>
      <c r="AG553" s="120"/>
      <c r="AH553" s="119"/>
      <c r="AI553" s="1"/>
      <c r="AJ553" s="21"/>
      <c r="AK553" s="21"/>
      <c r="AL553" s="21"/>
      <c r="AM553" s="21"/>
      <c r="AN553" s="21"/>
      <c r="AO553" s="21"/>
    </row>
    <row r="554" spans="1:41" s="308" customFormat="1" x14ac:dyDescent="0.2">
      <c r="A554" s="48"/>
      <c r="B554" s="306"/>
      <c r="C554" s="233"/>
      <c r="D554" s="233"/>
      <c r="E554" s="53"/>
      <c r="F554" s="13"/>
      <c r="G554" s="13"/>
      <c r="H554" s="53"/>
      <c r="I554" s="298"/>
      <c r="J554" s="21"/>
      <c r="K554" s="21"/>
      <c r="L554" s="13"/>
      <c r="M554" s="50"/>
      <c r="N554" s="97"/>
      <c r="O554" s="50"/>
      <c r="P554" s="50"/>
      <c r="Q554" s="316"/>
      <c r="R554" s="285"/>
      <c r="S554" s="21"/>
      <c r="T554" s="13"/>
      <c r="U554" s="13"/>
      <c r="V554" s="21"/>
      <c r="W554" s="21"/>
      <c r="X554" s="21"/>
      <c r="Y554" s="260"/>
      <c r="Z554" s="177"/>
      <c r="AA554" s="177"/>
      <c r="AB554" s="61"/>
      <c r="AC554" s="64"/>
      <c r="AD554" s="50"/>
      <c r="AE554" s="50"/>
      <c r="AF554" s="19"/>
      <c r="AG554" s="120"/>
      <c r="AH554" s="119"/>
      <c r="AI554" s="1"/>
      <c r="AJ554" s="21"/>
      <c r="AK554" s="21"/>
      <c r="AL554" s="21"/>
      <c r="AM554" s="21"/>
      <c r="AN554" s="21"/>
      <c r="AO554" s="21"/>
    </row>
    <row r="555" spans="1:41" s="308" customFormat="1" x14ac:dyDescent="0.2">
      <c r="A555" s="48"/>
      <c r="B555" s="306"/>
      <c r="C555" s="233"/>
      <c r="D555" s="233"/>
      <c r="E555" s="53"/>
      <c r="F555" s="13"/>
      <c r="G555" s="13"/>
      <c r="H555" s="53"/>
      <c r="I555" s="298"/>
      <c r="J555" s="21"/>
      <c r="K555" s="21"/>
      <c r="L555" s="13"/>
      <c r="M555" s="50"/>
      <c r="N555" s="97"/>
      <c r="O555" s="50"/>
      <c r="P555" s="50"/>
      <c r="Q555" s="316"/>
      <c r="R555" s="285"/>
      <c r="S555" s="21"/>
      <c r="T555" s="13"/>
      <c r="U555" s="13"/>
      <c r="V555" s="21"/>
      <c r="W555" s="21"/>
      <c r="X555" s="21"/>
      <c r="Y555" s="260"/>
      <c r="Z555" s="177"/>
      <c r="AA555" s="177"/>
      <c r="AB555" s="61"/>
      <c r="AC555" s="64"/>
      <c r="AD555" s="50"/>
      <c r="AE555" s="50"/>
      <c r="AF555" s="19"/>
      <c r="AG555" s="120"/>
      <c r="AH555" s="119"/>
      <c r="AI555" s="1"/>
      <c r="AJ555" s="21"/>
      <c r="AK555" s="21"/>
      <c r="AL555" s="21"/>
      <c r="AM555" s="21"/>
      <c r="AN555" s="21"/>
      <c r="AO555" s="21"/>
    </row>
    <row r="556" spans="1:41" s="308" customFormat="1" x14ac:dyDescent="0.2">
      <c r="A556" s="48"/>
      <c r="B556" s="306"/>
      <c r="C556" s="233"/>
      <c r="D556" s="233"/>
      <c r="E556" s="53"/>
      <c r="F556" s="13"/>
      <c r="G556" s="13"/>
      <c r="H556" s="53"/>
      <c r="I556" s="298"/>
      <c r="J556" s="21"/>
      <c r="K556" s="21"/>
      <c r="L556" s="13"/>
      <c r="M556" s="50"/>
      <c r="N556" s="97"/>
      <c r="O556" s="50"/>
      <c r="P556" s="50"/>
      <c r="Q556" s="316"/>
      <c r="R556" s="285"/>
      <c r="S556" s="21"/>
      <c r="T556" s="13"/>
      <c r="U556" s="13"/>
      <c r="V556" s="21"/>
      <c r="W556" s="21"/>
      <c r="X556" s="21"/>
      <c r="Y556" s="260"/>
      <c r="Z556" s="177"/>
      <c r="AA556" s="177"/>
      <c r="AB556" s="61"/>
      <c r="AC556" s="64"/>
      <c r="AD556" s="50"/>
      <c r="AE556" s="50"/>
      <c r="AF556" s="19"/>
      <c r="AG556" s="120"/>
      <c r="AH556" s="119"/>
      <c r="AI556" s="1"/>
      <c r="AJ556" s="21"/>
      <c r="AK556" s="21"/>
      <c r="AL556" s="21"/>
      <c r="AM556" s="21"/>
      <c r="AN556" s="21"/>
      <c r="AO556" s="21"/>
    </row>
    <row r="557" spans="1:41" s="308" customFormat="1" x14ac:dyDescent="0.2">
      <c r="A557" s="48"/>
      <c r="B557" s="306"/>
      <c r="C557" s="233"/>
      <c r="D557" s="233"/>
      <c r="E557" s="53"/>
      <c r="F557" s="13"/>
      <c r="G557" s="13"/>
      <c r="H557" s="53"/>
      <c r="I557" s="298"/>
      <c r="J557" s="21"/>
      <c r="K557" s="21"/>
      <c r="L557" s="13"/>
      <c r="M557" s="50"/>
      <c r="N557" s="97"/>
      <c r="O557" s="50"/>
      <c r="P557" s="50"/>
      <c r="Q557" s="316"/>
      <c r="R557" s="285"/>
      <c r="S557" s="21"/>
      <c r="T557" s="13"/>
      <c r="U557" s="13"/>
      <c r="V557" s="21"/>
      <c r="W557" s="21"/>
      <c r="X557" s="21"/>
      <c r="Y557" s="260"/>
      <c r="Z557" s="177"/>
      <c r="AA557" s="177"/>
      <c r="AB557" s="61"/>
      <c r="AC557" s="64"/>
      <c r="AD557" s="50"/>
      <c r="AE557" s="50"/>
      <c r="AF557" s="19"/>
      <c r="AG557" s="120"/>
      <c r="AH557" s="119"/>
      <c r="AI557" s="1"/>
      <c r="AJ557" s="21"/>
      <c r="AK557" s="21"/>
      <c r="AL557" s="21"/>
      <c r="AM557" s="21"/>
      <c r="AN557" s="21"/>
      <c r="AO557" s="21"/>
    </row>
    <row r="558" spans="1:41" s="308" customFormat="1" x14ac:dyDescent="0.2">
      <c r="A558" s="48"/>
      <c r="B558" s="306"/>
      <c r="C558" s="233"/>
      <c r="D558" s="233"/>
      <c r="E558" s="53"/>
      <c r="F558" s="13"/>
      <c r="G558" s="13"/>
      <c r="H558" s="53"/>
      <c r="I558" s="298"/>
      <c r="J558" s="21"/>
      <c r="K558" s="21"/>
      <c r="L558" s="13"/>
      <c r="M558" s="50"/>
      <c r="N558" s="97"/>
      <c r="O558" s="50"/>
      <c r="P558" s="50"/>
      <c r="Q558" s="316"/>
      <c r="R558" s="285"/>
      <c r="S558" s="21"/>
      <c r="T558" s="13"/>
      <c r="U558" s="13"/>
      <c r="V558" s="21"/>
      <c r="W558" s="21"/>
      <c r="X558" s="21"/>
      <c r="Y558" s="260"/>
      <c r="Z558" s="177"/>
      <c r="AA558" s="177"/>
      <c r="AB558" s="61"/>
      <c r="AC558" s="64"/>
      <c r="AD558" s="50"/>
      <c r="AE558" s="50"/>
      <c r="AF558" s="19"/>
      <c r="AG558" s="120"/>
      <c r="AH558" s="119"/>
      <c r="AI558" s="1"/>
      <c r="AJ558" s="21"/>
      <c r="AK558" s="21"/>
      <c r="AL558" s="21"/>
      <c r="AM558" s="21"/>
      <c r="AN558" s="21"/>
      <c r="AO558" s="21"/>
    </row>
    <row r="559" spans="1:41" s="308" customFormat="1" x14ac:dyDescent="0.2">
      <c r="A559" s="48"/>
      <c r="B559" s="306"/>
      <c r="C559" s="233"/>
      <c r="D559" s="233"/>
      <c r="E559" s="53"/>
      <c r="F559" s="13"/>
      <c r="G559" s="13"/>
      <c r="H559" s="53"/>
      <c r="I559" s="298"/>
      <c r="J559" s="21"/>
      <c r="K559" s="21"/>
      <c r="L559" s="13"/>
      <c r="M559" s="50"/>
      <c r="N559" s="97"/>
      <c r="O559" s="50"/>
      <c r="P559" s="50"/>
      <c r="Q559" s="316"/>
      <c r="R559" s="285"/>
      <c r="S559" s="21"/>
      <c r="T559" s="13"/>
      <c r="U559" s="13"/>
      <c r="V559" s="21"/>
      <c r="W559" s="21"/>
      <c r="X559" s="21"/>
      <c r="Y559" s="260"/>
      <c r="Z559" s="177"/>
      <c r="AA559" s="177"/>
      <c r="AB559" s="61"/>
      <c r="AC559" s="64"/>
      <c r="AD559" s="50"/>
      <c r="AE559" s="50"/>
      <c r="AF559" s="19"/>
      <c r="AG559" s="120"/>
      <c r="AH559" s="119"/>
      <c r="AI559" s="1"/>
      <c r="AJ559" s="21"/>
      <c r="AK559" s="21"/>
      <c r="AL559" s="21"/>
      <c r="AM559" s="21"/>
      <c r="AN559" s="21"/>
      <c r="AO559" s="21"/>
    </row>
    <row r="560" spans="1:41" s="308" customFormat="1" x14ac:dyDescent="0.2">
      <c r="A560" s="48"/>
      <c r="B560" s="306"/>
      <c r="C560" s="233"/>
      <c r="D560" s="233"/>
      <c r="E560" s="53"/>
      <c r="F560" s="13"/>
      <c r="G560" s="13"/>
      <c r="H560" s="53"/>
      <c r="I560" s="298"/>
      <c r="J560" s="21"/>
      <c r="K560" s="21"/>
      <c r="L560" s="13"/>
      <c r="M560" s="50"/>
      <c r="N560" s="97"/>
      <c r="O560" s="50"/>
      <c r="P560" s="50"/>
      <c r="Q560" s="316"/>
      <c r="R560" s="285"/>
      <c r="S560" s="21"/>
      <c r="T560" s="13"/>
      <c r="U560" s="13"/>
      <c r="V560" s="21"/>
      <c r="W560" s="21"/>
      <c r="X560" s="21"/>
      <c r="Y560" s="260"/>
      <c r="Z560" s="177"/>
      <c r="AA560" s="177"/>
      <c r="AB560" s="61"/>
      <c r="AC560" s="64"/>
      <c r="AD560" s="50"/>
      <c r="AE560" s="50"/>
      <c r="AF560" s="19"/>
      <c r="AG560" s="120"/>
      <c r="AH560" s="119"/>
      <c r="AI560" s="1"/>
      <c r="AJ560" s="21"/>
      <c r="AK560" s="21"/>
      <c r="AL560" s="21"/>
      <c r="AM560" s="21"/>
      <c r="AN560" s="21"/>
      <c r="AO560" s="21"/>
    </row>
    <row r="561" spans="1:41" s="308" customFormat="1" x14ac:dyDescent="0.2">
      <c r="A561" s="48"/>
      <c r="B561" s="306"/>
      <c r="C561" s="233"/>
      <c r="D561" s="233"/>
      <c r="E561" s="53"/>
      <c r="F561" s="13"/>
      <c r="G561" s="13"/>
      <c r="H561" s="53"/>
      <c r="I561" s="298"/>
      <c r="J561" s="21"/>
      <c r="K561" s="21"/>
      <c r="L561" s="13"/>
      <c r="M561" s="50"/>
      <c r="N561" s="97"/>
      <c r="O561" s="50"/>
      <c r="P561" s="50"/>
      <c r="Q561" s="316"/>
      <c r="R561" s="285"/>
      <c r="S561" s="21"/>
      <c r="T561" s="13"/>
      <c r="U561" s="13"/>
      <c r="V561" s="21"/>
      <c r="W561" s="21"/>
      <c r="X561" s="21"/>
      <c r="Y561" s="260"/>
      <c r="Z561" s="177"/>
      <c r="AA561" s="177"/>
      <c r="AB561" s="61"/>
      <c r="AC561" s="64"/>
      <c r="AD561" s="50"/>
      <c r="AE561" s="50"/>
      <c r="AF561" s="19"/>
      <c r="AG561" s="120"/>
      <c r="AH561" s="119"/>
      <c r="AI561" s="1"/>
      <c r="AJ561" s="21"/>
      <c r="AK561" s="21"/>
      <c r="AL561" s="21"/>
      <c r="AM561" s="21"/>
      <c r="AN561" s="21"/>
      <c r="AO561" s="21"/>
    </row>
    <row r="562" spans="1:41" s="308" customFormat="1" x14ac:dyDescent="0.2">
      <c r="A562" s="48"/>
      <c r="B562" s="306"/>
      <c r="C562" s="233"/>
      <c r="D562" s="233"/>
      <c r="E562" s="53"/>
      <c r="F562" s="13"/>
      <c r="G562" s="13"/>
      <c r="H562" s="53"/>
      <c r="I562" s="298"/>
      <c r="J562" s="21"/>
      <c r="K562" s="21"/>
      <c r="L562" s="13"/>
      <c r="M562" s="50"/>
      <c r="N562" s="97"/>
      <c r="O562" s="50"/>
      <c r="P562" s="50"/>
      <c r="Q562" s="316"/>
      <c r="R562" s="285"/>
      <c r="S562" s="21"/>
      <c r="T562" s="13"/>
      <c r="U562" s="13"/>
      <c r="V562" s="21"/>
      <c r="W562" s="21"/>
      <c r="X562" s="21"/>
      <c r="Y562" s="260"/>
      <c r="Z562" s="177"/>
      <c r="AA562" s="177"/>
      <c r="AB562" s="61"/>
      <c r="AC562" s="64"/>
      <c r="AD562" s="50"/>
      <c r="AE562" s="50"/>
      <c r="AF562" s="19"/>
      <c r="AG562" s="120"/>
      <c r="AH562" s="119"/>
      <c r="AI562" s="1"/>
      <c r="AJ562" s="21"/>
      <c r="AK562" s="21"/>
      <c r="AL562" s="21"/>
      <c r="AM562" s="21"/>
      <c r="AN562" s="21"/>
      <c r="AO562" s="21"/>
    </row>
    <row r="563" spans="1:41" s="308" customFormat="1" x14ac:dyDescent="0.2">
      <c r="A563" s="48"/>
      <c r="B563" s="306"/>
      <c r="C563" s="233"/>
      <c r="D563" s="233"/>
      <c r="E563" s="53"/>
      <c r="F563" s="13"/>
      <c r="G563" s="13"/>
      <c r="H563" s="53"/>
      <c r="I563" s="298"/>
      <c r="J563" s="21"/>
      <c r="K563" s="21"/>
      <c r="L563" s="13"/>
      <c r="M563" s="50"/>
      <c r="N563" s="97"/>
      <c r="O563" s="50"/>
      <c r="P563" s="50"/>
      <c r="Q563" s="316"/>
      <c r="R563" s="285"/>
      <c r="S563" s="21"/>
      <c r="T563" s="13"/>
      <c r="U563" s="13"/>
      <c r="V563" s="21"/>
      <c r="W563" s="21"/>
      <c r="X563" s="21"/>
      <c r="Y563" s="260"/>
      <c r="Z563" s="177"/>
      <c r="AA563" s="177"/>
      <c r="AB563" s="61"/>
      <c r="AC563" s="64"/>
      <c r="AD563" s="50"/>
      <c r="AE563" s="50"/>
      <c r="AF563" s="19"/>
      <c r="AG563" s="120"/>
      <c r="AH563" s="119"/>
      <c r="AI563" s="1"/>
      <c r="AJ563" s="21"/>
      <c r="AK563" s="21"/>
      <c r="AL563" s="21"/>
      <c r="AM563" s="21"/>
      <c r="AN563" s="21"/>
      <c r="AO563" s="21"/>
    </row>
    <row r="564" spans="1:41" s="308" customFormat="1" x14ac:dyDescent="0.2">
      <c r="A564" s="48"/>
      <c r="B564" s="306"/>
      <c r="C564" s="233"/>
      <c r="D564" s="233"/>
      <c r="E564" s="53"/>
      <c r="F564" s="13"/>
      <c r="G564" s="13"/>
      <c r="H564" s="53"/>
      <c r="I564" s="298"/>
      <c r="J564" s="21"/>
      <c r="K564" s="21"/>
      <c r="L564" s="13"/>
      <c r="M564" s="50"/>
      <c r="N564" s="97"/>
      <c r="O564" s="50"/>
      <c r="P564" s="50"/>
      <c r="Q564" s="316"/>
      <c r="R564" s="285"/>
      <c r="S564" s="21"/>
      <c r="T564" s="13"/>
      <c r="U564" s="13"/>
      <c r="V564" s="21"/>
      <c r="W564" s="21"/>
      <c r="X564" s="21"/>
      <c r="Y564" s="260"/>
      <c r="Z564" s="177"/>
      <c r="AA564" s="177"/>
      <c r="AB564" s="61"/>
      <c r="AC564" s="64"/>
      <c r="AD564" s="50"/>
      <c r="AE564" s="50"/>
      <c r="AF564" s="19"/>
      <c r="AG564" s="120"/>
      <c r="AH564" s="119"/>
      <c r="AI564" s="1"/>
      <c r="AJ564" s="21"/>
      <c r="AK564" s="21"/>
      <c r="AL564" s="21"/>
      <c r="AM564" s="21"/>
      <c r="AN564" s="21"/>
      <c r="AO564" s="21"/>
    </row>
    <row r="565" spans="1:41" s="308" customFormat="1" x14ac:dyDescent="0.2">
      <c r="A565" s="48"/>
      <c r="B565" s="306"/>
      <c r="C565" s="233"/>
      <c r="D565" s="233"/>
      <c r="E565" s="53"/>
      <c r="F565" s="13"/>
      <c r="G565" s="13"/>
      <c r="H565" s="53"/>
      <c r="I565" s="298"/>
      <c r="J565" s="21"/>
      <c r="K565" s="21"/>
      <c r="L565" s="13"/>
      <c r="M565" s="50"/>
      <c r="N565" s="97"/>
      <c r="O565" s="50"/>
      <c r="P565" s="50"/>
      <c r="Q565" s="316"/>
      <c r="R565" s="285"/>
      <c r="S565" s="21"/>
      <c r="T565" s="13"/>
      <c r="U565" s="13"/>
      <c r="V565" s="21"/>
      <c r="W565" s="21"/>
      <c r="X565" s="21"/>
      <c r="Y565" s="260"/>
      <c r="Z565" s="177"/>
      <c r="AA565" s="177"/>
      <c r="AB565" s="61"/>
      <c r="AC565" s="64"/>
      <c r="AD565" s="50"/>
      <c r="AE565" s="50"/>
      <c r="AF565" s="19"/>
      <c r="AG565" s="120"/>
      <c r="AH565" s="119"/>
      <c r="AI565" s="1"/>
      <c r="AJ565" s="21"/>
      <c r="AK565" s="21"/>
      <c r="AL565" s="21"/>
      <c r="AM565" s="21"/>
      <c r="AN565" s="21"/>
      <c r="AO565" s="21"/>
    </row>
    <row r="566" spans="1:41" s="308" customFormat="1" x14ac:dyDescent="0.2">
      <c r="A566" s="48"/>
      <c r="B566" s="306"/>
      <c r="C566" s="233"/>
      <c r="D566" s="233"/>
      <c r="E566" s="53"/>
      <c r="F566" s="13"/>
      <c r="G566" s="13"/>
      <c r="H566" s="53"/>
      <c r="I566" s="298"/>
      <c r="J566" s="21"/>
      <c r="K566" s="21"/>
      <c r="L566" s="13"/>
      <c r="M566" s="50"/>
      <c r="N566" s="97"/>
      <c r="O566" s="50"/>
      <c r="P566" s="50"/>
      <c r="Q566" s="316"/>
      <c r="R566" s="285"/>
      <c r="S566" s="21"/>
      <c r="T566" s="13"/>
      <c r="U566" s="13"/>
      <c r="V566" s="21"/>
      <c r="W566" s="21"/>
      <c r="X566" s="21"/>
      <c r="Y566" s="260"/>
      <c r="Z566" s="177"/>
      <c r="AA566" s="177"/>
      <c r="AB566" s="61"/>
      <c r="AC566" s="64"/>
      <c r="AD566" s="50"/>
      <c r="AE566" s="50"/>
      <c r="AF566" s="19"/>
      <c r="AG566" s="120"/>
      <c r="AH566" s="119"/>
      <c r="AI566" s="1"/>
      <c r="AJ566" s="21"/>
      <c r="AK566" s="21"/>
      <c r="AL566" s="21"/>
      <c r="AM566" s="21"/>
      <c r="AN566" s="21"/>
      <c r="AO566" s="21"/>
    </row>
    <row r="567" spans="1:41" s="308" customFormat="1" x14ac:dyDescent="0.2">
      <c r="A567" s="48"/>
      <c r="B567" s="306"/>
      <c r="C567" s="233"/>
      <c r="D567" s="233"/>
      <c r="E567" s="53"/>
      <c r="F567" s="13"/>
      <c r="G567" s="13"/>
      <c r="H567" s="53"/>
      <c r="I567" s="298"/>
      <c r="J567" s="21"/>
      <c r="K567" s="21"/>
      <c r="L567" s="13"/>
      <c r="M567" s="50"/>
      <c r="N567" s="97"/>
      <c r="O567" s="50"/>
      <c r="P567" s="50"/>
      <c r="Q567" s="316"/>
      <c r="R567" s="285"/>
      <c r="S567" s="21"/>
      <c r="T567" s="13"/>
      <c r="U567" s="13"/>
      <c r="V567" s="21"/>
      <c r="W567" s="21"/>
      <c r="X567" s="21"/>
      <c r="Y567" s="260"/>
      <c r="Z567" s="177"/>
      <c r="AA567" s="177"/>
      <c r="AB567" s="61"/>
      <c r="AC567" s="64"/>
      <c r="AD567" s="50"/>
      <c r="AE567" s="50"/>
      <c r="AF567" s="19"/>
      <c r="AG567" s="120"/>
      <c r="AH567" s="119"/>
      <c r="AI567" s="1"/>
      <c r="AJ567" s="21"/>
      <c r="AK567" s="21"/>
      <c r="AL567" s="21"/>
      <c r="AM567" s="21"/>
      <c r="AN567" s="21"/>
      <c r="AO567" s="21"/>
    </row>
    <row r="568" spans="1:41" s="308" customFormat="1" x14ac:dyDescent="0.2">
      <c r="A568" s="48"/>
      <c r="B568" s="306"/>
      <c r="C568" s="233"/>
      <c r="D568" s="233"/>
      <c r="E568" s="53"/>
      <c r="F568" s="13"/>
      <c r="G568" s="13"/>
      <c r="H568" s="53"/>
      <c r="I568" s="298"/>
      <c r="J568" s="21"/>
      <c r="K568" s="21"/>
      <c r="L568" s="13"/>
      <c r="M568" s="50"/>
      <c r="N568" s="97"/>
      <c r="O568" s="50"/>
      <c r="P568" s="50"/>
      <c r="Q568" s="316"/>
      <c r="R568" s="285"/>
      <c r="S568" s="21"/>
      <c r="T568" s="13"/>
      <c r="U568" s="13"/>
      <c r="V568" s="21"/>
      <c r="W568" s="21"/>
      <c r="X568" s="21"/>
      <c r="Y568" s="260"/>
      <c r="Z568" s="177"/>
      <c r="AA568" s="177"/>
      <c r="AB568" s="61"/>
      <c r="AC568" s="64"/>
      <c r="AD568" s="50"/>
      <c r="AE568" s="50"/>
      <c r="AF568" s="19"/>
      <c r="AG568" s="120"/>
      <c r="AH568" s="119"/>
      <c r="AI568" s="1"/>
      <c r="AJ568" s="21"/>
      <c r="AK568" s="21"/>
      <c r="AL568" s="21"/>
      <c r="AM568" s="21"/>
      <c r="AN568" s="21"/>
      <c r="AO568" s="21"/>
    </row>
    <row r="569" spans="1:41" s="308" customFormat="1" x14ac:dyDescent="0.2">
      <c r="A569" s="48"/>
      <c r="B569" s="306"/>
      <c r="C569" s="233"/>
      <c r="D569" s="233"/>
      <c r="E569" s="53"/>
      <c r="F569" s="13"/>
      <c r="G569" s="13"/>
      <c r="H569" s="53"/>
      <c r="I569" s="298"/>
      <c r="J569" s="21"/>
      <c r="K569" s="21"/>
      <c r="L569" s="13"/>
      <c r="M569" s="50"/>
      <c r="N569" s="97"/>
      <c r="O569" s="50"/>
      <c r="P569" s="50"/>
      <c r="Q569" s="316"/>
      <c r="R569" s="285"/>
      <c r="S569" s="21"/>
      <c r="T569" s="13"/>
      <c r="U569" s="13"/>
      <c r="V569" s="21"/>
      <c r="W569" s="21"/>
      <c r="X569" s="21"/>
      <c r="Y569" s="260"/>
      <c r="Z569" s="177"/>
      <c r="AA569" s="177"/>
      <c r="AB569" s="61"/>
      <c r="AC569" s="64"/>
      <c r="AD569" s="50"/>
      <c r="AE569" s="50"/>
      <c r="AF569" s="19"/>
      <c r="AG569" s="120"/>
      <c r="AH569" s="119"/>
      <c r="AI569" s="1"/>
      <c r="AJ569" s="21"/>
      <c r="AK569" s="21"/>
      <c r="AL569" s="21"/>
      <c r="AM569" s="21"/>
      <c r="AN569" s="21"/>
      <c r="AO569" s="21"/>
    </row>
    <row r="570" spans="1:41" s="308" customFormat="1" x14ac:dyDescent="0.2">
      <c r="A570" s="48"/>
      <c r="B570" s="306"/>
      <c r="C570" s="233"/>
      <c r="D570" s="233"/>
      <c r="E570" s="53"/>
      <c r="F570" s="13"/>
      <c r="G570" s="13"/>
      <c r="H570" s="53"/>
      <c r="I570" s="298"/>
      <c r="J570" s="21"/>
      <c r="K570" s="21"/>
      <c r="L570" s="13"/>
      <c r="M570" s="50"/>
      <c r="N570" s="97"/>
      <c r="O570" s="50"/>
      <c r="P570" s="50"/>
      <c r="Q570" s="316"/>
      <c r="R570" s="285"/>
      <c r="S570" s="21"/>
      <c r="T570" s="13"/>
      <c r="U570" s="13"/>
      <c r="V570" s="21"/>
      <c r="W570" s="21"/>
      <c r="X570" s="21"/>
      <c r="Y570" s="260"/>
      <c r="Z570" s="177"/>
      <c r="AA570" s="177"/>
      <c r="AB570" s="61"/>
      <c r="AC570" s="64"/>
      <c r="AD570" s="50"/>
      <c r="AE570" s="50"/>
      <c r="AF570" s="19"/>
      <c r="AG570" s="120"/>
      <c r="AH570" s="119"/>
      <c r="AI570" s="1"/>
      <c r="AJ570" s="21"/>
      <c r="AK570" s="21"/>
      <c r="AL570" s="21"/>
      <c r="AM570" s="21"/>
      <c r="AN570" s="21"/>
      <c r="AO570" s="21"/>
    </row>
    <row r="571" spans="1:41" s="308" customFormat="1" x14ac:dyDescent="0.2">
      <c r="A571" s="48"/>
      <c r="B571" s="306"/>
      <c r="C571" s="233"/>
      <c r="D571" s="233"/>
      <c r="E571" s="53"/>
      <c r="F571" s="13"/>
      <c r="G571" s="13"/>
      <c r="H571" s="53"/>
      <c r="I571" s="298"/>
      <c r="J571" s="21"/>
      <c r="K571" s="21"/>
      <c r="L571" s="13"/>
      <c r="M571" s="50"/>
      <c r="N571" s="97"/>
      <c r="O571" s="50"/>
      <c r="P571" s="50"/>
      <c r="Q571" s="316"/>
      <c r="R571" s="285"/>
      <c r="S571" s="21"/>
      <c r="T571" s="13"/>
      <c r="U571" s="13"/>
      <c r="V571" s="21"/>
      <c r="W571" s="21"/>
      <c r="X571" s="21"/>
      <c r="Y571" s="260"/>
      <c r="Z571" s="177"/>
      <c r="AA571" s="177"/>
      <c r="AB571" s="61"/>
      <c r="AC571" s="64"/>
      <c r="AD571" s="50"/>
      <c r="AE571" s="50"/>
      <c r="AF571" s="19"/>
      <c r="AG571" s="120"/>
      <c r="AH571" s="119"/>
      <c r="AI571" s="1"/>
      <c r="AJ571" s="21"/>
      <c r="AK571" s="21"/>
      <c r="AL571" s="21"/>
      <c r="AM571" s="21"/>
      <c r="AN571" s="21"/>
      <c r="AO571" s="21"/>
    </row>
    <row r="572" spans="1:41" s="308" customFormat="1" x14ac:dyDescent="0.2">
      <c r="A572" s="48"/>
      <c r="B572" s="306"/>
      <c r="C572" s="233"/>
      <c r="D572" s="233"/>
      <c r="E572" s="53"/>
      <c r="F572" s="13"/>
      <c r="G572" s="13"/>
      <c r="H572" s="53"/>
      <c r="I572" s="298"/>
      <c r="J572" s="21"/>
      <c r="K572" s="21"/>
      <c r="L572" s="13"/>
      <c r="M572" s="50"/>
      <c r="N572" s="97"/>
      <c r="O572" s="50"/>
      <c r="P572" s="50"/>
      <c r="Q572" s="316"/>
      <c r="R572" s="285"/>
      <c r="S572" s="21"/>
      <c r="T572" s="13"/>
      <c r="U572" s="13"/>
      <c r="V572" s="21"/>
      <c r="W572" s="21"/>
      <c r="X572" s="21"/>
      <c r="Y572" s="260"/>
      <c r="Z572" s="177"/>
      <c r="AA572" s="177"/>
      <c r="AB572" s="61"/>
      <c r="AC572" s="64"/>
      <c r="AD572" s="50"/>
      <c r="AE572" s="50"/>
      <c r="AF572" s="19"/>
      <c r="AG572" s="120"/>
      <c r="AH572" s="119"/>
      <c r="AI572" s="1"/>
      <c r="AJ572" s="21"/>
      <c r="AK572" s="21"/>
      <c r="AL572" s="21"/>
      <c r="AM572" s="21"/>
      <c r="AN572" s="21"/>
      <c r="AO572" s="21"/>
    </row>
    <row r="573" spans="1:41" s="308" customFormat="1" x14ac:dyDescent="0.2">
      <c r="A573" s="48"/>
      <c r="B573" s="306"/>
      <c r="C573" s="233"/>
      <c r="D573" s="233"/>
      <c r="E573" s="53"/>
      <c r="F573" s="13"/>
      <c r="G573" s="13"/>
      <c r="H573" s="53"/>
      <c r="I573" s="298"/>
      <c r="J573" s="21"/>
      <c r="K573" s="21"/>
      <c r="L573" s="13"/>
      <c r="M573" s="50"/>
      <c r="N573" s="97"/>
      <c r="O573" s="50"/>
      <c r="P573" s="50"/>
      <c r="Q573" s="316"/>
      <c r="R573" s="285"/>
      <c r="S573" s="21"/>
      <c r="T573" s="13"/>
      <c r="U573" s="13"/>
      <c r="V573" s="21"/>
      <c r="W573" s="21"/>
      <c r="X573" s="21"/>
      <c r="Y573" s="260"/>
      <c r="Z573" s="177"/>
      <c r="AA573" s="177"/>
      <c r="AB573" s="61"/>
      <c r="AC573" s="64"/>
      <c r="AD573" s="50"/>
      <c r="AE573" s="50"/>
      <c r="AF573" s="19"/>
      <c r="AG573" s="120"/>
      <c r="AH573" s="119"/>
      <c r="AI573" s="1"/>
      <c r="AJ573" s="21"/>
      <c r="AK573" s="21"/>
      <c r="AL573" s="21"/>
      <c r="AM573" s="21"/>
      <c r="AN573" s="21"/>
      <c r="AO573" s="21"/>
    </row>
    <row r="574" spans="1:41" s="308" customFormat="1" x14ac:dyDescent="0.2">
      <c r="A574" s="48"/>
      <c r="B574" s="306"/>
      <c r="C574" s="233"/>
      <c r="D574" s="233"/>
      <c r="E574" s="53"/>
      <c r="F574" s="13"/>
      <c r="G574" s="13"/>
      <c r="H574" s="53"/>
      <c r="I574" s="298"/>
      <c r="J574" s="21"/>
      <c r="K574" s="21"/>
      <c r="L574" s="13"/>
      <c r="M574" s="50"/>
      <c r="N574" s="97"/>
      <c r="O574" s="50"/>
      <c r="P574" s="50"/>
      <c r="Q574" s="316"/>
      <c r="R574" s="285"/>
      <c r="S574" s="21"/>
      <c r="T574" s="13"/>
      <c r="U574" s="13"/>
      <c r="V574" s="21"/>
      <c r="W574" s="21"/>
      <c r="X574" s="21"/>
      <c r="Y574" s="260"/>
      <c r="Z574" s="177"/>
      <c r="AA574" s="177"/>
      <c r="AB574" s="61"/>
      <c r="AC574" s="64"/>
      <c r="AD574" s="50"/>
      <c r="AE574" s="50"/>
      <c r="AF574" s="19"/>
      <c r="AG574" s="120"/>
      <c r="AH574" s="119"/>
      <c r="AI574" s="1"/>
      <c r="AJ574" s="21"/>
      <c r="AK574" s="21"/>
      <c r="AL574" s="21"/>
      <c r="AM574" s="21"/>
      <c r="AN574" s="21"/>
      <c r="AO574" s="21"/>
    </row>
    <row r="575" spans="1:41" s="308" customFormat="1" x14ac:dyDescent="0.2">
      <c r="A575" s="48"/>
      <c r="B575" s="306"/>
      <c r="C575" s="233"/>
      <c r="D575" s="233"/>
      <c r="E575" s="53"/>
      <c r="F575" s="13"/>
      <c r="G575" s="13"/>
      <c r="H575" s="53"/>
      <c r="I575" s="298"/>
      <c r="J575" s="21"/>
      <c r="K575" s="21"/>
      <c r="L575" s="13"/>
      <c r="M575" s="50"/>
      <c r="N575" s="97"/>
      <c r="O575" s="50"/>
      <c r="P575" s="50"/>
      <c r="Q575" s="316"/>
      <c r="R575" s="285"/>
      <c r="S575" s="21"/>
      <c r="T575" s="13"/>
      <c r="U575" s="13"/>
      <c r="V575" s="21"/>
      <c r="W575" s="21"/>
      <c r="X575" s="21"/>
      <c r="Y575" s="260"/>
      <c r="Z575" s="177"/>
      <c r="AA575" s="177"/>
      <c r="AB575" s="61"/>
      <c r="AC575" s="64"/>
      <c r="AD575" s="50"/>
      <c r="AE575" s="50"/>
      <c r="AF575" s="19"/>
      <c r="AG575" s="120"/>
      <c r="AH575" s="119"/>
      <c r="AI575" s="1"/>
      <c r="AJ575" s="21"/>
      <c r="AK575" s="21"/>
      <c r="AL575" s="21"/>
      <c r="AM575" s="21"/>
      <c r="AN575" s="21"/>
      <c r="AO575" s="21"/>
    </row>
    <row r="576" spans="1:41" s="308" customFormat="1" x14ac:dyDescent="0.2">
      <c r="A576" s="48"/>
      <c r="B576" s="306"/>
      <c r="C576" s="233"/>
      <c r="D576" s="233"/>
      <c r="E576" s="53"/>
      <c r="F576" s="13"/>
      <c r="G576" s="13"/>
      <c r="H576" s="53"/>
      <c r="I576" s="298"/>
      <c r="J576" s="21"/>
      <c r="K576" s="21"/>
      <c r="L576" s="13"/>
      <c r="M576" s="50"/>
      <c r="N576" s="97"/>
      <c r="O576" s="50"/>
      <c r="P576" s="50"/>
      <c r="Q576" s="316"/>
      <c r="R576" s="285"/>
      <c r="S576" s="21"/>
      <c r="T576" s="13"/>
      <c r="U576" s="13"/>
      <c r="V576" s="21"/>
      <c r="W576" s="21"/>
      <c r="X576" s="21"/>
      <c r="Y576" s="260"/>
      <c r="Z576" s="177"/>
      <c r="AA576" s="177"/>
      <c r="AB576" s="61"/>
      <c r="AC576" s="64"/>
      <c r="AD576" s="50"/>
      <c r="AE576" s="50"/>
      <c r="AF576" s="19"/>
      <c r="AG576" s="120"/>
      <c r="AH576" s="119"/>
      <c r="AI576" s="1"/>
      <c r="AJ576" s="21"/>
      <c r="AK576" s="21"/>
      <c r="AL576" s="21"/>
      <c r="AM576" s="21"/>
      <c r="AN576" s="21"/>
      <c r="AO576" s="21"/>
    </row>
    <row r="577" spans="1:41" s="308" customFormat="1" x14ac:dyDescent="0.2">
      <c r="A577" s="48"/>
      <c r="B577" s="306"/>
      <c r="C577" s="233"/>
      <c r="D577" s="233"/>
      <c r="E577" s="53"/>
      <c r="F577" s="13"/>
      <c r="G577" s="13"/>
      <c r="H577" s="53"/>
      <c r="I577" s="298"/>
      <c r="J577" s="21"/>
      <c r="K577" s="21"/>
      <c r="L577" s="13"/>
      <c r="M577" s="50"/>
      <c r="N577" s="97"/>
      <c r="O577" s="50"/>
      <c r="P577" s="50"/>
      <c r="Q577" s="316"/>
      <c r="R577" s="285"/>
      <c r="S577" s="21"/>
      <c r="T577" s="13"/>
      <c r="U577" s="13"/>
      <c r="V577" s="21"/>
      <c r="W577" s="21"/>
      <c r="X577" s="21"/>
      <c r="Y577" s="260"/>
      <c r="Z577" s="177"/>
      <c r="AA577" s="177"/>
      <c r="AB577" s="61"/>
      <c r="AC577" s="64"/>
      <c r="AD577" s="50"/>
      <c r="AE577" s="50"/>
      <c r="AF577" s="19"/>
      <c r="AG577" s="120"/>
      <c r="AH577" s="119"/>
      <c r="AI577" s="1"/>
      <c r="AJ577" s="21"/>
      <c r="AK577" s="21"/>
      <c r="AL577" s="21"/>
      <c r="AM577" s="21"/>
      <c r="AN577" s="21"/>
      <c r="AO577" s="21"/>
    </row>
    <row r="578" spans="1:41" s="308" customFormat="1" x14ac:dyDescent="0.2">
      <c r="A578" s="48"/>
      <c r="B578" s="306"/>
      <c r="C578" s="233"/>
      <c r="D578" s="233"/>
      <c r="E578" s="53"/>
      <c r="F578" s="13"/>
      <c r="G578" s="13"/>
      <c r="H578" s="53"/>
      <c r="I578" s="298"/>
      <c r="J578" s="21"/>
      <c r="K578" s="21"/>
      <c r="L578" s="13"/>
      <c r="M578" s="50"/>
      <c r="N578" s="97"/>
      <c r="O578" s="50"/>
      <c r="P578" s="50"/>
      <c r="Q578" s="316"/>
      <c r="R578" s="285"/>
      <c r="S578" s="21"/>
      <c r="T578" s="13"/>
      <c r="U578" s="13"/>
      <c r="V578" s="21"/>
      <c r="W578" s="21"/>
      <c r="X578" s="21"/>
      <c r="Y578" s="260"/>
      <c r="Z578" s="177"/>
      <c r="AA578" s="177"/>
      <c r="AB578" s="61"/>
      <c r="AC578" s="64"/>
      <c r="AD578" s="50"/>
      <c r="AE578" s="50"/>
      <c r="AF578" s="19"/>
      <c r="AG578" s="120"/>
      <c r="AH578" s="119"/>
      <c r="AI578" s="1"/>
      <c r="AJ578" s="21"/>
      <c r="AK578" s="21"/>
      <c r="AL578" s="21"/>
      <c r="AM578" s="21"/>
      <c r="AN578" s="21"/>
      <c r="AO578" s="21"/>
    </row>
    <row r="579" spans="1:41" s="308" customFormat="1" x14ac:dyDescent="0.2">
      <c r="A579" s="48"/>
      <c r="B579" s="306"/>
      <c r="C579" s="233"/>
      <c r="D579" s="233"/>
      <c r="E579" s="53"/>
      <c r="F579" s="13"/>
      <c r="G579" s="13"/>
      <c r="H579" s="53"/>
      <c r="I579" s="298"/>
      <c r="J579" s="21"/>
      <c r="K579" s="21"/>
      <c r="L579" s="13"/>
      <c r="M579" s="50"/>
      <c r="N579" s="97"/>
      <c r="O579" s="50"/>
      <c r="P579" s="50"/>
      <c r="Q579" s="316"/>
      <c r="R579" s="285"/>
      <c r="S579" s="21"/>
      <c r="T579" s="13"/>
      <c r="U579" s="13"/>
      <c r="V579" s="21"/>
      <c r="W579" s="21"/>
      <c r="X579" s="21"/>
      <c r="Y579" s="260"/>
      <c r="Z579" s="177"/>
      <c r="AA579" s="177"/>
      <c r="AB579" s="61"/>
      <c r="AC579" s="64"/>
      <c r="AD579" s="50"/>
      <c r="AE579" s="50"/>
      <c r="AF579" s="19"/>
      <c r="AG579" s="120"/>
      <c r="AH579" s="119"/>
      <c r="AI579" s="1"/>
      <c r="AJ579" s="21"/>
      <c r="AK579" s="21"/>
      <c r="AL579" s="21"/>
      <c r="AM579" s="21"/>
      <c r="AN579" s="21"/>
      <c r="AO579" s="21"/>
    </row>
    <row r="580" spans="1:41" s="308" customFormat="1" x14ac:dyDescent="0.2">
      <c r="A580" s="48"/>
      <c r="B580" s="306"/>
      <c r="C580" s="233"/>
      <c r="D580" s="233"/>
      <c r="E580" s="53"/>
      <c r="F580" s="13"/>
      <c r="G580" s="13"/>
      <c r="H580" s="53"/>
      <c r="I580" s="298"/>
      <c r="J580" s="21"/>
      <c r="K580" s="21"/>
      <c r="L580" s="13"/>
      <c r="M580" s="50"/>
      <c r="N580" s="97"/>
      <c r="O580" s="50"/>
      <c r="P580" s="50"/>
      <c r="Q580" s="316"/>
      <c r="R580" s="285"/>
      <c r="S580" s="21"/>
      <c r="T580" s="13"/>
      <c r="U580" s="13"/>
      <c r="V580" s="21"/>
      <c r="W580" s="21"/>
      <c r="X580" s="21"/>
      <c r="Y580" s="260"/>
      <c r="Z580" s="177"/>
      <c r="AA580" s="177"/>
      <c r="AB580" s="61"/>
      <c r="AC580" s="64"/>
      <c r="AD580" s="50"/>
      <c r="AE580" s="50"/>
      <c r="AF580" s="19"/>
      <c r="AG580" s="120"/>
      <c r="AH580" s="119"/>
      <c r="AI580" s="1"/>
      <c r="AJ580" s="21"/>
      <c r="AK580" s="21"/>
      <c r="AL580" s="21"/>
      <c r="AM580" s="21"/>
      <c r="AN580" s="21"/>
      <c r="AO580" s="21"/>
    </row>
    <row r="581" spans="1:41" s="308" customFormat="1" x14ac:dyDescent="0.2">
      <c r="A581" s="48"/>
      <c r="B581" s="306"/>
      <c r="C581" s="233"/>
      <c r="D581" s="233"/>
      <c r="E581" s="53"/>
      <c r="F581" s="13"/>
      <c r="G581" s="13"/>
      <c r="H581" s="53"/>
      <c r="I581" s="298"/>
      <c r="J581" s="21"/>
      <c r="K581" s="21"/>
      <c r="L581" s="13"/>
      <c r="M581" s="50"/>
      <c r="N581" s="97"/>
      <c r="O581" s="50"/>
      <c r="P581" s="50"/>
      <c r="Q581" s="316"/>
      <c r="R581" s="285"/>
      <c r="S581" s="21"/>
      <c r="T581" s="13"/>
      <c r="U581" s="13"/>
      <c r="V581" s="21"/>
      <c r="W581" s="21"/>
      <c r="X581" s="21"/>
      <c r="Y581" s="260"/>
      <c r="Z581" s="177"/>
      <c r="AA581" s="177"/>
      <c r="AB581" s="61"/>
      <c r="AC581" s="64"/>
      <c r="AD581" s="50"/>
      <c r="AE581" s="50"/>
      <c r="AF581" s="19"/>
      <c r="AG581" s="120"/>
      <c r="AH581" s="119"/>
      <c r="AI581" s="1"/>
      <c r="AJ581" s="21"/>
      <c r="AK581" s="21"/>
      <c r="AL581" s="21"/>
      <c r="AM581" s="21"/>
      <c r="AN581" s="21"/>
      <c r="AO581" s="21"/>
    </row>
    <row r="582" spans="1:41" s="308" customFormat="1" x14ac:dyDescent="0.2">
      <c r="A582" s="48"/>
      <c r="B582" s="306"/>
      <c r="C582" s="233"/>
      <c r="D582" s="233"/>
      <c r="E582" s="53"/>
      <c r="F582" s="13"/>
      <c r="G582" s="13"/>
      <c r="H582" s="53"/>
      <c r="I582" s="298"/>
      <c r="J582" s="21"/>
      <c r="K582" s="21"/>
      <c r="L582" s="13"/>
      <c r="M582" s="50"/>
      <c r="N582" s="97"/>
      <c r="O582" s="50"/>
      <c r="P582" s="50"/>
      <c r="Q582" s="316"/>
      <c r="R582" s="285"/>
      <c r="S582" s="21"/>
      <c r="T582" s="13"/>
      <c r="U582" s="13"/>
      <c r="V582" s="21"/>
      <c r="W582" s="21"/>
      <c r="X582" s="21"/>
      <c r="Y582" s="260"/>
      <c r="Z582" s="177"/>
      <c r="AA582" s="177"/>
      <c r="AB582" s="61"/>
      <c r="AC582" s="64"/>
      <c r="AD582" s="50"/>
      <c r="AE582" s="50"/>
      <c r="AF582" s="19"/>
      <c r="AG582" s="120"/>
      <c r="AH582" s="119"/>
      <c r="AI582" s="1"/>
      <c r="AJ582" s="21"/>
      <c r="AK582" s="21"/>
      <c r="AL582" s="21"/>
      <c r="AM582" s="21"/>
      <c r="AN582" s="21"/>
      <c r="AO582" s="21"/>
    </row>
    <row r="583" spans="1:41" s="308" customFormat="1" x14ac:dyDescent="0.2">
      <c r="A583" s="48"/>
      <c r="B583" s="306"/>
      <c r="C583" s="233"/>
      <c r="D583" s="233"/>
      <c r="E583" s="53"/>
      <c r="F583" s="13"/>
      <c r="G583" s="13"/>
      <c r="H583" s="53"/>
      <c r="I583" s="298"/>
      <c r="J583" s="21"/>
      <c r="K583" s="21"/>
      <c r="L583" s="13"/>
      <c r="M583" s="50"/>
      <c r="N583" s="97"/>
      <c r="O583" s="50"/>
      <c r="P583" s="50"/>
      <c r="Q583" s="316"/>
      <c r="R583" s="285"/>
      <c r="S583" s="21"/>
      <c r="T583" s="13"/>
      <c r="U583" s="13"/>
      <c r="V583" s="21"/>
      <c r="W583" s="21"/>
      <c r="X583" s="21"/>
      <c r="Y583" s="260"/>
      <c r="Z583" s="177"/>
      <c r="AA583" s="177"/>
      <c r="AB583" s="61"/>
      <c r="AC583" s="64"/>
      <c r="AD583" s="50"/>
      <c r="AE583" s="50"/>
      <c r="AF583" s="19"/>
      <c r="AG583" s="120"/>
      <c r="AH583" s="119"/>
      <c r="AI583" s="1"/>
      <c r="AJ583" s="21"/>
      <c r="AK583" s="21"/>
      <c r="AL583" s="21"/>
      <c r="AM583" s="21"/>
      <c r="AN583" s="21"/>
      <c r="AO583" s="21"/>
    </row>
    <row r="584" spans="1:41" s="308" customFormat="1" x14ac:dyDescent="0.2">
      <c r="A584" s="48"/>
      <c r="B584" s="306"/>
      <c r="C584" s="233"/>
      <c r="D584" s="233"/>
      <c r="E584" s="53"/>
      <c r="F584" s="13"/>
      <c r="G584" s="13"/>
      <c r="H584" s="53"/>
      <c r="I584" s="298"/>
      <c r="J584" s="21"/>
      <c r="K584" s="21"/>
      <c r="L584" s="13"/>
      <c r="M584" s="50"/>
      <c r="N584" s="97"/>
      <c r="O584" s="50"/>
      <c r="P584" s="50"/>
      <c r="Q584" s="316"/>
      <c r="R584" s="285"/>
      <c r="S584" s="21"/>
      <c r="T584" s="13"/>
      <c r="U584" s="13"/>
      <c r="V584" s="21"/>
      <c r="W584" s="21"/>
      <c r="X584" s="21"/>
      <c r="Y584" s="260"/>
      <c r="Z584" s="177"/>
      <c r="AA584" s="177"/>
      <c r="AB584" s="61"/>
      <c r="AC584" s="64"/>
      <c r="AD584" s="50"/>
      <c r="AE584" s="50"/>
      <c r="AF584" s="19"/>
      <c r="AG584" s="120"/>
      <c r="AH584" s="119"/>
      <c r="AI584" s="1"/>
      <c r="AJ584" s="21"/>
      <c r="AK584" s="21"/>
      <c r="AL584" s="21"/>
      <c r="AM584" s="21"/>
      <c r="AN584" s="21"/>
      <c r="AO584" s="21"/>
    </row>
    <row r="585" spans="1:41" s="308" customFormat="1" x14ac:dyDescent="0.2">
      <c r="A585" s="48"/>
      <c r="B585" s="306"/>
      <c r="C585" s="233"/>
      <c r="D585" s="233"/>
      <c r="E585" s="53"/>
      <c r="F585" s="13"/>
      <c r="G585" s="13"/>
      <c r="H585" s="53"/>
      <c r="I585" s="298"/>
      <c r="J585" s="21"/>
      <c r="K585" s="21"/>
      <c r="L585" s="13"/>
      <c r="M585" s="50"/>
      <c r="N585" s="97"/>
      <c r="O585" s="50"/>
      <c r="P585" s="50"/>
      <c r="Q585" s="316"/>
      <c r="R585" s="285"/>
      <c r="S585" s="21"/>
      <c r="T585" s="13"/>
      <c r="U585" s="13"/>
      <c r="V585" s="21"/>
      <c r="W585" s="21"/>
      <c r="X585" s="21"/>
      <c r="Y585" s="260"/>
      <c r="Z585" s="177"/>
      <c r="AA585" s="177"/>
      <c r="AB585" s="61"/>
      <c r="AC585" s="64"/>
      <c r="AD585" s="50"/>
      <c r="AE585" s="50"/>
      <c r="AF585" s="19"/>
      <c r="AG585" s="120"/>
      <c r="AH585" s="119"/>
      <c r="AI585" s="1"/>
      <c r="AJ585" s="21"/>
      <c r="AK585" s="21"/>
      <c r="AL585" s="21"/>
      <c r="AM585" s="21"/>
      <c r="AN585" s="21"/>
      <c r="AO585" s="21"/>
    </row>
    <row r="586" spans="1:41" s="308" customFormat="1" x14ac:dyDescent="0.2">
      <c r="A586" s="48"/>
      <c r="B586" s="306"/>
      <c r="C586" s="233"/>
      <c r="D586" s="233"/>
      <c r="E586" s="53"/>
      <c r="F586" s="13"/>
      <c r="G586" s="13"/>
      <c r="H586" s="53"/>
      <c r="I586" s="298"/>
      <c r="J586" s="21"/>
      <c r="K586" s="21"/>
      <c r="L586" s="13"/>
      <c r="M586" s="50"/>
      <c r="N586" s="97"/>
      <c r="O586" s="50"/>
      <c r="P586" s="50"/>
      <c r="Q586" s="316"/>
      <c r="R586" s="285"/>
      <c r="S586" s="21"/>
      <c r="T586" s="13"/>
      <c r="U586" s="13"/>
      <c r="V586" s="21"/>
      <c r="W586" s="21"/>
      <c r="X586" s="21"/>
      <c r="Y586" s="260"/>
      <c r="Z586" s="177"/>
      <c r="AA586" s="177"/>
      <c r="AB586" s="61"/>
      <c r="AC586" s="64"/>
      <c r="AD586" s="50"/>
      <c r="AE586" s="50"/>
      <c r="AF586" s="19"/>
      <c r="AG586" s="120"/>
      <c r="AH586" s="119"/>
      <c r="AI586" s="1"/>
      <c r="AJ586" s="21"/>
      <c r="AK586" s="21"/>
      <c r="AL586" s="21"/>
      <c r="AM586" s="21"/>
      <c r="AN586" s="21"/>
      <c r="AO586" s="21"/>
    </row>
    <row r="587" spans="1:41" s="308" customFormat="1" x14ac:dyDescent="0.2">
      <c r="A587" s="48"/>
      <c r="B587" s="306"/>
      <c r="C587" s="233"/>
      <c r="D587" s="233"/>
      <c r="E587" s="53"/>
      <c r="F587" s="13"/>
      <c r="G587" s="13"/>
      <c r="H587" s="53"/>
      <c r="I587" s="298"/>
      <c r="J587" s="21"/>
      <c r="K587" s="21"/>
      <c r="L587" s="13"/>
      <c r="M587" s="50"/>
      <c r="N587" s="97"/>
      <c r="O587" s="50"/>
      <c r="P587" s="50"/>
      <c r="Q587" s="316"/>
      <c r="R587" s="285"/>
      <c r="S587" s="21"/>
      <c r="T587" s="13"/>
      <c r="U587" s="13"/>
      <c r="V587" s="21"/>
      <c r="W587" s="21"/>
      <c r="X587" s="21"/>
      <c r="Y587" s="260"/>
      <c r="Z587" s="177"/>
      <c r="AA587" s="177"/>
      <c r="AB587" s="61"/>
      <c r="AC587" s="64"/>
      <c r="AD587" s="50"/>
      <c r="AE587" s="50"/>
      <c r="AF587" s="19"/>
      <c r="AG587" s="120"/>
      <c r="AH587" s="119"/>
      <c r="AI587" s="1"/>
      <c r="AJ587" s="21"/>
      <c r="AK587" s="21"/>
      <c r="AL587" s="21"/>
      <c r="AM587" s="21"/>
      <c r="AN587" s="21"/>
      <c r="AO587" s="21"/>
    </row>
    <row r="588" spans="1:41" s="308" customFormat="1" x14ac:dyDescent="0.2">
      <c r="A588" s="48"/>
      <c r="B588" s="306"/>
      <c r="C588" s="233"/>
      <c r="D588" s="233"/>
      <c r="E588" s="53"/>
      <c r="F588" s="13"/>
      <c r="G588" s="13"/>
      <c r="H588" s="53"/>
      <c r="I588" s="298"/>
      <c r="J588" s="21"/>
      <c r="K588" s="21"/>
      <c r="L588" s="13"/>
      <c r="M588" s="50"/>
      <c r="N588" s="97"/>
      <c r="O588" s="50"/>
      <c r="P588" s="50"/>
      <c r="Q588" s="316"/>
      <c r="R588" s="285"/>
      <c r="S588" s="21"/>
      <c r="T588" s="13"/>
      <c r="U588" s="13"/>
      <c r="V588" s="21"/>
      <c r="W588" s="21"/>
      <c r="X588" s="21"/>
      <c r="Y588" s="260"/>
      <c r="Z588" s="177"/>
      <c r="AA588" s="177"/>
      <c r="AB588" s="61"/>
      <c r="AC588" s="64"/>
      <c r="AD588" s="50"/>
      <c r="AE588" s="50"/>
      <c r="AF588" s="19"/>
      <c r="AG588" s="120"/>
      <c r="AH588" s="119"/>
      <c r="AI588" s="1"/>
      <c r="AJ588" s="21"/>
      <c r="AK588" s="21"/>
      <c r="AL588" s="21"/>
      <c r="AM588" s="21"/>
      <c r="AN588" s="21"/>
      <c r="AO588" s="21"/>
    </row>
    <row r="589" spans="1:41" s="308" customFormat="1" x14ac:dyDescent="0.2">
      <c r="A589" s="48"/>
      <c r="B589" s="306"/>
      <c r="C589" s="233"/>
      <c r="D589" s="233"/>
      <c r="E589" s="53"/>
      <c r="F589" s="13"/>
      <c r="G589" s="13"/>
      <c r="H589" s="53"/>
      <c r="I589" s="298"/>
      <c r="J589" s="21"/>
      <c r="K589" s="21"/>
      <c r="L589" s="13"/>
      <c r="M589" s="50"/>
      <c r="N589" s="97"/>
      <c r="O589" s="50"/>
      <c r="P589" s="50"/>
      <c r="Q589" s="316"/>
      <c r="R589" s="285"/>
      <c r="S589" s="21"/>
      <c r="T589" s="13"/>
      <c r="U589" s="13"/>
      <c r="V589" s="21"/>
      <c r="W589" s="21"/>
      <c r="X589" s="21"/>
      <c r="Y589" s="260"/>
      <c r="Z589" s="177"/>
      <c r="AA589" s="177"/>
      <c r="AB589" s="61"/>
      <c r="AC589" s="64"/>
      <c r="AD589" s="50"/>
      <c r="AE589" s="50"/>
      <c r="AF589" s="19"/>
      <c r="AG589" s="120"/>
      <c r="AH589" s="119"/>
      <c r="AI589" s="1"/>
      <c r="AJ589" s="21"/>
      <c r="AK589" s="21"/>
      <c r="AL589" s="21"/>
      <c r="AM589" s="21"/>
      <c r="AN589" s="21"/>
      <c r="AO589" s="21"/>
    </row>
    <row r="590" spans="1:41" s="308" customFormat="1" x14ac:dyDescent="0.2">
      <c r="A590" s="48"/>
      <c r="B590" s="306"/>
      <c r="C590" s="233"/>
      <c r="D590" s="233"/>
      <c r="E590" s="53"/>
      <c r="F590" s="13"/>
      <c r="G590" s="13"/>
      <c r="H590" s="53"/>
      <c r="I590" s="298"/>
      <c r="J590" s="21"/>
      <c r="K590" s="21"/>
      <c r="L590" s="13"/>
      <c r="M590" s="50"/>
      <c r="N590" s="97"/>
      <c r="O590" s="50"/>
      <c r="P590" s="50"/>
      <c r="Q590" s="316"/>
      <c r="R590" s="285"/>
      <c r="S590" s="21"/>
      <c r="T590" s="13"/>
      <c r="U590" s="13"/>
      <c r="V590" s="21"/>
      <c r="W590" s="21"/>
      <c r="X590" s="21"/>
      <c r="Y590" s="260"/>
      <c r="Z590" s="177"/>
      <c r="AA590" s="177"/>
      <c r="AB590" s="61"/>
      <c r="AC590" s="64"/>
      <c r="AD590" s="50"/>
      <c r="AE590" s="50"/>
      <c r="AF590" s="19"/>
      <c r="AG590" s="120"/>
      <c r="AH590" s="119"/>
      <c r="AI590" s="1"/>
      <c r="AJ590" s="21"/>
      <c r="AK590" s="21"/>
      <c r="AL590" s="21"/>
      <c r="AM590" s="21"/>
      <c r="AN590" s="21"/>
      <c r="AO590" s="21"/>
    </row>
    <row r="591" spans="1:41" s="308" customFormat="1" x14ac:dyDescent="0.2">
      <c r="A591" s="48"/>
      <c r="B591" s="306"/>
      <c r="C591" s="233"/>
      <c r="D591" s="233"/>
      <c r="E591" s="53"/>
      <c r="F591" s="13"/>
      <c r="G591" s="13"/>
      <c r="H591" s="53"/>
      <c r="I591" s="298"/>
      <c r="J591" s="21"/>
      <c r="K591" s="21"/>
      <c r="L591" s="13"/>
      <c r="M591" s="50"/>
      <c r="N591" s="97"/>
      <c r="O591" s="50"/>
      <c r="P591" s="50"/>
      <c r="Q591" s="316"/>
      <c r="R591" s="285"/>
      <c r="S591" s="21"/>
      <c r="T591" s="13"/>
      <c r="U591" s="13"/>
      <c r="V591" s="21"/>
      <c r="W591" s="21"/>
      <c r="X591" s="21"/>
      <c r="Y591" s="260"/>
      <c r="Z591" s="177"/>
      <c r="AA591" s="177"/>
      <c r="AB591" s="61"/>
      <c r="AC591" s="64"/>
      <c r="AD591" s="50"/>
      <c r="AE591" s="50"/>
      <c r="AF591" s="19"/>
      <c r="AG591" s="120"/>
      <c r="AH591" s="119"/>
      <c r="AI591" s="1"/>
      <c r="AJ591" s="21"/>
      <c r="AK591" s="21"/>
      <c r="AL591" s="21"/>
      <c r="AM591" s="21"/>
      <c r="AN591" s="21"/>
      <c r="AO591" s="21"/>
    </row>
    <row r="592" spans="1:41" s="308" customFormat="1" x14ac:dyDescent="0.2">
      <c r="A592" s="48"/>
      <c r="B592" s="306"/>
      <c r="C592" s="233"/>
      <c r="D592" s="233"/>
      <c r="E592" s="53"/>
      <c r="F592" s="13"/>
      <c r="G592" s="13"/>
      <c r="H592" s="53"/>
      <c r="I592" s="298"/>
      <c r="J592" s="21"/>
      <c r="K592" s="21"/>
      <c r="L592" s="13"/>
      <c r="M592" s="50"/>
      <c r="N592" s="97"/>
      <c r="O592" s="50"/>
      <c r="P592" s="50"/>
      <c r="Q592" s="316"/>
      <c r="R592" s="285"/>
      <c r="S592" s="21"/>
      <c r="T592" s="13"/>
      <c r="U592" s="13"/>
      <c r="V592" s="21"/>
      <c r="W592" s="21"/>
      <c r="X592" s="21"/>
      <c r="Y592" s="260"/>
      <c r="Z592" s="177"/>
      <c r="AA592" s="177"/>
      <c r="AB592" s="61"/>
      <c r="AC592" s="64"/>
      <c r="AD592" s="50"/>
      <c r="AE592" s="50"/>
      <c r="AF592" s="19"/>
      <c r="AG592" s="120"/>
      <c r="AH592" s="119"/>
      <c r="AI592" s="1"/>
      <c r="AJ592" s="21"/>
      <c r="AK592" s="21"/>
      <c r="AL592" s="21"/>
      <c r="AM592" s="21"/>
      <c r="AN592" s="21"/>
      <c r="AO592" s="21"/>
    </row>
    <row r="593" spans="1:41" s="308" customFormat="1" x14ac:dyDescent="0.2">
      <c r="A593" s="48"/>
      <c r="B593" s="306"/>
      <c r="C593" s="233"/>
      <c r="D593" s="233"/>
      <c r="E593" s="53"/>
      <c r="F593" s="13"/>
      <c r="G593" s="13"/>
      <c r="H593" s="53"/>
      <c r="I593" s="298"/>
      <c r="J593" s="21"/>
      <c r="K593" s="21"/>
      <c r="L593" s="13"/>
      <c r="M593" s="50"/>
      <c r="N593" s="97"/>
      <c r="O593" s="50"/>
      <c r="P593" s="50"/>
      <c r="Q593" s="316"/>
      <c r="R593" s="285"/>
      <c r="S593" s="21"/>
      <c r="T593" s="13"/>
      <c r="U593" s="13"/>
      <c r="V593" s="21"/>
      <c r="W593" s="21"/>
      <c r="X593" s="21"/>
      <c r="Y593" s="260"/>
      <c r="Z593" s="177"/>
      <c r="AA593" s="177"/>
      <c r="AB593" s="61"/>
      <c r="AC593" s="64"/>
      <c r="AD593" s="50"/>
      <c r="AE593" s="50"/>
      <c r="AF593" s="19"/>
      <c r="AG593" s="120"/>
      <c r="AH593" s="119"/>
      <c r="AI593" s="1"/>
      <c r="AJ593" s="21"/>
      <c r="AK593" s="21"/>
      <c r="AL593" s="21"/>
      <c r="AM593" s="21"/>
      <c r="AN593" s="21"/>
      <c r="AO593" s="21"/>
    </row>
    <row r="594" spans="1:41" s="308" customFormat="1" x14ac:dyDescent="0.2">
      <c r="A594" s="48"/>
      <c r="B594" s="306"/>
      <c r="C594" s="233"/>
      <c r="D594" s="233"/>
      <c r="E594" s="53"/>
      <c r="F594" s="13"/>
      <c r="G594" s="13"/>
      <c r="H594" s="53"/>
      <c r="I594" s="298"/>
      <c r="J594" s="21"/>
      <c r="K594" s="21"/>
      <c r="L594" s="13"/>
      <c r="M594" s="50"/>
      <c r="N594" s="97"/>
      <c r="O594" s="50"/>
      <c r="P594" s="50"/>
      <c r="Q594" s="316"/>
      <c r="R594" s="285"/>
      <c r="S594" s="21"/>
      <c r="T594" s="13"/>
      <c r="U594" s="13"/>
      <c r="V594" s="21"/>
      <c r="W594" s="21"/>
      <c r="X594" s="21"/>
      <c r="Y594" s="260"/>
      <c r="Z594" s="177"/>
      <c r="AA594" s="177"/>
      <c r="AB594" s="61"/>
      <c r="AC594" s="64"/>
      <c r="AD594" s="50"/>
      <c r="AE594" s="50"/>
      <c r="AF594" s="19"/>
      <c r="AG594" s="120"/>
      <c r="AH594" s="119"/>
      <c r="AI594" s="1"/>
      <c r="AJ594" s="21"/>
      <c r="AK594" s="21"/>
      <c r="AL594" s="21"/>
      <c r="AM594" s="21"/>
      <c r="AN594" s="21"/>
      <c r="AO594" s="21"/>
    </row>
    <row r="595" spans="1:41" s="308" customFormat="1" x14ac:dyDescent="0.2">
      <c r="A595" s="48"/>
      <c r="B595" s="306"/>
      <c r="C595" s="233"/>
      <c r="D595" s="233"/>
      <c r="E595" s="53"/>
      <c r="F595" s="13"/>
      <c r="G595" s="13"/>
      <c r="H595" s="53"/>
      <c r="I595" s="298"/>
      <c r="J595" s="21"/>
      <c r="K595" s="21"/>
      <c r="L595" s="13"/>
      <c r="M595" s="50"/>
      <c r="N595" s="97"/>
      <c r="O595" s="50"/>
      <c r="P595" s="50"/>
      <c r="Q595" s="316"/>
      <c r="R595" s="285"/>
      <c r="S595" s="21"/>
      <c r="T595" s="13"/>
      <c r="U595" s="13"/>
      <c r="V595" s="21"/>
      <c r="W595" s="21"/>
      <c r="X595" s="21"/>
      <c r="Y595" s="260"/>
      <c r="Z595" s="177"/>
      <c r="AA595" s="177"/>
      <c r="AB595" s="61"/>
      <c r="AC595" s="64"/>
      <c r="AD595" s="50"/>
      <c r="AE595" s="50"/>
      <c r="AF595" s="19"/>
      <c r="AG595" s="120"/>
      <c r="AH595" s="119"/>
      <c r="AI595" s="1"/>
      <c r="AJ595" s="21"/>
      <c r="AK595" s="21"/>
      <c r="AL595" s="21"/>
      <c r="AM595" s="21"/>
      <c r="AN595" s="21"/>
      <c r="AO595" s="21"/>
    </row>
    <row r="596" spans="1:41" s="308" customFormat="1" x14ac:dyDescent="0.2">
      <c r="A596" s="48"/>
      <c r="B596" s="306"/>
      <c r="C596" s="233"/>
      <c r="D596" s="233"/>
      <c r="E596" s="53"/>
      <c r="F596" s="13"/>
      <c r="G596" s="13"/>
      <c r="H596" s="53"/>
      <c r="I596" s="298"/>
      <c r="J596" s="21"/>
      <c r="K596" s="21"/>
      <c r="L596" s="13"/>
      <c r="M596" s="50"/>
      <c r="N596" s="97"/>
      <c r="O596" s="50"/>
      <c r="P596" s="50"/>
      <c r="Q596" s="316"/>
      <c r="R596" s="285"/>
      <c r="S596" s="21"/>
      <c r="T596" s="13"/>
      <c r="U596" s="13"/>
      <c r="V596" s="21"/>
      <c r="W596" s="21"/>
      <c r="X596" s="21"/>
      <c r="Y596" s="260"/>
      <c r="Z596" s="177"/>
      <c r="AA596" s="177"/>
      <c r="AB596" s="61"/>
      <c r="AC596" s="64"/>
      <c r="AD596" s="50"/>
      <c r="AE596" s="50"/>
      <c r="AF596" s="19"/>
      <c r="AG596" s="120"/>
      <c r="AH596" s="119"/>
      <c r="AI596" s="1"/>
      <c r="AJ596" s="21"/>
      <c r="AK596" s="21"/>
      <c r="AL596" s="21"/>
      <c r="AM596" s="21"/>
      <c r="AN596" s="21"/>
      <c r="AO596" s="21"/>
    </row>
    <row r="597" spans="1:41" s="308" customFormat="1" x14ac:dyDescent="0.2">
      <c r="A597" s="48"/>
      <c r="B597" s="306"/>
      <c r="C597" s="233"/>
      <c r="D597" s="233"/>
      <c r="E597" s="53"/>
      <c r="F597" s="13"/>
      <c r="G597" s="13"/>
      <c r="H597" s="53"/>
      <c r="I597" s="298"/>
      <c r="J597" s="21"/>
      <c r="K597" s="21"/>
      <c r="L597" s="13"/>
      <c r="M597" s="50"/>
      <c r="N597" s="97"/>
      <c r="O597" s="50"/>
      <c r="P597" s="50"/>
      <c r="Q597" s="316"/>
      <c r="R597" s="285"/>
      <c r="S597" s="21"/>
      <c r="T597" s="13"/>
      <c r="U597" s="13"/>
      <c r="V597" s="21"/>
      <c r="W597" s="21"/>
      <c r="X597" s="21"/>
      <c r="Y597" s="260"/>
      <c r="Z597" s="177"/>
      <c r="AA597" s="177"/>
      <c r="AB597" s="61"/>
      <c r="AC597" s="64"/>
      <c r="AD597" s="50"/>
      <c r="AE597" s="50"/>
      <c r="AF597" s="19"/>
      <c r="AG597" s="120"/>
      <c r="AH597" s="119"/>
      <c r="AI597" s="1"/>
      <c r="AJ597" s="21"/>
      <c r="AK597" s="21"/>
      <c r="AL597" s="21"/>
      <c r="AM597" s="21"/>
      <c r="AN597" s="21"/>
      <c r="AO597" s="21"/>
    </row>
    <row r="598" spans="1:41" s="308" customFormat="1" x14ac:dyDescent="0.2">
      <c r="A598" s="48"/>
      <c r="B598" s="306"/>
      <c r="C598" s="233"/>
      <c r="D598" s="233"/>
      <c r="E598" s="53"/>
      <c r="F598" s="13"/>
      <c r="G598" s="13"/>
      <c r="H598" s="53"/>
      <c r="I598" s="298"/>
      <c r="J598" s="21"/>
      <c r="K598" s="21"/>
      <c r="L598" s="13"/>
      <c r="M598" s="50"/>
      <c r="N598" s="97"/>
      <c r="O598" s="50"/>
      <c r="P598" s="50"/>
      <c r="Q598" s="316"/>
      <c r="R598" s="285"/>
      <c r="S598" s="21"/>
      <c r="T598" s="13"/>
      <c r="U598" s="13"/>
      <c r="V598" s="21"/>
      <c r="W598" s="21"/>
      <c r="X598" s="21"/>
      <c r="Y598" s="260"/>
      <c r="Z598" s="177"/>
      <c r="AA598" s="177"/>
      <c r="AB598" s="61"/>
      <c r="AC598" s="64"/>
      <c r="AD598" s="50"/>
      <c r="AE598" s="50"/>
      <c r="AF598" s="19"/>
      <c r="AG598" s="120"/>
      <c r="AH598" s="119"/>
      <c r="AI598" s="1"/>
      <c r="AJ598" s="21"/>
      <c r="AK598" s="21"/>
      <c r="AL598" s="21"/>
      <c r="AM598" s="21"/>
      <c r="AN598" s="21"/>
      <c r="AO598" s="21"/>
    </row>
    <row r="599" spans="1:41" s="308" customFormat="1" x14ac:dyDescent="0.2">
      <c r="A599" s="48"/>
      <c r="B599" s="306"/>
      <c r="C599" s="233"/>
      <c r="D599" s="233"/>
      <c r="E599" s="53"/>
      <c r="F599" s="13"/>
      <c r="G599" s="13"/>
      <c r="H599" s="53"/>
      <c r="I599" s="298"/>
      <c r="J599" s="21"/>
      <c r="K599" s="21"/>
      <c r="L599" s="13"/>
      <c r="M599" s="50"/>
      <c r="N599" s="97"/>
      <c r="O599" s="50"/>
      <c r="P599" s="50"/>
      <c r="Q599" s="316"/>
      <c r="R599" s="285"/>
      <c r="S599" s="21"/>
      <c r="T599" s="13"/>
      <c r="U599" s="13"/>
      <c r="V599" s="21"/>
      <c r="W599" s="21"/>
      <c r="X599" s="21"/>
      <c r="Y599" s="260"/>
      <c r="Z599" s="177"/>
      <c r="AA599" s="177"/>
      <c r="AB599" s="61"/>
      <c r="AC599" s="64"/>
      <c r="AD599" s="50"/>
      <c r="AE599" s="50"/>
      <c r="AF599" s="19"/>
      <c r="AG599" s="120"/>
      <c r="AH599" s="119"/>
      <c r="AI599" s="1"/>
      <c r="AJ599" s="21"/>
      <c r="AK599" s="21"/>
      <c r="AL599" s="21"/>
      <c r="AM599" s="21"/>
      <c r="AN599" s="21"/>
      <c r="AO599" s="21"/>
    </row>
    <row r="600" spans="1:41" s="308" customFormat="1" x14ac:dyDescent="0.2">
      <c r="A600" s="48"/>
      <c r="B600" s="306"/>
      <c r="C600" s="233"/>
      <c r="D600" s="233"/>
      <c r="E600" s="53"/>
      <c r="F600" s="13"/>
      <c r="G600" s="13"/>
      <c r="H600" s="53"/>
      <c r="I600" s="298"/>
      <c r="J600" s="21"/>
      <c r="K600" s="21"/>
      <c r="L600" s="13"/>
      <c r="M600" s="50"/>
      <c r="N600" s="97"/>
      <c r="O600" s="50"/>
      <c r="P600" s="50"/>
      <c r="Q600" s="316"/>
      <c r="R600" s="285"/>
      <c r="S600" s="21"/>
      <c r="T600" s="13"/>
      <c r="U600" s="13"/>
      <c r="V600" s="21"/>
      <c r="W600" s="21"/>
      <c r="X600" s="21"/>
      <c r="Y600" s="260"/>
      <c r="Z600" s="177"/>
      <c r="AA600" s="177"/>
      <c r="AB600" s="61"/>
      <c r="AC600" s="64"/>
      <c r="AD600" s="50"/>
      <c r="AE600" s="50"/>
      <c r="AF600" s="19"/>
      <c r="AG600" s="120"/>
      <c r="AH600" s="119"/>
      <c r="AI600" s="1"/>
      <c r="AJ600" s="21"/>
      <c r="AK600" s="21"/>
      <c r="AL600" s="21"/>
      <c r="AM600" s="21"/>
      <c r="AN600" s="21"/>
      <c r="AO600" s="21"/>
    </row>
    <row r="601" spans="1:41" s="308" customFormat="1" x14ac:dyDescent="0.2">
      <c r="A601" s="48"/>
      <c r="B601" s="306"/>
      <c r="C601" s="233"/>
      <c r="D601" s="233"/>
      <c r="E601" s="53"/>
      <c r="F601" s="13"/>
      <c r="G601" s="13"/>
      <c r="H601" s="53"/>
      <c r="I601" s="298"/>
      <c r="J601" s="21"/>
      <c r="K601" s="21"/>
      <c r="L601" s="13"/>
      <c r="M601" s="50"/>
      <c r="N601" s="97"/>
      <c r="O601" s="50"/>
      <c r="P601" s="50"/>
      <c r="Q601" s="316"/>
      <c r="R601" s="285"/>
      <c r="S601" s="21"/>
      <c r="T601" s="13"/>
      <c r="U601" s="13"/>
      <c r="V601" s="21"/>
      <c r="W601" s="21"/>
      <c r="X601" s="21"/>
      <c r="Y601" s="260"/>
      <c r="Z601" s="177"/>
      <c r="AA601" s="177"/>
      <c r="AB601" s="61"/>
      <c r="AC601" s="64"/>
      <c r="AD601" s="50"/>
      <c r="AE601" s="50"/>
      <c r="AF601" s="19"/>
      <c r="AG601" s="120"/>
      <c r="AH601" s="123"/>
      <c r="AI601" s="1"/>
      <c r="AJ601" s="21"/>
      <c r="AK601" s="21"/>
      <c r="AL601" s="21"/>
      <c r="AM601" s="21"/>
      <c r="AN601" s="21"/>
      <c r="AO601" s="21"/>
    </row>
    <row r="602" spans="1:41" s="308" customFormat="1" x14ac:dyDescent="0.2">
      <c r="A602" s="48"/>
      <c r="B602" s="306"/>
      <c r="C602" s="233"/>
      <c r="D602" s="233"/>
      <c r="E602" s="53"/>
      <c r="F602" s="13"/>
      <c r="G602" s="13"/>
      <c r="H602" s="53"/>
      <c r="I602" s="298"/>
      <c r="J602" s="21"/>
      <c r="K602" s="21"/>
      <c r="L602" s="13"/>
      <c r="M602" s="50"/>
      <c r="N602" s="97"/>
      <c r="O602" s="50"/>
      <c r="P602" s="50"/>
      <c r="Q602" s="316"/>
      <c r="R602" s="285"/>
      <c r="S602" s="21"/>
      <c r="T602" s="13"/>
      <c r="U602" s="13"/>
      <c r="V602" s="21"/>
      <c r="W602" s="21"/>
      <c r="X602" s="21"/>
      <c r="Y602" s="260"/>
      <c r="Z602" s="177"/>
      <c r="AA602" s="177"/>
      <c r="AB602" s="61"/>
      <c r="AC602" s="64"/>
      <c r="AD602" s="50"/>
      <c r="AE602" s="50"/>
      <c r="AF602" s="19"/>
      <c r="AG602" s="120"/>
      <c r="AH602" s="119"/>
      <c r="AI602" s="1"/>
      <c r="AJ602" s="21"/>
      <c r="AK602" s="21"/>
      <c r="AL602" s="21"/>
      <c r="AM602" s="21"/>
      <c r="AN602" s="21"/>
      <c r="AO602" s="21"/>
    </row>
    <row r="603" spans="1:41" s="308" customFormat="1" x14ac:dyDescent="0.2">
      <c r="A603" s="48"/>
      <c r="B603" s="306"/>
      <c r="C603" s="233"/>
      <c r="D603" s="233"/>
      <c r="E603" s="53"/>
      <c r="F603" s="13"/>
      <c r="G603" s="13"/>
      <c r="H603" s="53"/>
      <c r="I603" s="298"/>
      <c r="J603" s="21"/>
      <c r="K603" s="21"/>
      <c r="L603" s="13"/>
      <c r="M603" s="50"/>
      <c r="N603" s="97"/>
      <c r="O603" s="50"/>
      <c r="P603" s="50"/>
      <c r="Q603" s="316"/>
      <c r="R603" s="285"/>
      <c r="S603" s="21"/>
      <c r="T603" s="13"/>
      <c r="U603" s="13"/>
      <c r="V603" s="21"/>
      <c r="W603" s="21"/>
      <c r="X603" s="21"/>
      <c r="Y603" s="260"/>
      <c r="Z603" s="177"/>
      <c r="AA603" s="177"/>
      <c r="AB603" s="61"/>
      <c r="AC603" s="64"/>
      <c r="AD603" s="50"/>
      <c r="AE603" s="50"/>
      <c r="AF603" s="19"/>
      <c r="AG603" s="120"/>
      <c r="AH603" s="119"/>
      <c r="AI603" s="1"/>
      <c r="AJ603" s="21"/>
      <c r="AK603" s="21"/>
      <c r="AL603" s="21"/>
      <c r="AM603" s="21"/>
      <c r="AN603" s="21"/>
      <c r="AO603" s="21"/>
    </row>
    <row r="604" spans="1:41" s="308" customFormat="1" x14ac:dyDescent="0.2">
      <c r="A604" s="48"/>
      <c r="B604" s="306"/>
      <c r="C604" s="233"/>
      <c r="D604" s="233"/>
      <c r="E604" s="53"/>
      <c r="F604" s="13"/>
      <c r="G604" s="13"/>
      <c r="H604" s="53"/>
      <c r="I604" s="298"/>
      <c r="J604" s="21"/>
      <c r="K604" s="21"/>
      <c r="L604" s="13"/>
      <c r="M604" s="50"/>
      <c r="N604" s="97"/>
      <c r="O604" s="50"/>
      <c r="P604" s="50"/>
      <c r="Q604" s="316"/>
      <c r="R604" s="285"/>
      <c r="S604" s="21"/>
      <c r="T604" s="13"/>
      <c r="U604" s="13"/>
      <c r="V604" s="21"/>
      <c r="W604" s="21"/>
      <c r="X604" s="21"/>
      <c r="Y604" s="260"/>
      <c r="Z604" s="177"/>
      <c r="AA604" s="177"/>
      <c r="AB604" s="61"/>
      <c r="AC604" s="64"/>
      <c r="AD604" s="50"/>
      <c r="AE604" s="50"/>
      <c r="AF604" s="19"/>
      <c r="AG604" s="120"/>
      <c r="AH604" s="119"/>
      <c r="AI604" s="1"/>
      <c r="AJ604" s="21"/>
      <c r="AK604" s="21"/>
      <c r="AL604" s="21"/>
      <c r="AM604" s="21"/>
      <c r="AN604" s="21"/>
      <c r="AO604" s="21"/>
    </row>
    <row r="605" spans="1:41" s="308" customFormat="1" x14ac:dyDescent="0.2">
      <c r="A605" s="48"/>
      <c r="B605" s="306"/>
      <c r="C605" s="233"/>
      <c r="D605" s="233"/>
      <c r="E605" s="53"/>
      <c r="F605" s="13"/>
      <c r="G605" s="13"/>
      <c r="H605" s="53"/>
      <c r="I605" s="298"/>
      <c r="J605" s="21"/>
      <c r="K605" s="21"/>
      <c r="L605" s="13"/>
      <c r="M605" s="50"/>
      <c r="N605" s="97"/>
      <c r="O605" s="50"/>
      <c r="P605" s="50"/>
      <c r="Q605" s="316"/>
      <c r="R605" s="285"/>
      <c r="S605" s="21"/>
      <c r="T605" s="13"/>
      <c r="U605" s="13"/>
      <c r="V605" s="21"/>
      <c r="W605" s="21"/>
      <c r="X605" s="21"/>
      <c r="Y605" s="260"/>
      <c r="Z605" s="177"/>
      <c r="AA605" s="177"/>
      <c r="AB605" s="61"/>
      <c r="AC605" s="64"/>
      <c r="AD605" s="50"/>
      <c r="AE605" s="50"/>
      <c r="AF605" s="19"/>
      <c r="AG605" s="120"/>
      <c r="AH605" s="119"/>
      <c r="AI605" s="1"/>
      <c r="AJ605" s="21"/>
      <c r="AK605" s="21"/>
      <c r="AL605" s="21"/>
      <c r="AM605" s="21"/>
      <c r="AN605" s="21"/>
      <c r="AO605" s="21"/>
    </row>
    <row r="606" spans="1:41" s="308" customFormat="1" x14ac:dyDescent="0.2">
      <c r="A606" s="48"/>
      <c r="B606" s="306"/>
      <c r="C606" s="233"/>
      <c r="D606" s="233"/>
      <c r="E606" s="53"/>
      <c r="F606" s="13"/>
      <c r="G606" s="13"/>
      <c r="H606" s="53"/>
      <c r="I606" s="298"/>
      <c r="J606" s="21"/>
      <c r="K606" s="21"/>
      <c r="L606" s="13"/>
      <c r="M606" s="50"/>
      <c r="N606" s="97"/>
      <c r="O606" s="50"/>
      <c r="P606" s="50"/>
      <c r="Q606" s="316"/>
      <c r="R606" s="285"/>
      <c r="S606" s="21"/>
      <c r="T606" s="13"/>
      <c r="U606" s="13"/>
      <c r="V606" s="21"/>
      <c r="W606" s="21"/>
      <c r="X606" s="21"/>
      <c r="Y606" s="260"/>
      <c r="Z606" s="177"/>
      <c r="AA606" s="177"/>
      <c r="AB606" s="61"/>
      <c r="AC606" s="64"/>
      <c r="AD606" s="50"/>
      <c r="AE606" s="50"/>
      <c r="AF606" s="19"/>
      <c r="AG606" s="120"/>
      <c r="AH606" s="119"/>
      <c r="AI606" s="1"/>
      <c r="AJ606" s="21"/>
      <c r="AK606" s="21"/>
      <c r="AL606" s="21"/>
      <c r="AM606" s="21"/>
      <c r="AN606" s="21"/>
      <c r="AO606" s="21"/>
    </row>
    <row r="607" spans="1:41" s="308" customFormat="1" x14ac:dyDescent="0.2">
      <c r="A607" s="48"/>
      <c r="B607" s="306"/>
      <c r="C607" s="233"/>
      <c r="D607" s="233"/>
      <c r="E607" s="53"/>
      <c r="F607" s="13"/>
      <c r="G607" s="13"/>
      <c r="H607" s="53"/>
      <c r="I607" s="298"/>
      <c r="J607" s="21"/>
      <c r="K607" s="21"/>
      <c r="L607" s="13"/>
      <c r="M607" s="50"/>
      <c r="N607" s="97"/>
      <c r="O607" s="50"/>
      <c r="P607" s="50"/>
      <c r="Q607" s="316"/>
      <c r="R607" s="285"/>
      <c r="S607" s="21"/>
      <c r="T607" s="13"/>
      <c r="U607" s="13"/>
      <c r="V607" s="21"/>
      <c r="W607" s="21"/>
      <c r="X607" s="21"/>
      <c r="Y607" s="260"/>
      <c r="Z607" s="177"/>
      <c r="AA607" s="177"/>
      <c r="AB607" s="61"/>
      <c r="AC607" s="64"/>
      <c r="AD607" s="50"/>
      <c r="AE607" s="50"/>
      <c r="AF607" s="19"/>
      <c r="AG607" s="120"/>
      <c r="AH607" s="119"/>
      <c r="AI607" s="1"/>
      <c r="AJ607" s="21"/>
      <c r="AK607" s="21"/>
      <c r="AL607" s="21"/>
      <c r="AM607" s="21"/>
      <c r="AN607" s="21"/>
      <c r="AO607" s="21"/>
    </row>
    <row r="608" spans="1:41" s="308" customFormat="1" x14ac:dyDescent="0.2">
      <c r="A608" s="48"/>
      <c r="B608" s="306"/>
      <c r="C608" s="233"/>
      <c r="D608" s="233"/>
      <c r="E608" s="53"/>
      <c r="F608" s="13"/>
      <c r="G608" s="13"/>
      <c r="H608" s="53"/>
      <c r="I608" s="298"/>
      <c r="J608" s="21"/>
      <c r="K608" s="21"/>
      <c r="L608" s="13"/>
      <c r="M608" s="50"/>
      <c r="N608" s="97"/>
      <c r="O608" s="50"/>
      <c r="P608" s="50"/>
      <c r="Q608" s="316"/>
      <c r="R608" s="285"/>
      <c r="S608" s="21"/>
      <c r="T608" s="13"/>
      <c r="U608" s="13"/>
      <c r="V608" s="21"/>
      <c r="W608" s="21"/>
      <c r="X608" s="21"/>
      <c r="Y608" s="260"/>
      <c r="Z608" s="177"/>
      <c r="AA608" s="177"/>
      <c r="AB608" s="61"/>
      <c r="AC608" s="64"/>
      <c r="AD608" s="50"/>
      <c r="AE608" s="50"/>
      <c r="AF608" s="19"/>
      <c r="AG608" s="120"/>
      <c r="AH608" s="119"/>
      <c r="AI608" s="1"/>
      <c r="AJ608" s="21"/>
      <c r="AK608" s="21"/>
      <c r="AL608" s="21"/>
      <c r="AM608" s="21"/>
      <c r="AN608" s="21"/>
      <c r="AO608" s="21"/>
    </row>
    <row r="609" spans="1:41" s="308" customFormat="1" x14ac:dyDescent="0.2">
      <c r="A609" s="48"/>
      <c r="B609" s="306"/>
      <c r="C609" s="233"/>
      <c r="D609" s="233"/>
      <c r="E609" s="53"/>
      <c r="F609" s="13"/>
      <c r="G609" s="13"/>
      <c r="H609" s="53"/>
      <c r="I609" s="298"/>
      <c r="J609" s="21"/>
      <c r="K609" s="21"/>
      <c r="L609" s="13"/>
      <c r="M609" s="50"/>
      <c r="N609" s="97"/>
      <c r="O609" s="50"/>
      <c r="P609" s="50"/>
      <c r="Q609" s="316"/>
      <c r="R609" s="285"/>
      <c r="S609" s="21"/>
      <c r="T609" s="13"/>
      <c r="U609" s="13"/>
      <c r="V609" s="21"/>
      <c r="W609" s="21"/>
      <c r="X609" s="21"/>
      <c r="Y609" s="260"/>
      <c r="Z609" s="177"/>
      <c r="AA609" s="177"/>
      <c r="AB609" s="61"/>
      <c r="AC609" s="64"/>
      <c r="AD609" s="50"/>
      <c r="AE609" s="50"/>
      <c r="AF609" s="19"/>
      <c r="AG609" s="120"/>
      <c r="AH609" s="119"/>
      <c r="AI609" s="1"/>
      <c r="AJ609" s="21"/>
      <c r="AK609" s="21"/>
      <c r="AL609" s="21"/>
      <c r="AM609" s="21"/>
      <c r="AN609" s="21"/>
      <c r="AO609" s="21"/>
    </row>
    <row r="610" spans="1:41" s="308" customFormat="1" x14ac:dyDescent="0.2">
      <c r="A610" s="48"/>
      <c r="B610" s="306"/>
      <c r="C610" s="233"/>
      <c r="D610" s="233"/>
      <c r="E610" s="53"/>
      <c r="F610" s="13"/>
      <c r="G610" s="13"/>
      <c r="H610" s="53"/>
      <c r="I610" s="298"/>
      <c r="J610" s="21"/>
      <c r="K610" s="21"/>
      <c r="L610" s="13"/>
      <c r="M610" s="50"/>
      <c r="N610" s="97"/>
      <c r="O610" s="50"/>
      <c r="P610" s="50"/>
      <c r="Q610" s="316"/>
      <c r="R610" s="285"/>
      <c r="S610" s="21"/>
      <c r="T610" s="13"/>
      <c r="U610" s="13"/>
      <c r="V610" s="21"/>
      <c r="W610" s="21"/>
      <c r="X610" s="21"/>
      <c r="Y610" s="260"/>
      <c r="Z610" s="177"/>
      <c r="AA610" s="177"/>
      <c r="AB610" s="61"/>
      <c r="AC610" s="64"/>
      <c r="AD610" s="50"/>
      <c r="AE610" s="50"/>
      <c r="AF610" s="19"/>
      <c r="AG610" s="120"/>
      <c r="AH610" s="119"/>
      <c r="AI610" s="1"/>
      <c r="AJ610" s="21"/>
      <c r="AK610" s="21"/>
      <c r="AL610" s="21"/>
      <c r="AM610" s="21"/>
      <c r="AN610" s="21"/>
      <c r="AO610" s="21"/>
    </row>
    <row r="611" spans="1:41" s="308" customFormat="1" x14ac:dyDescent="0.2">
      <c r="A611" s="48"/>
      <c r="B611" s="306"/>
      <c r="C611" s="233"/>
      <c r="D611" s="233"/>
      <c r="E611" s="53"/>
      <c r="F611" s="13"/>
      <c r="G611" s="13"/>
      <c r="H611" s="53"/>
      <c r="I611" s="298"/>
      <c r="J611" s="21"/>
      <c r="K611" s="21"/>
      <c r="L611" s="13"/>
      <c r="M611" s="50"/>
      <c r="N611" s="97"/>
      <c r="O611" s="50"/>
      <c r="P611" s="50"/>
      <c r="Q611" s="316"/>
      <c r="R611" s="285"/>
      <c r="S611" s="21"/>
      <c r="T611" s="13"/>
      <c r="U611" s="13"/>
      <c r="V611" s="21"/>
      <c r="W611" s="21"/>
      <c r="X611" s="21"/>
      <c r="Y611" s="260"/>
      <c r="Z611" s="177"/>
      <c r="AA611" s="177"/>
      <c r="AB611" s="61"/>
      <c r="AC611" s="64"/>
      <c r="AD611" s="50"/>
      <c r="AE611" s="50"/>
      <c r="AF611" s="19"/>
      <c r="AG611" s="120"/>
      <c r="AH611" s="119"/>
      <c r="AI611" s="1"/>
      <c r="AJ611" s="21"/>
      <c r="AK611" s="21"/>
      <c r="AL611" s="21"/>
      <c r="AM611" s="21"/>
      <c r="AN611" s="21"/>
      <c r="AO611" s="21"/>
    </row>
    <row r="612" spans="1:41" s="308" customFormat="1" x14ac:dyDescent="0.2">
      <c r="A612" s="48"/>
      <c r="B612" s="306"/>
      <c r="C612" s="233"/>
      <c r="D612" s="233"/>
      <c r="E612" s="53"/>
      <c r="F612" s="13"/>
      <c r="G612" s="13"/>
      <c r="H612" s="53"/>
      <c r="I612" s="298"/>
      <c r="J612" s="21"/>
      <c r="K612" s="21"/>
      <c r="L612" s="13"/>
      <c r="M612" s="50"/>
      <c r="N612" s="97"/>
      <c r="O612" s="50"/>
      <c r="P612" s="50"/>
      <c r="Q612" s="316"/>
      <c r="R612" s="285"/>
      <c r="S612" s="21"/>
      <c r="T612" s="13"/>
      <c r="U612" s="13"/>
      <c r="V612" s="21"/>
      <c r="W612" s="21"/>
      <c r="X612" s="21"/>
      <c r="Y612" s="260"/>
      <c r="Z612" s="177"/>
      <c r="AA612" s="177"/>
      <c r="AB612" s="61"/>
      <c r="AC612" s="64"/>
      <c r="AD612" s="50"/>
      <c r="AE612" s="50"/>
      <c r="AF612" s="19"/>
      <c r="AG612" s="120"/>
      <c r="AH612" s="119"/>
      <c r="AI612" s="1"/>
      <c r="AJ612" s="21"/>
      <c r="AK612" s="21"/>
      <c r="AL612" s="21"/>
      <c r="AM612" s="21"/>
      <c r="AN612" s="21"/>
      <c r="AO612" s="21"/>
    </row>
    <row r="613" spans="1:41" s="308" customFormat="1" x14ac:dyDescent="0.2">
      <c r="A613" s="48"/>
      <c r="B613" s="306"/>
      <c r="C613" s="233"/>
      <c r="D613" s="233"/>
      <c r="E613" s="53"/>
      <c r="F613" s="13"/>
      <c r="G613" s="13"/>
      <c r="H613" s="53"/>
      <c r="I613" s="298"/>
      <c r="J613" s="21"/>
      <c r="K613" s="21"/>
      <c r="L613" s="13"/>
      <c r="M613" s="50"/>
      <c r="N613" s="97"/>
      <c r="O613" s="50"/>
      <c r="P613" s="50"/>
      <c r="Q613" s="316"/>
      <c r="R613" s="285"/>
      <c r="S613" s="21"/>
      <c r="T613" s="13"/>
      <c r="U613" s="13"/>
      <c r="V613" s="21"/>
      <c r="W613" s="21"/>
      <c r="X613" s="21"/>
      <c r="Y613" s="260"/>
      <c r="Z613" s="177"/>
      <c r="AA613" s="177"/>
      <c r="AB613" s="61"/>
      <c r="AC613" s="64"/>
      <c r="AD613" s="50"/>
      <c r="AE613" s="50"/>
      <c r="AF613" s="19"/>
      <c r="AG613" s="120"/>
      <c r="AH613" s="119"/>
      <c r="AI613" s="1"/>
      <c r="AJ613" s="21"/>
      <c r="AK613" s="21"/>
      <c r="AL613" s="21"/>
      <c r="AM613" s="21"/>
      <c r="AN613" s="21"/>
      <c r="AO613" s="21"/>
    </row>
    <row r="614" spans="1:41" s="308" customFormat="1" x14ac:dyDescent="0.2">
      <c r="A614" s="48"/>
      <c r="B614" s="306"/>
      <c r="C614" s="233"/>
      <c r="D614" s="233"/>
      <c r="E614" s="53"/>
      <c r="F614" s="13"/>
      <c r="G614" s="13"/>
      <c r="H614" s="53"/>
      <c r="I614" s="298"/>
      <c r="J614" s="21"/>
      <c r="K614" s="21"/>
      <c r="L614" s="13"/>
      <c r="M614" s="50"/>
      <c r="N614" s="97"/>
      <c r="O614" s="50"/>
      <c r="P614" s="50"/>
      <c r="Q614" s="316"/>
      <c r="R614" s="285"/>
      <c r="S614" s="21"/>
      <c r="T614" s="13"/>
      <c r="U614" s="13"/>
      <c r="V614" s="21"/>
      <c r="W614" s="21"/>
      <c r="X614" s="21"/>
      <c r="Y614" s="260"/>
      <c r="Z614" s="177"/>
      <c r="AA614" s="177"/>
      <c r="AB614" s="61"/>
      <c r="AC614" s="64"/>
      <c r="AD614" s="50"/>
      <c r="AE614" s="50"/>
      <c r="AF614" s="19"/>
      <c r="AG614" s="120"/>
      <c r="AH614" s="119"/>
      <c r="AI614" s="1"/>
      <c r="AJ614" s="21"/>
      <c r="AK614" s="21"/>
      <c r="AL614" s="21"/>
      <c r="AM614" s="21"/>
      <c r="AN614" s="21"/>
      <c r="AO614" s="21"/>
    </row>
    <row r="615" spans="1:41" s="308" customFormat="1" x14ac:dyDescent="0.2">
      <c r="A615" s="48"/>
      <c r="B615" s="306"/>
      <c r="C615" s="233"/>
      <c r="D615" s="233"/>
      <c r="E615" s="53"/>
      <c r="F615" s="13"/>
      <c r="G615" s="13"/>
      <c r="H615" s="53"/>
      <c r="I615" s="298"/>
      <c r="J615" s="21"/>
      <c r="K615" s="21"/>
      <c r="L615" s="13"/>
      <c r="M615" s="50"/>
      <c r="N615" s="97"/>
      <c r="O615" s="50"/>
      <c r="P615" s="50"/>
      <c r="Q615" s="316"/>
      <c r="R615" s="285"/>
      <c r="S615" s="21"/>
      <c r="T615" s="13"/>
      <c r="U615" s="13"/>
      <c r="V615" s="21"/>
      <c r="W615" s="21"/>
      <c r="X615" s="21"/>
      <c r="Y615" s="260"/>
      <c r="Z615" s="177"/>
      <c r="AA615" s="177"/>
      <c r="AB615" s="61"/>
      <c r="AC615" s="64"/>
      <c r="AD615" s="50"/>
      <c r="AE615" s="50"/>
      <c r="AF615" s="19"/>
      <c r="AG615" s="120"/>
      <c r="AH615" s="119"/>
      <c r="AI615" s="1"/>
      <c r="AJ615" s="21"/>
      <c r="AK615" s="21"/>
      <c r="AL615" s="21"/>
      <c r="AM615" s="21"/>
      <c r="AN615" s="21"/>
      <c r="AO615" s="21"/>
    </row>
    <row r="616" spans="1:41" s="308" customFormat="1" x14ac:dyDescent="0.2">
      <c r="A616" s="48"/>
      <c r="B616" s="306"/>
      <c r="C616" s="233"/>
      <c r="D616" s="233"/>
      <c r="E616" s="53"/>
      <c r="F616" s="13"/>
      <c r="G616" s="13"/>
      <c r="H616" s="53"/>
      <c r="I616" s="298"/>
      <c r="J616" s="21"/>
      <c r="K616" s="21"/>
      <c r="L616" s="13"/>
      <c r="M616" s="50"/>
      <c r="N616" s="97"/>
      <c r="O616" s="50"/>
      <c r="P616" s="50"/>
      <c r="Q616" s="316"/>
      <c r="R616" s="285"/>
      <c r="S616" s="21"/>
      <c r="T616" s="13"/>
      <c r="U616" s="13"/>
      <c r="V616" s="21"/>
      <c r="W616" s="21"/>
      <c r="X616" s="21"/>
      <c r="Y616" s="260"/>
      <c r="Z616" s="177"/>
      <c r="AA616" s="177"/>
      <c r="AB616" s="61"/>
      <c r="AC616" s="64"/>
      <c r="AD616" s="50"/>
      <c r="AE616" s="50"/>
      <c r="AF616" s="19"/>
      <c r="AG616" s="120"/>
      <c r="AH616" s="119"/>
      <c r="AI616" s="1"/>
      <c r="AJ616" s="21"/>
      <c r="AK616" s="21"/>
      <c r="AL616" s="21"/>
      <c r="AM616" s="21"/>
      <c r="AN616" s="21"/>
      <c r="AO616" s="21"/>
    </row>
    <row r="617" spans="1:41" s="308" customFormat="1" x14ac:dyDescent="0.2">
      <c r="A617" s="48"/>
      <c r="B617" s="306"/>
      <c r="C617" s="233"/>
      <c r="D617" s="233"/>
      <c r="E617" s="53"/>
      <c r="F617" s="13"/>
      <c r="G617" s="13"/>
      <c r="H617" s="53"/>
      <c r="I617" s="298"/>
      <c r="J617" s="21"/>
      <c r="K617" s="21"/>
      <c r="L617" s="13"/>
      <c r="M617" s="50"/>
      <c r="N617" s="97"/>
      <c r="O617" s="50"/>
      <c r="P617" s="50"/>
      <c r="Q617" s="316"/>
      <c r="R617" s="285"/>
      <c r="S617" s="21"/>
      <c r="T617" s="13"/>
      <c r="U617" s="13"/>
      <c r="V617" s="21"/>
      <c r="W617" s="21"/>
      <c r="X617" s="21"/>
      <c r="Y617" s="260"/>
      <c r="Z617" s="177"/>
      <c r="AA617" s="177"/>
      <c r="AB617" s="61"/>
      <c r="AC617" s="64"/>
      <c r="AD617" s="50"/>
      <c r="AE617" s="50"/>
      <c r="AF617" s="19"/>
      <c r="AG617" s="120"/>
      <c r="AH617" s="119"/>
      <c r="AI617" s="1"/>
      <c r="AJ617" s="21"/>
      <c r="AK617" s="21"/>
      <c r="AL617" s="21"/>
      <c r="AM617" s="21"/>
      <c r="AN617" s="21"/>
      <c r="AO617" s="21"/>
    </row>
    <row r="618" spans="1:41" s="308" customFormat="1" x14ac:dyDescent="0.2">
      <c r="A618" s="48"/>
      <c r="B618" s="306"/>
      <c r="C618" s="233"/>
      <c r="D618" s="233"/>
      <c r="E618" s="53"/>
      <c r="F618" s="13"/>
      <c r="G618" s="13"/>
      <c r="H618" s="53"/>
      <c r="I618" s="298"/>
      <c r="J618" s="21"/>
      <c r="K618" s="21"/>
      <c r="L618" s="13"/>
      <c r="M618" s="50"/>
      <c r="N618" s="97"/>
      <c r="O618" s="50"/>
      <c r="P618" s="50"/>
      <c r="Q618" s="316"/>
      <c r="R618" s="285"/>
      <c r="S618" s="21"/>
      <c r="T618" s="13"/>
      <c r="U618" s="13"/>
      <c r="V618" s="21"/>
      <c r="W618" s="21"/>
      <c r="X618" s="21"/>
      <c r="Y618" s="260"/>
      <c r="Z618" s="177"/>
      <c r="AA618" s="177"/>
      <c r="AB618" s="61"/>
      <c r="AC618" s="64"/>
      <c r="AD618" s="50"/>
      <c r="AE618" s="50"/>
      <c r="AF618" s="19"/>
      <c r="AG618" s="120"/>
      <c r="AH618" s="119"/>
      <c r="AI618" s="1"/>
      <c r="AJ618" s="21"/>
      <c r="AK618" s="21"/>
      <c r="AL618" s="21"/>
      <c r="AM618" s="21"/>
      <c r="AN618" s="21"/>
      <c r="AO618" s="21"/>
    </row>
    <row r="619" spans="1:41" s="308" customFormat="1" x14ac:dyDescent="0.2">
      <c r="A619" s="48"/>
      <c r="B619" s="306"/>
      <c r="C619" s="233"/>
      <c r="D619" s="233"/>
      <c r="E619" s="53"/>
      <c r="F619" s="13"/>
      <c r="G619" s="13"/>
      <c r="H619" s="53"/>
      <c r="I619" s="298"/>
      <c r="J619" s="21"/>
      <c r="K619" s="21"/>
      <c r="L619" s="13"/>
      <c r="M619" s="50"/>
      <c r="N619" s="97"/>
      <c r="O619" s="50"/>
      <c r="P619" s="50"/>
      <c r="Q619" s="316"/>
      <c r="R619" s="285"/>
      <c r="S619" s="21"/>
      <c r="T619" s="13"/>
      <c r="U619" s="13"/>
      <c r="V619" s="21"/>
      <c r="W619" s="21"/>
      <c r="X619" s="21"/>
      <c r="Y619" s="260"/>
      <c r="Z619" s="177"/>
      <c r="AA619" s="177"/>
      <c r="AB619" s="61"/>
      <c r="AC619" s="64"/>
      <c r="AD619" s="50"/>
      <c r="AE619" s="50"/>
      <c r="AF619" s="19"/>
      <c r="AG619" s="120"/>
      <c r="AH619" s="119"/>
      <c r="AI619" s="1"/>
      <c r="AJ619" s="21"/>
      <c r="AK619" s="21"/>
      <c r="AL619" s="21"/>
      <c r="AM619" s="21"/>
      <c r="AN619" s="21"/>
      <c r="AO619" s="21"/>
    </row>
    <row r="620" spans="1:41" s="308" customFormat="1" x14ac:dyDescent="0.2">
      <c r="A620" s="48"/>
      <c r="B620" s="306"/>
      <c r="C620" s="233"/>
      <c r="D620" s="233"/>
      <c r="E620" s="53"/>
      <c r="F620" s="13"/>
      <c r="G620" s="13"/>
      <c r="H620" s="53"/>
      <c r="I620" s="298"/>
      <c r="J620" s="21"/>
      <c r="K620" s="21"/>
      <c r="L620" s="13"/>
      <c r="M620" s="50"/>
      <c r="N620" s="97"/>
      <c r="O620" s="50"/>
      <c r="P620" s="50"/>
      <c r="Q620" s="316"/>
      <c r="R620" s="285"/>
      <c r="S620" s="21"/>
      <c r="T620" s="13"/>
      <c r="U620" s="13"/>
      <c r="V620" s="21"/>
      <c r="W620" s="21"/>
      <c r="X620" s="21"/>
      <c r="Y620" s="260"/>
      <c r="Z620" s="177"/>
      <c r="AA620" s="177"/>
      <c r="AB620" s="61"/>
      <c r="AC620" s="64"/>
      <c r="AD620" s="50"/>
      <c r="AE620" s="50"/>
      <c r="AF620" s="19"/>
      <c r="AG620" s="120"/>
      <c r="AH620" s="119"/>
      <c r="AI620" s="1"/>
      <c r="AJ620" s="21"/>
      <c r="AK620" s="21"/>
      <c r="AL620" s="21"/>
      <c r="AM620" s="21"/>
      <c r="AN620" s="21"/>
      <c r="AO620" s="21"/>
    </row>
    <row r="621" spans="1:41" s="308" customFormat="1" x14ac:dyDescent="0.2">
      <c r="A621" s="48"/>
      <c r="B621" s="306"/>
      <c r="C621" s="233"/>
      <c r="D621" s="233"/>
      <c r="E621" s="53"/>
      <c r="F621" s="13"/>
      <c r="G621" s="13"/>
      <c r="H621" s="53"/>
      <c r="I621" s="298"/>
      <c r="J621" s="21"/>
      <c r="K621" s="21"/>
      <c r="L621" s="13"/>
      <c r="M621" s="50"/>
      <c r="N621" s="97"/>
      <c r="O621" s="50"/>
      <c r="P621" s="50"/>
      <c r="Q621" s="316"/>
      <c r="R621" s="285"/>
      <c r="S621" s="21"/>
      <c r="T621" s="13"/>
      <c r="U621" s="13"/>
      <c r="V621" s="21"/>
      <c r="W621" s="21"/>
      <c r="X621" s="21"/>
      <c r="Y621" s="260"/>
      <c r="Z621" s="177"/>
      <c r="AA621" s="177"/>
      <c r="AB621" s="61"/>
      <c r="AC621" s="64"/>
      <c r="AD621" s="50"/>
      <c r="AE621" s="50"/>
      <c r="AF621" s="19"/>
      <c r="AG621" s="120"/>
      <c r="AH621" s="119"/>
      <c r="AI621" s="1"/>
      <c r="AJ621" s="21"/>
      <c r="AK621" s="21"/>
      <c r="AL621" s="21"/>
      <c r="AM621" s="21"/>
      <c r="AN621" s="21"/>
      <c r="AO621" s="21"/>
    </row>
    <row r="622" spans="1:41" s="308" customFormat="1" x14ac:dyDescent="0.2">
      <c r="A622" s="48"/>
      <c r="B622" s="306"/>
      <c r="C622" s="233"/>
      <c r="D622" s="233"/>
      <c r="E622" s="53"/>
      <c r="F622" s="13"/>
      <c r="G622" s="13"/>
      <c r="H622" s="53"/>
      <c r="I622" s="298"/>
      <c r="J622" s="21"/>
      <c r="K622" s="21"/>
      <c r="L622" s="13"/>
      <c r="M622" s="50"/>
      <c r="N622" s="97"/>
      <c r="O622" s="50"/>
      <c r="P622" s="50"/>
      <c r="Q622" s="316"/>
      <c r="R622" s="285"/>
      <c r="S622" s="21"/>
      <c r="T622" s="13"/>
      <c r="U622" s="13"/>
      <c r="V622" s="21"/>
      <c r="W622" s="21"/>
      <c r="X622" s="21"/>
      <c r="Y622" s="260"/>
      <c r="Z622" s="177"/>
      <c r="AA622" s="177"/>
      <c r="AB622" s="61"/>
      <c r="AC622" s="64"/>
      <c r="AD622" s="50"/>
      <c r="AE622" s="50"/>
      <c r="AF622" s="19"/>
      <c r="AG622" s="120"/>
      <c r="AH622" s="119"/>
      <c r="AI622" s="1"/>
      <c r="AJ622" s="21"/>
      <c r="AK622" s="21"/>
      <c r="AL622" s="21"/>
      <c r="AM622" s="21"/>
      <c r="AN622" s="21"/>
      <c r="AO622" s="21"/>
    </row>
    <row r="623" spans="1:41" s="308" customFormat="1" x14ac:dyDescent="0.2">
      <c r="A623" s="48"/>
      <c r="B623" s="306"/>
      <c r="C623" s="233"/>
      <c r="D623" s="233"/>
      <c r="E623" s="53"/>
      <c r="F623" s="13"/>
      <c r="G623" s="13"/>
      <c r="H623" s="53"/>
      <c r="I623" s="298"/>
      <c r="J623" s="21"/>
      <c r="K623" s="21"/>
      <c r="L623" s="13"/>
      <c r="M623" s="50"/>
      <c r="N623" s="97"/>
      <c r="O623" s="50"/>
      <c r="P623" s="50"/>
      <c r="Q623" s="316"/>
      <c r="R623" s="285"/>
      <c r="S623" s="21"/>
      <c r="T623" s="13"/>
      <c r="U623" s="13"/>
      <c r="V623" s="21"/>
      <c r="W623" s="21"/>
      <c r="X623" s="21"/>
      <c r="Y623" s="260"/>
      <c r="Z623" s="177"/>
      <c r="AA623" s="177"/>
      <c r="AB623" s="61"/>
      <c r="AC623" s="64"/>
      <c r="AD623" s="50"/>
      <c r="AE623" s="50"/>
      <c r="AF623" s="19"/>
      <c r="AG623" s="120"/>
      <c r="AH623" s="119"/>
      <c r="AI623" s="1"/>
      <c r="AJ623" s="21"/>
      <c r="AK623" s="21"/>
      <c r="AL623" s="21"/>
      <c r="AM623" s="21"/>
      <c r="AN623" s="21"/>
      <c r="AO623" s="21"/>
    </row>
    <row r="624" spans="1:41" s="308" customFormat="1" x14ac:dyDescent="0.2">
      <c r="A624" s="48"/>
      <c r="B624" s="306"/>
      <c r="C624" s="233"/>
      <c r="D624" s="233"/>
      <c r="E624" s="53"/>
      <c r="F624" s="13"/>
      <c r="G624" s="13"/>
      <c r="H624" s="53"/>
      <c r="I624" s="298"/>
      <c r="J624" s="21"/>
      <c r="K624" s="21"/>
      <c r="L624" s="13"/>
      <c r="M624" s="50"/>
      <c r="N624" s="97"/>
      <c r="O624" s="50"/>
      <c r="P624" s="50"/>
      <c r="Q624" s="316"/>
      <c r="R624" s="285"/>
      <c r="S624" s="21"/>
      <c r="T624" s="13"/>
      <c r="U624" s="13"/>
      <c r="V624" s="21"/>
      <c r="W624" s="21"/>
      <c r="X624" s="21"/>
      <c r="Y624" s="260"/>
      <c r="Z624" s="177"/>
      <c r="AA624" s="177"/>
      <c r="AB624" s="61"/>
      <c r="AC624" s="64"/>
      <c r="AD624" s="50"/>
      <c r="AE624" s="50"/>
      <c r="AF624" s="19"/>
      <c r="AG624" s="120"/>
      <c r="AH624" s="119"/>
      <c r="AI624" s="1"/>
      <c r="AJ624" s="21"/>
      <c r="AK624" s="21"/>
      <c r="AL624" s="21"/>
      <c r="AM624" s="21"/>
      <c r="AN624" s="21"/>
      <c r="AO624" s="21"/>
    </row>
    <row r="625" spans="1:41" s="308" customFormat="1" x14ac:dyDescent="0.2">
      <c r="A625" s="48"/>
      <c r="C625" s="263"/>
      <c r="D625" s="263"/>
      <c r="E625" s="53"/>
      <c r="F625" s="13"/>
      <c r="G625" s="13"/>
      <c r="H625" s="53"/>
      <c r="I625" s="298"/>
      <c r="J625" s="21"/>
      <c r="K625" s="21"/>
      <c r="L625" s="13"/>
      <c r="M625" s="50"/>
      <c r="N625" s="97"/>
      <c r="O625" s="50"/>
      <c r="P625" s="50"/>
      <c r="Q625" s="316"/>
      <c r="R625" s="285"/>
      <c r="S625" s="21"/>
      <c r="T625" s="13"/>
      <c r="U625" s="13"/>
      <c r="V625" s="21"/>
      <c r="W625" s="21"/>
      <c r="X625" s="21"/>
      <c r="Y625" s="260"/>
      <c r="Z625" s="177"/>
      <c r="AA625" s="177"/>
      <c r="AB625" s="61"/>
      <c r="AC625" s="64"/>
      <c r="AD625" s="50"/>
      <c r="AE625" s="50"/>
      <c r="AF625" s="19"/>
      <c r="AG625" s="120"/>
      <c r="AH625" s="119"/>
      <c r="AI625" s="1"/>
      <c r="AJ625" s="21"/>
      <c r="AK625" s="21"/>
      <c r="AL625" s="21"/>
      <c r="AM625" s="21"/>
      <c r="AN625" s="21"/>
      <c r="AO625" s="21"/>
    </row>
    <row r="626" spans="1:41" s="308" customFormat="1" x14ac:dyDescent="0.2">
      <c r="A626" s="48"/>
      <c r="C626" s="263"/>
      <c r="D626" s="263"/>
      <c r="E626" s="53"/>
      <c r="F626" s="13"/>
      <c r="G626" s="13"/>
      <c r="H626" s="53"/>
      <c r="I626" s="298"/>
      <c r="J626" s="21"/>
      <c r="K626" s="21"/>
      <c r="L626" s="13"/>
      <c r="M626" s="50"/>
      <c r="N626" s="97"/>
      <c r="O626" s="50"/>
      <c r="P626" s="50"/>
      <c r="Q626" s="316"/>
      <c r="R626" s="285"/>
      <c r="S626" s="21"/>
      <c r="T626" s="13"/>
      <c r="U626" s="13"/>
      <c r="V626" s="21"/>
      <c r="W626" s="21"/>
      <c r="X626" s="21"/>
      <c r="Y626" s="260"/>
      <c r="Z626" s="177"/>
      <c r="AA626" s="177"/>
      <c r="AB626" s="61"/>
      <c r="AC626" s="64"/>
      <c r="AD626" s="50"/>
      <c r="AE626" s="50"/>
      <c r="AF626" s="19"/>
      <c r="AG626" s="120"/>
      <c r="AH626" s="119"/>
      <c r="AI626" s="1"/>
      <c r="AJ626" s="21"/>
      <c r="AK626" s="21"/>
      <c r="AL626" s="21"/>
      <c r="AM626" s="21"/>
      <c r="AN626" s="21"/>
      <c r="AO626" s="21"/>
    </row>
    <row r="627" spans="1:41" s="308" customFormat="1" x14ac:dyDescent="0.2">
      <c r="A627" s="48"/>
      <c r="C627" s="263"/>
      <c r="D627" s="263"/>
      <c r="E627" s="53"/>
      <c r="F627" s="13"/>
      <c r="G627" s="13"/>
      <c r="H627" s="53"/>
      <c r="I627" s="298"/>
      <c r="J627" s="21"/>
      <c r="K627" s="21"/>
      <c r="L627" s="13"/>
      <c r="M627" s="50"/>
      <c r="N627" s="97"/>
      <c r="O627" s="50"/>
      <c r="P627" s="50"/>
      <c r="Q627" s="316"/>
      <c r="R627" s="285"/>
      <c r="S627" s="21"/>
      <c r="T627" s="13"/>
      <c r="U627" s="13"/>
      <c r="V627" s="21"/>
      <c r="W627" s="21"/>
      <c r="X627" s="21"/>
      <c r="Y627" s="260"/>
      <c r="Z627" s="177"/>
      <c r="AA627" s="177"/>
      <c r="AB627" s="61"/>
      <c r="AC627" s="64"/>
      <c r="AD627" s="50"/>
      <c r="AE627" s="50"/>
      <c r="AF627" s="19"/>
      <c r="AG627" s="120"/>
      <c r="AH627" s="119"/>
      <c r="AI627" s="1"/>
      <c r="AJ627" s="21"/>
      <c r="AK627" s="21"/>
      <c r="AL627" s="21"/>
      <c r="AM627" s="21"/>
      <c r="AN627" s="21"/>
      <c r="AO627" s="21"/>
    </row>
    <row r="628" spans="1:41" s="308" customFormat="1" x14ac:dyDescent="0.2">
      <c r="A628" s="48"/>
      <c r="C628" s="263"/>
      <c r="D628" s="263"/>
      <c r="E628" s="53"/>
      <c r="F628" s="13"/>
      <c r="G628" s="13"/>
      <c r="H628" s="53"/>
      <c r="I628" s="298"/>
      <c r="J628" s="21"/>
      <c r="K628" s="21"/>
      <c r="L628" s="13"/>
      <c r="M628" s="50"/>
      <c r="N628" s="97"/>
      <c r="O628" s="50"/>
      <c r="P628" s="50"/>
      <c r="Q628" s="316"/>
      <c r="R628" s="285"/>
      <c r="S628" s="21"/>
      <c r="T628" s="13"/>
      <c r="U628" s="13"/>
      <c r="V628" s="21"/>
      <c r="W628" s="21"/>
      <c r="X628" s="21"/>
      <c r="Y628" s="260"/>
      <c r="Z628" s="177"/>
      <c r="AA628" s="177"/>
      <c r="AB628" s="61"/>
      <c r="AC628" s="64"/>
      <c r="AD628" s="50"/>
      <c r="AE628" s="50"/>
      <c r="AF628" s="19"/>
      <c r="AG628" s="120"/>
      <c r="AH628" s="119"/>
      <c r="AI628" s="1"/>
      <c r="AJ628" s="21"/>
      <c r="AK628" s="21"/>
      <c r="AL628" s="21"/>
      <c r="AM628" s="21"/>
      <c r="AN628" s="21"/>
      <c r="AO628" s="21"/>
    </row>
    <row r="629" spans="1:41" s="308" customFormat="1" x14ac:dyDescent="0.2">
      <c r="A629" s="48"/>
      <c r="C629" s="263"/>
      <c r="D629" s="263"/>
      <c r="E629" s="53"/>
      <c r="F629" s="13"/>
      <c r="G629" s="13"/>
      <c r="H629" s="53"/>
      <c r="I629" s="298"/>
      <c r="J629" s="21"/>
      <c r="K629" s="21"/>
      <c r="L629" s="13"/>
      <c r="M629" s="50"/>
      <c r="N629" s="97"/>
      <c r="O629" s="50"/>
      <c r="P629" s="50"/>
      <c r="Q629" s="316"/>
      <c r="R629" s="285"/>
      <c r="S629" s="21"/>
      <c r="T629" s="13"/>
      <c r="U629" s="13"/>
      <c r="V629" s="21"/>
      <c r="W629" s="21"/>
      <c r="X629" s="21"/>
      <c r="Y629" s="260"/>
      <c r="Z629" s="177"/>
      <c r="AA629" s="177"/>
      <c r="AB629" s="61"/>
      <c r="AC629" s="64"/>
      <c r="AD629" s="50"/>
      <c r="AE629" s="50"/>
      <c r="AF629" s="19"/>
      <c r="AG629" s="120"/>
      <c r="AH629" s="119"/>
      <c r="AI629" s="1"/>
      <c r="AJ629" s="21"/>
      <c r="AK629" s="21"/>
      <c r="AL629" s="21"/>
      <c r="AM629" s="21"/>
      <c r="AN629" s="21"/>
      <c r="AO629" s="21"/>
    </row>
    <row r="630" spans="1:41" s="308" customFormat="1" x14ac:dyDescent="0.2">
      <c r="A630" s="48"/>
      <c r="C630" s="263"/>
      <c r="D630" s="263"/>
      <c r="E630" s="53"/>
      <c r="F630" s="13"/>
      <c r="G630" s="13"/>
      <c r="H630" s="53"/>
      <c r="I630" s="298"/>
      <c r="J630" s="21"/>
      <c r="K630" s="21"/>
      <c r="L630" s="13"/>
      <c r="M630" s="50"/>
      <c r="N630" s="97"/>
      <c r="O630" s="50"/>
      <c r="P630" s="50"/>
      <c r="Q630" s="316"/>
      <c r="R630" s="285"/>
      <c r="S630" s="21"/>
      <c r="T630" s="13"/>
      <c r="U630" s="13"/>
      <c r="V630" s="21"/>
      <c r="W630" s="21"/>
      <c r="X630" s="21"/>
      <c r="Y630" s="260"/>
      <c r="Z630" s="177"/>
      <c r="AA630" s="177"/>
      <c r="AB630" s="61"/>
      <c r="AC630" s="64"/>
      <c r="AD630" s="50"/>
      <c r="AE630" s="50"/>
      <c r="AF630" s="19"/>
      <c r="AG630" s="120"/>
      <c r="AH630" s="119"/>
      <c r="AI630" s="1"/>
      <c r="AJ630" s="21"/>
      <c r="AK630" s="21"/>
      <c r="AL630" s="21"/>
      <c r="AM630" s="21"/>
      <c r="AN630" s="21"/>
      <c r="AO630" s="21"/>
    </row>
    <row r="631" spans="1:41" s="308" customFormat="1" x14ac:dyDescent="0.2">
      <c r="A631" s="48"/>
      <c r="C631" s="263"/>
      <c r="D631" s="263"/>
      <c r="E631" s="53"/>
      <c r="F631" s="13"/>
      <c r="G631" s="13"/>
      <c r="H631" s="53"/>
      <c r="I631" s="298"/>
      <c r="J631" s="21"/>
      <c r="K631" s="21"/>
      <c r="L631" s="13"/>
      <c r="M631" s="50"/>
      <c r="N631" s="97"/>
      <c r="O631" s="50"/>
      <c r="P631" s="50"/>
      <c r="Q631" s="316"/>
      <c r="R631" s="285"/>
      <c r="S631" s="21"/>
      <c r="T631" s="13"/>
      <c r="U631" s="13"/>
      <c r="V631" s="21"/>
      <c r="W631" s="21"/>
      <c r="X631" s="21"/>
      <c r="Y631" s="260"/>
      <c r="Z631" s="177"/>
      <c r="AA631" s="177"/>
      <c r="AB631" s="61"/>
      <c r="AC631" s="64"/>
      <c r="AD631" s="50"/>
      <c r="AE631" s="50"/>
      <c r="AF631" s="19"/>
      <c r="AG631" s="120"/>
      <c r="AH631" s="119"/>
      <c r="AI631" s="1"/>
      <c r="AJ631" s="21"/>
      <c r="AK631" s="21"/>
      <c r="AL631" s="21"/>
      <c r="AM631" s="21"/>
      <c r="AN631" s="21"/>
      <c r="AO631" s="21"/>
    </row>
    <row r="632" spans="1:41" s="308" customFormat="1" x14ac:dyDescent="0.2">
      <c r="A632" s="48"/>
      <c r="C632" s="263"/>
      <c r="D632" s="263"/>
      <c r="E632" s="53"/>
      <c r="F632" s="13"/>
      <c r="G632" s="13"/>
      <c r="H632" s="53"/>
      <c r="I632" s="298"/>
      <c r="J632" s="21"/>
      <c r="K632" s="21"/>
      <c r="L632" s="13"/>
      <c r="M632" s="50"/>
      <c r="N632" s="97"/>
      <c r="O632" s="50"/>
      <c r="P632" s="50"/>
      <c r="Q632" s="316"/>
      <c r="R632" s="285"/>
      <c r="S632" s="21"/>
      <c r="T632" s="13"/>
      <c r="U632" s="13"/>
      <c r="V632" s="21"/>
      <c r="W632" s="21"/>
      <c r="X632" s="21"/>
      <c r="Y632" s="260"/>
      <c r="Z632" s="177"/>
      <c r="AA632" s="177"/>
      <c r="AB632" s="61"/>
      <c r="AC632" s="64"/>
      <c r="AD632" s="50"/>
      <c r="AE632" s="50"/>
      <c r="AF632" s="19"/>
      <c r="AG632" s="120"/>
      <c r="AH632" s="119"/>
      <c r="AI632" s="1"/>
      <c r="AJ632" s="21"/>
      <c r="AK632" s="21"/>
      <c r="AL632" s="21"/>
      <c r="AM632" s="21"/>
      <c r="AN632" s="21"/>
      <c r="AO632" s="21"/>
    </row>
    <row r="633" spans="1:41" s="308" customFormat="1" x14ac:dyDescent="0.2">
      <c r="A633" s="48"/>
      <c r="C633" s="263"/>
      <c r="D633" s="263"/>
      <c r="E633" s="53"/>
      <c r="F633" s="13"/>
      <c r="G633" s="13"/>
      <c r="H633" s="53"/>
      <c r="I633" s="298"/>
      <c r="J633" s="21"/>
      <c r="K633" s="21"/>
      <c r="L633" s="13"/>
      <c r="M633" s="50"/>
      <c r="N633" s="97"/>
      <c r="O633" s="50"/>
      <c r="P633" s="50"/>
      <c r="Q633" s="316"/>
      <c r="R633" s="285"/>
      <c r="S633" s="21"/>
      <c r="T633" s="13"/>
      <c r="U633" s="13"/>
      <c r="V633" s="21"/>
      <c r="W633" s="21"/>
      <c r="X633" s="21"/>
      <c r="Y633" s="260"/>
      <c r="Z633" s="177"/>
      <c r="AA633" s="177"/>
      <c r="AB633" s="61"/>
      <c r="AC633" s="64"/>
      <c r="AD633" s="50"/>
      <c r="AE633" s="50"/>
      <c r="AF633" s="19"/>
      <c r="AG633" s="120"/>
      <c r="AH633" s="119"/>
      <c r="AI633" s="1"/>
      <c r="AJ633" s="21"/>
      <c r="AK633" s="21"/>
      <c r="AL633" s="21"/>
      <c r="AM633" s="21"/>
      <c r="AN633" s="21"/>
      <c r="AO633" s="21"/>
    </row>
    <row r="634" spans="1:41" s="308" customFormat="1" x14ac:dyDescent="0.2">
      <c r="A634" s="48"/>
      <c r="C634" s="263"/>
      <c r="D634" s="263"/>
      <c r="E634" s="53"/>
      <c r="F634" s="13"/>
      <c r="G634" s="13"/>
      <c r="H634" s="53"/>
      <c r="I634" s="298"/>
      <c r="J634" s="21"/>
      <c r="K634" s="21"/>
      <c r="L634" s="13"/>
      <c r="M634" s="50"/>
      <c r="N634" s="97"/>
      <c r="O634" s="50"/>
      <c r="P634" s="50"/>
      <c r="Q634" s="316"/>
      <c r="R634" s="285"/>
      <c r="S634" s="21"/>
      <c r="T634" s="13"/>
      <c r="U634" s="13"/>
      <c r="V634" s="21"/>
      <c r="W634" s="21"/>
      <c r="X634" s="21"/>
      <c r="Y634" s="260"/>
      <c r="Z634" s="177"/>
      <c r="AA634" s="177"/>
      <c r="AB634" s="61"/>
      <c r="AC634" s="64"/>
      <c r="AD634" s="50"/>
      <c r="AE634" s="50"/>
      <c r="AF634" s="19"/>
      <c r="AG634" s="120"/>
      <c r="AH634" s="119"/>
      <c r="AI634" s="1"/>
      <c r="AJ634" s="21"/>
      <c r="AK634" s="21"/>
      <c r="AL634" s="21"/>
      <c r="AM634" s="21"/>
      <c r="AN634" s="21"/>
      <c r="AO634" s="21"/>
    </row>
    <row r="635" spans="1:41" s="308" customFormat="1" x14ac:dyDescent="0.2">
      <c r="A635" s="48"/>
      <c r="C635" s="263"/>
      <c r="D635" s="263"/>
      <c r="E635" s="53"/>
      <c r="F635" s="13"/>
      <c r="G635" s="13"/>
      <c r="H635" s="53"/>
      <c r="I635" s="298"/>
      <c r="J635" s="21"/>
      <c r="K635" s="21"/>
      <c r="L635" s="13"/>
      <c r="M635" s="50"/>
      <c r="N635" s="97"/>
      <c r="O635" s="50"/>
      <c r="P635" s="50"/>
      <c r="Q635" s="316"/>
      <c r="R635" s="285"/>
      <c r="S635" s="21"/>
      <c r="T635" s="13"/>
      <c r="U635" s="13"/>
      <c r="V635" s="21"/>
      <c r="W635" s="21"/>
      <c r="X635" s="21"/>
      <c r="Y635" s="260"/>
      <c r="Z635" s="177"/>
      <c r="AA635" s="177"/>
      <c r="AB635" s="61"/>
      <c r="AC635" s="64"/>
      <c r="AD635" s="50"/>
      <c r="AE635" s="50"/>
      <c r="AF635" s="19"/>
      <c r="AG635" s="120"/>
      <c r="AH635" s="119"/>
      <c r="AI635" s="1"/>
      <c r="AJ635" s="21"/>
      <c r="AK635" s="21"/>
      <c r="AL635" s="21"/>
      <c r="AM635" s="21"/>
      <c r="AN635" s="21"/>
      <c r="AO635" s="21"/>
    </row>
    <row r="636" spans="1:41" s="308" customFormat="1" x14ac:dyDescent="0.2">
      <c r="A636" s="48"/>
      <c r="C636" s="263"/>
      <c r="D636" s="263"/>
      <c r="E636" s="53"/>
      <c r="F636" s="13"/>
      <c r="G636" s="13"/>
      <c r="H636" s="53"/>
      <c r="I636" s="298"/>
      <c r="J636" s="21"/>
      <c r="K636" s="21"/>
      <c r="L636" s="13"/>
      <c r="M636" s="50"/>
      <c r="N636" s="97"/>
      <c r="O636" s="50"/>
      <c r="P636" s="50"/>
      <c r="Q636" s="316"/>
      <c r="R636" s="285"/>
      <c r="S636" s="21"/>
      <c r="T636" s="13"/>
      <c r="U636" s="13"/>
      <c r="V636" s="21"/>
      <c r="W636" s="21"/>
      <c r="X636" s="21"/>
      <c r="Y636" s="260"/>
      <c r="Z636" s="177"/>
      <c r="AA636" s="177"/>
      <c r="AB636" s="61"/>
      <c r="AC636" s="64"/>
      <c r="AD636" s="50"/>
      <c r="AE636" s="50"/>
      <c r="AF636" s="19"/>
      <c r="AG636" s="120"/>
      <c r="AH636" s="119"/>
      <c r="AI636" s="1"/>
      <c r="AJ636" s="21"/>
      <c r="AK636" s="21"/>
      <c r="AL636" s="21"/>
      <c r="AM636" s="21"/>
      <c r="AN636" s="21"/>
      <c r="AO636" s="21"/>
    </row>
    <row r="637" spans="1:41" s="308" customFormat="1" x14ac:dyDescent="0.2">
      <c r="A637" s="48"/>
      <c r="C637" s="263"/>
      <c r="D637" s="263"/>
      <c r="E637" s="53"/>
      <c r="F637" s="13"/>
      <c r="G637" s="13"/>
      <c r="H637" s="53"/>
      <c r="I637" s="298"/>
      <c r="J637" s="21"/>
      <c r="K637" s="21"/>
      <c r="L637" s="13"/>
      <c r="M637" s="50"/>
      <c r="N637" s="97"/>
      <c r="O637" s="50"/>
      <c r="P637" s="50"/>
      <c r="Q637" s="316"/>
      <c r="R637" s="285"/>
      <c r="S637" s="21"/>
      <c r="T637" s="13"/>
      <c r="U637" s="13"/>
      <c r="V637" s="21"/>
      <c r="W637" s="21"/>
      <c r="X637" s="21"/>
      <c r="Y637" s="260"/>
      <c r="Z637" s="177"/>
      <c r="AA637" s="177"/>
      <c r="AB637" s="61"/>
      <c r="AC637" s="64"/>
      <c r="AD637" s="50"/>
      <c r="AE637" s="50"/>
      <c r="AF637" s="19"/>
      <c r="AG637" s="120"/>
      <c r="AH637" s="119"/>
      <c r="AI637" s="1"/>
      <c r="AJ637" s="21"/>
      <c r="AK637" s="21"/>
      <c r="AL637" s="21"/>
      <c r="AM637" s="21"/>
      <c r="AN637" s="21"/>
      <c r="AO637" s="21"/>
    </row>
    <row r="638" spans="1:41" s="308" customFormat="1" x14ac:dyDescent="0.2">
      <c r="A638" s="48"/>
      <c r="C638" s="263"/>
      <c r="D638" s="263"/>
      <c r="E638" s="53"/>
      <c r="F638" s="13"/>
      <c r="G638" s="13"/>
      <c r="H638" s="53"/>
      <c r="I638" s="298"/>
      <c r="J638" s="21"/>
      <c r="K638" s="21"/>
      <c r="L638" s="13"/>
      <c r="M638" s="50"/>
      <c r="N638" s="97"/>
      <c r="O638" s="50"/>
      <c r="P638" s="50"/>
      <c r="Q638" s="316"/>
      <c r="R638" s="285"/>
      <c r="S638" s="21"/>
      <c r="T638" s="13"/>
      <c r="U638" s="13"/>
      <c r="V638" s="21"/>
      <c r="W638" s="21"/>
      <c r="X638" s="21"/>
      <c r="Y638" s="260"/>
      <c r="Z638" s="177"/>
      <c r="AA638" s="177"/>
      <c r="AB638" s="61"/>
      <c r="AC638" s="64"/>
      <c r="AD638" s="50"/>
      <c r="AE638" s="50"/>
      <c r="AF638" s="19"/>
      <c r="AG638" s="120"/>
      <c r="AH638" s="119"/>
      <c r="AI638" s="1"/>
      <c r="AJ638" s="21"/>
      <c r="AK638" s="21"/>
      <c r="AL638" s="21"/>
      <c r="AM638" s="21"/>
      <c r="AN638" s="21"/>
      <c r="AO638" s="21"/>
    </row>
    <row r="639" spans="1:41" s="308" customFormat="1" x14ac:dyDescent="0.2">
      <c r="A639" s="48"/>
      <c r="C639" s="263"/>
      <c r="D639" s="263"/>
      <c r="E639" s="53"/>
      <c r="F639" s="13"/>
      <c r="G639" s="13"/>
      <c r="H639" s="53"/>
      <c r="I639" s="298"/>
      <c r="J639" s="21"/>
      <c r="K639" s="21"/>
      <c r="L639" s="13"/>
      <c r="M639" s="50"/>
      <c r="N639" s="97"/>
      <c r="O639" s="50"/>
      <c r="P639" s="50"/>
      <c r="Q639" s="316"/>
      <c r="R639" s="285"/>
      <c r="S639" s="21"/>
      <c r="T639" s="13"/>
      <c r="U639" s="13"/>
      <c r="V639" s="21"/>
      <c r="W639" s="21"/>
      <c r="X639" s="21"/>
      <c r="Y639" s="260"/>
      <c r="Z639" s="177"/>
      <c r="AA639" s="177"/>
      <c r="AB639" s="61"/>
      <c r="AC639" s="64"/>
      <c r="AD639" s="50"/>
      <c r="AE639" s="50"/>
      <c r="AF639" s="19"/>
      <c r="AG639" s="120"/>
      <c r="AH639" s="119"/>
      <c r="AI639" s="1"/>
      <c r="AJ639" s="21"/>
      <c r="AK639" s="21"/>
      <c r="AL639" s="21"/>
      <c r="AM639" s="21"/>
      <c r="AN639" s="21"/>
      <c r="AO639" s="21"/>
    </row>
    <row r="640" spans="1:41" s="308" customFormat="1" x14ac:dyDescent="0.2">
      <c r="A640" s="48"/>
      <c r="C640" s="263"/>
      <c r="D640" s="263"/>
      <c r="E640" s="53"/>
      <c r="F640" s="13"/>
      <c r="G640" s="13"/>
      <c r="H640" s="53"/>
      <c r="I640" s="298"/>
      <c r="J640" s="21"/>
      <c r="K640" s="21"/>
      <c r="L640" s="13"/>
      <c r="M640" s="50"/>
      <c r="N640" s="97"/>
      <c r="O640" s="50"/>
      <c r="P640" s="50"/>
      <c r="Q640" s="316"/>
      <c r="R640" s="285"/>
      <c r="S640" s="21"/>
      <c r="T640" s="13"/>
      <c r="U640" s="13"/>
      <c r="V640" s="21"/>
      <c r="W640" s="21"/>
      <c r="X640" s="21"/>
      <c r="Y640" s="260"/>
      <c r="Z640" s="177"/>
      <c r="AA640" s="177"/>
      <c r="AB640" s="61"/>
      <c r="AC640" s="64"/>
      <c r="AD640" s="50"/>
      <c r="AE640" s="50"/>
      <c r="AF640" s="19"/>
      <c r="AG640" s="120"/>
      <c r="AH640" s="119"/>
      <c r="AI640" s="1"/>
      <c r="AJ640" s="21"/>
      <c r="AK640" s="21"/>
      <c r="AL640" s="21"/>
      <c r="AM640" s="21"/>
      <c r="AN640" s="21"/>
      <c r="AO640" s="21"/>
    </row>
    <row r="641" spans="1:41" s="308" customFormat="1" x14ac:dyDescent="0.2">
      <c r="A641" s="48"/>
      <c r="C641" s="263"/>
      <c r="D641" s="263"/>
      <c r="E641" s="53"/>
      <c r="F641" s="13"/>
      <c r="G641" s="13"/>
      <c r="H641" s="53"/>
      <c r="I641" s="298"/>
      <c r="J641" s="21"/>
      <c r="K641" s="21"/>
      <c r="L641" s="13"/>
      <c r="M641" s="50"/>
      <c r="N641" s="97"/>
      <c r="O641" s="50"/>
      <c r="P641" s="50"/>
      <c r="Q641" s="316"/>
      <c r="R641" s="285"/>
      <c r="S641" s="21"/>
      <c r="T641" s="13"/>
      <c r="U641" s="13"/>
      <c r="V641" s="21"/>
      <c r="W641" s="21"/>
      <c r="X641" s="21"/>
      <c r="Y641" s="260"/>
      <c r="Z641" s="177"/>
      <c r="AA641" s="177"/>
      <c r="AB641" s="61"/>
      <c r="AC641" s="64"/>
      <c r="AD641" s="50"/>
      <c r="AE641" s="50"/>
      <c r="AF641" s="19"/>
      <c r="AG641" s="120"/>
      <c r="AH641" s="119"/>
      <c r="AI641" s="1"/>
      <c r="AJ641" s="21"/>
      <c r="AK641" s="21"/>
      <c r="AL641" s="21"/>
      <c r="AM641" s="21"/>
      <c r="AN641" s="21"/>
      <c r="AO641" s="21"/>
    </row>
    <row r="642" spans="1:41" s="308" customFormat="1" x14ac:dyDescent="0.2">
      <c r="A642" s="48"/>
      <c r="C642" s="263"/>
      <c r="D642" s="263"/>
      <c r="E642" s="53"/>
      <c r="F642" s="13"/>
      <c r="G642" s="13"/>
      <c r="H642" s="53"/>
      <c r="I642" s="298"/>
      <c r="J642" s="21"/>
      <c r="K642" s="21"/>
      <c r="L642" s="13"/>
      <c r="M642" s="50"/>
      <c r="N642" s="97"/>
      <c r="O642" s="50"/>
      <c r="P642" s="50"/>
      <c r="Q642" s="316"/>
      <c r="R642" s="285"/>
      <c r="S642" s="21"/>
      <c r="T642" s="13"/>
      <c r="U642" s="13"/>
      <c r="V642" s="21"/>
      <c r="W642" s="21"/>
      <c r="X642" s="21"/>
      <c r="Y642" s="260"/>
      <c r="Z642" s="177"/>
      <c r="AA642" s="177"/>
      <c r="AB642" s="61"/>
      <c r="AC642" s="64"/>
      <c r="AD642" s="50"/>
      <c r="AE642" s="50"/>
      <c r="AF642" s="19"/>
      <c r="AG642" s="120"/>
      <c r="AH642" s="119"/>
      <c r="AI642" s="1"/>
      <c r="AJ642" s="21"/>
      <c r="AK642" s="21"/>
      <c r="AL642" s="21"/>
      <c r="AM642" s="21"/>
      <c r="AN642" s="21"/>
      <c r="AO642" s="21"/>
    </row>
    <row r="643" spans="1:41" s="308" customFormat="1" x14ac:dyDescent="0.2">
      <c r="A643" s="48"/>
      <c r="C643" s="263"/>
      <c r="D643" s="263"/>
      <c r="E643" s="53"/>
      <c r="F643" s="13"/>
      <c r="G643" s="13"/>
      <c r="H643" s="53"/>
      <c r="I643" s="298"/>
      <c r="J643" s="21"/>
      <c r="K643" s="21"/>
      <c r="L643" s="13"/>
      <c r="M643" s="50"/>
      <c r="N643" s="97"/>
      <c r="O643" s="50"/>
      <c r="P643" s="50"/>
      <c r="Q643" s="316"/>
      <c r="R643" s="285"/>
      <c r="S643" s="21"/>
      <c r="T643" s="13"/>
      <c r="U643" s="13"/>
      <c r="V643" s="21"/>
      <c r="W643" s="21"/>
      <c r="X643" s="21"/>
      <c r="Y643" s="260"/>
      <c r="Z643" s="177"/>
      <c r="AA643" s="177"/>
      <c r="AB643" s="61"/>
      <c r="AC643" s="64"/>
      <c r="AD643" s="50"/>
      <c r="AE643" s="50"/>
      <c r="AF643" s="19"/>
      <c r="AG643" s="120"/>
      <c r="AH643" s="119"/>
      <c r="AI643" s="1"/>
      <c r="AJ643" s="21"/>
      <c r="AK643" s="21"/>
      <c r="AL643" s="21"/>
      <c r="AM643" s="21"/>
      <c r="AN643" s="21"/>
      <c r="AO643" s="21"/>
    </row>
    <row r="644" spans="1:41" s="308" customFormat="1" x14ac:dyDescent="0.2">
      <c r="A644" s="48"/>
      <c r="C644" s="263"/>
      <c r="D644" s="263"/>
      <c r="E644" s="53"/>
      <c r="F644" s="13"/>
      <c r="G644" s="13"/>
      <c r="H644" s="53"/>
      <c r="I644" s="298"/>
      <c r="J644" s="21"/>
      <c r="K644" s="21"/>
      <c r="L644" s="13"/>
      <c r="M644" s="50"/>
      <c r="N644" s="97"/>
      <c r="O644" s="50"/>
      <c r="P644" s="50"/>
      <c r="Q644" s="316"/>
      <c r="R644" s="285"/>
      <c r="S644" s="21"/>
      <c r="T644" s="13"/>
      <c r="U644" s="13"/>
      <c r="V644" s="21"/>
      <c r="W644" s="21"/>
      <c r="X644" s="21"/>
      <c r="Y644" s="260"/>
      <c r="Z644" s="177"/>
      <c r="AA644" s="177"/>
      <c r="AB644" s="61"/>
      <c r="AC644" s="64"/>
      <c r="AD644" s="50"/>
      <c r="AE644" s="50"/>
      <c r="AF644" s="19"/>
      <c r="AG644" s="120"/>
      <c r="AH644" s="119"/>
      <c r="AI644" s="1"/>
      <c r="AJ644" s="21"/>
      <c r="AK644" s="21"/>
      <c r="AL644" s="21"/>
      <c r="AM644" s="21"/>
      <c r="AN644" s="21"/>
      <c r="AO644" s="21"/>
    </row>
    <row r="645" spans="1:41" s="308" customFormat="1" x14ac:dyDescent="0.2">
      <c r="A645" s="48"/>
      <c r="C645" s="263"/>
      <c r="D645" s="263"/>
      <c r="E645" s="53"/>
      <c r="F645" s="13"/>
      <c r="G645" s="13"/>
      <c r="H645" s="53"/>
      <c r="I645" s="298"/>
      <c r="J645" s="21"/>
      <c r="K645" s="21"/>
      <c r="L645" s="13"/>
      <c r="M645" s="50"/>
      <c r="N645" s="97"/>
      <c r="O645" s="50"/>
      <c r="P645" s="50"/>
      <c r="Q645" s="316"/>
      <c r="R645" s="285"/>
      <c r="S645" s="21"/>
      <c r="T645" s="13"/>
      <c r="U645" s="13"/>
      <c r="V645" s="21"/>
      <c r="W645" s="21"/>
      <c r="X645" s="21"/>
      <c r="Y645" s="260"/>
      <c r="Z645" s="177"/>
      <c r="AA645" s="177"/>
      <c r="AB645" s="61"/>
      <c r="AC645" s="64"/>
      <c r="AD645" s="50"/>
      <c r="AE645" s="50"/>
      <c r="AF645" s="19"/>
      <c r="AG645" s="120"/>
      <c r="AH645" s="119"/>
      <c r="AI645" s="1"/>
      <c r="AJ645" s="21"/>
      <c r="AK645" s="21"/>
      <c r="AL645" s="21"/>
      <c r="AM645" s="21"/>
      <c r="AN645" s="21"/>
      <c r="AO645" s="21"/>
    </row>
    <row r="646" spans="1:41" s="308" customFormat="1" x14ac:dyDescent="0.2">
      <c r="A646" s="48"/>
      <c r="C646" s="263"/>
      <c r="D646" s="263"/>
      <c r="E646" s="53"/>
      <c r="F646" s="13"/>
      <c r="G646" s="13"/>
      <c r="H646" s="53"/>
      <c r="I646" s="298"/>
      <c r="J646" s="21"/>
      <c r="K646" s="21"/>
      <c r="L646" s="13"/>
      <c r="M646" s="50"/>
      <c r="N646" s="97"/>
      <c r="O646" s="50"/>
      <c r="P646" s="50"/>
      <c r="Q646" s="316"/>
      <c r="R646" s="285"/>
      <c r="S646" s="21"/>
      <c r="T646" s="13"/>
      <c r="U646" s="13"/>
      <c r="V646" s="21"/>
      <c r="W646" s="21"/>
      <c r="X646" s="21"/>
      <c r="Y646" s="260"/>
      <c r="Z646" s="177"/>
      <c r="AA646" s="177"/>
      <c r="AB646" s="61"/>
      <c r="AC646" s="64"/>
      <c r="AD646" s="50"/>
      <c r="AE646" s="50"/>
      <c r="AF646" s="19"/>
      <c r="AG646" s="120"/>
      <c r="AH646" s="119"/>
      <c r="AI646" s="1"/>
      <c r="AJ646" s="21"/>
      <c r="AK646" s="21"/>
      <c r="AL646" s="21"/>
      <c r="AM646" s="21"/>
      <c r="AN646" s="21"/>
      <c r="AO646" s="21"/>
    </row>
    <row r="647" spans="1:41" s="308" customFormat="1" x14ac:dyDescent="0.2">
      <c r="A647" s="48"/>
      <c r="C647" s="263"/>
      <c r="D647" s="263"/>
      <c r="E647" s="53"/>
      <c r="F647" s="13"/>
      <c r="G647" s="13"/>
      <c r="H647" s="53"/>
      <c r="I647" s="298"/>
      <c r="J647" s="21"/>
      <c r="K647" s="21"/>
      <c r="L647" s="13"/>
      <c r="M647" s="50"/>
      <c r="N647" s="97"/>
      <c r="O647" s="50"/>
      <c r="P647" s="50"/>
      <c r="Q647" s="316"/>
      <c r="R647" s="285"/>
      <c r="S647" s="21"/>
      <c r="T647" s="13"/>
      <c r="U647" s="13"/>
      <c r="V647" s="21"/>
      <c r="W647" s="21"/>
      <c r="X647" s="21"/>
      <c r="Y647" s="260"/>
      <c r="Z647" s="177"/>
      <c r="AA647" s="177"/>
      <c r="AB647" s="61"/>
      <c r="AC647" s="64"/>
      <c r="AD647" s="50"/>
      <c r="AE647" s="50"/>
      <c r="AF647" s="19"/>
      <c r="AG647" s="120"/>
      <c r="AH647" s="119"/>
      <c r="AI647" s="1"/>
      <c r="AJ647" s="21"/>
      <c r="AK647" s="21"/>
      <c r="AL647" s="21"/>
      <c r="AM647" s="21"/>
      <c r="AN647" s="21"/>
      <c r="AO647" s="21"/>
    </row>
    <row r="648" spans="1:41" s="308" customFormat="1" x14ac:dyDescent="0.2">
      <c r="A648" s="48"/>
      <c r="C648" s="263"/>
      <c r="D648" s="263"/>
      <c r="E648" s="53"/>
      <c r="F648" s="13"/>
      <c r="G648" s="13"/>
      <c r="H648" s="53"/>
      <c r="I648" s="298"/>
      <c r="J648" s="21"/>
      <c r="K648" s="21"/>
      <c r="L648" s="13"/>
      <c r="M648" s="50"/>
      <c r="N648" s="97"/>
      <c r="O648" s="50"/>
      <c r="P648" s="50"/>
      <c r="Q648" s="316"/>
      <c r="R648" s="285"/>
      <c r="S648" s="21"/>
      <c r="T648" s="13"/>
      <c r="U648" s="13"/>
      <c r="V648" s="21"/>
      <c r="W648" s="21"/>
      <c r="X648" s="21"/>
      <c r="Y648" s="260"/>
      <c r="Z648" s="177"/>
      <c r="AA648" s="177"/>
      <c r="AB648" s="61"/>
      <c r="AC648" s="64"/>
      <c r="AD648" s="50"/>
      <c r="AE648" s="50"/>
      <c r="AF648" s="19"/>
      <c r="AG648" s="120"/>
      <c r="AH648" s="119"/>
      <c r="AI648" s="1"/>
      <c r="AJ648" s="21"/>
      <c r="AK648" s="21"/>
      <c r="AL648" s="21"/>
      <c r="AM648" s="21"/>
      <c r="AN648" s="21"/>
      <c r="AO648" s="21"/>
    </row>
    <row r="649" spans="1:41" s="308" customFormat="1" x14ac:dyDescent="0.2">
      <c r="A649" s="48"/>
      <c r="C649" s="263"/>
      <c r="D649" s="263"/>
      <c r="E649" s="53"/>
      <c r="F649" s="13"/>
      <c r="G649" s="13"/>
      <c r="H649" s="53"/>
      <c r="I649" s="298"/>
      <c r="J649" s="21"/>
      <c r="K649" s="21"/>
      <c r="L649" s="13"/>
      <c r="M649" s="50"/>
      <c r="N649" s="97"/>
      <c r="O649" s="50"/>
      <c r="P649" s="50"/>
      <c r="Q649" s="316"/>
      <c r="R649" s="285"/>
      <c r="S649" s="21"/>
      <c r="T649" s="13"/>
      <c r="U649" s="13"/>
      <c r="V649" s="21"/>
      <c r="W649" s="21"/>
      <c r="X649" s="21"/>
      <c r="Y649" s="260"/>
      <c r="Z649" s="177"/>
      <c r="AA649" s="177"/>
      <c r="AB649" s="61"/>
      <c r="AC649" s="64"/>
      <c r="AD649" s="50"/>
      <c r="AE649" s="50"/>
      <c r="AF649" s="19"/>
      <c r="AG649" s="120"/>
      <c r="AH649" s="119"/>
      <c r="AI649" s="1"/>
      <c r="AJ649" s="21"/>
      <c r="AK649" s="21"/>
      <c r="AL649" s="21"/>
      <c r="AM649" s="21"/>
      <c r="AN649" s="21"/>
      <c r="AO649" s="21"/>
    </row>
    <row r="650" spans="1:41" s="308" customFormat="1" x14ac:dyDescent="0.2">
      <c r="A650" s="48"/>
      <c r="C650" s="263"/>
      <c r="D650" s="263"/>
      <c r="E650" s="53"/>
      <c r="F650" s="13"/>
      <c r="G650" s="13"/>
      <c r="H650" s="53"/>
      <c r="I650" s="298"/>
      <c r="J650" s="21"/>
      <c r="K650" s="21"/>
      <c r="L650" s="13"/>
      <c r="M650" s="50"/>
      <c r="N650" s="97"/>
      <c r="O650" s="50"/>
      <c r="P650" s="50"/>
      <c r="Q650" s="316"/>
      <c r="R650" s="285"/>
      <c r="S650" s="21"/>
      <c r="T650" s="13"/>
      <c r="U650" s="13"/>
      <c r="V650" s="21"/>
      <c r="W650" s="21"/>
      <c r="X650" s="21"/>
      <c r="Y650" s="260"/>
      <c r="Z650" s="177"/>
      <c r="AA650" s="177"/>
      <c r="AB650" s="61"/>
      <c r="AC650" s="64"/>
      <c r="AD650" s="50"/>
      <c r="AE650" s="50"/>
      <c r="AF650" s="19"/>
      <c r="AG650" s="120"/>
      <c r="AH650" s="119"/>
      <c r="AI650" s="1"/>
      <c r="AJ650" s="21"/>
      <c r="AK650" s="21"/>
      <c r="AL650" s="21"/>
      <c r="AM650" s="21"/>
      <c r="AN650" s="21"/>
      <c r="AO650" s="21"/>
    </row>
    <row r="651" spans="1:41" s="308" customFormat="1" x14ac:dyDescent="0.2">
      <c r="A651" s="48"/>
      <c r="C651" s="263"/>
      <c r="D651" s="263"/>
      <c r="E651" s="53"/>
      <c r="F651" s="13"/>
      <c r="G651" s="13"/>
      <c r="H651" s="53"/>
      <c r="I651" s="298"/>
      <c r="J651" s="21"/>
      <c r="K651" s="21"/>
      <c r="L651" s="13"/>
      <c r="M651" s="50"/>
      <c r="N651" s="97"/>
      <c r="O651" s="50"/>
      <c r="P651" s="50"/>
      <c r="Q651" s="316"/>
      <c r="R651" s="285"/>
      <c r="S651" s="21"/>
      <c r="T651" s="13"/>
      <c r="U651" s="13"/>
      <c r="V651" s="21"/>
      <c r="W651" s="21"/>
      <c r="X651" s="21"/>
      <c r="Y651" s="260"/>
      <c r="Z651" s="177"/>
      <c r="AA651" s="177"/>
      <c r="AB651" s="61"/>
      <c r="AC651" s="64"/>
      <c r="AD651" s="50"/>
      <c r="AE651" s="50"/>
      <c r="AF651" s="19"/>
      <c r="AG651" s="120"/>
      <c r="AH651" s="119"/>
      <c r="AI651" s="1"/>
      <c r="AJ651" s="21"/>
      <c r="AK651" s="21"/>
      <c r="AL651" s="21"/>
      <c r="AM651" s="21"/>
      <c r="AN651" s="21"/>
      <c r="AO651" s="21"/>
    </row>
    <row r="652" spans="1:41" s="308" customFormat="1" x14ac:dyDescent="0.2">
      <c r="A652" s="48"/>
      <c r="C652" s="263"/>
      <c r="D652" s="263"/>
      <c r="E652" s="53"/>
      <c r="F652" s="13"/>
      <c r="G652" s="13"/>
      <c r="H652" s="53"/>
      <c r="I652" s="298"/>
      <c r="J652" s="21"/>
      <c r="K652" s="21"/>
      <c r="L652" s="13"/>
      <c r="M652" s="50"/>
      <c r="N652" s="97"/>
      <c r="O652" s="50"/>
      <c r="P652" s="50"/>
      <c r="Q652" s="316"/>
      <c r="R652" s="285"/>
      <c r="S652" s="21"/>
      <c r="T652" s="13"/>
      <c r="U652" s="13"/>
      <c r="V652" s="21"/>
      <c r="W652" s="21"/>
      <c r="X652" s="21"/>
      <c r="Y652" s="260"/>
      <c r="Z652" s="177"/>
      <c r="AA652" s="177"/>
      <c r="AB652" s="61"/>
      <c r="AC652" s="64"/>
      <c r="AD652" s="50"/>
      <c r="AE652" s="50"/>
      <c r="AF652" s="19"/>
      <c r="AG652" s="120"/>
      <c r="AH652" s="119"/>
      <c r="AI652" s="1"/>
      <c r="AJ652" s="21"/>
      <c r="AK652" s="21"/>
      <c r="AL652" s="21"/>
      <c r="AM652" s="21"/>
      <c r="AN652" s="21"/>
      <c r="AO652" s="21"/>
    </row>
    <row r="653" spans="1:41" s="308" customFormat="1" x14ac:dyDescent="0.2">
      <c r="A653" s="48"/>
      <c r="C653" s="263"/>
      <c r="D653" s="263"/>
      <c r="E653" s="53"/>
      <c r="F653" s="13"/>
      <c r="G653" s="13"/>
      <c r="H653" s="53"/>
      <c r="I653" s="298"/>
      <c r="J653" s="21"/>
      <c r="K653" s="21"/>
      <c r="L653" s="13"/>
      <c r="M653" s="50"/>
      <c r="N653" s="97"/>
      <c r="O653" s="50"/>
      <c r="P653" s="50"/>
      <c r="Q653" s="316"/>
      <c r="R653" s="285"/>
      <c r="S653" s="21"/>
      <c r="T653" s="13"/>
      <c r="U653" s="13"/>
      <c r="V653" s="21"/>
      <c r="W653" s="21"/>
      <c r="X653" s="21"/>
      <c r="Y653" s="260"/>
      <c r="Z653" s="177"/>
      <c r="AA653" s="177"/>
      <c r="AB653" s="61"/>
      <c r="AC653" s="64"/>
      <c r="AD653" s="50"/>
      <c r="AE653" s="50"/>
      <c r="AF653" s="19"/>
      <c r="AG653" s="120"/>
      <c r="AH653" s="119"/>
      <c r="AI653" s="1"/>
      <c r="AJ653" s="21"/>
      <c r="AK653" s="21"/>
      <c r="AL653" s="21"/>
      <c r="AM653" s="21"/>
      <c r="AN653" s="21"/>
      <c r="AO653" s="21"/>
    </row>
    <row r="654" spans="1:41" s="308" customFormat="1" x14ac:dyDescent="0.2">
      <c r="A654" s="48"/>
      <c r="C654" s="263"/>
      <c r="D654" s="263"/>
      <c r="E654" s="53"/>
      <c r="F654" s="13"/>
      <c r="G654" s="13"/>
      <c r="H654" s="53"/>
      <c r="I654" s="298"/>
      <c r="J654" s="21"/>
      <c r="K654" s="21"/>
      <c r="L654" s="13"/>
      <c r="M654" s="50"/>
      <c r="N654" s="97"/>
      <c r="O654" s="50"/>
      <c r="P654" s="50"/>
      <c r="Q654" s="316"/>
      <c r="R654" s="285"/>
      <c r="S654" s="21"/>
      <c r="T654" s="13"/>
      <c r="U654" s="13"/>
      <c r="V654" s="21"/>
      <c r="W654" s="21"/>
      <c r="X654" s="21"/>
      <c r="Y654" s="260"/>
      <c r="Z654" s="177"/>
      <c r="AA654" s="177"/>
      <c r="AB654" s="61"/>
      <c r="AC654" s="64"/>
      <c r="AD654" s="50"/>
      <c r="AE654" s="50"/>
      <c r="AF654" s="19"/>
      <c r="AG654" s="120"/>
      <c r="AH654" s="119"/>
      <c r="AI654" s="1"/>
      <c r="AJ654" s="21"/>
      <c r="AK654" s="21"/>
      <c r="AL654" s="21"/>
      <c r="AM654" s="21"/>
      <c r="AN654" s="21"/>
      <c r="AO654" s="21"/>
    </row>
    <row r="655" spans="1:41" s="308" customFormat="1" x14ac:dyDescent="0.2">
      <c r="A655" s="48"/>
      <c r="C655" s="263"/>
      <c r="D655" s="263"/>
      <c r="E655" s="53"/>
      <c r="F655" s="13"/>
      <c r="G655" s="13"/>
      <c r="H655" s="53"/>
      <c r="I655" s="298"/>
      <c r="J655" s="21"/>
      <c r="K655" s="21"/>
      <c r="L655" s="13"/>
      <c r="M655" s="50"/>
      <c r="N655" s="97"/>
      <c r="O655" s="50"/>
      <c r="P655" s="50"/>
      <c r="Q655" s="316"/>
      <c r="R655" s="285"/>
      <c r="S655" s="21"/>
      <c r="T655" s="13"/>
      <c r="U655" s="13"/>
      <c r="V655" s="21"/>
      <c r="W655" s="21"/>
      <c r="X655" s="21"/>
      <c r="Y655" s="260"/>
      <c r="Z655" s="177"/>
      <c r="AA655" s="177"/>
      <c r="AB655" s="61"/>
      <c r="AC655" s="64"/>
      <c r="AD655" s="50"/>
      <c r="AE655" s="50"/>
      <c r="AF655" s="19"/>
      <c r="AG655" s="120"/>
      <c r="AH655" s="119"/>
      <c r="AI655" s="1"/>
      <c r="AJ655" s="21"/>
      <c r="AK655" s="21"/>
      <c r="AL655" s="21"/>
      <c r="AM655" s="21"/>
      <c r="AN655" s="21"/>
      <c r="AO655" s="21"/>
    </row>
    <row r="656" spans="1:41" s="308" customFormat="1" x14ac:dyDescent="0.2">
      <c r="A656" s="48"/>
      <c r="C656" s="263"/>
      <c r="D656" s="263"/>
      <c r="E656" s="53"/>
      <c r="F656" s="13"/>
      <c r="G656" s="13"/>
      <c r="H656" s="53"/>
      <c r="I656" s="298"/>
      <c r="J656" s="21"/>
      <c r="K656" s="21"/>
      <c r="L656" s="13"/>
      <c r="M656" s="50"/>
      <c r="N656" s="97"/>
      <c r="O656" s="50"/>
      <c r="P656" s="50"/>
      <c r="Q656" s="316"/>
      <c r="R656" s="285"/>
      <c r="S656" s="21"/>
      <c r="T656" s="13"/>
      <c r="U656" s="13"/>
      <c r="V656" s="21"/>
      <c r="W656" s="21"/>
      <c r="X656" s="21"/>
      <c r="Y656" s="260"/>
      <c r="Z656" s="177"/>
      <c r="AA656" s="177"/>
      <c r="AB656" s="61"/>
      <c r="AC656" s="64"/>
      <c r="AD656" s="50"/>
      <c r="AE656" s="50"/>
      <c r="AF656" s="19"/>
      <c r="AG656" s="120"/>
      <c r="AH656" s="119"/>
      <c r="AI656" s="1"/>
      <c r="AJ656" s="21"/>
      <c r="AK656" s="21"/>
      <c r="AL656" s="21"/>
      <c r="AM656" s="21"/>
      <c r="AN656" s="21"/>
      <c r="AO656" s="21"/>
    </row>
    <row r="657" spans="1:44" s="308" customFormat="1" x14ac:dyDescent="0.2">
      <c r="A657" s="48"/>
      <c r="C657" s="263"/>
      <c r="D657" s="263"/>
      <c r="E657" s="53"/>
      <c r="F657" s="13"/>
      <c r="G657" s="13"/>
      <c r="H657" s="53"/>
      <c r="I657" s="298"/>
      <c r="J657" s="21"/>
      <c r="K657" s="21"/>
      <c r="L657" s="13"/>
      <c r="M657" s="50"/>
      <c r="N657" s="97"/>
      <c r="O657" s="50"/>
      <c r="P657" s="50"/>
      <c r="Q657" s="316"/>
      <c r="R657" s="285"/>
      <c r="S657" s="21"/>
      <c r="T657" s="13"/>
      <c r="U657" s="13"/>
      <c r="V657" s="21"/>
      <c r="W657" s="21"/>
      <c r="X657" s="21"/>
      <c r="Y657" s="260"/>
      <c r="Z657" s="177"/>
      <c r="AA657" s="177"/>
      <c r="AB657" s="61"/>
      <c r="AC657" s="64"/>
      <c r="AD657" s="50"/>
      <c r="AE657" s="50"/>
      <c r="AF657" s="19"/>
      <c r="AG657" s="120"/>
      <c r="AH657" s="119"/>
      <c r="AI657" s="1"/>
      <c r="AJ657" s="21"/>
      <c r="AK657" s="21"/>
      <c r="AL657" s="21"/>
      <c r="AM657" s="21"/>
      <c r="AN657" s="21"/>
      <c r="AO657" s="21"/>
    </row>
    <row r="658" spans="1:44" s="308" customFormat="1" x14ac:dyDescent="0.2">
      <c r="A658" s="48"/>
      <c r="C658" s="263"/>
      <c r="D658" s="263"/>
      <c r="E658" s="53"/>
      <c r="F658" s="13"/>
      <c r="G658" s="13"/>
      <c r="H658" s="53"/>
      <c r="I658" s="298"/>
      <c r="J658" s="21"/>
      <c r="K658" s="21"/>
      <c r="L658" s="13"/>
      <c r="M658" s="50"/>
      <c r="N658" s="97"/>
      <c r="O658" s="50"/>
      <c r="P658" s="50"/>
      <c r="Q658" s="316"/>
      <c r="R658" s="285"/>
      <c r="S658" s="21"/>
      <c r="T658" s="13"/>
      <c r="U658" s="13"/>
      <c r="V658" s="21"/>
      <c r="W658" s="21"/>
      <c r="X658" s="21"/>
      <c r="Y658" s="260"/>
      <c r="Z658" s="177"/>
      <c r="AA658" s="177"/>
      <c r="AB658" s="61"/>
      <c r="AC658" s="64"/>
      <c r="AD658" s="50"/>
      <c r="AE658" s="50"/>
      <c r="AF658" s="19"/>
      <c r="AG658" s="120"/>
      <c r="AH658" s="119"/>
      <c r="AI658" s="1"/>
      <c r="AJ658" s="21"/>
      <c r="AK658" s="21"/>
      <c r="AL658" s="21"/>
      <c r="AM658" s="21"/>
      <c r="AN658" s="21"/>
      <c r="AO658" s="21"/>
    </row>
    <row r="659" spans="1:44" s="308" customFormat="1" x14ac:dyDescent="0.2">
      <c r="A659" s="48"/>
      <c r="C659" s="263"/>
      <c r="D659" s="263"/>
      <c r="E659" s="53"/>
      <c r="F659" s="13"/>
      <c r="G659" s="13"/>
      <c r="H659" s="53"/>
      <c r="I659" s="298"/>
      <c r="J659" s="21"/>
      <c r="K659" s="21"/>
      <c r="L659" s="13"/>
      <c r="M659" s="50"/>
      <c r="N659" s="97"/>
      <c r="O659" s="50"/>
      <c r="P659" s="50"/>
      <c r="Q659" s="316"/>
      <c r="R659" s="285"/>
      <c r="S659" s="21"/>
      <c r="T659" s="13"/>
      <c r="U659" s="13"/>
      <c r="V659" s="21"/>
      <c r="W659" s="21"/>
      <c r="X659" s="21"/>
      <c r="Y659" s="260"/>
      <c r="Z659" s="177"/>
      <c r="AA659" s="177"/>
      <c r="AB659" s="61"/>
      <c r="AC659" s="64"/>
      <c r="AD659" s="50"/>
      <c r="AE659" s="50"/>
      <c r="AF659" s="19"/>
      <c r="AG659" s="120"/>
      <c r="AH659" s="119"/>
      <c r="AI659" s="1"/>
      <c r="AJ659" s="21"/>
      <c r="AK659" s="21"/>
      <c r="AL659" s="21"/>
      <c r="AM659" s="21"/>
      <c r="AN659" s="21"/>
      <c r="AO659" s="21"/>
    </row>
    <row r="660" spans="1:44" s="308" customFormat="1" x14ac:dyDescent="0.2">
      <c r="A660" s="48"/>
      <c r="C660" s="263"/>
      <c r="D660" s="263"/>
      <c r="E660" s="53"/>
      <c r="F660" s="13"/>
      <c r="G660" s="13"/>
      <c r="H660" s="53"/>
      <c r="I660" s="298"/>
      <c r="J660" s="21"/>
      <c r="K660" s="21"/>
      <c r="L660" s="13"/>
      <c r="M660" s="50"/>
      <c r="N660" s="97"/>
      <c r="O660" s="50"/>
      <c r="P660" s="50"/>
      <c r="Q660" s="316"/>
      <c r="R660" s="285"/>
      <c r="S660" s="21"/>
      <c r="T660" s="13"/>
      <c r="U660" s="13"/>
      <c r="V660" s="21"/>
      <c r="W660" s="21"/>
      <c r="X660" s="21"/>
      <c r="Y660" s="260"/>
      <c r="Z660" s="177"/>
      <c r="AA660" s="177"/>
      <c r="AB660" s="61"/>
      <c r="AC660" s="64"/>
      <c r="AD660" s="50"/>
      <c r="AE660" s="50"/>
      <c r="AF660" s="19"/>
      <c r="AG660" s="120"/>
      <c r="AH660" s="119"/>
      <c r="AI660" s="1"/>
      <c r="AJ660" s="21"/>
      <c r="AK660" s="21"/>
      <c r="AL660" s="21"/>
      <c r="AM660" s="21"/>
      <c r="AN660" s="21"/>
      <c r="AO660" s="21"/>
    </row>
    <row r="661" spans="1:44" s="308" customFormat="1" x14ac:dyDescent="0.2">
      <c r="A661" s="48"/>
      <c r="C661" s="263"/>
      <c r="D661" s="263"/>
      <c r="E661" s="53"/>
      <c r="F661" s="13"/>
      <c r="G661" s="13"/>
      <c r="H661" s="53"/>
      <c r="I661" s="298"/>
      <c r="J661" s="21"/>
      <c r="K661" s="21"/>
      <c r="L661" s="13"/>
      <c r="M661" s="50"/>
      <c r="N661" s="97"/>
      <c r="O661" s="50"/>
      <c r="P661" s="50"/>
      <c r="Q661" s="316"/>
      <c r="R661" s="285"/>
      <c r="S661" s="21"/>
      <c r="T661" s="13"/>
      <c r="U661" s="13"/>
      <c r="V661" s="21"/>
      <c r="W661" s="21"/>
      <c r="X661" s="21"/>
      <c r="Y661" s="260"/>
      <c r="Z661" s="177"/>
      <c r="AA661" s="177"/>
      <c r="AB661" s="61"/>
      <c r="AC661" s="64"/>
      <c r="AD661" s="50"/>
      <c r="AE661" s="50"/>
      <c r="AF661" s="19"/>
      <c r="AG661" s="120"/>
      <c r="AH661" s="119"/>
      <c r="AI661" s="1"/>
      <c r="AJ661" s="21"/>
      <c r="AK661" s="21"/>
      <c r="AL661" s="21"/>
      <c r="AM661" s="21"/>
      <c r="AN661" s="21"/>
      <c r="AO661" s="21"/>
    </row>
    <row r="662" spans="1:44" s="308" customFormat="1" x14ac:dyDescent="0.2">
      <c r="A662" s="48"/>
      <c r="C662" s="263"/>
      <c r="D662" s="263"/>
      <c r="E662" s="53"/>
      <c r="F662" s="13"/>
      <c r="G662" s="13"/>
      <c r="H662" s="53"/>
      <c r="I662" s="298"/>
      <c r="J662" s="21"/>
      <c r="K662" s="21"/>
      <c r="L662" s="13"/>
      <c r="M662" s="50"/>
      <c r="N662" s="97"/>
      <c r="O662" s="50"/>
      <c r="P662" s="50"/>
      <c r="Q662" s="316"/>
      <c r="R662" s="285"/>
      <c r="S662" s="21"/>
      <c r="T662" s="13"/>
      <c r="U662" s="13"/>
      <c r="V662" s="21"/>
      <c r="W662" s="21"/>
      <c r="X662" s="21"/>
      <c r="Y662" s="260"/>
      <c r="Z662" s="177"/>
      <c r="AA662" s="177"/>
      <c r="AB662" s="61"/>
      <c r="AC662" s="64"/>
      <c r="AD662" s="50"/>
      <c r="AE662" s="50"/>
      <c r="AF662" s="19"/>
      <c r="AG662" s="120"/>
      <c r="AH662" s="119"/>
      <c r="AI662" s="1"/>
      <c r="AJ662" s="21"/>
      <c r="AK662" s="21"/>
      <c r="AL662" s="21"/>
      <c r="AM662" s="21"/>
      <c r="AN662" s="21"/>
      <c r="AO662" s="21"/>
    </row>
    <row r="663" spans="1:44" s="308" customFormat="1" x14ac:dyDescent="0.2">
      <c r="A663" s="48"/>
      <c r="C663" s="263"/>
      <c r="D663" s="263"/>
      <c r="E663" s="53"/>
      <c r="F663" s="13"/>
      <c r="G663" s="13"/>
      <c r="H663" s="53"/>
      <c r="I663" s="298"/>
      <c r="J663" s="21"/>
      <c r="K663" s="21"/>
      <c r="L663" s="13"/>
      <c r="M663" s="50"/>
      <c r="N663" s="97"/>
      <c r="O663" s="50"/>
      <c r="P663" s="50"/>
      <c r="Q663" s="316"/>
      <c r="R663" s="285"/>
      <c r="S663" s="21"/>
      <c r="T663" s="13"/>
      <c r="U663" s="13"/>
      <c r="V663" s="21"/>
      <c r="W663" s="21"/>
      <c r="X663" s="21"/>
      <c r="Y663" s="260"/>
      <c r="Z663" s="177"/>
      <c r="AA663" s="177"/>
      <c r="AB663" s="61"/>
      <c r="AC663" s="64"/>
      <c r="AD663" s="50"/>
      <c r="AE663" s="50"/>
      <c r="AF663" s="19"/>
      <c r="AG663" s="120"/>
      <c r="AH663" s="119"/>
      <c r="AI663" s="1"/>
      <c r="AJ663" s="21"/>
      <c r="AK663" s="21"/>
      <c r="AL663" s="21"/>
      <c r="AM663" s="21"/>
      <c r="AN663" s="21"/>
      <c r="AO663" s="21"/>
    </row>
    <row r="664" spans="1:44" s="308" customFormat="1" x14ac:dyDescent="0.2">
      <c r="A664" s="48"/>
      <c r="C664" s="263"/>
      <c r="D664" s="263"/>
      <c r="E664" s="53"/>
      <c r="F664" s="13"/>
      <c r="G664" s="13"/>
      <c r="H664" s="53"/>
      <c r="I664" s="298"/>
      <c r="J664" s="21"/>
      <c r="K664" s="21"/>
      <c r="L664" s="13"/>
      <c r="M664" s="50"/>
      <c r="N664" s="97"/>
      <c r="O664" s="50"/>
      <c r="P664" s="50"/>
      <c r="Q664" s="316"/>
      <c r="R664" s="285"/>
      <c r="S664" s="21"/>
      <c r="T664" s="13"/>
      <c r="U664" s="13"/>
      <c r="V664" s="21"/>
      <c r="W664" s="21"/>
      <c r="X664" s="21"/>
      <c r="Y664" s="260"/>
      <c r="Z664" s="177"/>
      <c r="AA664" s="177"/>
      <c r="AB664" s="61"/>
      <c r="AC664" s="64"/>
      <c r="AD664" s="50"/>
      <c r="AE664" s="50"/>
      <c r="AF664" s="19"/>
      <c r="AG664" s="120"/>
      <c r="AH664" s="119"/>
      <c r="AI664" s="1"/>
      <c r="AJ664" s="21"/>
      <c r="AK664" s="21"/>
      <c r="AL664" s="21"/>
      <c r="AM664" s="21"/>
      <c r="AN664" s="21"/>
      <c r="AO664" s="21"/>
    </row>
    <row r="665" spans="1:44" s="308" customFormat="1" x14ac:dyDescent="0.2">
      <c r="A665" s="48"/>
      <c r="C665" s="263"/>
      <c r="D665" s="263"/>
      <c r="E665" s="53"/>
      <c r="F665" s="13"/>
      <c r="G665" s="13"/>
      <c r="H665" s="53"/>
      <c r="I665" s="298"/>
      <c r="J665" s="21"/>
      <c r="K665" s="21"/>
      <c r="L665" s="13"/>
      <c r="M665" s="50"/>
      <c r="N665" s="97"/>
      <c r="O665" s="50"/>
      <c r="P665" s="50"/>
      <c r="Q665" s="316"/>
      <c r="R665" s="285"/>
      <c r="S665" s="21"/>
      <c r="T665" s="13"/>
      <c r="U665" s="13"/>
      <c r="V665" s="21"/>
      <c r="W665" s="21"/>
      <c r="X665" s="21"/>
      <c r="Y665" s="260"/>
      <c r="Z665" s="177"/>
      <c r="AA665" s="177"/>
      <c r="AB665" s="61"/>
      <c r="AC665" s="64"/>
      <c r="AD665" s="50"/>
      <c r="AE665" s="50"/>
      <c r="AF665" s="19"/>
      <c r="AG665" s="120"/>
      <c r="AH665" s="119"/>
      <c r="AI665" s="1"/>
      <c r="AJ665" s="21"/>
      <c r="AK665" s="21"/>
      <c r="AL665" s="21"/>
      <c r="AM665" s="21"/>
      <c r="AN665" s="21"/>
      <c r="AO665" s="21"/>
    </row>
    <row r="666" spans="1:44" s="308" customFormat="1" x14ac:dyDescent="0.2">
      <c r="A666" s="48"/>
      <c r="C666" s="263"/>
      <c r="D666" s="263"/>
      <c r="E666" s="53"/>
      <c r="F666" s="13"/>
      <c r="G666" s="13"/>
      <c r="H666" s="53"/>
      <c r="I666" s="298"/>
      <c r="J666" s="21"/>
      <c r="K666" s="21"/>
      <c r="L666" s="13"/>
      <c r="M666" s="50"/>
      <c r="N666" s="97"/>
      <c r="O666" s="50"/>
      <c r="P666" s="50"/>
      <c r="Q666" s="316"/>
      <c r="R666" s="285"/>
      <c r="S666" s="21"/>
      <c r="T666" s="13"/>
      <c r="U666" s="13"/>
      <c r="V666" s="21"/>
      <c r="W666" s="21"/>
      <c r="X666" s="21"/>
      <c r="Y666" s="260"/>
      <c r="Z666" s="177"/>
      <c r="AA666" s="177"/>
      <c r="AB666" s="61"/>
      <c r="AC666" s="64"/>
      <c r="AD666" s="50"/>
      <c r="AE666" s="50"/>
      <c r="AF666" s="19"/>
      <c r="AG666" s="120"/>
      <c r="AH666" s="119"/>
      <c r="AI666" s="1"/>
      <c r="AJ666" s="21"/>
      <c r="AK666" s="21"/>
      <c r="AL666" s="21"/>
      <c r="AM666" s="21"/>
      <c r="AN666" s="21"/>
      <c r="AO666" s="21"/>
      <c r="AQ666" s="21"/>
      <c r="AR666" s="21"/>
    </row>
    <row r="667" spans="1:44" s="308" customFormat="1" x14ac:dyDescent="0.2">
      <c r="A667" s="48"/>
      <c r="C667" s="263"/>
      <c r="D667" s="263"/>
      <c r="E667" s="53"/>
      <c r="F667" s="13"/>
      <c r="G667" s="13"/>
      <c r="H667" s="53"/>
      <c r="I667" s="298"/>
      <c r="J667" s="21"/>
      <c r="K667" s="21"/>
      <c r="L667" s="13"/>
      <c r="M667" s="50"/>
      <c r="N667" s="97"/>
      <c r="O667" s="50"/>
      <c r="P667" s="50"/>
      <c r="Q667" s="316"/>
      <c r="R667" s="285"/>
      <c r="S667" s="21"/>
      <c r="T667" s="13"/>
      <c r="U667" s="13"/>
      <c r="V667" s="21"/>
      <c r="W667" s="21"/>
      <c r="X667" s="21"/>
      <c r="Y667" s="260"/>
      <c r="Z667" s="177"/>
      <c r="AA667" s="177"/>
      <c r="AB667" s="61"/>
      <c r="AC667" s="64"/>
      <c r="AD667" s="50"/>
      <c r="AE667" s="50"/>
      <c r="AF667" s="19"/>
      <c r="AG667" s="120"/>
      <c r="AH667" s="119"/>
      <c r="AI667" s="1"/>
      <c r="AJ667" s="21"/>
      <c r="AK667" s="21"/>
      <c r="AL667" s="21"/>
      <c r="AM667" s="21"/>
      <c r="AN667" s="21"/>
      <c r="AO667" s="21"/>
      <c r="AQ667" s="21"/>
      <c r="AR667" s="21"/>
    </row>
    <row r="668" spans="1:44" x14ac:dyDescent="0.2">
      <c r="A668" s="48"/>
      <c r="AP668" s="308"/>
    </row>
    <row r="669" spans="1:44" x14ac:dyDescent="0.2">
      <c r="A669" s="48"/>
      <c r="AP669" s="308"/>
    </row>
    <row r="670" spans="1:44" x14ac:dyDescent="0.2">
      <c r="A670" s="48"/>
      <c r="AP670" s="308"/>
    </row>
    <row r="671" spans="1:44" x14ac:dyDescent="0.2">
      <c r="A671" s="48"/>
      <c r="AP671" s="308"/>
    </row>
    <row r="672" spans="1:44" x14ac:dyDescent="0.2">
      <c r="A672" s="48"/>
      <c r="AP672" s="308"/>
    </row>
    <row r="673" spans="1:44" x14ac:dyDescent="0.2">
      <c r="A673" s="48"/>
      <c r="AP673" s="308"/>
    </row>
    <row r="674" spans="1:44" x14ac:dyDescent="0.2">
      <c r="A674" s="48"/>
      <c r="AP674" s="308"/>
      <c r="AQ674" s="308"/>
      <c r="AR674" s="308"/>
    </row>
    <row r="675" spans="1:44" x14ac:dyDescent="0.2">
      <c r="A675" s="48"/>
      <c r="AP675" s="308"/>
      <c r="AQ675" s="308"/>
      <c r="AR675" s="308"/>
    </row>
    <row r="676" spans="1:44" s="308" customFormat="1" x14ac:dyDescent="0.2">
      <c r="A676" s="48"/>
      <c r="C676" s="263"/>
      <c r="D676" s="263"/>
      <c r="E676" s="53"/>
      <c r="F676" s="13"/>
      <c r="G676" s="13"/>
      <c r="H676" s="53"/>
      <c r="I676" s="298"/>
      <c r="J676" s="21"/>
      <c r="K676" s="21"/>
      <c r="L676" s="13"/>
      <c r="M676" s="50"/>
      <c r="N676" s="97"/>
      <c r="O676" s="50"/>
      <c r="P676" s="50"/>
      <c r="Q676" s="316"/>
      <c r="R676" s="285"/>
      <c r="S676" s="21"/>
      <c r="T676" s="13"/>
      <c r="U676" s="13"/>
      <c r="V676" s="21"/>
      <c r="W676" s="21"/>
      <c r="X676" s="21"/>
      <c r="Y676" s="260"/>
      <c r="Z676" s="177"/>
      <c r="AA676" s="177"/>
      <c r="AB676" s="61"/>
      <c r="AC676" s="64"/>
      <c r="AD676" s="50"/>
      <c r="AE676" s="50"/>
      <c r="AF676" s="19"/>
      <c r="AG676" s="120"/>
      <c r="AH676" s="119"/>
      <c r="AI676" s="1"/>
      <c r="AJ676" s="21"/>
      <c r="AK676" s="21"/>
      <c r="AL676" s="21"/>
      <c r="AM676" s="21"/>
      <c r="AN676" s="21"/>
      <c r="AO676" s="21"/>
    </row>
    <row r="677" spans="1:44" s="308" customFormat="1" x14ac:dyDescent="0.2">
      <c r="A677" s="48"/>
      <c r="C677" s="263"/>
      <c r="D677" s="263"/>
      <c r="E677" s="53"/>
      <c r="F677" s="13"/>
      <c r="G677" s="13"/>
      <c r="H677" s="53"/>
      <c r="I677" s="298"/>
      <c r="J677" s="21"/>
      <c r="K677" s="21"/>
      <c r="L677" s="13"/>
      <c r="M677" s="50"/>
      <c r="N677" s="97"/>
      <c r="O677" s="50"/>
      <c r="P677" s="50"/>
      <c r="Q677" s="316"/>
      <c r="R677" s="285"/>
      <c r="S677" s="21"/>
      <c r="T677" s="13"/>
      <c r="U677" s="13"/>
      <c r="V677" s="21"/>
      <c r="W677" s="21"/>
      <c r="X677" s="21"/>
      <c r="Y677" s="260"/>
      <c r="Z677" s="177"/>
      <c r="AA677" s="177"/>
      <c r="AB677" s="61"/>
      <c r="AC677" s="64"/>
      <c r="AD677" s="50"/>
      <c r="AE677" s="50"/>
      <c r="AF677" s="19"/>
      <c r="AG677" s="120"/>
      <c r="AH677" s="119"/>
      <c r="AI677" s="1"/>
      <c r="AJ677" s="21"/>
      <c r="AK677" s="21"/>
      <c r="AL677" s="21"/>
      <c r="AM677" s="21"/>
      <c r="AN677" s="21"/>
      <c r="AO677" s="21"/>
    </row>
    <row r="678" spans="1:44" s="308" customFormat="1" x14ac:dyDescent="0.2">
      <c r="A678" s="48"/>
      <c r="C678" s="263"/>
      <c r="D678" s="263"/>
      <c r="E678" s="53"/>
      <c r="F678" s="13"/>
      <c r="G678" s="13"/>
      <c r="H678" s="53"/>
      <c r="I678" s="298"/>
      <c r="J678" s="21"/>
      <c r="K678" s="21"/>
      <c r="L678" s="13"/>
      <c r="M678" s="50"/>
      <c r="N678" s="97"/>
      <c r="O678" s="50"/>
      <c r="P678" s="50"/>
      <c r="Q678" s="316"/>
      <c r="R678" s="285"/>
      <c r="S678" s="21"/>
      <c r="T678" s="13"/>
      <c r="U678" s="13"/>
      <c r="V678" s="21"/>
      <c r="W678" s="21"/>
      <c r="X678" s="21"/>
      <c r="Y678" s="260"/>
      <c r="Z678" s="177"/>
      <c r="AA678" s="177"/>
      <c r="AB678" s="61"/>
      <c r="AC678" s="64"/>
      <c r="AD678" s="50"/>
      <c r="AE678" s="50"/>
      <c r="AF678" s="19"/>
      <c r="AG678" s="120"/>
      <c r="AH678" s="119"/>
      <c r="AI678" s="1"/>
      <c r="AJ678" s="21"/>
      <c r="AK678" s="21"/>
      <c r="AL678" s="21"/>
      <c r="AM678" s="21"/>
      <c r="AN678" s="21"/>
      <c r="AO678" s="21"/>
    </row>
    <row r="679" spans="1:44" s="308" customFormat="1" x14ac:dyDescent="0.2">
      <c r="A679" s="48"/>
      <c r="C679" s="263"/>
      <c r="D679" s="263"/>
      <c r="E679" s="53"/>
      <c r="F679" s="13"/>
      <c r="G679" s="13"/>
      <c r="H679" s="53"/>
      <c r="I679" s="298"/>
      <c r="J679" s="21"/>
      <c r="K679" s="21"/>
      <c r="L679" s="13"/>
      <c r="M679" s="50"/>
      <c r="N679" s="97"/>
      <c r="O679" s="50"/>
      <c r="P679" s="50"/>
      <c r="Q679" s="316"/>
      <c r="R679" s="285"/>
      <c r="S679" s="21"/>
      <c r="T679" s="13"/>
      <c r="U679" s="13"/>
      <c r="V679" s="21"/>
      <c r="W679" s="21"/>
      <c r="X679" s="21"/>
      <c r="Y679" s="260"/>
      <c r="Z679" s="177"/>
      <c r="AA679" s="177"/>
      <c r="AB679" s="61"/>
      <c r="AC679" s="64"/>
      <c r="AD679" s="50"/>
      <c r="AE679" s="50"/>
      <c r="AF679" s="19"/>
      <c r="AG679" s="120"/>
      <c r="AH679" s="119"/>
      <c r="AI679" s="1"/>
      <c r="AJ679" s="21"/>
      <c r="AK679" s="21"/>
      <c r="AL679" s="21"/>
      <c r="AM679" s="21"/>
      <c r="AN679" s="21"/>
      <c r="AO679" s="21"/>
    </row>
    <row r="680" spans="1:44" s="308" customFormat="1" x14ac:dyDescent="0.2">
      <c r="A680" s="48"/>
      <c r="C680" s="263"/>
      <c r="D680" s="263"/>
      <c r="E680" s="53"/>
      <c r="F680" s="13"/>
      <c r="G680" s="13"/>
      <c r="H680" s="53"/>
      <c r="I680" s="298"/>
      <c r="J680" s="21"/>
      <c r="K680" s="21"/>
      <c r="L680" s="13"/>
      <c r="M680" s="50"/>
      <c r="N680" s="97"/>
      <c r="O680" s="50"/>
      <c r="P680" s="50"/>
      <c r="Q680" s="316"/>
      <c r="R680" s="285"/>
      <c r="S680" s="21"/>
      <c r="T680" s="13"/>
      <c r="U680" s="13"/>
      <c r="V680" s="21"/>
      <c r="W680" s="21"/>
      <c r="X680" s="21"/>
      <c r="Y680" s="260"/>
      <c r="Z680" s="177"/>
      <c r="AA680" s="177"/>
      <c r="AB680" s="61"/>
      <c r="AC680" s="64"/>
      <c r="AD680" s="50"/>
      <c r="AE680" s="50"/>
      <c r="AF680" s="19"/>
      <c r="AG680" s="120"/>
      <c r="AH680" s="119"/>
      <c r="AI680" s="1"/>
      <c r="AJ680" s="21"/>
      <c r="AK680" s="21"/>
      <c r="AL680" s="21"/>
      <c r="AM680" s="21"/>
      <c r="AN680" s="21"/>
      <c r="AO680" s="21"/>
    </row>
    <row r="681" spans="1:44" s="308" customFormat="1" x14ac:dyDescent="0.2">
      <c r="A681" s="48"/>
      <c r="C681" s="263"/>
      <c r="D681" s="263"/>
      <c r="E681" s="53"/>
      <c r="F681" s="13"/>
      <c r="G681" s="13"/>
      <c r="H681" s="53"/>
      <c r="I681" s="298"/>
      <c r="J681" s="21"/>
      <c r="K681" s="21"/>
      <c r="L681" s="13"/>
      <c r="M681" s="50"/>
      <c r="N681" s="97"/>
      <c r="O681" s="50"/>
      <c r="P681" s="50"/>
      <c r="Q681" s="316"/>
      <c r="R681" s="285"/>
      <c r="S681" s="21"/>
      <c r="T681" s="13"/>
      <c r="U681" s="13"/>
      <c r="V681" s="21"/>
      <c r="W681" s="21"/>
      <c r="X681" s="21"/>
      <c r="Y681" s="260"/>
      <c r="Z681" s="177"/>
      <c r="AA681" s="177"/>
      <c r="AB681" s="61"/>
      <c r="AC681" s="64"/>
      <c r="AD681" s="50"/>
      <c r="AE681" s="50"/>
      <c r="AF681" s="19"/>
      <c r="AG681" s="120"/>
      <c r="AH681" s="119"/>
      <c r="AI681" s="1"/>
      <c r="AJ681" s="21"/>
      <c r="AK681" s="21"/>
      <c r="AL681" s="21"/>
      <c r="AM681" s="21"/>
      <c r="AN681" s="21"/>
      <c r="AO681" s="21"/>
    </row>
    <row r="682" spans="1:44" s="308" customFormat="1" x14ac:dyDescent="0.2">
      <c r="A682" s="48"/>
      <c r="C682" s="263"/>
      <c r="D682" s="263"/>
      <c r="E682" s="53"/>
      <c r="F682" s="13"/>
      <c r="G682" s="13"/>
      <c r="H682" s="53"/>
      <c r="I682" s="298"/>
      <c r="J682" s="21"/>
      <c r="K682" s="21"/>
      <c r="L682" s="13"/>
      <c r="M682" s="50"/>
      <c r="N682" s="97"/>
      <c r="O682" s="50"/>
      <c r="P682" s="50"/>
      <c r="Q682" s="316"/>
      <c r="R682" s="285"/>
      <c r="S682" s="21"/>
      <c r="T682" s="13"/>
      <c r="U682" s="13"/>
      <c r="V682" s="21"/>
      <c r="W682" s="21"/>
      <c r="X682" s="21"/>
      <c r="Y682" s="260"/>
      <c r="Z682" s="177"/>
      <c r="AA682" s="177"/>
      <c r="AB682" s="61"/>
      <c r="AC682" s="64"/>
      <c r="AD682" s="50"/>
      <c r="AE682" s="50"/>
      <c r="AF682" s="19"/>
      <c r="AG682" s="120"/>
      <c r="AH682" s="119"/>
      <c r="AI682" s="1"/>
      <c r="AJ682" s="21"/>
      <c r="AK682" s="21"/>
      <c r="AL682" s="21"/>
      <c r="AM682" s="21"/>
      <c r="AN682" s="21"/>
      <c r="AO682" s="21"/>
    </row>
    <row r="683" spans="1:44" s="308" customFormat="1" x14ac:dyDescent="0.2">
      <c r="A683" s="48"/>
      <c r="C683" s="263"/>
      <c r="D683" s="263"/>
      <c r="E683" s="53"/>
      <c r="F683" s="13"/>
      <c r="G683" s="13"/>
      <c r="H683" s="53"/>
      <c r="I683" s="298"/>
      <c r="J683" s="21"/>
      <c r="K683" s="21"/>
      <c r="L683" s="13"/>
      <c r="M683" s="50"/>
      <c r="N683" s="97"/>
      <c r="O683" s="50"/>
      <c r="P683" s="50"/>
      <c r="Q683" s="316"/>
      <c r="R683" s="285"/>
      <c r="S683" s="21"/>
      <c r="T683" s="13"/>
      <c r="U683" s="13"/>
      <c r="V683" s="21"/>
      <c r="W683" s="21"/>
      <c r="X683" s="21"/>
      <c r="Y683" s="260"/>
      <c r="Z683" s="177"/>
      <c r="AA683" s="177"/>
      <c r="AB683" s="61"/>
      <c r="AC683" s="64"/>
      <c r="AD683" s="50"/>
      <c r="AE683" s="50"/>
      <c r="AF683" s="19"/>
      <c r="AG683" s="120"/>
      <c r="AH683" s="119"/>
      <c r="AI683" s="1"/>
      <c r="AJ683" s="21"/>
      <c r="AK683" s="21"/>
      <c r="AL683" s="21"/>
      <c r="AM683" s="21"/>
      <c r="AN683" s="21"/>
      <c r="AO683" s="21"/>
    </row>
    <row r="684" spans="1:44" s="308" customFormat="1" x14ac:dyDescent="0.2">
      <c r="A684" s="48"/>
      <c r="C684" s="263"/>
      <c r="D684" s="263"/>
      <c r="E684" s="53"/>
      <c r="F684" s="13"/>
      <c r="G684" s="13"/>
      <c r="H684" s="53"/>
      <c r="I684" s="298"/>
      <c r="J684" s="21"/>
      <c r="K684" s="21"/>
      <c r="L684" s="13"/>
      <c r="M684" s="50"/>
      <c r="N684" s="97"/>
      <c r="O684" s="50"/>
      <c r="P684" s="50"/>
      <c r="Q684" s="316"/>
      <c r="R684" s="285"/>
      <c r="S684" s="21"/>
      <c r="T684" s="13"/>
      <c r="U684" s="13"/>
      <c r="V684" s="21"/>
      <c r="W684" s="21"/>
      <c r="X684" s="21"/>
      <c r="Y684" s="260"/>
      <c r="Z684" s="177"/>
      <c r="AA684" s="177"/>
      <c r="AB684" s="61"/>
      <c r="AC684" s="64"/>
      <c r="AD684" s="50"/>
      <c r="AE684" s="50"/>
      <c r="AF684" s="19"/>
      <c r="AG684" s="120"/>
      <c r="AH684" s="119"/>
      <c r="AI684" s="1"/>
      <c r="AJ684" s="21"/>
      <c r="AK684" s="21"/>
      <c r="AL684" s="21"/>
      <c r="AM684" s="21"/>
      <c r="AN684" s="21"/>
      <c r="AO684" s="21"/>
    </row>
    <row r="685" spans="1:44" s="308" customFormat="1" x14ac:dyDescent="0.2">
      <c r="A685" s="48"/>
      <c r="C685" s="263"/>
      <c r="D685" s="263"/>
      <c r="E685" s="53"/>
      <c r="F685" s="13"/>
      <c r="G685" s="13"/>
      <c r="H685" s="53"/>
      <c r="I685" s="298"/>
      <c r="J685" s="21"/>
      <c r="K685" s="21"/>
      <c r="L685" s="13"/>
      <c r="M685" s="50"/>
      <c r="N685" s="97"/>
      <c r="O685" s="50"/>
      <c r="P685" s="50"/>
      <c r="Q685" s="316"/>
      <c r="R685" s="285"/>
      <c r="S685" s="21"/>
      <c r="T685" s="13"/>
      <c r="U685" s="13"/>
      <c r="V685" s="21"/>
      <c r="W685" s="21"/>
      <c r="X685" s="21"/>
      <c r="Y685" s="260"/>
      <c r="Z685" s="177"/>
      <c r="AA685" s="177"/>
      <c r="AB685" s="61"/>
      <c r="AC685" s="64"/>
      <c r="AD685" s="50"/>
      <c r="AE685" s="50"/>
      <c r="AF685" s="19"/>
      <c r="AG685" s="120"/>
      <c r="AH685" s="119"/>
      <c r="AI685" s="1"/>
      <c r="AJ685" s="21"/>
      <c r="AK685" s="21"/>
      <c r="AL685" s="21"/>
      <c r="AM685" s="21"/>
      <c r="AN685" s="21"/>
      <c r="AO685" s="21"/>
    </row>
    <row r="686" spans="1:44" s="308" customFormat="1" x14ac:dyDescent="0.2">
      <c r="A686" s="48"/>
      <c r="C686" s="263"/>
      <c r="D686" s="263"/>
      <c r="E686" s="53"/>
      <c r="F686" s="13"/>
      <c r="G686" s="13"/>
      <c r="H686" s="53"/>
      <c r="I686" s="298"/>
      <c r="J686" s="21"/>
      <c r="K686" s="21"/>
      <c r="L686" s="13"/>
      <c r="M686" s="50"/>
      <c r="N686" s="97"/>
      <c r="O686" s="50"/>
      <c r="P686" s="50"/>
      <c r="Q686" s="316"/>
      <c r="R686" s="285"/>
      <c r="S686" s="21"/>
      <c r="T686" s="13"/>
      <c r="U686" s="13"/>
      <c r="V686" s="21"/>
      <c r="W686" s="21"/>
      <c r="X686" s="21"/>
      <c r="Y686" s="260"/>
      <c r="Z686" s="177"/>
      <c r="AA686" s="177"/>
      <c r="AB686" s="61"/>
      <c r="AC686" s="64"/>
      <c r="AD686" s="50"/>
      <c r="AE686" s="50"/>
      <c r="AF686" s="19"/>
      <c r="AG686" s="120"/>
      <c r="AH686" s="119"/>
      <c r="AI686" s="1"/>
      <c r="AJ686" s="21"/>
      <c r="AK686" s="21"/>
      <c r="AL686" s="21"/>
      <c r="AM686" s="21"/>
      <c r="AN686" s="21"/>
      <c r="AO686" s="21"/>
    </row>
    <row r="687" spans="1:44" s="308" customFormat="1" x14ac:dyDescent="0.2">
      <c r="A687" s="48"/>
      <c r="C687" s="263"/>
      <c r="D687" s="263"/>
      <c r="E687" s="53"/>
      <c r="F687" s="13"/>
      <c r="G687" s="13"/>
      <c r="H687" s="53"/>
      <c r="I687" s="298"/>
      <c r="J687" s="21"/>
      <c r="K687" s="21"/>
      <c r="L687" s="13"/>
      <c r="M687" s="50"/>
      <c r="N687" s="97"/>
      <c r="O687" s="50"/>
      <c r="P687" s="50"/>
      <c r="Q687" s="316"/>
      <c r="R687" s="285"/>
      <c r="S687" s="21"/>
      <c r="T687" s="13"/>
      <c r="U687" s="13"/>
      <c r="V687" s="21"/>
      <c r="W687" s="21"/>
      <c r="X687" s="21"/>
      <c r="Y687" s="260"/>
      <c r="Z687" s="177"/>
      <c r="AA687" s="177"/>
      <c r="AB687" s="61"/>
      <c r="AC687" s="64"/>
      <c r="AD687" s="50"/>
      <c r="AE687" s="50"/>
      <c r="AF687" s="19"/>
      <c r="AG687" s="120"/>
      <c r="AH687" s="119"/>
      <c r="AI687" s="1"/>
      <c r="AJ687" s="21"/>
      <c r="AK687" s="21"/>
      <c r="AL687" s="21"/>
      <c r="AM687" s="21"/>
      <c r="AN687" s="21"/>
      <c r="AO687" s="21"/>
    </row>
    <row r="688" spans="1:44" s="308" customFormat="1" x14ac:dyDescent="0.2">
      <c r="A688" s="48"/>
      <c r="C688" s="263"/>
      <c r="D688" s="263"/>
      <c r="E688" s="53"/>
      <c r="F688" s="13"/>
      <c r="G688" s="13"/>
      <c r="H688" s="53"/>
      <c r="I688" s="298"/>
      <c r="J688" s="21"/>
      <c r="K688" s="21"/>
      <c r="L688" s="13"/>
      <c r="M688" s="50"/>
      <c r="N688" s="97"/>
      <c r="O688" s="50"/>
      <c r="P688" s="50"/>
      <c r="Q688" s="316"/>
      <c r="R688" s="285"/>
      <c r="S688" s="21"/>
      <c r="T688" s="13"/>
      <c r="U688" s="13"/>
      <c r="V688" s="21"/>
      <c r="W688" s="21"/>
      <c r="X688" s="21"/>
      <c r="Y688" s="260"/>
      <c r="Z688" s="177"/>
      <c r="AA688" s="177"/>
      <c r="AB688" s="61"/>
      <c r="AC688" s="64"/>
      <c r="AD688" s="50"/>
      <c r="AE688" s="50"/>
      <c r="AF688" s="19"/>
      <c r="AG688" s="120"/>
      <c r="AH688" s="119"/>
      <c r="AI688" s="1"/>
      <c r="AJ688" s="21"/>
      <c r="AK688" s="21"/>
      <c r="AL688" s="21"/>
      <c r="AM688" s="21"/>
      <c r="AN688" s="21"/>
      <c r="AO688" s="21"/>
    </row>
    <row r="689" spans="1:44" s="308" customFormat="1" x14ac:dyDescent="0.2">
      <c r="A689" s="48"/>
      <c r="C689" s="263"/>
      <c r="D689" s="263"/>
      <c r="E689" s="53"/>
      <c r="F689" s="13"/>
      <c r="G689" s="13"/>
      <c r="H689" s="53"/>
      <c r="I689" s="298"/>
      <c r="J689" s="21"/>
      <c r="K689" s="21"/>
      <c r="L689" s="13"/>
      <c r="M689" s="50"/>
      <c r="N689" s="97"/>
      <c r="O689" s="50"/>
      <c r="P689" s="50"/>
      <c r="Q689" s="316"/>
      <c r="R689" s="285"/>
      <c r="S689" s="21"/>
      <c r="T689" s="13"/>
      <c r="U689" s="13"/>
      <c r="V689" s="21"/>
      <c r="W689" s="21"/>
      <c r="X689" s="21"/>
      <c r="Y689" s="260"/>
      <c r="Z689" s="177"/>
      <c r="AA689" s="177"/>
      <c r="AB689" s="61"/>
      <c r="AC689" s="64"/>
      <c r="AD689" s="50"/>
      <c r="AE689" s="50"/>
      <c r="AF689" s="19"/>
      <c r="AG689" s="120"/>
      <c r="AH689" s="119"/>
      <c r="AI689" s="1"/>
      <c r="AJ689" s="21"/>
      <c r="AK689" s="21"/>
      <c r="AL689" s="21"/>
      <c r="AM689" s="21"/>
      <c r="AN689" s="21"/>
      <c r="AO689" s="21"/>
    </row>
    <row r="690" spans="1:44" s="308" customFormat="1" x14ac:dyDescent="0.2">
      <c r="A690" s="48"/>
      <c r="C690" s="263"/>
      <c r="D690" s="263"/>
      <c r="E690" s="53"/>
      <c r="F690" s="13"/>
      <c r="G690" s="13"/>
      <c r="H690" s="53"/>
      <c r="I690" s="298"/>
      <c r="J690" s="21"/>
      <c r="K690" s="21"/>
      <c r="L690" s="13"/>
      <c r="M690" s="50"/>
      <c r="N690" s="97"/>
      <c r="O690" s="50"/>
      <c r="P690" s="50"/>
      <c r="Q690" s="316"/>
      <c r="R690" s="285"/>
      <c r="S690" s="21"/>
      <c r="T690" s="13"/>
      <c r="U690" s="13"/>
      <c r="V690" s="21"/>
      <c r="W690" s="21"/>
      <c r="X690" s="21"/>
      <c r="Y690" s="260"/>
      <c r="Z690" s="177"/>
      <c r="AA690" s="177"/>
      <c r="AB690" s="61"/>
      <c r="AC690" s="64"/>
      <c r="AD690" s="50"/>
      <c r="AE690" s="50"/>
      <c r="AF690" s="19"/>
      <c r="AG690" s="120"/>
      <c r="AH690" s="119"/>
      <c r="AI690" s="1"/>
      <c r="AJ690" s="21"/>
      <c r="AK690" s="21"/>
      <c r="AL690" s="21"/>
      <c r="AM690" s="21"/>
      <c r="AN690" s="21"/>
      <c r="AO690" s="21"/>
    </row>
    <row r="691" spans="1:44" s="308" customFormat="1" x14ac:dyDescent="0.2">
      <c r="A691" s="48"/>
      <c r="C691" s="263"/>
      <c r="D691" s="263"/>
      <c r="E691" s="53"/>
      <c r="F691" s="13"/>
      <c r="G691" s="13"/>
      <c r="H691" s="53"/>
      <c r="I691" s="298"/>
      <c r="J691" s="21"/>
      <c r="K691" s="21"/>
      <c r="L691" s="13"/>
      <c r="M691" s="50"/>
      <c r="N691" s="97"/>
      <c r="O691" s="50"/>
      <c r="P691" s="50"/>
      <c r="Q691" s="316"/>
      <c r="R691" s="285"/>
      <c r="S691" s="21"/>
      <c r="T691" s="13"/>
      <c r="U691" s="13"/>
      <c r="V691" s="21"/>
      <c r="W691" s="21"/>
      <c r="X691" s="21"/>
      <c r="Y691" s="260"/>
      <c r="Z691" s="177"/>
      <c r="AA691" s="177"/>
      <c r="AB691" s="61"/>
      <c r="AC691" s="64"/>
      <c r="AD691" s="50"/>
      <c r="AE691" s="50"/>
      <c r="AF691" s="19"/>
      <c r="AG691" s="120"/>
      <c r="AH691" s="119"/>
      <c r="AI691" s="1"/>
      <c r="AJ691" s="21"/>
      <c r="AK691" s="21"/>
      <c r="AL691" s="21"/>
      <c r="AM691" s="21"/>
      <c r="AN691" s="21"/>
      <c r="AO691" s="21"/>
    </row>
    <row r="692" spans="1:44" s="308" customFormat="1" x14ac:dyDescent="0.2">
      <c r="A692" s="48"/>
      <c r="C692" s="263"/>
      <c r="D692" s="263"/>
      <c r="E692" s="53"/>
      <c r="F692" s="13"/>
      <c r="G692" s="13"/>
      <c r="H692" s="53"/>
      <c r="I692" s="298"/>
      <c r="J692" s="21"/>
      <c r="K692" s="21"/>
      <c r="L692" s="13"/>
      <c r="M692" s="50"/>
      <c r="N692" s="97"/>
      <c r="O692" s="50"/>
      <c r="P692" s="50"/>
      <c r="Q692" s="316"/>
      <c r="R692" s="285"/>
      <c r="S692" s="21"/>
      <c r="T692" s="13"/>
      <c r="U692" s="13"/>
      <c r="V692" s="21"/>
      <c r="W692" s="21"/>
      <c r="X692" s="21"/>
      <c r="Y692" s="260"/>
      <c r="Z692" s="177"/>
      <c r="AA692" s="177"/>
      <c r="AB692" s="61"/>
      <c r="AC692" s="64"/>
      <c r="AD692" s="50"/>
      <c r="AE692" s="50"/>
      <c r="AF692" s="19"/>
      <c r="AG692" s="120"/>
      <c r="AH692" s="119"/>
      <c r="AI692" s="1"/>
      <c r="AJ692" s="21"/>
      <c r="AK692" s="21"/>
      <c r="AL692" s="21"/>
      <c r="AM692" s="21"/>
      <c r="AN692" s="21"/>
      <c r="AO692" s="21"/>
    </row>
    <row r="693" spans="1:44" s="308" customFormat="1" x14ac:dyDescent="0.2">
      <c r="A693" s="48"/>
      <c r="C693" s="263"/>
      <c r="D693" s="263"/>
      <c r="E693" s="53"/>
      <c r="F693" s="13"/>
      <c r="G693" s="13"/>
      <c r="H693" s="53"/>
      <c r="I693" s="298"/>
      <c r="J693" s="21"/>
      <c r="K693" s="21"/>
      <c r="L693" s="13"/>
      <c r="M693" s="50"/>
      <c r="N693" s="97"/>
      <c r="O693" s="50"/>
      <c r="P693" s="50"/>
      <c r="Q693" s="316"/>
      <c r="R693" s="285"/>
      <c r="S693" s="21"/>
      <c r="T693" s="13"/>
      <c r="U693" s="13"/>
      <c r="V693" s="21"/>
      <c r="W693" s="21"/>
      <c r="X693" s="21"/>
      <c r="Y693" s="260"/>
      <c r="Z693" s="177"/>
      <c r="AA693" s="177"/>
      <c r="AB693" s="61"/>
      <c r="AC693" s="64"/>
      <c r="AD693" s="50"/>
      <c r="AE693" s="50"/>
      <c r="AF693" s="19"/>
      <c r="AG693" s="120"/>
      <c r="AH693" s="119"/>
      <c r="AI693" s="1"/>
      <c r="AJ693" s="21"/>
      <c r="AK693" s="21"/>
      <c r="AL693" s="21"/>
      <c r="AM693" s="21"/>
      <c r="AN693" s="21"/>
      <c r="AO693" s="21"/>
    </row>
    <row r="694" spans="1:44" s="308" customFormat="1" x14ac:dyDescent="0.2">
      <c r="A694" s="48"/>
      <c r="C694" s="263"/>
      <c r="D694" s="263"/>
      <c r="E694" s="53"/>
      <c r="F694" s="13"/>
      <c r="G694" s="13"/>
      <c r="H694" s="53"/>
      <c r="I694" s="298"/>
      <c r="J694" s="21"/>
      <c r="K694" s="21"/>
      <c r="L694" s="13"/>
      <c r="M694" s="50"/>
      <c r="N694" s="97"/>
      <c r="O694" s="50"/>
      <c r="P694" s="50"/>
      <c r="Q694" s="316"/>
      <c r="R694" s="285"/>
      <c r="S694" s="21"/>
      <c r="T694" s="13"/>
      <c r="U694" s="13"/>
      <c r="V694" s="21"/>
      <c r="W694" s="21"/>
      <c r="X694" s="21"/>
      <c r="Y694" s="260"/>
      <c r="Z694" s="177"/>
      <c r="AA694" s="177"/>
      <c r="AB694" s="61"/>
      <c r="AC694" s="64"/>
      <c r="AD694" s="50"/>
      <c r="AE694" s="50"/>
      <c r="AF694" s="19"/>
      <c r="AG694" s="120"/>
      <c r="AH694" s="119"/>
      <c r="AI694" s="1"/>
      <c r="AJ694" s="21"/>
      <c r="AK694" s="21"/>
      <c r="AL694" s="21"/>
      <c r="AM694" s="21"/>
      <c r="AN694" s="21"/>
      <c r="AO694" s="21"/>
    </row>
    <row r="695" spans="1:44" s="308" customFormat="1" x14ac:dyDescent="0.2">
      <c r="A695" s="48"/>
      <c r="C695" s="263"/>
      <c r="D695" s="263"/>
      <c r="E695" s="53"/>
      <c r="F695" s="13"/>
      <c r="G695" s="13"/>
      <c r="H695" s="53"/>
      <c r="I695" s="298"/>
      <c r="J695" s="21"/>
      <c r="K695" s="21"/>
      <c r="L695" s="13"/>
      <c r="M695" s="50"/>
      <c r="N695" s="97"/>
      <c r="O695" s="50"/>
      <c r="P695" s="50"/>
      <c r="Q695" s="316"/>
      <c r="R695" s="285"/>
      <c r="S695" s="21"/>
      <c r="T695" s="13"/>
      <c r="U695" s="13"/>
      <c r="V695" s="21"/>
      <c r="W695" s="21"/>
      <c r="X695" s="21"/>
      <c r="Y695" s="260"/>
      <c r="Z695" s="177"/>
      <c r="AA695" s="177"/>
      <c r="AB695" s="61"/>
      <c r="AC695" s="64"/>
      <c r="AD695" s="50"/>
      <c r="AE695" s="50"/>
      <c r="AF695" s="19"/>
      <c r="AG695" s="120"/>
      <c r="AH695" s="119"/>
      <c r="AI695" s="1"/>
      <c r="AJ695" s="21"/>
      <c r="AK695" s="21"/>
      <c r="AL695" s="21"/>
      <c r="AM695" s="21"/>
      <c r="AN695" s="21"/>
      <c r="AO695" s="21"/>
    </row>
    <row r="696" spans="1:44" s="308" customFormat="1" x14ac:dyDescent="0.2">
      <c r="A696" s="48"/>
      <c r="C696" s="263"/>
      <c r="D696" s="263"/>
      <c r="E696" s="53"/>
      <c r="F696" s="13"/>
      <c r="G696" s="13"/>
      <c r="H696" s="53"/>
      <c r="I696" s="298"/>
      <c r="J696" s="21"/>
      <c r="K696" s="21"/>
      <c r="L696" s="13"/>
      <c r="M696" s="50"/>
      <c r="N696" s="97"/>
      <c r="O696" s="50"/>
      <c r="P696" s="50"/>
      <c r="Q696" s="316"/>
      <c r="R696" s="285"/>
      <c r="S696" s="21"/>
      <c r="T696" s="13"/>
      <c r="U696" s="13"/>
      <c r="V696" s="21"/>
      <c r="W696" s="21"/>
      <c r="X696" s="21"/>
      <c r="Y696" s="260"/>
      <c r="Z696" s="177"/>
      <c r="AA696" s="177"/>
      <c r="AB696" s="61"/>
      <c r="AC696" s="64"/>
      <c r="AD696" s="50"/>
      <c r="AE696" s="50"/>
      <c r="AF696" s="19"/>
      <c r="AG696" s="120"/>
      <c r="AH696" s="119"/>
      <c r="AI696" s="1"/>
      <c r="AJ696" s="21"/>
      <c r="AK696" s="21"/>
      <c r="AL696" s="21"/>
      <c r="AM696" s="21"/>
      <c r="AN696" s="21"/>
      <c r="AO696" s="21"/>
    </row>
    <row r="697" spans="1:44" s="308" customFormat="1" x14ac:dyDescent="0.2">
      <c r="A697" s="48"/>
      <c r="C697" s="263"/>
      <c r="D697" s="263"/>
      <c r="E697" s="53"/>
      <c r="F697" s="13"/>
      <c r="G697" s="13"/>
      <c r="H697" s="53"/>
      <c r="I697" s="298"/>
      <c r="J697" s="21"/>
      <c r="K697" s="21"/>
      <c r="L697" s="13"/>
      <c r="M697" s="50"/>
      <c r="N697" s="97"/>
      <c r="O697" s="50"/>
      <c r="P697" s="50"/>
      <c r="Q697" s="316"/>
      <c r="R697" s="285"/>
      <c r="S697" s="21"/>
      <c r="T697" s="13"/>
      <c r="U697" s="13"/>
      <c r="V697" s="21"/>
      <c r="W697" s="21"/>
      <c r="X697" s="21"/>
      <c r="Y697" s="260"/>
      <c r="Z697" s="177"/>
      <c r="AA697" s="177"/>
      <c r="AB697" s="61"/>
      <c r="AC697" s="64"/>
      <c r="AD697" s="50"/>
      <c r="AE697" s="50"/>
      <c r="AF697" s="19"/>
      <c r="AG697" s="120"/>
      <c r="AH697" s="119"/>
      <c r="AI697" s="1"/>
      <c r="AJ697" s="21"/>
      <c r="AK697" s="21"/>
      <c r="AL697" s="21"/>
      <c r="AM697" s="21"/>
      <c r="AN697" s="21"/>
      <c r="AO697" s="21"/>
    </row>
    <row r="698" spans="1:44" s="308" customFormat="1" x14ac:dyDescent="0.2">
      <c r="A698" s="48"/>
      <c r="C698" s="263"/>
      <c r="D698" s="263"/>
      <c r="E698" s="53"/>
      <c r="F698" s="13"/>
      <c r="G698" s="13"/>
      <c r="H698" s="53"/>
      <c r="I698" s="298"/>
      <c r="J698" s="21"/>
      <c r="K698" s="21"/>
      <c r="L698" s="13"/>
      <c r="M698" s="50"/>
      <c r="N698" s="97"/>
      <c r="O698" s="50"/>
      <c r="P698" s="50"/>
      <c r="Q698" s="316"/>
      <c r="R698" s="285"/>
      <c r="S698" s="21"/>
      <c r="T698" s="13"/>
      <c r="U698" s="13"/>
      <c r="V698" s="21"/>
      <c r="W698" s="21"/>
      <c r="X698" s="21"/>
      <c r="Y698" s="260"/>
      <c r="Z698" s="177"/>
      <c r="AA698" s="177"/>
      <c r="AB698" s="61"/>
      <c r="AC698" s="64"/>
      <c r="AD698" s="50"/>
      <c r="AE698" s="50"/>
      <c r="AF698" s="19"/>
      <c r="AG698" s="120"/>
      <c r="AH698" s="119"/>
      <c r="AI698" s="1"/>
      <c r="AJ698" s="21"/>
      <c r="AK698" s="21"/>
      <c r="AL698" s="21"/>
      <c r="AM698" s="21"/>
      <c r="AN698" s="21"/>
      <c r="AO698" s="21"/>
    </row>
    <row r="699" spans="1:44" s="308" customFormat="1" x14ac:dyDescent="0.2">
      <c r="A699" s="48"/>
      <c r="C699" s="263"/>
      <c r="D699" s="263"/>
      <c r="E699" s="53"/>
      <c r="F699" s="13"/>
      <c r="G699" s="13"/>
      <c r="H699" s="53"/>
      <c r="I699" s="298"/>
      <c r="J699" s="21"/>
      <c r="K699" s="21"/>
      <c r="L699" s="13"/>
      <c r="M699" s="50"/>
      <c r="N699" s="97"/>
      <c r="O699" s="50"/>
      <c r="P699" s="50"/>
      <c r="Q699" s="316"/>
      <c r="R699" s="285"/>
      <c r="S699" s="21"/>
      <c r="T699" s="13"/>
      <c r="U699" s="13"/>
      <c r="V699" s="21"/>
      <c r="W699" s="21"/>
      <c r="X699" s="21"/>
      <c r="Y699" s="260"/>
      <c r="Z699" s="177"/>
      <c r="AA699" s="177"/>
      <c r="AB699" s="61"/>
      <c r="AC699" s="64"/>
      <c r="AD699" s="50"/>
      <c r="AE699" s="50"/>
      <c r="AF699" s="19"/>
      <c r="AG699" s="120"/>
      <c r="AH699" s="119"/>
      <c r="AI699" s="1"/>
      <c r="AJ699" s="21"/>
      <c r="AK699" s="21"/>
      <c r="AL699" s="21"/>
      <c r="AM699" s="21"/>
      <c r="AN699" s="21"/>
      <c r="AO699" s="21"/>
    </row>
    <row r="700" spans="1:44" s="308" customFormat="1" x14ac:dyDescent="0.2">
      <c r="A700" s="48"/>
      <c r="C700" s="263"/>
      <c r="D700" s="263"/>
      <c r="E700" s="53"/>
      <c r="F700" s="13"/>
      <c r="G700" s="13"/>
      <c r="H700" s="53"/>
      <c r="I700" s="298"/>
      <c r="J700" s="21"/>
      <c r="K700" s="21"/>
      <c r="L700" s="13"/>
      <c r="M700" s="50"/>
      <c r="N700" s="97"/>
      <c r="O700" s="50"/>
      <c r="P700" s="50"/>
      <c r="Q700" s="316"/>
      <c r="R700" s="285"/>
      <c r="S700" s="21"/>
      <c r="T700" s="13"/>
      <c r="U700" s="13"/>
      <c r="V700" s="21"/>
      <c r="W700" s="21"/>
      <c r="X700" s="21"/>
      <c r="Y700" s="260"/>
      <c r="Z700" s="177"/>
      <c r="AA700" s="177"/>
      <c r="AB700" s="61"/>
      <c r="AC700" s="64"/>
      <c r="AD700" s="50"/>
      <c r="AE700" s="50"/>
      <c r="AF700" s="19"/>
      <c r="AG700" s="120"/>
      <c r="AH700" s="119"/>
      <c r="AI700" s="1"/>
      <c r="AJ700" s="21"/>
      <c r="AK700" s="21"/>
      <c r="AL700" s="21"/>
      <c r="AM700" s="21"/>
      <c r="AN700" s="21"/>
      <c r="AO700" s="21"/>
    </row>
    <row r="701" spans="1:44" s="308" customFormat="1" x14ac:dyDescent="0.2">
      <c r="A701" s="48"/>
      <c r="C701" s="263"/>
      <c r="D701" s="263"/>
      <c r="E701" s="53"/>
      <c r="F701" s="13"/>
      <c r="G701" s="13"/>
      <c r="H701" s="53"/>
      <c r="I701" s="298"/>
      <c r="J701" s="21"/>
      <c r="K701" s="21"/>
      <c r="L701" s="13"/>
      <c r="M701" s="50"/>
      <c r="N701" s="97"/>
      <c r="O701" s="50"/>
      <c r="P701" s="50"/>
      <c r="Q701" s="316"/>
      <c r="R701" s="285"/>
      <c r="S701" s="21"/>
      <c r="T701" s="13"/>
      <c r="U701" s="13"/>
      <c r="V701" s="21"/>
      <c r="W701" s="21"/>
      <c r="X701" s="21"/>
      <c r="Y701" s="260"/>
      <c r="Z701" s="177"/>
      <c r="AA701" s="177"/>
      <c r="AB701" s="61"/>
      <c r="AC701" s="64"/>
      <c r="AD701" s="50"/>
      <c r="AE701" s="50"/>
      <c r="AF701" s="19"/>
      <c r="AG701" s="120"/>
      <c r="AH701" s="119"/>
      <c r="AI701" s="1"/>
      <c r="AJ701" s="21"/>
      <c r="AK701" s="21"/>
      <c r="AL701" s="21"/>
      <c r="AM701" s="21"/>
      <c r="AN701" s="21"/>
      <c r="AO701" s="21"/>
      <c r="AQ701" s="21"/>
      <c r="AR701" s="21"/>
    </row>
    <row r="702" spans="1:44" s="308" customFormat="1" x14ac:dyDescent="0.2">
      <c r="A702" s="48"/>
      <c r="C702" s="263"/>
      <c r="D702" s="263"/>
      <c r="E702" s="53"/>
      <c r="F702" s="13"/>
      <c r="G702" s="13"/>
      <c r="H702" s="53"/>
      <c r="I702" s="298"/>
      <c r="J702" s="21"/>
      <c r="K702" s="21"/>
      <c r="L702" s="13"/>
      <c r="M702" s="50"/>
      <c r="N702" s="97"/>
      <c r="O702" s="50"/>
      <c r="P702" s="50"/>
      <c r="Q702" s="316"/>
      <c r="R702" s="285"/>
      <c r="S702" s="21"/>
      <c r="T702" s="13"/>
      <c r="U702" s="13"/>
      <c r="V702" s="21"/>
      <c r="W702" s="21"/>
      <c r="X702" s="21"/>
      <c r="Y702" s="260"/>
      <c r="Z702" s="177"/>
      <c r="AA702" s="177"/>
      <c r="AB702" s="61"/>
      <c r="AC702" s="64"/>
      <c r="AD702" s="50"/>
      <c r="AE702" s="50"/>
      <c r="AF702" s="19"/>
      <c r="AG702" s="120"/>
      <c r="AH702" s="119"/>
      <c r="AI702" s="1"/>
      <c r="AJ702" s="21"/>
      <c r="AK702" s="21"/>
      <c r="AL702" s="21"/>
      <c r="AM702" s="21"/>
      <c r="AN702" s="21"/>
      <c r="AO702" s="21"/>
      <c r="AQ702" s="21"/>
      <c r="AR702" s="21"/>
    </row>
    <row r="703" spans="1:44" x14ac:dyDescent="0.2">
      <c r="A703" s="48"/>
      <c r="AP703" s="308"/>
    </row>
    <row r="704" spans="1:44" x14ac:dyDescent="0.2">
      <c r="A704" s="48"/>
      <c r="AP704" s="308"/>
    </row>
    <row r="705" spans="1:42" x14ac:dyDescent="0.2">
      <c r="A705" s="48"/>
      <c r="AP705" s="308"/>
    </row>
    <row r="706" spans="1:42" x14ac:dyDescent="0.2">
      <c r="A706" s="48"/>
      <c r="AP706" s="308"/>
    </row>
    <row r="707" spans="1:42" x14ac:dyDescent="0.2">
      <c r="A707" s="48"/>
      <c r="AP707" s="308"/>
    </row>
    <row r="708" spans="1:42" x14ac:dyDescent="0.2">
      <c r="A708" s="48"/>
      <c r="AP708" s="308"/>
    </row>
    <row r="709" spans="1:42" x14ac:dyDescent="0.2">
      <c r="A709" s="48"/>
      <c r="AP709" s="308"/>
    </row>
    <row r="710" spans="1:42" x14ac:dyDescent="0.2">
      <c r="A710" s="48"/>
      <c r="AP710" s="308"/>
    </row>
    <row r="711" spans="1:42" x14ac:dyDescent="0.2">
      <c r="A711" s="48"/>
      <c r="AP711" s="308"/>
    </row>
    <row r="712" spans="1:42" x14ac:dyDescent="0.2">
      <c r="A712" s="48"/>
      <c r="AP712" s="308"/>
    </row>
    <row r="713" spans="1:42" x14ac:dyDescent="0.2">
      <c r="A713" s="48"/>
      <c r="AP713" s="308"/>
    </row>
    <row r="714" spans="1:42" x14ac:dyDescent="0.2">
      <c r="A714" s="48"/>
    </row>
    <row r="715" spans="1:42" x14ac:dyDescent="0.2">
      <c r="A715" s="48"/>
    </row>
    <row r="716" spans="1:42" x14ac:dyDescent="0.2">
      <c r="A716" s="48"/>
    </row>
    <row r="717" spans="1:42" x14ac:dyDescent="0.2">
      <c r="A717" s="48"/>
    </row>
    <row r="718" spans="1:42" x14ac:dyDescent="0.2">
      <c r="A718" s="48"/>
    </row>
    <row r="719" spans="1:42" x14ac:dyDescent="0.2">
      <c r="A719" s="48"/>
    </row>
    <row r="720" spans="1:42" x14ac:dyDescent="0.2">
      <c r="A720" s="48"/>
    </row>
    <row r="721" spans="1:42" x14ac:dyDescent="0.2">
      <c r="A721" s="48"/>
    </row>
    <row r="722" spans="1:42" x14ac:dyDescent="0.2">
      <c r="A722" s="48"/>
      <c r="AP722" s="308"/>
    </row>
    <row r="723" spans="1:42" x14ac:dyDescent="0.2">
      <c r="A723" s="48"/>
      <c r="AP723" s="308"/>
    </row>
    <row r="724" spans="1:42" x14ac:dyDescent="0.2">
      <c r="A724" s="48"/>
      <c r="AP724" s="308"/>
    </row>
    <row r="725" spans="1:42" x14ac:dyDescent="0.2">
      <c r="A725" s="48"/>
      <c r="AP725" s="308"/>
    </row>
    <row r="726" spans="1:42" x14ac:dyDescent="0.2">
      <c r="A726" s="48"/>
      <c r="AP726" s="308"/>
    </row>
    <row r="727" spans="1:42" x14ac:dyDescent="0.2">
      <c r="A727" s="48"/>
      <c r="AP727" s="308"/>
    </row>
    <row r="728" spans="1:42" x14ac:dyDescent="0.2">
      <c r="A728" s="48"/>
      <c r="AP728" s="308"/>
    </row>
    <row r="729" spans="1:42" x14ac:dyDescent="0.2">
      <c r="A729" s="48"/>
      <c r="AP729" s="308"/>
    </row>
    <row r="730" spans="1:42" x14ac:dyDescent="0.2">
      <c r="A730" s="48"/>
      <c r="AP730" s="308"/>
    </row>
    <row r="731" spans="1:42" x14ac:dyDescent="0.2">
      <c r="A731" s="48"/>
      <c r="AP731" s="308"/>
    </row>
    <row r="732" spans="1:42" x14ac:dyDescent="0.2">
      <c r="A732" s="48"/>
      <c r="AP732" s="308"/>
    </row>
    <row r="733" spans="1:42" x14ac:dyDescent="0.2">
      <c r="A733" s="48"/>
      <c r="AP733" s="308"/>
    </row>
    <row r="734" spans="1:42" x14ac:dyDescent="0.2">
      <c r="A734" s="48"/>
      <c r="AP734" s="308"/>
    </row>
    <row r="735" spans="1:42" x14ac:dyDescent="0.2">
      <c r="A735" s="48"/>
      <c r="AP735" s="308"/>
    </row>
    <row r="736" spans="1:42" x14ac:dyDescent="0.2">
      <c r="A736" s="48"/>
      <c r="AP736" s="308"/>
    </row>
    <row r="737" spans="1:45" x14ac:dyDescent="0.2">
      <c r="A737" s="48"/>
      <c r="AP737" s="308"/>
    </row>
    <row r="738" spans="1:45" x14ac:dyDescent="0.2">
      <c r="A738" s="48"/>
      <c r="AP738" s="308"/>
    </row>
    <row r="739" spans="1:45" x14ac:dyDescent="0.2">
      <c r="A739" s="48"/>
      <c r="AP739" s="308"/>
    </row>
    <row r="740" spans="1:45" x14ac:dyDescent="0.2">
      <c r="A740" s="48"/>
      <c r="AP740" s="308"/>
    </row>
    <row r="741" spans="1:45" x14ac:dyDescent="0.2">
      <c r="A741" s="48"/>
      <c r="AP741" s="308"/>
    </row>
    <row r="742" spans="1:45" x14ac:dyDescent="0.2">
      <c r="A742" s="48"/>
      <c r="AP742" s="308"/>
    </row>
    <row r="743" spans="1:45" x14ac:dyDescent="0.2">
      <c r="A743" s="48"/>
      <c r="AP743" s="308"/>
    </row>
    <row r="744" spans="1:45" x14ac:dyDescent="0.2">
      <c r="A744" s="48"/>
      <c r="AP744" s="308"/>
    </row>
    <row r="745" spans="1:45" x14ac:dyDescent="0.2">
      <c r="A745" s="48"/>
      <c r="AP745" s="308"/>
    </row>
    <row r="746" spans="1:45" x14ac:dyDescent="0.2">
      <c r="A746" s="48"/>
      <c r="AP746" s="308"/>
    </row>
    <row r="747" spans="1:45" x14ac:dyDescent="0.2">
      <c r="A747" s="48"/>
      <c r="AP747" s="308"/>
    </row>
    <row r="748" spans="1:45" x14ac:dyDescent="0.2">
      <c r="A748" s="48"/>
      <c r="AP748" s="308"/>
    </row>
    <row r="749" spans="1:45" x14ac:dyDescent="0.2">
      <c r="A749" s="48"/>
    </row>
    <row r="750" spans="1:45" x14ac:dyDescent="0.2">
      <c r="A750" s="48"/>
    </row>
    <row r="751" spans="1:45" x14ac:dyDescent="0.2">
      <c r="A751" s="48"/>
    </row>
    <row r="752" spans="1:45" s="308" customFormat="1" x14ac:dyDescent="0.2">
      <c r="A752" s="48"/>
      <c r="C752" s="263"/>
      <c r="D752" s="263"/>
      <c r="E752" s="53"/>
      <c r="F752" s="13"/>
      <c r="G752" s="13"/>
      <c r="H752" s="53"/>
      <c r="I752" s="298"/>
      <c r="J752" s="21"/>
      <c r="K752" s="21"/>
      <c r="L752" s="13"/>
      <c r="M752" s="50"/>
      <c r="N752" s="97"/>
      <c r="O752" s="50"/>
      <c r="P752" s="50"/>
      <c r="Q752" s="316"/>
      <c r="R752" s="285"/>
      <c r="S752" s="21"/>
      <c r="T752" s="13"/>
      <c r="U752" s="13"/>
      <c r="V752" s="21"/>
      <c r="W752" s="21"/>
      <c r="X752" s="21"/>
      <c r="Y752" s="260"/>
      <c r="Z752" s="177"/>
      <c r="AA752" s="177"/>
      <c r="AB752" s="61"/>
      <c r="AC752" s="64"/>
      <c r="AD752" s="50"/>
      <c r="AE752" s="50"/>
      <c r="AF752" s="19"/>
      <c r="AG752" s="120"/>
      <c r="AH752" s="119"/>
      <c r="AI752" s="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1:45" s="308" customFormat="1" x14ac:dyDescent="0.2">
      <c r="A753" s="48"/>
      <c r="C753" s="263"/>
      <c r="D753" s="263"/>
      <c r="E753" s="53"/>
      <c r="F753" s="13"/>
      <c r="G753" s="13"/>
      <c r="H753" s="53"/>
      <c r="I753" s="298"/>
      <c r="J753" s="21"/>
      <c r="K753" s="21"/>
      <c r="L753" s="13"/>
      <c r="M753" s="50"/>
      <c r="N753" s="97"/>
      <c r="O753" s="50"/>
      <c r="P753" s="50"/>
      <c r="Q753" s="316"/>
      <c r="R753" s="285"/>
      <c r="S753" s="21"/>
      <c r="T753" s="13"/>
      <c r="U753" s="13"/>
      <c r="V753" s="21"/>
      <c r="W753" s="21"/>
      <c r="X753" s="21"/>
      <c r="Y753" s="260"/>
      <c r="Z753" s="177"/>
      <c r="AA753" s="177"/>
      <c r="AB753" s="61"/>
      <c r="AC753" s="64"/>
      <c r="AD753" s="50"/>
      <c r="AE753" s="50"/>
      <c r="AF753" s="19"/>
      <c r="AG753" s="120"/>
      <c r="AH753" s="119"/>
      <c r="AI753" s="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</sheetData>
  <autoFilter ref="A5:AH285">
    <filterColumn colId="3" showButton="0"/>
  </autoFilter>
  <mergeCells count="2">
    <mergeCell ref="AC4:AF4"/>
    <mergeCell ref="D5:E5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9</vt:i4>
      </vt:variant>
    </vt:vector>
  </HeadingPairs>
  <TitlesOfParts>
    <vt:vector size="24" baseType="lpstr">
      <vt:lpstr>SEPT (2)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TARIFAS</vt:lpstr>
      <vt:lpstr>EDOFIN TOY</vt:lpstr>
      <vt:lpstr>ENE!Área_de_impresión</vt:lpstr>
      <vt:lpstr>'SEPT (2)'!Área_de_impresión</vt:lpstr>
      <vt:lpstr>CF</vt:lpstr>
      <vt:lpstr>LI</vt:lpstr>
      <vt:lpstr>LS</vt:lpstr>
      <vt:lpstr>TARIFA</vt:lpstr>
      <vt:lpstr>TASA</vt:lpstr>
      <vt:lpstr>ENE!Títulos_a_imprimir</vt:lpstr>
      <vt:lpstr>'SEPT (2)'!Títulos_a_imprimir</vt:lpstr>
    </vt:vector>
  </TitlesOfParts>
  <Company>Queretaro Motors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Bethy Solis</dc:creator>
  <cp:lastModifiedBy>cqqusuario</cp:lastModifiedBy>
  <cp:lastPrinted>2018-01-17T19:55:20Z</cp:lastPrinted>
  <dcterms:created xsi:type="dcterms:W3CDTF">2004-05-11T20:52:47Z</dcterms:created>
  <dcterms:modified xsi:type="dcterms:W3CDTF">2018-02-17T20:30:01Z</dcterms:modified>
</cp:coreProperties>
</file>